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mnapol/Desktop/BPOP/"/>
    </mc:Choice>
  </mc:AlternateContent>
  <xr:revisionPtr revIDLastSave="0" documentId="13_ncr:1_{081BB8B8-9232-B447-9FB6-F987C79D4679}" xr6:coauthVersionLast="47" xr6:coauthVersionMax="47" xr10:uidLastSave="{00000000-0000-0000-0000-000000000000}"/>
  <bookViews>
    <workbookView xWindow="-40180" yWindow="-2640" windowWidth="37940" windowHeight="15580" activeTab="10" xr2:uid="{5D2B7B6F-680B-594E-8432-6E2DF12CF690}"/>
  </bookViews>
  <sheets>
    <sheet name="BPOP General Info" sheetId="1" r:id="rId1"/>
    <sheet name="BPOP HS College Pro Eval (OLD)" sheetId="2" state="hidden" r:id="rId2"/>
    <sheet name="BPOP 12U-14U Eval (OLD)" sheetId="3" state="hidden" r:id="rId3"/>
    <sheet name="BPOP HS COLL PRO Eval" sheetId="17" r:id="rId4"/>
    <sheet name="BPOP 12U-14U Eval" sheetId="16" r:id="rId5"/>
    <sheet name="BPOP 10U-11U Eval" sheetId="4" r:id="rId6"/>
    <sheet name="BPOP 9U Eval" sheetId="9" r:id="rId7"/>
    <sheet name="BPOP 8U Eval" sheetId="10" r:id="rId8"/>
    <sheet name="BPOP 7U Eval" sheetId="11" r:id="rId9"/>
    <sheet name="BPOP 5U-6U Eval" sheetId="12" r:id="rId10"/>
    <sheet name="Team Overview" sheetId="21" r:id="rId11"/>
    <sheet name="Add Player Screen" sheetId="25" r:id="rId12"/>
    <sheet name="Player Detail Page" sheetId="23" r:id="rId13"/>
    <sheet name="Position Management " sheetId="19" r:id="rId14"/>
    <sheet name="Line-Up Optimization" sheetId="15" r:id="rId15"/>
    <sheet name="Pitching Optimization" sheetId="22" r:id="rId16"/>
    <sheet name="Atheltic Skills Overview" sheetId="24"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Q23" i="16" l="1"/>
  <c r="BP23" i="16"/>
  <c r="BO23" i="16"/>
  <c r="BK23" i="16"/>
  <c r="BJ23" i="16"/>
  <c r="BH23" i="16"/>
  <c r="AW23" i="16"/>
  <c r="AV23" i="16"/>
  <c r="AU23" i="16"/>
  <c r="AQ23" i="16"/>
  <c r="AP23" i="16"/>
  <c r="AN23" i="16"/>
  <c r="AC23" i="16"/>
  <c r="AB23" i="16"/>
  <c r="AA23" i="16"/>
  <c r="W23" i="16"/>
  <c r="V23" i="16"/>
  <c r="T23" i="16"/>
  <c r="BQ26" i="17"/>
  <c r="BP26" i="17"/>
  <c r="BO26" i="17"/>
  <c r="BK26" i="17"/>
  <c r="BJ26" i="17"/>
  <c r="BH26" i="17"/>
  <c r="AW26" i="17"/>
  <c r="AV26" i="17"/>
  <c r="AU26" i="17"/>
  <c r="AQ26" i="17"/>
  <c r="AP26" i="17"/>
  <c r="AN26" i="17"/>
  <c r="AC26" i="17"/>
  <c r="AB26" i="17"/>
  <c r="AA26" i="17"/>
  <c r="W26" i="17"/>
  <c r="V26" i="17"/>
  <c r="T26" i="17"/>
  <c r="Z135" i="17"/>
  <c r="V135" i="17"/>
  <c r="AA131" i="17"/>
  <c r="AA135" i="17" s="1"/>
  <c r="Z131" i="17"/>
  <c r="Y131" i="17"/>
  <c r="Y135" i="17" s="1"/>
  <c r="X131" i="17"/>
  <c r="X135" i="17" s="1"/>
  <c r="V131" i="17"/>
  <c r="T131" i="17"/>
  <c r="T135" i="17" s="1"/>
  <c r="AU135" i="17"/>
  <c r="AT135" i="17"/>
  <c r="AS135" i="17"/>
  <c r="AR135" i="17"/>
  <c r="AP135" i="17"/>
  <c r="AN135" i="17"/>
  <c r="AU131" i="17"/>
  <c r="AT131" i="17"/>
  <c r="AS131" i="17"/>
  <c r="AR131" i="17"/>
  <c r="AP131" i="17"/>
  <c r="AN131" i="17"/>
  <c r="T126" i="16"/>
  <c r="AA130" i="16"/>
  <c r="Z130" i="16"/>
  <c r="T130" i="16"/>
  <c r="AA121" i="4"/>
  <c r="AA125" i="4" s="1"/>
  <c r="Z121" i="4"/>
  <c r="Y121" i="4"/>
  <c r="X121" i="4"/>
  <c r="V121" i="4"/>
  <c r="T121" i="4"/>
  <c r="V125" i="4"/>
  <c r="V126" i="4" s="1"/>
  <c r="V127" i="4" s="1"/>
  <c r="V119" i="4" s="1"/>
  <c r="Z125" i="4"/>
  <c r="Y125" i="4"/>
  <c r="T125" i="4"/>
  <c r="Z90" i="12"/>
  <c r="Y90" i="12"/>
  <c r="X90" i="12"/>
  <c r="U90" i="12"/>
  <c r="S90" i="12"/>
  <c r="Z88" i="12"/>
  <c r="Y88" i="12"/>
  <c r="X88" i="12"/>
  <c r="U88" i="12"/>
  <c r="W88" i="12" s="1"/>
  <c r="S88" i="12"/>
  <c r="Z87" i="12"/>
  <c r="Y87" i="12"/>
  <c r="X87" i="12"/>
  <c r="U87" i="12"/>
  <c r="S87" i="12"/>
  <c r="W90" i="12"/>
  <c r="Z89" i="12"/>
  <c r="Y89" i="12"/>
  <c r="X89" i="12"/>
  <c r="W89" i="12"/>
  <c r="U89" i="12"/>
  <c r="S89" i="12"/>
  <c r="W87" i="12"/>
  <c r="AO27" i="12"/>
  <c r="AQ27" i="12"/>
  <c r="AP90" i="12" s="1"/>
  <c r="AR90" i="12" s="1"/>
  <c r="AU90" i="12"/>
  <c r="AT90" i="12"/>
  <c r="AS90" i="12"/>
  <c r="AN90" i="12"/>
  <c r="AU89" i="12"/>
  <c r="AT89" i="12"/>
  <c r="AS89" i="12"/>
  <c r="AP89" i="12"/>
  <c r="AN89" i="12"/>
  <c r="AU88" i="12"/>
  <c r="AT88" i="12"/>
  <c r="AS88" i="12"/>
  <c r="AP88" i="12"/>
  <c r="AR88" i="12" s="1"/>
  <c r="AN88" i="12"/>
  <c r="AU87" i="12"/>
  <c r="AT87" i="12"/>
  <c r="AS87" i="12"/>
  <c r="AP87" i="12"/>
  <c r="AN87" i="12"/>
  <c r="AR89" i="12"/>
  <c r="AR87" i="12"/>
  <c r="Z96" i="11"/>
  <c r="Y96" i="11"/>
  <c r="X96" i="11"/>
  <c r="Z99" i="11"/>
  <c r="Y99" i="11"/>
  <c r="X99" i="11"/>
  <c r="U99" i="11"/>
  <c r="W99" i="11" s="1"/>
  <c r="S99" i="11"/>
  <c r="Z98" i="11"/>
  <c r="Y98" i="11"/>
  <c r="X98" i="11"/>
  <c r="U98" i="11"/>
  <c r="S98" i="11"/>
  <c r="Z97" i="11"/>
  <c r="Y97" i="11"/>
  <c r="U96" i="11"/>
  <c r="W96" i="11" s="1"/>
  <c r="S96" i="11"/>
  <c r="W98" i="11"/>
  <c r="X97" i="11"/>
  <c r="U97" i="11"/>
  <c r="W97" i="11" s="1"/>
  <c r="S97" i="11"/>
  <c r="Z107" i="10"/>
  <c r="Y107" i="10"/>
  <c r="X107" i="10"/>
  <c r="U107" i="10"/>
  <c r="S107" i="10"/>
  <c r="S114" i="10" s="1"/>
  <c r="Z106" i="10"/>
  <c r="Y106" i="10"/>
  <c r="X106" i="10"/>
  <c r="U106" i="10"/>
  <c r="S106" i="10"/>
  <c r="Z105" i="10"/>
  <c r="Y105" i="10"/>
  <c r="X105" i="10"/>
  <c r="U105" i="10"/>
  <c r="U108" i="9"/>
  <c r="S108" i="9"/>
  <c r="Z104" i="10"/>
  <c r="Y104" i="10"/>
  <c r="X104" i="10"/>
  <c r="U104" i="10"/>
  <c r="Z114" i="10"/>
  <c r="Y114" i="10"/>
  <c r="Z113" i="10"/>
  <c r="U113" i="10"/>
  <c r="W113" i="10" s="1"/>
  <c r="S113" i="10"/>
  <c r="X114" i="10"/>
  <c r="W107" i="10"/>
  <c r="W114" i="10" s="1"/>
  <c r="U114" i="10"/>
  <c r="Y113" i="10"/>
  <c r="Y117" i="10" s="1"/>
  <c r="Y118" i="10" s="1"/>
  <c r="Y119" i="10" s="1"/>
  <c r="Y111" i="10" s="1"/>
  <c r="X113" i="10"/>
  <c r="W106" i="10"/>
  <c r="W105" i="10"/>
  <c r="W104" i="10"/>
  <c r="Z116" i="9"/>
  <c r="Z120" i="9" s="1"/>
  <c r="Y116" i="9"/>
  <c r="Y120" i="9" s="1"/>
  <c r="X116" i="9"/>
  <c r="X120" i="9" s="1"/>
  <c r="U116" i="9"/>
  <c r="U120" i="9" s="1"/>
  <c r="S116" i="9"/>
  <c r="S120" i="9" s="1"/>
  <c r="Z110" i="9"/>
  <c r="Z117" i="9" s="1"/>
  <c r="Y110" i="9"/>
  <c r="X110" i="9"/>
  <c r="X117" i="9" s="1"/>
  <c r="U110" i="9"/>
  <c r="W110" i="9" s="1"/>
  <c r="W117" i="9" s="1"/>
  <c r="S110" i="9"/>
  <c r="U109" i="9"/>
  <c r="S109" i="9"/>
  <c r="Z109" i="9"/>
  <c r="Y109" i="9"/>
  <c r="X109" i="9"/>
  <c r="Z108" i="9"/>
  <c r="Y108" i="9"/>
  <c r="X108" i="9"/>
  <c r="Z107" i="9"/>
  <c r="Y107" i="9"/>
  <c r="X107" i="9"/>
  <c r="U107" i="9"/>
  <c r="Y117" i="9"/>
  <c r="S117" i="9"/>
  <c r="W109" i="9"/>
  <c r="W108" i="9"/>
  <c r="W107" i="9"/>
  <c r="AA115" i="4"/>
  <c r="Z115" i="4"/>
  <c r="Y115" i="4"/>
  <c r="V115" i="4"/>
  <c r="T115" i="4"/>
  <c r="AA113" i="4"/>
  <c r="Z113" i="4"/>
  <c r="Y113" i="4"/>
  <c r="V113" i="4"/>
  <c r="T113" i="4"/>
  <c r="AA112" i="4"/>
  <c r="Z112" i="4"/>
  <c r="Y112" i="4"/>
  <c r="V112" i="4"/>
  <c r="T112" i="4"/>
  <c r="AA122" i="4"/>
  <c r="Z122" i="4"/>
  <c r="V122" i="4"/>
  <c r="T122" i="4"/>
  <c r="T126" i="4"/>
  <c r="T127" i="4" s="1"/>
  <c r="T119" i="4" s="1"/>
  <c r="Y122" i="4"/>
  <c r="X115" i="4"/>
  <c r="X122" i="4" s="1"/>
  <c r="AA114" i="4"/>
  <c r="Z114" i="4"/>
  <c r="Y114" i="4"/>
  <c r="V114" i="4"/>
  <c r="X114" i="4" s="1"/>
  <c r="T114" i="4"/>
  <c r="X113" i="4"/>
  <c r="X112" i="4"/>
  <c r="AU115" i="4"/>
  <c r="AT115" i="4"/>
  <c r="AS115" i="4"/>
  <c r="AP115" i="4"/>
  <c r="AU114" i="4"/>
  <c r="AT114" i="4"/>
  <c r="AS114" i="4"/>
  <c r="AP114" i="4"/>
  <c r="AU113" i="4"/>
  <c r="AT113" i="4"/>
  <c r="AS113" i="4"/>
  <c r="AP113" i="4"/>
  <c r="AU112" i="4"/>
  <c r="AT112" i="4"/>
  <c r="AS112" i="4"/>
  <c r="AP112" i="4"/>
  <c r="AN115" i="4"/>
  <c r="AN114" i="4"/>
  <c r="AN113" i="4"/>
  <c r="AN112" i="4"/>
  <c r="AN117" i="16"/>
  <c r="AU122" i="4"/>
  <c r="AP122" i="4"/>
  <c r="AU121" i="4"/>
  <c r="AU125" i="4" s="1"/>
  <c r="AU126" i="4" s="1"/>
  <c r="AU127" i="4" s="1"/>
  <c r="AU119" i="4" s="1"/>
  <c r="AT121" i="4"/>
  <c r="AP121" i="4"/>
  <c r="AT122" i="4"/>
  <c r="AS122" i="4"/>
  <c r="AR115" i="4"/>
  <c r="AR122" i="4" s="1"/>
  <c r="AN122" i="4"/>
  <c r="AS121" i="4"/>
  <c r="AR114" i="4"/>
  <c r="AN121" i="4"/>
  <c r="AR113" i="4"/>
  <c r="AR112" i="4"/>
  <c r="AA120" i="16"/>
  <c r="AA127" i="16" s="1"/>
  <c r="Z120" i="16"/>
  <c r="Y120" i="16"/>
  <c r="V120" i="16"/>
  <c r="T120" i="16"/>
  <c r="AA118" i="16"/>
  <c r="Z118" i="16"/>
  <c r="Y118" i="16"/>
  <c r="V118" i="16"/>
  <c r="T118" i="16"/>
  <c r="AA117" i="16"/>
  <c r="Z117" i="16"/>
  <c r="Y117" i="16"/>
  <c r="V117" i="16"/>
  <c r="X117" i="16" s="1"/>
  <c r="T117" i="16"/>
  <c r="V127" i="16"/>
  <c r="T127" i="16"/>
  <c r="Y126" i="16"/>
  <c r="Y130" i="16" s="1"/>
  <c r="V126" i="16"/>
  <c r="V130" i="16" s="1"/>
  <c r="Z127" i="16"/>
  <c r="Y127" i="16"/>
  <c r="X120" i="16"/>
  <c r="X127" i="16" s="1"/>
  <c r="AA119" i="16"/>
  <c r="AA126" i="16" s="1"/>
  <c r="Z119" i="16"/>
  <c r="Z126" i="16" s="1"/>
  <c r="Y119" i="16"/>
  <c r="V119" i="16"/>
  <c r="X119" i="16" s="1"/>
  <c r="T119" i="16"/>
  <c r="X118" i="16"/>
  <c r="AN130" i="16"/>
  <c r="AN131" i="16" s="1"/>
  <c r="AN132" i="16" s="1"/>
  <c r="AN124" i="16" s="1"/>
  <c r="AU120" i="16"/>
  <c r="AT120" i="16"/>
  <c r="AU118" i="16"/>
  <c r="AT118" i="16"/>
  <c r="AU117" i="16"/>
  <c r="AT117" i="16"/>
  <c r="AS120" i="16"/>
  <c r="AS127" i="16" s="1"/>
  <c r="AS118" i="16"/>
  <c r="AS117" i="16"/>
  <c r="AP117" i="16"/>
  <c r="AR117" i="16" s="1"/>
  <c r="AP118" i="16"/>
  <c r="AP120" i="16"/>
  <c r="AR120" i="16" s="1"/>
  <c r="AR127" i="16" s="1"/>
  <c r="AU126" i="16"/>
  <c r="AU130" i="16" s="1"/>
  <c r="AT126" i="16"/>
  <c r="AT130" i="16" s="1"/>
  <c r="AS126" i="16"/>
  <c r="AS130" i="16" s="1"/>
  <c r="AP126" i="16"/>
  <c r="AP130" i="16" s="1"/>
  <c r="AN126" i="16"/>
  <c r="AN120" i="16"/>
  <c r="AN118" i="16"/>
  <c r="AU127" i="16"/>
  <c r="AT127" i="16"/>
  <c r="AN127" i="16"/>
  <c r="AU119" i="16"/>
  <c r="AT119" i="16"/>
  <c r="AS119" i="16"/>
  <c r="AP119" i="16"/>
  <c r="AR119" i="16" s="1"/>
  <c r="AN119" i="16"/>
  <c r="AR118" i="16"/>
  <c r="BO126" i="16"/>
  <c r="BN126" i="16"/>
  <c r="BM126" i="16"/>
  <c r="BJ126" i="16"/>
  <c r="BH126" i="16"/>
  <c r="BH130" i="16" s="1"/>
  <c r="BO120" i="16"/>
  <c r="BN120" i="16"/>
  <c r="BM120" i="16"/>
  <c r="BJ120" i="16"/>
  <c r="BH120" i="16"/>
  <c r="BO119" i="16"/>
  <c r="BN119" i="16"/>
  <c r="BM119" i="16"/>
  <c r="BJ119" i="16"/>
  <c r="BH119" i="16"/>
  <c r="BO118" i="16"/>
  <c r="BN118" i="16"/>
  <c r="BM118" i="16"/>
  <c r="BJ118" i="16"/>
  <c r="BL118" i="16" s="1"/>
  <c r="BH118" i="16"/>
  <c r="BO117" i="16"/>
  <c r="BN117" i="16"/>
  <c r="BM117" i="16"/>
  <c r="BL117" i="16"/>
  <c r="BJ117" i="16"/>
  <c r="BH117" i="16"/>
  <c r="AA122" i="17"/>
  <c r="Z122" i="17"/>
  <c r="AA123" i="17"/>
  <c r="Z123" i="17"/>
  <c r="AA125" i="17"/>
  <c r="Z125" i="17"/>
  <c r="AA127" i="17"/>
  <c r="Z127" i="17"/>
  <c r="Y125" i="17"/>
  <c r="Y123" i="17"/>
  <c r="V127" i="17"/>
  <c r="V125" i="17"/>
  <c r="V123" i="17"/>
  <c r="Y127" i="17"/>
  <c r="T127" i="17"/>
  <c r="T125" i="17"/>
  <c r="T123" i="17"/>
  <c r="Y122" i="17"/>
  <c r="V122" i="17"/>
  <c r="T122" i="17"/>
  <c r="X122" i="17"/>
  <c r="AU127" i="17"/>
  <c r="AT127" i="17"/>
  <c r="AU125" i="17"/>
  <c r="AT125" i="17"/>
  <c r="AU124" i="17"/>
  <c r="AT124" i="17"/>
  <c r="AU123" i="17"/>
  <c r="AT123" i="17"/>
  <c r="AU122" i="17"/>
  <c r="AT122" i="17"/>
  <c r="AS127" i="17"/>
  <c r="AS125" i="17"/>
  <c r="AS123" i="17"/>
  <c r="AS122" i="17"/>
  <c r="AP122" i="17"/>
  <c r="AR122" i="17" s="1"/>
  <c r="AN122" i="17"/>
  <c r="AP123" i="17"/>
  <c r="AP125" i="17"/>
  <c r="AP127" i="17"/>
  <c r="AN127" i="17"/>
  <c r="AN125" i="17"/>
  <c r="AN123" i="17"/>
  <c r="BO122" i="17"/>
  <c r="BN122" i="17"/>
  <c r="BM122" i="17"/>
  <c r="BL122" i="17"/>
  <c r="BJ122" i="17"/>
  <c r="BH122" i="17"/>
  <c r="BO127" i="16"/>
  <c r="BN127" i="16"/>
  <c r="BM127" i="16"/>
  <c r="BL120" i="16"/>
  <c r="BL127" i="16" s="1"/>
  <c r="BJ127" i="16"/>
  <c r="BH127" i="16"/>
  <c r="BM130" i="16"/>
  <c r="BM131" i="16" s="1"/>
  <c r="BM132" i="16" s="1"/>
  <c r="BM124" i="16" s="1"/>
  <c r="BL119" i="16"/>
  <c r="AA126" i="17"/>
  <c r="AA133" i="17" s="1"/>
  <c r="Z126" i="17"/>
  <c r="Z133" i="17" s="1"/>
  <c r="Y126" i="17"/>
  <c r="Y133" i="17" s="1"/>
  <c r="X126" i="17"/>
  <c r="X133" i="17" s="1"/>
  <c r="V126" i="17"/>
  <c r="V133" i="17" s="1"/>
  <c r="T126" i="17"/>
  <c r="T133" i="17" s="1"/>
  <c r="AA124" i="17"/>
  <c r="Z124" i="17"/>
  <c r="Y124" i="17"/>
  <c r="X124" i="17"/>
  <c r="V124" i="17"/>
  <c r="T124" i="17"/>
  <c r="AU126" i="17"/>
  <c r="AU133" i="17" s="1"/>
  <c r="AT126" i="17"/>
  <c r="AT133" i="17" s="1"/>
  <c r="AS126" i="17"/>
  <c r="AS133" i="17" s="1"/>
  <c r="AP126" i="17"/>
  <c r="AP133" i="17" s="1"/>
  <c r="AN126" i="17"/>
  <c r="AN133" i="17" s="1"/>
  <c r="AS124" i="17"/>
  <c r="AR124" i="17"/>
  <c r="AP124" i="17"/>
  <c r="AN124" i="17"/>
  <c r="BO131" i="17"/>
  <c r="BN131" i="17"/>
  <c r="BM131" i="17"/>
  <c r="BO124" i="17"/>
  <c r="BN124" i="17"/>
  <c r="BM124" i="17"/>
  <c r="BJ124" i="17"/>
  <c r="BJ131" i="17" s="1"/>
  <c r="BL131" i="17" s="1"/>
  <c r="W43" i="17"/>
  <c r="W42" i="17"/>
  <c r="AQ42" i="17"/>
  <c r="AQ41" i="17"/>
  <c r="BH131" i="17"/>
  <c r="BH124" i="17"/>
  <c r="BO126" i="17"/>
  <c r="BO133" i="17" s="1"/>
  <c r="BN126" i="17"/>
  <c r="BN133" i="17" s="1"/>
  <c r="BM126" i="17"/>
  <c r="BM133" i="17" s="1"/>
  <c r="BJ126" i="17"/>
  <c r="BL126" i="17" s="1"/>
  <c r="BL133" i="17" s="1"/>
  <c r="BH126" i="17"/>
  <c r="BH133" i="17" s="1"/>
  <c r="BK43" i="17"/>
  <c r="BK42" i="17"/>
  <c r="BK41" i="17"/>
  <c r="AR24" i="12"/>
  <c r="W29" i="11"/>
  <c r="W31" i="10"/>
  <c r="W31" i="9"/>
  <c r="W31" i="4"/>
  <c r="AQ31" i="4"/>
  <c r="W32" i="16"/>
  <c r="AQ32" i="16"/>
  <c r="BK32" i="16"/>
  <c r="W36" i="17"/>
  <c r="W41" i="17" s="1"/>
  <c r="AQ36" i="17"/>
  <c r="AQ43" i="17" s="1"/>
  <c r="AR20" i="12"/>
  <c r="AP79" i="12"/>
  <c r="AY23" i="12"/>
  <c r="AX23" i="12"/>
  <c r="AW23" i="12"/>
  <c r="AV23" i="12"/>
  <c r="AY22" i="12"/>
  <c r="AX22" i="12"/>
  <c r="AT80" i="12" s="1"/>
  <c r="AW22" i="12"/>
  <c r="AV22" i="12"/>
  <c r="AY21" i="12"/>
  <c r="AU79" i="12" s="1"/>
  <c r="AU82" i="12" s="1"/>
  <c r="AX21" i="12"/>
  <c r="AT79" i="12" s="1"/>
  <c r="AT82" i="12" s="1"/>
  <c r="AW21" i="12"/>
  <c r="AV21" i="12"/>
  <c r="AR23" i="12"/>
  <c r="AU23" i="12" s="1"/>
  <c r="AP49" i="12" s="1"/>
  <c r="AQ23" i="12"/>
  <c r="AR22" i="12"/>
  <c r="AP80" i="12" s="1"/>
  <c r="AQ22" i="12"/>
  <c r="AR21" i="12"/>
  <c r="AQ21" i="12"/>
  <c r="AO23" i="12"/>
  <c r="AO22" i="12"/>
  <c r="AO21" i="12"/>
  <c r="AT84" i="12"/>
  <c r="AU81" i="12"/>
  <c r="AT81" i="12"/>
  <c r="AS81" i="12"/>
  <c r="AP81" i="12"/>
  <c r="AN81" i="12"/>
  <c r="AN80" i="12"/>
  <c r="AS79" i="12"/>
  <c r="AS82" i="12" s="1"/>
  <c r="AR79" i="12"/>
  <c r="AR82" i="12" s="1"/>
  <c r="AN79" i="12"/>
  <c r="AN82" i="12" s="1"/>
  <c r="AR81" i="12"/>
  <c r="Y84" i="12"/>
  <c r="Z81" i="12"/>
  <c r="Y81" i="12"/>
  <c r="X81" i="12"/>
  <c r="U81" i="12"/>
  <c r="S81" i="12"/>
  <c r="Z80" i="12"/>
  <c r="Y80" i="12"/>
  <c r="X80" i="12"/>
  <c r="Z79" i="12"/>
  <c r="Y79" i="12"/>
  <c r="X79" i="12"/>
  <c r="U79" i="12"/>
  <c r="S79" i="12"/>
  <c r="AD23" i="12"/>
  <c r="AC23" i="12"/>
  <c r="AB23" i="12"/>
  <c r="AA23" i="12"/>
  <c r="AD22" i="12"/>
  <c r="AC22" i="12"/>
  <c r="AB22" i="12"/>
  <c r="AA22" i="12"/>
  <c r="AD21" i="12"/>
  <c r="AC21" i="12"/>
  <c r="AB21" i="12"/>
  <c r="AA21" i="12"/>
  <c r="W23" i="12"/>
  <c r="Y49" i="12" s="1"/>
  <c r="V23" i="12"/>
  <c r="W22" i="12"/>
  <c r="U80" i="12" s="1"/>
  <c r="W80" i="12" s="1"/>
  <c r="V22" i="12"/>
  <c r="W21" i="12"/>
  <c r="V21" i="12"/>
  <c r="T23" i="12"/>
  <c r="T22" i="12"/>
  <c r="T21" i="12"/>
  <c r="X82" i="12"/>
  <c r="W81" i="12"/>
  <c r="Z82" i="12"/>
  <c r="Y82" i="12"/>
  <c r="U82" i="12"/>
  <c r="S82" i="12"/>
  <c r="Z93" i="11"/>
  <c r="Y93" i="11"/>
  <c r="X93" i="11"/>
  <c r="U93" i="11"/>
  <c r="S93" i="11"/>
  <c r="Z90" i="11"/>
  <c r="Y90" i="11"/>
  <c r="X90" i="11"/>
  <c r="U90" i="11"/>
  <c r="W90" i="11" s="1"/>
  <c r="S90" i="11"/>
  <c r="Z89" i="11"/>
  <c r="Y89" i="11"/>
  <c r="X89" i="11"/>
  <c r="U89" i="11"/>
  <c r="S89" i="11"/>
  <c r="Z88" i="11"/>
  <c r="Y88" i="11"/>
  <c r="X88" i="11"/>
  <c r="U88" i="11"/>
  <c r="S88" i="11"/>
  <c r="AD28" i="11"/>
  <c r="AC28" i="11"/>
  <c r="AB28" i="11"/>
  <c r="AA28" i="11"/>
  <c r="AD27" i="11"/>
  <c r="AC27" i="11"/>
  <c r="AB27" i="11"/>
  <c r="AA27" i="11"/>
  <c r="AD26" i="11"/>
  <c r="AC26" i="11"/>
  <c r="AB26" i="11"/>
  <c r="AA26" i="11"/>
  <c r="W28" i="11"/>
  <c r="V28" i="11"/>
  <c r="W27" i="11"/>
  <c r="V27" i="11"/>
  <c r="W26" i="11"/>
  <c r="V26" i="11"/>
  <c r="T27" i="11"/>
  <c r="T26" i="11"/>
  <c r="W93" i="11"/>
  <c r="Z91" i="11"/>
  <c r="U91" i="11"/>
  <c r="W89" i="11"/>
  <c r="Y91" i="11"/>
  <c r="X91" i="11"/>
  <c r="W88" i="11"/>
  <c r="W91" i="11" s="1"/>
  <c r="S91" i="11"/>
  <c r="Z101" i="10"/>
  <c r="Y101" i="10"/>
  <c r="X101" i="10"/>
  <c r="U101" i="10"/>
  <c r="S101" i="10"/>
  <c r="Z98" i="10"/>
  <c r="Y98" i="10"/>
  <c r="X98" i="10"/>
  <c r="U98" i="10"/>
  <c r="S98" i="10"/>
  <c r="Z97" i="10"/>
  <c r="Y97" i="10"/>
  <c r="X97" i="10"/>
  <c r="U97" i="10"/>
  <c r="S97" i="10"/>
  <c r="Z96" i="10"/>
  <c r="Y96" i="10"/>
  <c r="X96" i="10"/>
  <c r="U96" i="10"/>
  <c r="U99" i="10" s="1"/>
  <c r="AD30" i="10"/>
  <c r="AC30" i="10"/>
  <c r="AB30" i="10"/>
  <c r="AA30" i="10"/>
  <c r="AD29" i="10"/>
  <c r="AC29" i="10"/>
  <c r="AB29" i="10"/>
  <c r="AA29" i="10"/>
  <c r="AD28" i="10"/>
  <c r="AC28" i="10"/>
  <c r="AB28" i="10"/>
  <c r="AA28" i="10"/>
  <c r="W30" i="10"/>
  <c r="V30" i="10"/>
  <c r="W29" i="10"/>
  <c r="V29" i="10"/>
  <c r="W28" i="10"/>
  <c r="V28" i="10"/>
  <c r="T29" i="10"/>
  <c r="T28" i="10"/>
  <c r="S96" i="10" s="1"/>
  <c r="S99" i="10" s="1"/>
  <c r="W101" i="10"/>
  <c r="Z99" i="10"/>
  <c r="W98" i="10"/>
  <c r="W97" i="10"/>
  <c r="Y99" i="10"/>
  <c r="X99" i="10"/>
  <c r="W96" i="10"/>
  <c r="W99" i="10" s="1"/>
  <c r="Z104" i="9"/>
  <c r="Y104" i="9"/>
  <c r="X104" i="9"/>
  <c r="U104" i="9"/>
  <c r="Z101" i="9"/>
  <c r="Y101" i="9"/>
  <c r="X101" i="9"/>
  <c r="U101" i="9"/>
  <c r="W101" i="9" s="1"/>
  <c r="Z100" i="9"/>
  <c r="X100" i="9"/>
  <c r="U100" i="9"/>
  <c r="W100" i="9" s="1"/>
  <c r="S100" i="9"/>
  <c r="Z99" i="9"/>
  <c r="Y99" i="9"/>
  <c r="X99" i="9"/>
  <c r="Z102" i="9"/>
  <c r="Y102" i="9"/>
  <c r="U99" i="9"/>
  <c r="U102" i="9" s="1"/>
  <c r="S99" i="9"/>
  <c r="S101" i="9"/>
  <c r="S104" i="9"/>
  <c r="AD30" i="9"/>
  <c r="AC30" i="9"/>
  <c r="AB30" i="9"/>
  <c r="AA30" i="9"/>
  <c r="AD29" i="9"/>
  <c r="AC29" i="9"/>
  <c r="AB29" i="9"/>
  <c r="AA29" i="9"/>
  <c r="AD28" i="9"/>
  <c r="AC28" i="9"/>
  <c r="AB28" i="9"/>
  <c r="AA28" i="9"/>
  <c r="W30" i="9"/>
  <c r="W29" i="9"/>
  <c r="W28" i="9"/>
  <c r="V30" i="9"/>
  <c r="V29" i="9"/>
  <c r="V28" i="9"/>
  <c r="T29" i="9"/>
  <c r="T28" i="9"/>
  <c r="W104" i="9"/>
  <c r="W102" i="9"/>
  <c r="X102" i="9"/>
  <c r="W99" i="9"/>
  <c r="S102" i="9"/>
  <c r="AU109" i="4"/>
  <c r="AT109" i="4"/>
  <c r="AS109" i="4"/>
  <c r="AP109" i="4"/>
  <c r="AN109" i="4"/>
  <c r="AU105" i="4"/>
  <c r="AT105" i="4"/>
  <c r="AU104" i="4"/>
  <c r="AT104" i="4"/>
  <c r="AS105" i="4"/>
  <c r="AS104" i="4"/>
  <c r="AU106" i="4"/>
  <c r="AT106" i="4"/>
  <c r="AS106" i="4"/>
  <c r="AP106" i="4"/>
  <c r="AN106" i="4"/>
  <c r="AR109" i="4"/>
  <c r="AU107" i="4"/>
  <c r="AS107" i="4"/>
  <c r="AR106" i="4"/>
  <c r="AP105" i="4"/>
  <c r="AR105" i="4" s="1"/>
  <c r="AN105" i="4"/>
  <c r="AT107" i="4"/>
  <c r="AP104" i="4"/>
  <c r="AP107" i="4" s="1"/>
  <c r="AN104" i="4"/>
  <c r="AN107" i="4" s="1"/>
  <c r="AA109" i="4"/>
  <c r="Z109" i="4"/>
  <c r="Y109" i="4"/>
  <c r="V109" i="4"/>
  <c r="T109" i="4"/>
  <c r="AA105" i="4"/>
  <c r="Z105" i="4"/>
  <c r="Y105" i="4"/>
  <c r="V105" i="4"/>
  <c r="T105" i="4"/>
  <c r="AA104" i="4"/>
  <c r="Z104" i="4"/>
  <c r="Y104" i="4"/>
  <c r="V104" i="4"/>
  <c r="T104" i="4"/>
  <c r="AW30" i="4"/>
  <c r="AV30" i="4"/>
  <c r="AU30" i="4"/>
  <c r="AW29" i="4"/>
  <c r="AV29" i="4"/>
  <c r="AU29" i="4"/>
  <c r="AW28" i="4"/>
  <c r="AV28" i="4"/>
  <c r="AU28" i="4"/>
  <c r="AQ30" i="4"/>
  <c r="AP30" i="4"/>
  <c r="AQ29" i="4"/>
  <c r="AP29" i="4"/>
  <c r="AQ28" i="4"/>
  <c r="AP28" i="4"/>
  <c r="AN30" i="4"/>
  <c r="AN29" i="4"/>
  <c r="AN28" i="4"/>
  <c r="AC30" i="4"/>
  <c r="AB30" i="4"/>
  <c r="AA30" i="4"/>
  <c r="Y70" i="4" s="1"/>
  <c r="AC29" i="4"/>
  <c r="AB29" i="4"/>
  <c r="AA29" i="4"/>
  <c r="AC28" i="4"/>
  <c r="AB28" i="4"/>
  <c r="AA28" i="4"/>
  <c r="W30" i="4"/>
  <c r="W29" i="4"/>
  <c r="W28" i="4"/>
  <c r="V30" i="4"/>
  <c r="V29" i="4"/>
  <c r="V28" i="4"/>
  <c r="T29" i="4"/>
  <c r="T28" i="4"/>
  <c r="AA106" i="4"/>
  <c r="Z106" i="4"/>
  <c r="Y106" i="4"/>
  <c r="V106" i="4"/>
  <c r="T106" i="4"/>
  <c r="X109" i="4"/>
  <c r="AA107" i="4"/>
  <c r="X106" i="4"/>
  <c r="X105" i="4"/>
  <c r="Z107" i="4"/>
  <c r="Y107" i="4"/>
  <c r="X104" i="4"/>
  <c r="X107" i="4" s="1"/>
  <c r="V107" i="4"/>
  <c r="T107" i="4"/>
  <c r="AC27" i="16"/>
  <c r="AB27" i="16"/>
  <c r="AA27" i="16"/>
  <c r="AW27" i="16"/>
  <c r="AV27" i="16"/>
  <c r="AU27" i="16"/>
  <c r="BO27" i="16"/>
  <c r="BP27" i="16"/>
  <c r="BQ27" i="16"/>
  <c r="BO111" i="16"/>
  <c r="BN111" i="16"/>
  <c r="BM111" i="16"/>
  <c r="BJ111" i="16"/>
  <c r="BH111" i="16"/>
  <c r="BJ114" i="16"/>
  <c r="BL114" i="16" s="1"/>
  <c r="BH114" i="16"/>
  <c r="BL111" i="16"/>
  <c r="BO110" i="16"/>
  <c r="BN110" i="16"/>
  <c r="BM110" i="16"/>
  <c r="BL110" i="16"/>
  <c r="BJ110" i="16"/>
  <c r="BH110" i="16"/>
  <c r="BJ109" i="16"/>
  <c r="BJ112" i="16" s="1"/>
  <c r="BH109" i="16"/>
  <c r="BH112" i="16" s="1"/>
  <c r="AU111" i="16"/>
  <c r="AT111" i="16"/>
  <c r="AS111" i="16"/>
  <c r="AP111" i="16"/>
  <c r="AN111" i="16"/>
  <c r="AU114" i="16"/>
  <c r="AT114" i="16"/>
  <c r="AP114" i="16"/>
  <c r="AR114" i="16" s="1"/>
  <c r="AN114" i="16"/>
  <c r="AR112" i="16"/>
  <c r="AR111" i="16"/>
  <c r="AU110" i="16"/>
  <c r="AT110" i="16"/>
  <c r="AS110" i="16"/>
  <c r="AP110" i="16"/>
  <c r="AR110" i="16" s="1"/>
  <c r="AN110" i="16"/>
  <c r="AR109" i="16"/>
  <c r="AP109" i="16"/>
  <c r="AP112" i="16" s="1"/>
  <c r="AN109" i="16"/>
  <c r="AN112" i="16" s="1"/>
  <c r="AA111" i="16"/>
  <c r="Z111" i="16"/>
  <c r="Y111" i="16"/>
  <c r="V111" i="16"/>
  <c r="T111" i="16"/>
  <c r="V114" i="16"/>
  <c r="X114" i="16" s="1"/>
  <c r="T114" i="16"/>
  <c r="X112" i="16"/>
  <c r="X111" i="16"/>
  <c r="AA110" i="16"/>
  <c r="Z110" i="16"/>
  <c r="Y110" i="16"/>
  <c r="V110" i="16"/>
  <c r="X110" i="16" s="1"/>
  <c r="T110" i="16"/>
  <c r="X109" i="16"/>
  <c r="V109" i="16"/>
  <c r="V112" i="16" s="1"/>
  <c r="T109" i="16"/>
  <c r="T112" i="16" s="1"/>
  <c r="W34" i="17"/>
  <c r="W33" i="17"/>
  <c r="AQ34" i="17"/>
  <c r="AQ33" i="17"/>
  <c r="AC32" i="17"/>
  <c r="AB32" i="17"/>
  <c r="AA32" i="17"/>
  <c r="U32" i="17"/>
  <c r="V32" i="17" s="1"/>
  <c r="S32" i="17"/>
  <c r="T32" i="17" s="1"/>
  <c r="AC29" i="17"/>
  <c r="AB29" i="17"/>
  <c r="AA29" i="17"/>
  <c r="U29" i="17"/>
  <c r="V29" i="17" s="1"/>
  <c r="S29" i="17"/>
  <c r="T29" i="17" s="1"/>
  <c r="R29" i="17"/>
  <c r="AC28" i="17"/>
  <c r="AB28" i="17"/>
  <c r="AA28" i="17"/>
  <c r="U28" i="17"/>
  <c r="V28" i="17" s="1"/>
  <c r="S28" i="17"/>
  <c r="T28" i="17" s="1"/>
  <c r="AC27" i="17"/>
  <c r="AB27" i="17"/>
  <c r="AA27" i="17"/>
  <c r="U27" i="17"/>
  <c r="V27" i="17" s="1"/>
  <c r="S27" i="17"/>
  <c r="T27" i="17" s="1"/>
  <c r="R27" i="17"/>
  <c r="AW32" i="17"/>
  <c r="AV32" i="17"/>
  <c r="AU32" i="17"/>
  <c r="AO32" i="17"/>
  <c r="AP32" i="17" s="1"/>
  <c r="AM32" i="17"/>
  <c r="AN32" i="17" s="1"/>
  <c r="AV31" i="17"/>
  <c r="AV30" i="17"/>
  <c r="AW29" i="17"/>
  <c r="AV29" i="17"/>
  <c r="AU29" i="17"/>
  <c r="AO29" i="17"/>
  <c r="AP29" i="17" s="1"/>
  <c r="AM29" i="17"/>
  <c r="AN29" i="17" s="1"/>
  <c r="AL29" i="17"/>
  <c r="AW28" i="17"/>
  <c r="AV28" i="17"/>
  <c r="AU28" i="17"/>
  <c r="AO28" i="17"/>
  <c r="AP28" i="17" s="1"/>
  <c r="AM28" i="17"/>
  <c r="AN28" i="17" s="1"/>
  <c r="AW27" i="17"/>
  <c r="AV27" i="17"/>
  <c r="AU27" i="17"/>
  <c r="AO27" i="17"/>
  <c r="AP27" i="17" s="1"/>
  <c r="AM27" i="17"/>
  <c r="AN27" i="17" s="1"/>
  <c r="AL27" i="17"/>
  <c r="BP31" i="17"/>
  <c r="BP30" i="17"/>
  <c r="BK34" i="17"/>
  <c r="BK33" i="17"/>
  <c r="AU73" i="12"/>
  <c r="AT73" i="12"/>
  <c r="AU71" i="12"/>
  <c r="AU77" i="12" s="1"/>
  <c r="AT71" i="12"/>
  <c r="AT77" i="12" s="1"/>
  <c r="AS71" i="12"/>
  <c r="AS77" i="12" s="1"/>
  <c r="AR71" i="12"/>
  <c r="AQ71" i="12"/>
  <c r="AU70" i="12"/>
  <c r="AU75" i="12" s="1"/>
  <c r="AT70" i="12"/>
  <c r="AS70" i="12"/>
  <c r="AR70" i="12"/>
  <c r="AQ70" i="12"/>
  <c r="AU68" i="12"/>
  <c r="AT68" i="12"/>
  <c r="AS68" i="12"/>
  <c r="AR68" i="12"/>
  <c r="AQ68" i="12"/>
  <c r="AU67" i="12"/>
  <c r="AT67" i="12"/>
  <c r="AS67" i="12"/>
  <c r="AR67" i="12"/>
  <c r="AQ67" i="12"/>
  <c r="AU66" i="12"/>
  <c r="AT66" i="12"/>
  <c r="AS66" i="12"/>
  <c r="AQ66" i="12"/>
  <c r="AU65" i="12"/>
  <c r="AT65" i="12"/>
  <c r="AS65" i="12"/>
  <c r="AR65" i="12"/>
  <c r="AQ65" i="12"/>
  <c r="AU64" i="12"/>
  <c r="AT64" i="12"/>
  <c r="AS64" i="12"/>
  <c r="AR64" i="12"/>
  <c r="AQ64" i="12"/>
  <c r="AU63" i="12"/>
  <c r="AT63" i="12"/>
  <c r="AS63" i="12"/>
  <c r="AR63" i="12"/>
  <c r="AQ63" i="12"/>
  <c r="AU62" i="12"/>
  <c r="AT62" i="12"/>
  <c r="AS62" i="12"/>
  <c r="AR62" i="12"/>
  <c r="AQ62" i="12"/>
  <c r="AU60" i="12"/>
  <c r="AT60" i="12"/>
  <c r="AS60" i="12"/>
  <c r="AR60" i="12"/>
  <c r="AQ60" i="12"/>
  <c r="AU59" i="12"/>
  <c r="AT59" i="12"/>
  <c r="AS59" i="12"/>
  <c r="AS73" i="12" s="1"/>
  <c r="AR59" i="12"/>
  <c r="AR73" i="12" s="1"/>
  <c r="AQ59" i="12"/>
  <c r="AU58" i="12"/>
  <c r="AT58" i="12"/>
  <c r="AS58" i="12"/>
  <c r="AU55" i="12"/>
  <c r="AT55" i="12"/>
  <c r="AS55" i="12"/>
  <c r="AR55" i="12"/>
  <c r="AU53" i="12"/>
  <c r="AT53" i="12"/>
  <c r="AS53" i="12"/>
  <c r="AR53" i="12"/>
  <c r="AU51" i="12"/>
  <c r="AT51" i="12"/>
  <c r="AS51" i="12"/>
  <c r="AU49" i="12"/>
  <c r="AR49" i="12"/>
  <c r="AU47" i="12"/>
  <c r="AT47" i="12"/>
  <c r="AS47" i="12"/>
  <c r="AR47" i="12"/>
  <c r="AP71" i="12"/>
  <c r="AN71" i="12"/>
  <c r="AP70" i="12"/>
  <c r="AN70" i="12"/>
  <c r="AP68" i="12"/>
  <c r="AN68" i="12"/>
  <c r="AP67" i="12"/>
  <c r="AN67" i="12"/>
  <c r="AP66" i="12"/>
  <c r="AR66" i="12" s="1"/>
  <c r="AN66" i="12"/>
  <c r="AP65" i="12"/>
  <c r="AN65" i="12"/>
  <c r="AP64" i="12"/>
  <c r="AN64" i="12"/>
  <c r="AP63" i="12"/>
  <c r="AN63" i="12"/>
  <c r="AP62" i="12"/>
  <c r="AN62" i="12"/>
  <c r="AP60" i="12"/>
  <c r="AN60" i="12"/>
  <c r="AN73" i="12" s="1"/>
  <c r="AP59" i="12"/>
  <c r="AP73" i="12" s="1"/>
  <c r="AN59" i="12"/>
  <c r="Z70" i="12"/>
  <c r="Y70" i="12"/>
  <c r="X70" i="12"/>
  <c r="V70" i="12"/>
  <c r="U70" i="12"/>
  <c r="S70" i="12"/>
  <c r="Z71" i="12"/>
  <c r="Y71" i="12"/>
  <c r="X71" i="12"/>
  <c r="V71" i="12"/>
  <c r="U71" i="12"/>
  <c r="S71" i="12"/>
  <c r="AD17" i="12"/>
  <c r="AC17" i="12"/>
  <c r="AB17" i="12"/>
  <c r="AA17" i="12"/>
  <c r="V17" i="12"/>
  <c r="T17" i="12"/>
  <c r="W16" i="12"/>
  <c r="V16" i="12"/>
  <c r="T16" i="12"/>
  <c r="W13" i="12"/>
  <c r="V13" i="12"/>
  <c r="T13" i="12"/>
  <c r="W10" i="12"/>
  <c r="Z68" i="12" s="1"/>
  <c r="V10" i="12"/>
  <c r="T10" i="12"/>
  <c r="Z67" i="12"/>
  <c r="Y67" i="12"/>
  <c r="X67" i="12"/>
  <c r="V67" i="12"/>
  <c r="U67" i="12"/>
  <c r="S67" i="12"/>
  <c r="Z66" i="12"/>
  <c r="Y66" i="12"/>
  <c r="X66" i="12"/>
  <c r="V66" i="12"/>
  <c r="U66" i="12"/>
  <c r="S66" i="12"/>
  <c r="Z65" i="12"/>
  <c r="Y65" i="12"/>
  <c r="Y73" i="12" s="1"/>
  <c r="X65" i="12"/>
  <c r="V65" i="12"/>
  <c r="U65" i="12"/>
  <c r="S65" i="12"/>
  <c r="Z64" i="12"/>
  <c r="Y64" i="12"/>
  <c r="X64" i="12"/>
  <c r="V64" i="12"/>
  <c r="U64" i="12"/>
  <c r="S64" i="12"/>
  <c r="S73" i="12" s="1"/>
  <c r="Z63" i="12"/>
  <c r="Y63" i="12"/>
  <c r="X63" i="12"/>
  <c r="V63" i="12"/>
  <c r="U63" i="12"/>
  <c r="S63" i="12"/>
  <c r="Z62" i="12"/>
  <c r="Y62" i="12"/>
  <c r="X62" i="12"/>
  <c r="X73" i="12" s="1"/>
  <c r="V62" i="12"/>
  <c r="U62" i="12"/>
  <c r="S62" i="12"/>
  <c r="Z60" i="12"/>
  <c r="Y60" i="12"/>
  <c r="X60" i="12"/>
  <c r="V60" i="12"/>
  <c r="U60" i="12"/>
  <c r="S60" i="12"/>
  <c r="Z59" i="12"/>
  <c r="Y59" i="12"/>
  <c r="X59" i="12"/>
  <c r="V59" i="12"/>
  <c r="U59" i="12"/>
  <c r="S59" i="12"/>
  <c r="Z55" i="12"/>
  <c r="Y55" i="12"/>
  <c r="X55" i="12"/>
  <c r="W55" i="12"/>
  <c r="Z53" i="12"/>
  <c r="Y53" i="12"/>
  <c r="X53" i="12"/>
  <c r="W53" i="12"/>
  <c r="Z51" i="12"/>
  <c r="Y51" i="12"/>
  <c r="X51" i="12"/>
  <c r="W51" i="12"/>
  <c r="W49" i="12"/>
  <c r="Z58" i="12"/>
  <c r="Y58" i="12"/>
  <c r="X58" i="12"/>
  <c r="V58" i="12"/>
  <c r="U58" i="12"/>
  <c r="S58" i="12"/>
  <c r="W65" i="12"/>
  <c r="U73" i="12"/>
  <c r="W70" i="12"/>
  <c r="W67" i="12"/>
  <c r="W66" i="12"/>
  <c r="W64" i="12"/>
  <c r="W63" i="12"/>
  <c r="W62" i="12"/>
  <c r="Z73" i="12"/>
  <c r="W60" i="12"/>
  <c r="AD25" i="12"/>
  <c r="AC25" i="12"/>
  <c r="AC29" i="12" s="1"/>
  <c r="AD24" i="12"/>
  <c r="AD29" i="12" s="1"/>
  <c r="AC24" i="12"/>
  <c r="AY25" i="12"/>
  <c r="AX25" i="12"/>
  <c r="AY24" i="12"/>
  <c r="AY29" i="12" s="1"/>
  <c r="AX24" i="12"/>
  <c r="AD39" i="12"/>
  <c r="AC39" i="12"/>
  <c r="AB39" i="12"/>
  <c r="AA37" i="12"/>
  <c r="AA36" i="12"/>
  <c r="AA39" i="12" s="1"/>
  <c r="AA35" i="12"/>
  <c r="AA34" i="12"/>
  <c r="AD33" i="12"/>
  <c r="AC33" i="12"/>
  <c r="AB33" i="12"/>
  <c r="AA31" i="12"/>
  <c r="AA30" i="12"/>
  <c r="AA33" i="12" s="1"/>
  <c r="AA27" i="12"/>
  <c r="AA26" i="12"/>
  <c r="AB25" i="12"/>
  <c r="AA25" i="12"/>
  <c r="AB24" i="12"/>
  <c r="AB29" i="12" s="1"/>
  <c r="AA24" i="12"/>
  <c r="AA29" i="12" s="1"/>
  <c r="AD20" i="12"/>
  <c r="AC20" i="12"/>
  <c r="AB20" i="12"/>
  <c r="AA20" i="12"/>
  <c r="AD19" i="12"/>
  <c r="AC19" i="12"/>
  <c r="AB19" i="12"/>
  <c r="AA19" i="12"/>
  <c r="AD18" i="12"/>
  <c r="AC18" i="12"/>
  <c r="AB18" i="12"/>
  <c r="AA18" i="12"/>
  <c r="AD16" i="12"/>
  <c r="AC16" i="12"/>
  <c r="AB16" i="12"/>
  <c r="AA16" i="12"/>
  <c r="AD12" i="12"/>
  <c r="AD13" i="12" s="1"/>
  <c r="AC12" i="12"/>
  <c r="AC13" i="12" s="1"/>
  <c r="AB12" i="12"/>
  <c r="AA12" i="12"/>
  <c r="AA13" i="12" s="1"/>
  <c r="AD11" i="12"/>
  <c r="AC11" i="12"/>
  <c r="AB11" i="12"/>
  <c r="AB13" i="12" s="1"/>
  <c r="AA11" i="12"/>
  <c r="AB10" i="12"/>
  <c r="AA10" i="12"/>
  <c r="AD7" i="12"/>
  <c r="AC7" i="12"/>
  <c r="AC10" i="12" s="1"/>
  <c r="AB7" i="12"/>
  <c r="AA7" i="12"/>
  <c r="AD5" i="12"/>
  <c r="AD10" i="12" s="1"/>
  <c r="AC5" i="12"/>
  <c r="AB5" i="12"/>
  <c r="AA5" i="12"/>
  <c r="AP47" i="12"/>
  <c r="AP53" i="12"/>
  <c r="AP55" i="12"/>
  <c r="AU39" i="12"/>
  <c r="AU33" i="12"/>
  <c r="AU17" i="12"/>
  <c r="L8" i="12"/>
  <c r="L6" i="12"/>
  <c r="AR39" i="12"/>
  <c r="AY39" i="12"/>
  <c r="AX39" i="12"/>
  <c r="AW39" i="12"/>
  <c r="AV37" i="12"/>
  <c r="AV36" i="12"/>
  <c r="AV35" i="12"/>
  <c r="AV34" i="12"/>
  <c r="AR33" i="12"/>
  <c r="AY33" i="12"/>
  <c r="AX33" i="12"/>
  <c r="AW33" i="12"/>
  <c r="AV31" i="12"/>
  <c r="AV30" i="12"/>
  <c r="AX29" i="12"/>
  <c r="AV27" i="12"/>
  <c r="AW25" i="12"/>
  <c r="AW24" i="12"/>
  <c r="AV26" i="12"/>
  <c r="AV25" i="12"/>
  <c r="AV24" i="12"/>
  <c r="AY20" i="12"/>
  <c r="AX20" i="12"/>
  <c r="AW20" i="12"/>
  <c r="AV20" i="12"/>
  <c r="AY19" i="12"/>
  <c r="AX19" i="12"/>
  <c r="AW19" i="12"/>
  <c r="AV19" i="12"/>
  <c r="AY18" i="12"/>
  <c r="AX18" i="12"/>
  <c r="AW18" i="12"/>
  <c r="AV18" i="12"/>
  <c r="AG8" i="12"/>
  <c r="AG6" i="12"/>
  <c r="AR16" i="12"/>
  <c r="AQ16" i="12"/>
  <c r="AO16" i="12"/>
  <c r="AY16" i="12"/>
  <c r="AX16" i="12"/>
  <c r="AW16" i="12"/>
  <c r="AV16" i="12"/>
  <c r="AY12" i="12"/>
  <c r="AX12" i="12"/>
  <c r="AW12" i="12"/>
  <c r="AV12" i="12"/>
  <c r="AY11" i="12"/>
  <c r="AX11" i="12"/>
  <c r="AW11" i="12"/>
  <c r="AV11" i="12"/>
  <c r="AR10" i="12"/>
  <c r="B669" i="19"/>
  <c r="C669" i="19"/>
  <c r="D669" i="19"/>
  <c r="E669" i="19"/>
  <c r="F669" i="19"/>
  <c r="G669" i="19"/>
  <c r="H669" i="19"/>
  <c r="I669" i="19"/>
  <c r="B673" i="19"/>
  <c r="C673" i="19"/>
  <c r="D673" i="19"/>
  <c r="E673" i="19"/>
  <c r="F673" i="19"/>
  <c r="G673" i="19"/>
  <c r="H673" i="19"/>
  <c r="I673" i="19"/>
  <c r="J673" i="19"/>
  <c r="L549" i="19"/>
  <c r="K549" i="19"/>
  <c r="J549" i="19"/>
  <c r="I549" i="19"/>
  <c r="H549" i="19"/>
  <c r="G549" i="19"/>
  <c r="F549" i="19"/>
  <c r="E549" i="19"/>
  <c r="D549" i="19"/>
  <c r="C549" i="19"/>
  <c r="B549" i="19"/>
  <c r="V79" i="11"/>
  <c r="L8" i="11"/>
  <c r="L6" i="11"/>
  <c r="AA45" i="11"/>
  <c r="AA44" i="11"/>
  <c r="AA43" i="11"/>
  <c r="AA42" i="11"/>
  <c r="V76" i="11" s="1"/>
  <c r="AA39" i="11"/>
  <c r="V80" i="11" s="1"/>
  <c r="AA38" i="11"/>
  <c r="AA37" i="11"/>
  <c r="AA36" i="11"/>
  <c r="AA35" i="11"/>
  <c r="AA41" i="11" s="1"/>
  <c r="AA32" i="11"/>
  <c r="V75" i="11" s="1"/>
  <c r="AA31" i="11"/>
  <c r="AA30" i="11"/>
  <c r="AA29" i="11"/>
  <c r="AA34" i="11" s="1"/>
  <c r="AA25" i="11"/>
  <c r="AA24" i="11"/>
  <c r="AA23" i="11"/>
  <c r="AA22" i="11"/>
  <c r="AA20" i="11"/>
  <c r="AA15" i="11"/>
  <c r="AA14" i="11"/>
  <c r="AA16" i="11" s="1"/>
  <c r="AA12" i="11"/>
  <c r="AA11" i="11"/>
  <c r="AA7" i="11"/>
  <c r="AA5" i="11"/>
  <c r="AA10" i="11" s="1"/>
  <c r="L492" i="19"/>
  <c r="K492" i="19"/>
  <c r="J492" i="19"/>
  <c r="I492" i="19"/>
  <c r="H492" i="19"/>
  <c r="G492" i="19"/>
  <c r="F492" i="19"/>
  <c r="E492" i="19"/>
  <c r="D492" i="19"/>
  <c r="C492" i="19"/>
  <c r="B492" i="19"/>
  <c r="V87" i="10"/>
  <c r="V88" i="10"/>
  <c r="V85" i="10"/>
  <c r="V84" i="10"/>
  <c r="V83" i="10"/>
  <c r="V82" i="10"/>
  <c r="V81" i="10"/>
  <c r="V80" i="10"/>
  <c r="V77" i="10"/>
  <c r="V76" i="10"/>
  <c r="V75" i="10"/>
  <c r="L8" i="10"/>
  <c r="AA7" i="10" s="1"/>
  <c r="L6" i="10"/>
  <c r="AA5" i="10" s="1"/>
  <c r="AA53" i="10"/>
  <c r="AA52" i="10"/>
  <c r="AA51" i="10"/>
  <c r="AA50" i="10"/>
  <c r="AA46" i="10"/>
  <c r="AA45" i="10"/>
  <c r="AA44" i="10"/>
  <c r="AA43" i="10"/>
  <c r="AA42" i="10"/>
  <c r="AA41" i="10"/>
  <c r="AA40" i="10"/>
  <c r="AA39" i="10"/>
  <c r="AA38" i="10"/>
  <c r="AA33" i="10"/>
  <c r="AA32" i="10"/>
  <c r="AA31" i="10"/>
  <c r="AA27" i="10"/>
  <c r="AA26" i="10"/>
  <c r="AA25" i="10"/>
  <c r="AA24" i="10"/>
  <c r="AA22" i="10"/>
  <c r="AA17" i="10"/>
  <c r="AA16" i="10"/>
  <c r="AA18" i="10" s="1"/>
  <c r="AA15" i="10"/>
  <c r="AA14" i="10"/>
  <c r="AA12" i="10"/>
  <c r="AA11" i="10"/>
  <c r="AA13" i="10" s="1"/>
  <c r="V78" i="9"/>
  <c r="AA58" i="9"/>
  <c r="AA56" i="9"/>
  <c r="AA55" i="9"/>
  <c r="AA54" i="9"/>
  <c r="AA53" i="9"/>
  <c r="AA49" i="9"/>
  <c r="V90" i="9" s="1"/>
  <c r="K427" i="19" s="1"/>
  <c r="AA48" i="9"/>
  <c r="AA47" i="9"/>
  <c r="AA46" i="9"/>
  <c r="AA45" i="9"/>
  <c r="AA44" i="9"/>
  <c r="AA43" i="9"/>
  <c r="AA42" i="9"/>
  <c r="V80" i="9" s="1"/>
  <c r="C427" i="19" s="1"/>
  <c r="AA41" i="9"/>
  <c r="AA40" i="9"/>
  <c r="V79" i="9" s="1"/>
  <c r="B427" i="19" s="1"/>
  <c r="AA33" i="9"/>
  <c r="AA34" i="9"/>
  <c r="AA32" i="9"/>
  <c r="AA31" i="9"/>
  <c r="AA39" i="9" s="1"/>
  <c r="AA27" i="9"/>
  <c r="AA25" i="9"/>
  <c r="AA26" i="9"/>
  <c r="AA24" i="9"/>
  <c r="AA13" i="9"/>
  <c r="AA15" i="9"/>
  <c r="AA18" i="9"/>
  <c r="AA22" i="9"/>
  <c r="AA17" i="9"/>
  <c r="AA16" i="9"/>
  <c r="AA14" i="9"/>
  <c r="AA12" i="9"/>
  <c r="AA11" i="9"/>
  <c r="L8" i="9"/>
  <c r="AA7" i="9" s="1"/>
  <c r="L6" i="9"/>
  <c r="AA5" i="9" s="1"/>
  <c r="B620" i="19"/>
  <c r="C620" i="19"/>
  <c r="D620" i="19"/>
  <c r="E620" i="19"/>
  <c r="F620" i="19"/>
  <c r="G620" i="19"/>
  <c r="H620" i="19"/>
  <c r="I620" i="19"/>
  <c r="B624" i="19"/>
  <c r="C624" i="19"/>
  <c r="D624" i="19"/>
  <c r="E624" i="19"/>
  <c r="F624" i="19"/>
  <c r="G624" i="19"/>
  <c r="H624" i="19"/>
  <c r="I624" i="19"/>
  <c r="J624" i="19"/>
  <c r="Z75" i="10"/>
  <c r="Y77" i="10"/>
  <c r="X84" i="10"/>
  <c r="Y84" i="10"/>
  <c r="X85" i="10"/>
  <c r="Y85" i="10"/>
  <c r="Z85" i="10"/>
  <c r="AD39" i="11"/>
  <c r="AC39" i="11"/>
  <c r="AB39" i="11"/>
  <c r="X79" i="11" s="1"/>
  <c r="AD35" i="11"/>
  <c r="AC35" i="11"/>
  <c r="AB35" i="11"/>
  <c r="AD30" i="11"/>
  <c r="AC30" i="11"/>
  <c r="AB30" i="11"/>
  <c r="AD29" i="11"/>
  <c r="AC29" i="11"/>
  <c r="AB29" i="11"/>
  <c r="AD25" i="11"/>
  <c r="AC25" i="11"/>
  <c r="AB25" i="11"/>
  <c r="AD24" i="11"/>
  <c r="AC24" i="11"/>
  <c r="AB24" i="11"/>
  <c r="AD23" i="11"/>
  <c r="AC23" i="11"/>
  <c r="AB23" i="11"/>
  <c r="AD22" i="11"/>
  <c r="AC22" i="11"/>
  <c r="AB22" i="11"/>
  <c r="AD15" i="11"/>
  <c r="AC15" i="11"/>
  <c r="AB15" i="11"/>
  <c r="AD14" i="11"/>
  <c r="AC14" i="11"/>
  <c r="AB14" i="11"/>
  <c r="AD12" i="11"/>
  <c r="AC12" i="11"/>
  <c r="AB12" i="11"/>
  <c r="AD11" i="11"/>
  <c r="AC11" i="11"/>
  <c r="AB11" i="11"/>
  <c r="AB20" i="11"/>
  <c r="AC20" i="11"/>
  <c r="AD20" i="11"/>
  <c r="AD47" i="11"/>
  <c r="AC47" i="11"/>
  <c r="AB47" i="11"/>
  <c r="W41" i="11"/>
  <c r="W20" i="11"/>
  <c r="V20" i="11"/>
  <c r="T20" i="11"/>
  <c r="W10" i="11"/>
  <c r="B565" i="19"/>
  <c r="C565" i="19"/>
  <c r="D565" i="19"/>
  <c r="E565" i="19"/>
  <c r="F565" i="19"/>
  <c r="G565" i="19"/>
  <c r="H565" i="19"/>
  <c r="I565" i="19"/>
  <c r="B569" i="19"/>
  <c r="C569" i="19"/>
  <c r="D569" i="19"/>
  <c r="E569" i="19"/>
  <c r="F569" i="19"/>
  <c r="G569" i="19"/>
  <c r="H569" i="19"/>
  <c r="I569" i="19"/>
  <c r="J569" i="19"/>
  <c r="Z88" i="10"/>
  <c r="Y88" i="10"/>
  <c r="X88" i="10"/>
  <c r="Z87" i="10"/>
  <c r="Y87" i="10"/>
  <c r="T93" i="4"/>
  <c r="AC10" i="4"/>
  <c r="AB10" i="4"/>
  <c r="AA10" i="4"/>
  <c r="AA23" i="4" s="1"/>
  <c r="W10" i="4"/>
  <c r="V10" i="4"/>
  <c r="V93" i="4" s="1"/>
  <c r="V100" i="4" s="1"/>
  <c r="T10" i="4"/>
  <c r="T100" i="4" s="1"/>
  <c r="AC13" i="4"/>
  <c r="AB13" i="4"/>
  <c r="AA13" i="4"/>
  <c r="W13" i="4"/>
  <c r="V13" i="4"/>
  <c r="T13" i="4"/>
  <c r="AC15" i="4"/>
  <c r="AB15" i="4"/>
  <c r="AA15" i="4"/>
  <c r="W15" i="4"/>
  <c r="W23" i="4" s="1"/>
  <c r="V15" i="4"/>
  <c r="T15" i="4"/>
  <c r="AC18" i="4"/>
  <c r="AB18" i="4"/>
  <c r="AA18" i="4"/>
  <c r="W18" i="4"/>
  <c r="V18" i="4"/>
  <c r="T18" i="4"/>
  <c r="AC22" i="4"/>
  <c r="AB22" i="4"/>
  <c r="AA22" i="4"/>
  <c r="W22" i="4"/>
  <c r="V22" i="4"/>
  <c r="T22" i="4"/>
  <c r="AC23" i="4"/>
  <c r="AW23" i="4"/>
  <c r="AV23" i="4"/>
  <c r="AU23" i="4"/>
  <c r="AQ23" i="4"/>
  <c r="AP23" i="4"/>
  <c r="AN23" i="4"/>
  <c r="AB55" i="10"/>
  <c r="W55" i="10"/>
  <c r="W49" i="10"/>
  <c r="AB37" i="10"/>
  <c r="AD53" i="10"/>
  <c r="AD55" i="10" s="1"/>
  <c r="AC53" i="10"/>
  <c r="AC55" i="10" s="1"/>
  <c r="AB53" i="10"/>
  <c r="AD46" i="10"/>
  <c r="Z84" i="10" s="1"/>
  <c r="AC46" i="10"/>
  <c r="AB46" i="10"/>
  <c r="X87" i="10" s="1"/>
  <c r="AD39" i="10"/>
  <c r="AD49" i="10" s="1"/>
  <c r="AC39" i="10"/>
  <c r="AB39" i="10"/>
  <c r="AD38" i="10"/>
  <c r="AC38" i="10"/>
  <c r="AC49" i="10" s="1"/>
  <c r="AB38" i="10"/>
  <c r="AB49" i="10" s="1"/>
  <c r="AD33" i="10"/>
  <c r="AC33" i="10"/>
  <c r="AB33" i="10"/>
  <c r="AD32" i="10"/>
  <c r="AC32" i="10"/>
  <c r="Y75" i="10" s="1"/>
  <c r="AB32" i="10"/>
  <c r="AD31" i="10"/>
  <c r="AD37" i="10" s="1"/>
  <c r="AC31" i="10"/>
  <c r="AB31" i="10"/>
  <c r="X75" i="10" s="1"/>
  <c r="AD27" i="10"/>
  <c r="AC27" i="10"/>
  <c r="AB27" i="10"/>
  <c r="AD26" i="10"/>
  <c r="AC26" i="10"/>
  <c r="AB26" i="10"/>
  <c r="X66" i="10" s="1"/>
  <c r="AD25" i="10"/>
  <c r="AC25" i="10"/>
  <c r="AB25" i="10"/>
  <c r="AD24" i="10"/>
  <c r="Z66" i="10" s="1"/>
  <c r="AC24" i="10"/>
  <c r="Y66" i="10" s="1"/>
  <c r="AB24" i="10"/>
  <c r="AD17" i="10"/>
  <c r="AC17" i="10"/>
  <c r="AB17" i="10"/>
  <c r="AB18" i="10" s="1"/>
  <c r="AD16" i="10"/>
  <c r="AD18" i="10" s="1"/>
  <c r="AC16" i="10"/>
  <c r="AB16" i="10"/>
  <c r="AD14" i="10"/>
  <c r="AC14" i="10"/>
  <c r="AC15" i="10" s="1"/>
  <c r="AB14" i="10"/>
  <c r="AD12" i="10"/>
  <c r="AC12" i="10"/>
  <c r="AB12" i="10"/>
  <c r="AD11" i="10"/>
  <c r="AD13" i="10" s="1"/>
  <c r="AC11" i="10"/>
  <c r="AC13" i="10" s="1"/>
  <c r="AB11" i="10"/>
  <c r="AB13" i="10" s="1"/>
  <c r="AB7" i="10"/>
  <c r="AB15" i="10"/>
  <c r="AD15" i="10"/>
  <c r="AB22" i="10"/>
  <c r="AC22" i="10"/>
  <c r="AD22" i="10"/>
  <c r="R38" i="10"/>
  <c r="S38" i="10"/>
  <c r="T38" i="10" s="1"/>
  <c r="U38" i="10"/>
  <c r="V38" i="10"/>
  <c r="U77" i="10" s="1"/>
  <c r="W77" i="10" s="1"/>
  <c r="W22" i="10"/>
  <c r="V22" i="10"/>
  <c r="T22" i="10"/>
  <c r="W15" i="10"/>
  <c r="W10" i="10"/>
  <c r="AN102" i="4"/>
  <c r="Z90" i="9"/>
  <c r="AD22" i="9"/>
  <c r="AC22" i="9"/>
  <c r="AB22" i="9"/>
  <c r="AB23" i="9" s="1"/>
  <c r="W22" i="9"/>
  <c r="V22" i="9"/>
  <c r="V23" i="9" s="1"/>
  <c r="T22" i="9"/>
  <c r="T23" i="9" s="1"/>
  <c r="AD15" i="9"/>
  <c r="AC15" i="9"/>
  <c r="AB15" i="9"/>
  <c r="W15" i="9"/>
  <c r="V15" i="9"/>
  <c r="T15" i="9"/>
  <c r="W10" i="9"/>
  <c r="U80" i="9"/>
  <c r="W80" i="9" s="1"/>
  <c r="S80" i="9"/>
  <c r="Y79" i="9"/>
  <c r="X79" i="9"/>
  <c r="AA96" i="4"/>
  <c r="Z96" i="4"/>
  <c r="Y96" i="4"/>
  <c r="V96" i="4"/>
  <c r="X96" i="4" s="1"/>
  <c r="T96" i="4"/>
  <c r="AA95" i="4"/>
  <c r="Z95" i="4"/>
  <c r="Y95" i="4"/>
  <c r="V95" i="4"/>
  <c r="X95" i="4" s="1"/>
  <c r="T95" i="4"/>
  <c r="AA93" i="4"/>
  <c r="AA102" i="4" s="1"/>
  <c r="Z93" i="4"/>
  <c r="Z102" i="4" s="1"/>
  <c r="AA92" i="4"/>
  <c r="Z92" i="4"/>
  <c r="Y92" i="4"/>
  <c r="X92" i="4"/>
  <c r="V92" i="4"/>
  <c r="T92" i="4"/>
  <c r="AA91" i="4"/>
  <c r="Z91" i="4"/>
  <c r="Y91" i="4"/>
  <c r="V91" i="4"/>
  <c r="X91" i="4" s="1"/>
  <c r="T91" i="4"/>
  <c r="AA89" i="4"/>
  <c r="Z89" i="4"/>
  <c r="Y89" i="4"/>
  <c r="V89" i="4"/>
  <c r="X89" i="4" s="1"/>
  <c r="T89" i="4"/>
  <c r="AA88" i="4"/>
  <c r="Z88" i="4"/>
  <c r="Y88" i="4"/>
  <c r="V88" i="4"/>
  <c r="X88" i="4" s="1"/>
  <c r="T88" i="4"/>
  <c r="AA87" i="4"/>
  <c r="Z87" i="4"/>
  <c r="Y87" i="4"/>
  <c r="V87" i="4"/>
  <c r="X87" i="4" s="1"/>
  <c r="T87" i="4"/>
  <c r="AA85" i="4"/>
  <c r="Z85" i="4"/>
  <c r="Y85" i="4"/>
  <c r="X85" i="4"/>
  <c r="V85" i="4"/>
  <c r="T85" i="4"/>
  <c r="AA84" i="4"/>
  <c r="AA98" i="4" s="1"/>
  <c r="Z84" i="4"/>
  <c r="Z98" i="4" s="1"/>
  <c r="Y84" i="4"/>
  <c r="Y98" i="4" s="1"/>
  <c r="X84" i="4"/>
  <c r="V84" i="4"/>
  <c r="V98" i="4" s="1"/>
  <c r="T84" i="4"/>
  <c r="T98" i="4" s="1"/>
  <c r="V83" i="4"/>
  <c r="T83" i="4"/>
  <c r="AU93" i="4"/>
  <c r="AT93" i="4"/>
  <c r="AS93" i="4"/>
  <c r="AU96" i="4"/>
  <c r="AN95" i="4"/>
  <c r="AU89" i="4"/>
  <c r="AT89" i="4"/>
  <c r="AS89" i="4"/>
  <c r="AP89" i="4"/>
  <c r="AR89" i="4" s="1"/>
  <c r="AN89" i="4"/>
  <c r="AU88" i="4"/>
  <c r="AT88" i="4"/>
  <c r="AS88" i="4"/>
  <c r="AR88" i="4"/>
  <c r="AP88" i="4"/>
  <c r="AN88" i="4"/>
  <c r="AU87" i="4"/>
  <c r="AT87" i="4"/>
  <c r="AS87" i="4"/>
  <c r="AR87" i="4"/>
  <c r="AP87" i="4"/>
  <c r="AN87" i="4"/>
  <c r="AU85" i="4"/>
  <c r="AT85" i="4"/>
  <c r="AS85" i="4"/>
  <c r="AR85" i="4"/>
  <c r="AP85" i="4"/>
  <c r="AN85" i="4"/>
  <c r="AU84" i="4"/>
  <c r="AU98" i="4" s="1"/>
  <c r="AT84" i="4"/>
  <c r="AT98" i="4" s="1"/>
  <c r="AS84" i="4"/>
  <c r="AS98" i="4" s="1"/>
  <c r="AR84" i="4"/>
  <c r="AR98" i="4" s="1"/>
  <c r="AP84" i="4"/>
  <c r="AP98" i="4" s="1"/>
  <c r="AN84" i="4"/>
  <c r="AN98" i="4" s="1"/>
  <c r="AP83" i="4"/>
  <c r="AN83" i="4"/>
  <c r="U52" i="4"/>
  <c r="V52" i="4" s="1"/>
  <c r="T52" i="4"/>
  <c r="S52" i="4"/>
  <c r="R52" i="4"/>
  <c r="U51" i="4"/>
  <c r="V51" i="4" s="1"/>
  <c r="S51" i="4"/>
  <c r="T51" i="4" s="1"/>
  <c r="R51" i="4"/>
  <c r="U50" i="4"/>
  <c r="V50" i="4" s="1"/>
  <c r="T50" i="4"/>
  <c r="S50" i="4"/>
  <c r="R50" i="4"/>
  <c r="U49" i="4"/>
  <c r="V49" i="4" s="1"/>
  <c r="S49" i="4"/>
  <c r="T49" i="4" s="1"/>
  <c r="R49" i="4"/>
  <c r="U48" i="4"/>
  <c r="V48" i="4" s="1"/>
  <c r="T48" i="4"/>
  <c r="S48" i="4"/>
  <c r="R48" i="4"/>
  <c r="U47" i="4"/>
  <c r="V47" i="4" s="1"/>
  <c r="S47" i="4"/>
  <c r="T47" i="4" s="1"/>
  <c r="R47" i="4"/>
  <c r="U46" i="4"/>
  <c r="V46" i="4" s="1"/>
  <c r="T46" i="4"/>
  <c r="S46" i="4"/>
  <c r="R46" i="4"/>
  <c r="U45" i="4"/>
  <c r="V45" i="4" s="1"/>
  <c r="S45" i="4"/>
  <c r="T45" i="4" s="1"/>
  <c r="R45" i="4"/>
  <c r="U44" i="4"/>
  <c r="V44" i="4" s="1"/>
  <c r="T44" i="4"/>
  <c r="S44" i="4"/>
  <c r="R44" i="4"/>
  <c r="AO52" i="4"/>
  <c r="AP52" i="4" s="1"/>
  <c r="AM52" i="4"/>
  <c r="AN52" i="4" s="1"/>
  <c r="AL52" i="4"/>
  <c r="AO51" i="4"/>
  <c r="AP51" i="4" s="1"/>
  <c r="AM51" i="4"/>
  <c r="AN51" i="4" s="1"/>
  <c r="AL51" i="4"/>
  <c r="AO50" i="4"/>
  <c r="AP50" i="4" s="1"/>
  <c r="AM50" i="4"/>
  <c r="AN50" i="4" s="1"/>
  <c r="AL50" i="4"/>
  <c r="AO49" i="4"/>
  <c r="AP49" i="4" s="1"/>
  <c r="AM49" i="4"/>
  <c r="AN49" i="4" s="1"/>
  <c r="AL49" i="4"/>
  <c r="AO48" i="4"/>
  <c r="AP48" i="4" s="1"/>
  <c r="AM48" i="4"/>
  <c r="AN48" i="4" s="1"/>
  <c r="AL48" i="4"/>
  <c r="AO47" i="4"/>
  <c r="AP47" i="4" s="1"/>
  <c r="AM47" i="4"/>
  <c r="AN47" i="4" s="1"/>
  <c r="AL47" i="4"/>
  <c r="AO46" i="4"/>
  <c r="AP46" i="4" s="1"/>
  <c r="AM46" i="4"/>
  <c r="AN46" i="4" s="1"/>
  <c r="AL46" i="4"/>
  <c r="AO45" i="4"/>
  <c r="AP45" i="4" s="1"/>
  <c r="AM45" i="4"/>
  <c r="AN45" i="4" s="1"/>
  <c r="AL45" i="4"/>
  <c r="AO44" i="4"/>
  <c r="AP44" i="4" s="1"/>
  <c r="AM44" i="4"/>
  <c r="AN44" i="4" s="1"/>
  <c r="AL44" i="4"/>
  <c r="AW22" i="4"/>
  <c r="AV22" i="4"/>
  <c r="AU22" i="4"/>
  <c r="AQ22" i="4"/>
  <c r="AP22" i="4"/>
  <c r="AN22" i="4"/>
  <c r="AW18" i="4"/>
  <c r="AV18" i="4"/>
  <c r="AU18" i="4"/>
  <c r="AQ18" i="4"/>
  <c r="AP18" i="4"/>
  <c r="AN18" i="4"/>
  <c r="AW15" i="4"/>
  <c r="AV15" i="4"/>
  <c r="AU15" i="4"/>
  <c r="AQ15" i="4"/>
  <c r="AP15" i="4"/>
  <c r="AN15" i="4"/>
  <c r="AW13" i="4"/>
  <c r="AV13" i="4"/>
  <c r="AU13" i="4"/>
  <c r="AQ13" i="4"/>
  <c r="AP13" i="4"/>
  <c r="AN13" i="4"/>
  <c r="AP10" i="4"/>
  <c r="AN10" i="4"/>
  <c r="AQ10" i="4"/>
  <c r="AW10" i="4"/>
  <c r="AV10" i="4"/>
  <c r="AU10" i="4"/>
  <c r="BF61" i="16"/>
  <c r="BF62" i="16"/>
  <c r="B180" i="19"/>
  <c r="B178" i="19"/>
  <c r="B174" i="19"/>
  <c r="J168" i="19"/>
  <c r="I168" i="19"/>
  <c r="H168" i="19"/>
  <c r="G168" i="19"/>
  <c r="F168" i="19"/>
  <c r="E168" i="19"/>
  <c r="D168" i="19"/>
  <c r="C168" i="19"/>
  <c r="B168" i="19"/>
  <c r="I164" i="19"/>
  <c r="H164" i="19"/>
  <c r="G164" i="19"/>
  <c r="F164" i="19"/>
  <c r="E164" i="19"/>
  <c r="D164" i="19"/>
  <c r="C164" i="19"/>
  <c r="B164" i="19"/>
  <c r="K149" i="19"/>
  <c r="J149" i="19"/>
  <c r="I149" i="19"/>
  <c r="H149" i="19"/>
  <c r="G149" i="19"/>
  <c r="F149" i="19"/>
  <c r="E149" i="19"/>
  <c r="D149" i="19"/>
  <c r="C149" i="19"/>
  <c r="B149" i="19"/>
  <c r="I118" i="19"/>
  <c r="H118" i="19"/>
  <c r="G118" i="19"/>
  <c r="F118" i="19"/>
  <c r="E118" i="19"/>
  <c r="D118" i="19"/>
  <c r="C118" i="19"/>
  <c r="B118" i="19"/>
  <c r="BO101" i="16"/>
  <c r="BN101" i="16"/>
  <c r="BM101" i="16"/>
  <c r="BJ101" i="16"/>
  <c r="BL101" i="16" s="1"/>
  <c r="BH101" i="16"/>
  <c r="BO100" i="16"/>
  <c r="BN100" i="16"/>
  <c r="BM100" i="16"/>
  <c r="BL100" i="16"/>
  <c r="BJ100" i="16"/>
  <c r="BH100" i="16"/>
  <c r="AU101" i="16"/>
  <c r="AT101" i="16"/>
  <c r="AS101" i="16"/>
  <c r="AP101" i="16"/>
  <c r="AR101" i="16" s="1"/>
  <c r="AN101" i="16"/>
  <c r="AU100" i="16"/>
  <c r="AT100" i="16"/>
  <c r="AS100" i="16"/>
  <c r="AR100" i="16"/>
  <c r="AP100" i="16"/>
  <c r="AN100" i="16"/>
  <c r="AA100" i="16"/>
  <c r="Z100" i="16"/>
  <c r="Y100" i="16"/>
  <c r="X100" i="16"/>
  <c r="V100" i="16"/>
  <c r="T100" i="16"/>
  <c r="U27" i="16"/>
  <c r="V27" i="16" s="1"/>
  <c r="S27" i="16"/>
  <c r="T27" i="16" s="1"/>
  <c r="AO27" i="16"/>
  <c r="AP27" i="16" s="1"/>
  <c r="AM27" i="16"/>
  <c r="AN27" i="16" s="1"/>
  <c r="AQ29" i="16"/>
  <c r="BF24" i="16"/>
  <c r="BF26" i="16"/>
  <c r="BF27" i="16"/>
  <c r="U57" i="16"/>
  <c r="V57" i="16" s="1"/>
  <c r="S57" i="16"/>
  <c r="T57" i="16" s="1"/>
  <c r="R57" i="16"/>
  <c r="U56" i="16"/>
  <c r="V56" i="16" s="1"/>
  <c r="S56" i="16"/>
  <c r="T56" i="16" s="1"/>
  <c r="R56" i="16"/>
  <c r="U55" i="16"/>
  <c r="V55" i="16" s="1"/>
  <c r="S55" i="16"/>
  <c r="T55" i="16" s="1"/>
  <c r="R55" i="16"/>
  <c r="U54" i="16"/>
  <c r="V54" i="16" s="1"/>
  <c r="T54" i="16"/>
  <c r="S54" i="16"/>
  <c r="R54" i="16"/>
  <c r="U53" i="16"/>
  <c r="V53" i="16" s="1"/>
  <c r="S53" i="16"/>
  <c r="T53" i="16" s="1"/>
  <c r="R53" i="16"/>
  <c r="U52" i="16"/>
  <c r="V52" i="16" s="1"/>
  <c r="S52" i="16"/>
  <c r="T52" i="16" s="1"/>
  <c r="R52" i="16"/>
  <c r="U51" i="16"/>
  <c r="V51" i="16" s="1"/>
  <c r="S51" i="16"/>
  <c r="T51" i="16" s="1"/>
  <c r="R51" i="16"/>
  <c r="U50" i="16"/>
  <c r="V50" i="16" s="1"/>
  <c r="S50" i="16"/>
  <c r="T50" i="16" s="1"/>
  <c r="R50" i="16"/>
  <c r="U49" i="16"/>
  <c r="V49" i="16" s="1"/>
  <c r="S49" i="16"/>
  <c r="T49" i="16" s="1"/>
  <c r="R49" i="16"/>
  <c r="AL49" i="16"/>
  <c r="AM49" i="16"/>
  <c r="AN49" i="16" s="1"/>
  <c r="AO49" i="16"/>
  <c r="AP49" i="16" s="1"/>
  <c r="AL50" i="16"/>
  <c r="AM50" i="16"/>
  <c r="AN50" i="16" s="1"/>
  <c r="AO50" i="16"/>
  <c r="AP50" i="16" s="1"/>
  <c r="AL51" i="16"/>
  <c r="AM51" i="16"/>
  <c r="AN51" i="16" s="1"/>
  <c r="AO51" i="16"/>
  <c r="AP51" i="16" s="1"/>
  <c r="AL52" i="16"/>
  <c r="AM52" i="16"/>
  <c r="AN52" i="16" s="1"/>
  <c r="AO52" i="16"/>
  <c r="AP52" i="16"/>
  <c r="AL53" i="16"/>
  <c r="AM53" i="16"/>
  <c r="AN53" i="16" s="1"/>
  <c r="AO53" i="16"/>
  <c r="AP53" i="16" s="1"/>
  <c r="AL54" i="16"/>
  <c r="AM54" i="16"/>
  <c r="AN54" i="16" s="1"/>
  <c r="AO54" i="16"/>
  <c r="AP54" i="16"/>
  <c r="AL55" i="16"/>
  <c r="AM55" i="16"/>
  <c r="AN55" i="16"/>
  <c r="AO55" i="16"/>
  <c r="AP55" i="16"/>
  <c r="AL56" i="16"/>
  <c r="AM56" i="16"/>
  <c r="AN56" i="16" s="1"/>
  <c r="AO56" i="16"/>
  <c r="AP56" i="16"/>
  <c r="AL57" i="16"/>
  <c r="AM57" i="16"/>
  <c r="AN57" i="16" s="1"/>
  <c r="AO57" i="16"/>
  <c r="AP57" i="16"/>
  <c r="AW58" i="16"/>
  <c r="AW60" i="16" s="1"/>
  <c r="AU94" i="16" s="1"/>
  <c r="AV58" i="16"/>
  <c r="AU58" i="16"/>
  <c r="AQ58" i="16"/>
  <c r="AO58" i="16"/>
  <c r="AP58" i="16" s="1"/>
  <c r="AM58" i="16"/>
  <c r="AN58" i="16" s="1"/>
  <c r="BQ58" i="16"/>
  <c r="BP58" i="16"/>
  <c r="BP60" i="16" s="1"/>
  <c r="BO58" i="16"/>
  <c r="BO60" i="16" s="1"/>
  <c r="BK58" i="16"/>
  <c r="BI58" i="16"/>
  <c r="BJ58" i="16" s="1"/>
  <c r="BG58" i="16"/>
  <c r="BH58" i="16" s="1"/>
  <c r="BI57" i="16"/>
  <c r="BJ57" i="16" s="1"/>
  <c r="BG57" i="16"/>
  <c r="BH57" i="16" s="1"/>
  <c r="BF57" i="16"/>
  <c r="BI56" i="16"/>
  <c r="BJ56" i="16" s="1"/>
  <c r="BG56" i="16"/>
  <c r="BH56" i="16" s="1"/>
  <c r="BF56" i="16"/>
  <c r="BI55" i="16"/>
  <c r="BJ55" i="16" s="1"/>
  <c r="BG55" i="16"/>
  <c r="BH55" i="16" s="1"/>
  <c r="BF55" i="16"/>
  <c r="BI54" i="16"/>
  <c r="BJ54" i="16" s="1"/>
  <c r="BG54" i="16"/>
  <c r="BH54" i="16" s="1"/>
  <c r="BF54" i="16"/>
  <c r="BI53" i="16"/>
  <c r="BJ53" i="16" s="1"/>
  <c r="BG53" i="16"/>
  <c r="BH53" i="16" s="1"/>
  <c r="BF53" i="16"/>
  <c r="BI52" i="16"/>
  <c r="BJ52" i="16" s="1"/>
  <c r="BG52" i="16"/>
  <c r="BH52" i="16" s="1"/>
  <c r="BF52" i="16"/>
  <c r="BI51" i="16"/>
  <c r="BJ51" i="16" s="1"/>
  <c r="BG51" i="16"/>
  <c r="BH51" i="16" s="1"/>
  <c r="BF51" i="16"/>
  <c r="BI50" i="16"/>
  <c r="BJ50" i="16" s="1"/>
  <c r="BG50" i="16"/>
  <c r="BH50" i="16" s="1"/>
  <c r="BF50" i="16"/>
  <c r="BI49" i="16"/>
  <c r="BJ49" i="16" s="1"/>
  <c r="BG49" i="16"/>
  <c r="BH49" i="16" s="1"/>
  <c r="BF49" i="16"/>
  <c r="BK48" i="16"/>
  <c r="W30" i="16"/>
  <c r="W29" i="16"/>
  <c r="AQ30" i="16"/>
  <c r="BK30" i="16"/>
  <c r="BK29" i="16"/>
  <c r="AC22" i="16"/>
  <c r="AB22" i="16"/>
  <c r="AA22" i="16"/>
  <c r="W22" i="16"/>
  <c r="V22" i="16"/>
  <c r="T22" i="16"/>
  <c r="AW22" i="16"/>
  <c r="AV22" i="16"/>
  <c r="AU22" i="16"/>
  <c r="AQ22" i="16"/>
  <c r="AP22" i="16"/>
  <c r="AN22" i="16"/>
  <c r="W15" i="16"/>
  <c r="V15" i="16"/>
  <c r="T15" i="16"/>
  <c r="AQ15" i="16"/>
  <c r="W10" i="16"/>
  <c r="AA101" i="16" s="1"/>
  <c r="AQ10" i="16"/>
  <c r="BQ22" i="16"/>
  <c r="BP22" i="16"/>
  <c r="BO22" i="16"/>
  <c r="BK22" i="16"/>
  <c r="BJ22" i="16"/>
  <c r="BH22" i="16"/>
  <c r="BP15" i="16"/>
  <c r="BK15" i="16"/>
  <c r="BK10" i="16"/>
  <c r="AB38" i="16"/>
  <c r="AV38" i="16"/>
  <c r="BP38" i="16"/>
  <c r="BK41" i="16"/>
  <c r="B132" i="19"/>
  <c r="B130" i="19"/>
  <c r="B126" i="19"/>
  <c r="I120" i="19"/>
  <c r="H120" i="19"/>
  <c r="G120" i="19"/>
  <c r="F120" i="19"/>
  <c r="E120" i="19"/>
  <c r="D120" i="19"/>
  <c r="C120" i="19"/>
  <c r="B120" i="19"/>
  <c r="B84" i="19"/>
  <c r="B82" i="19"/>
  <c r="B78" i="19"/>
  <c r="I72" i="19"/>
  <c r="H72" i="19"/>
  <c r="G72" i="19"/>
  <c r="F72" i="19"/>
  <c r="E72" i="19"/>
  <c r="D72" i="19"/>
  <c r="C72" i="19"/>
  <c r="B72" i="19"/>
  <c r="I104" i="19"/>
  <c r="H105" i="19"/>
  <c r="G105" i="19"/>
  <c r="H104" i="19"/>
  <c r="I105" i="19"/>
  <c r="G104" i="19"/>
  <c r="B38" i="19"/>
  <c r="B36" i="19"/>
  <c r="B32" i="19"/>
  <c r="I70" i="19"/>
  <c r="H70" i="19"/>
  <c r="G70" i="19"/>
  <c r="F70" i="19"/>
  <c r="E70" i="19"/>
  <c r="D70" i="19"/>
  <c r="C70" i="19"/>
  <c r="B70" i="19"/>
  <c r="I26" i="19"/>
  <c r="H26" i="19"/>
  <c r="G26" i="19"/>
  <c r="F26" i="19"/>
  <c r="E26" i="19"/>
  <c r="D26" i="19"/>
  <c r="C26" i="19"/>
  <c r="B26" i="19"/>
  <c r="AC25" i="17"/>
  <c r="AB25" i="17"/>
  <c r="AA25" i="17"/>
  <c r="W25" i="17"/>
  <c r="V25" i="17"/>
  <c r="T25" i="17"/>
  <c r="AW25" i="17"/>
  <c r="AV25" i="17"/>
  <c r="AU25" i="17"/>
  <c r="AQ25" i="17"/>
  <c r="AP25" i="17"/>
  <c r="AN25" i="17"/>
  <c r="W18" i="17"/>
  <c r="AQ18" i="17"/>
  <c r="AQ14" i="17"/>
  <c r="W14" i="17"/>
  <c r="W10" i="17"/>
  <c r="AQ10" i="17"/>
  <c r="BQ25" i="17"/>
  <c r="BP25" i="17"/>
  <c r="BO25" i="17"/>
  <c r="BK25" i="17"/>
  <c r="BJ25" i="17"/>
  <c r="BH25" i="17"/>
  <c r="BK18" i="17"/>
  <c r="BK14" i="17"/>
  <c r="BK10" i="17"/>
  <c r="BP45" i="17"/>
  <c r="BK48" i="17"/>
  <c r="AQ48" i="17"/>
  <c r="AC33" i="9"/>
  <c r="AD56" i="9"/>
  <c r="AC56" i="9"/>
  <c r="AB56" i="9"/>
  <c r="AC58" i="9"/>
  <c r="AD49" i="9"/>
  <c r="Z87" i="9" s="1"/>
  <c r="AC49" i="9"/>
  <c r="Y90" i="9" s="1"/>
  <c r="AB49" i="9"/>
  <c r="X90" i="9" s="1"/>
  <c r="AD42" i="9"/>
  <c r="AC42" i="9"/>
  <c r="AB42" i="9"/>
  <c r="AD41" i="9"/>
  <c r="Z80" i="9" s="1"/>
  <c r="AC41" i="9"/>
  <c r="Y80" i="9" s="1"/>
  <c r="AB41" i="9"/>
  <c r="X80" i="9" s="1"/>
  <c r="AD40" i="9"/>
  <c r="Z79" i="9" s="1"/>
  <c r="AC40" i="9"/>
  <c r="AB40" i="9"/>
  <c r="AD34" i="9"/>
  <c r="AC34" i="9"/>
  <c r="AB34" i="9"/>
  <c r="AD33" i="9"/>
  <c r="AB33" i="9"/>
  <c r="AD32" i="9"/>
  <c r="AC32" i="9"/>
  <c r="AB32" i="9"/>
  <c r="X78" i="9" s="1"/>
  <c r="AD31" i="9"/>
  <c r="Z78" i="9" s="1"/>
  <c r="AC31" i="9"/>
  <c r="Y78" i="9" s="1"/>
  <c r="AB31" i="9"/>
  <c r="AD27" i="9"/>
  <c r="AC27" i="9"/>
  <c r="AB27" i="9"/>
  <c r="AD26" i="9"/>
  <c r="AC26" i="9"/>
  <c r="AB26" i="9"/>
  <c r="AD25" i="9"/>
  <c r="AC25" i="9"/>
  <c r="AB25" i="9"/>
  <c r="AD24" i="9"/>
  <c r="AC24" i="9"/>
  <c r="AB24" i="9"/>
  <c r="AD17" i="9"/>
  <c r="AC17" i="9"/>
  <c r="AB17" i="9"/>
  <c r="AD16" i="9"/>
  <c r="AD18" i="9" s="1"/>
  <c r="AC16" i="9"/>
  <c r="AC18" i="9" s="1"/>
  <c r="AB16" i="9"/>
  <c r="AB18" i="9" s="1"/>
  <c r="AD14" i="9"/>
  <c r="AC14" i="9"/>
  <c r="AB14" i="9"/>
  <c r="AD12" i="9"/>
  <c r="AC12" i="9"/>
  <c r="AB12" i="9"/>
  <c r="AD11" i="9"/>
  <c r="AD13" i="9" s="1"/>
  <c r="AC11" i="9"/>
  <c r="AC13" i="9" s="1"/>
  <c r="AB11" i="9"/>
  <c r="AB13" i="9" s="1"/>
  <c r="AA70" i="4"/>
  <c r="Z70" i="4"/>
  <c r="AA74" i="4"/>
  <c r="Z74" i="4"/>
  <c r="AA76" i="4"/>
  <c r="Z76" i="4"/>
  <c r="Y76" i="4"/>
  <c r="Y74" i="4"/>
  <c r="X76" i="4"/>
  <c r="X74" i="4"/>
  <c r="X72" i="4"/>
  <c r="X83" i="4" s="1"/>
  <c r="X70" i="4"/>
  <c r="AB60" i="4"/>
  <c r="AC58" i="4"/>
  <c r="AB58" i="4"/>
  <c r="AA58" i="4"/>
  <c r="AC57" i="4"/>
  <c r="AB57" i="4"/>
  <c r="AA57" i="4"/>
  <c r="AC56" i="4"/>
  <c r="AC60" i="4" s="1"/>
  <c r="AB56" i="4"/>
  <c r="AA56" i="4"/>
  <c r="AA60" i="4" s="1"/>
  <c r="AC53" i="4"/>
  <c r="AB53" i="4"/>
  <c r="AA53" i="4"/>
  <c r="AC55" i="4"/>
  <c r="AB55" i="4"/>
  <c r="Z78" i="4" s="1"/>
  <c r="AA55" i="4"/>
  <c r="Y78" i="4" s="1"/>
  <c r="AC43" i="4"/>
  <c r="AA43" i="4"/>
  <c r="AC41" i="4"/>
  <c r="AB41" i="4"/>
  <c r="AB43" i="4" s="1"/>
  <c r="AA41" i="4"/>
  <c r="AC40" i="4"/>
  <c r="AB40" i="4"/>
  <c r="AA40" i="4"/>
  <c r="AB39" i="4"/>
  <c r="AC37" i="4"/>
  <c r="AC39" i="4" s="1"/>
  <c r="AB37" i="4"/>
  <c r="AA37" i="4"/>
  <c r="AA39" i="4" s="1"/>
  <c r="AC36" i="4"/>
  <c r="AB36" i="4"/>
  <c r="AA36" i="4"/>
  <c r="AA35" i="4"/>
  <c r="AC32" i="4"/>
  <c r="AB32" i="4"/>
  <c r="AB35" i="4" s="1"/>
  <c r="AA32" i="4"/>
  <c r="AC31" i="4"/>
  <c r="AC35" i="4" s="1"/>
  <c r="AB31" i="4"/>
  <c r="AA31" i="4"/>
  <c r="AC27" i="4"/>
  <c r="AB27" i="4"/>
  <c r="AA27" i="4"/>
  <c r="AC26" i="4"/>
  <c r="AB26" i="4"/>
  <c r="AA26" i="4"/>
  <c r="AC25" i="4"/>
  <c r="AB25" i="4"/>
  <c r="AA25" i="4"/>
  <c r="AC24" i="4"/>
  <c r="AB24" i="4"/>
  <c r="AA24" i="4"/>
  <c r="AC17" i="4"/>
  <c r="AB17" i="4"/>
  <c r="AA17" i="4"/>
  <c r="AC16" i="4"/>
  <c r="AB16" i="4"/>
  <c r="AA16" i="4"/>
  <c r="AC14" i="4"/>
  <c r="AB14" i="4"/>
  <c r="AA14" i="4"/>
  <c r="AC12" i="4"/>
  <c r="AB12" i="4"/>
  <c r="AA12" i="4"/>
  <c r="AC11" i="4"/>
  <c r="AB11" i="4"/>
  <c r="AA11" i="4"/>
  <c r="AC7" i="4"/>
  <c r="AB7" i="4"/>
  <c r="AA7" i="4"/>
  <c r="AC5" i="4"/>
  <c r="AB5" i="4"/>
  <c r="AA5" i="4"/>
  <c r="AU70" i="4"/>
  <c r="AT70" i="4"/>
  <c r="AU72" i="4"/>
  <c r="AU83" i="4" s="1"/>
  <c r="AU74" i="4"/>
  <c r="AT74" i="4"/>
  <c r="AU76" i="4"/>
  <c r="AT76" i="4"/>
  <c r="AS76" i="4"/>
  <c r="AS74" i="4"/>
  <c r="AS70" i="4"/>
  <c r="AR76" i="4"/>
  <c r="AR74" i="4"/>
  <c r="AR72" i="4"/>
  <c r="AR83" i="4" s="1"/>
  <c r="AR70" i="4"/>
  <c r="AW60" i="4"/>
  <c r="AV60" i="4"/>
  <c r="AU60" i="4"/>
  <c r="AW58" i="4"/>
  <c r="AV58" i="4"/>
  <c r="AU58" i="4"/>
  <c r="AW57" i="4"/>
  <c r="AV57" i="4"/>
  <c r="AU57" i="4"/>
  <c r="AW56" i="4"/>
  <c r="AV56" i="4"/>
  <c r="AU56" i="4"/>
  <c r="AW55" i="4"/>
  <c r="AU78" i="4" s="1"/>
  <c r="AV55" i="4"/>
  <c r="AT78" i="4" s="1"/>
  <c r="AU55" i="4"/>
  <c r="AS78" i="4" s="1"/>
  <c r="AW53" i="4"/>
  <c r="AV53" i="4"/>
  <c r="AU53" i="4"/>
  <c r="AW43" i="4"/>
  <c r="AV43" i="4"/>
  <c r="AU43" i="4"/>
  <c r="AW41" i="4"/>
  <c r="AV41" i="4"/>
  <c r="AU41" i="4"/>
  <c r="AW40" i="4"/>
  <c r="AV40" i="4"/>
  <c r="AU40" i="4"/>
  <c r="AW39" i="4"/>
  <c r="AV39" i="4"/>
  <c r="AU39" i="4"/>
  <c r="AW37" i="4"/>
  <c r="AV37" i="4"/>
  <c r="AU37" i="4"/>
  <c r="AW36" i="4"/>
  <c r="AV36" i="4"/>
  <c r="AU36" i="4"/>
  <c r="AW35" i="4"/>
  <c r="AV35" i="4"/>
  <c r="AU35" i="4"/>
  <c r="AW32" i="4"/>
  <c r="AV32" i="4"/>
  <c r="AU32" i="4"/>
  <c r="AW31" i="4"/>
  <c r="AV31" i="4"/>
  <c r="AU31" i="4"/>
  <c r="AW27" i="4"/>
  <c r="AV27" i="4"/>
  <c r="AU27" i="4"/>
  <c r="AW26" i="4"/>
  <c r="AV26" i="4"/>
  <c r="AU26" i="4"/>
  <c r="AW25" i="4"/>
  <c r="AV25" i="4"/>
  <c r="AU25" i="4"/>
  <c r="AW24" i="4"/>
  <c r="AV24" i="4"/>
  <c r="AU24" i="4"/>
  <c r="AW17" i="4"/>
  <c r="AV17" i="4"/>
  <c r="AU17" i="4"/>
  <c r="AW16" i="4"/>
  <c r="AV16" i="4"/>
  <c r="AU16" i="4"/>
  <c r="AW14" i="4"/>
  <c r="AV14" i="4"/>
  <c r="AU14" i="4"/>
  <c r="AW12" i="4"/>
  <c r="AV12" i="4"/>
  <c r="AU12" i="4"/>
  <c r="AW11" i="4"/>
  <c r="AV11" i="4"/>
  <c r="AU11" i="4"/>
  <c r="AQ41" i="16"/>
  <c r="AQ48" i="16"/>
  <c r="AV60" i="16"/>
  <c r="AU60" i="16"/>
  <c r="AB45" i="17"/>
  <c r="AQ55" i="17"/>
  <c r="X71" i="16"/>
  <c r="AR71" i="16"/>
  <c r="BP65" i="16"/>
  <c r="BL71" i="16"/>
  <c r="AC63" i="16"/>
  <c r="AB63" i="16"/>
  <c r="AA63" i="16"/>
  <c r="AC62" i="16"/>
  <c r="AB62" i="16"/>
  <c r="AA62" i="16"/>
  <c r="AC61" i="16"/>
  <c r="AB61" i="16"/>
  <c r="AA61" i="16"/>
  <c r="AC58" i="16"/>
  <c r="AC60" i="16" s="1"/>
  <c r="AB58" i="16"/>
  <c r="AB60" i="16" s="1"/>
  <c r="AA58" i="16"/>
  <c r="AA60" i="16" s="1"/>
  <c r="Y94" i="16" s="1"/>
  <c r="AC46" i="16"/>
  <c r="AB46" i="16"/>
  <c r="AA46" i="16"/>
  <c r="AC45" i="16"/>
  <c r="AB45" i="16"/>
  <c r="AA45" i="16"/>
  <c r="AC44" i="16"/>
  <c r="AB44" i="16"/>
  <c r="AA44" i="16"/>
  <c r="AC43" i="16"/>
  <c r="AC48" i="16" s="1"/>
  <c r="AA81" i="16" s="1"/>
  <c r="AA90" i="16" s="1"/>
  <c r="AB43" i="16"/>
  <c r="AA43" i="16"/>
  <c r="AC42" i="16"/>
  <c r="AB42" i="16"/>
  <c r="AA42" i="16"/>
  <c r="AC39" i="16"/>
  <c r="AB39" i="16"/>
  <c r="AA39" i="16"/>
  <c r="AC38" i="16"/>
  <c r="AA38" i="16"/>
  <c r="AC37" i="16"/>
  <c r="AB37" i="16"/>
  <c r="AA37" i="16"/>
  <c r="AC33" i="16"/>
  <c r="AB33" i="16"/>
  <c r="AA33" i="16"/>
  <c r="AC32" i="16"/>
  <c r="AB32" i="16"/>
  <c r="AA32" i="16"/>
  <c r="AA36" i="16" s="1"/>
  <c r="AC28" i="16"/>
  <c r="AB28" i="16"/>
  <c r="AB30" i="16" s="1"/>
  <c r="AA28" i="16"/>
  <c r="AC26" i="16"/>
  <c r="AB26" i="16"/>
  <c r="AA26" i="16"/>
  <c r="AC25" i="16"/>
  <c r="AB25" i="16"/>
  <c r="AA25" i="16"/>
  <c r="AA30" i="16" s="1"/>
  <c r="AC24" i="16"/>
  <c r="AB24" i="16"/>
  <c r="AA24" i="16"/>
  <c r="AC17" i="16"/>
  <c r="AB17" i="16"/>
  <c r="AA17" i="16"/>
  <c r="AC16" i="16"/>
  <c r="AB16" i="16"/>
  <c r="AB18" i="16" s="1"/>
  <c r="AA16" i="16"/>
  <c r="AA18" i="16" s="1"/>
  <c r="AC14" i="16"/>
  <c r="AC15" i="16" s="1"/>
  <c r="AB14" i="16"/>
  <c r="AB15" i="16" s="1"/>
  <c r="AA14" i="16"/>
  <c r="AA15" i="16" s="1"/>
  <c r="AC12" i="16"/>
  <c r="AB12" i="16"/>
  <c r="AA12" i="16"/>
  <c r="AC11" i="16"/>
  <c r="AC13" i="16" s="1"/>
  <c r="AB11" i="16"/>
  <c r="AA11" i="16"/>
  <c r="AA13" i="16" s="1"/>
  <c r="AW63" i="16"/>
  <c r="AW65" i="16" s="1"/>
  <c r="AV63" i="16"/>
  <c r="AU63" i="16"/>
  <c r="AW62" i="16"/>
  <c r="AV62" i="16"/>
  <c r="AU62" i="16"/>
  <c r="AW61" i="16"/>
  <c r="AV61" i="16"/>
  <c r="AU61" i="16"/>
  <c r="AW46" i="16"/>
  <c r="AV46" i="16"/>
  <c r="AU46" i="16"/>
  <c r="AW45" i="16"/>
  <c r="AV45" i="16"/>
  <c r="AU45" i="16"/>
  <c r="AW44" i="16"/>
  <c r="AV44" i="16"/>
  <c r="AU44" i="16"/>
  <c r="AW43" i="16"/>
  <c r="AV43" i="16"/>
  <c r="AU43" i="16"/>
  <c r="AW42" i="16"/>
  <c r="AW48" i="16" s="1"/>
  <c r="AU81" i="16" s="1"/>
  <c r="AU90" i="16" s="1"/>
  <c r="AV42" i="16"/>
  <c r="AU42" i="16"/>
  <c r="AW39" i="16"/>
  <c r="AV39" i="16"/>
  <c r="AU39" i="16"/>
  <c r="AW38" i="16"/>
  <c r="AU38" i="16"/>
  <c r="AW37" i="16"/>
  <c r="AW41" i="16" s="1"/>
  <c r="AU79" i="16" s="1"/>
  <c r="AU89" i="16" s="1"/>
  <c r="AV37" i="16"/>
  <c r="AV41" i="16" s="1"/>
  <c r="AT79" i="16" s="1"/>
  <c r="AT89" i="16" s="1"/>
  <c r="AU37" i="16"/>
  <c r="AW33" i="16"/>
  <c r="AV33" i="16"/>
  <c r="AU33" i="16"/>
  <c r="AW32" i="16"/>
  <c r="AV32" i="16"/>
  <c r="AU32" i="16"/>
  <c r="AU36" i="16" s="1"/>
  <c r="AW28" i="16"/>
  <c r="AV28" i="16"/>
  <c r="AV30" i="16" s="1"/>
  <c r="AU28" i="16"/>
  <c r="AU30" i="16" s="1"/>
  <c r="AW26" i="16"/>
  <c r="AV26" i="16"/>
  <c r="AU26" i="16"/>
  <c r="AW25" i="16"/>
  <c r="AV25" i="16"/>
  <c r="AU25" i="16"/>
  <c r="AW24" i="16"/>
  <c r="AW31" i="16" s="1"/>
  <c r="AV24" i="16"/>
  <c r="AV31" i="16" s="1"/>
  <c r="AU24" i="16"/>
  <c r="AW17" i="16"/>
  <c r="AV17" i="16"/>
  <c r="AU17" i="16"/>
  <c r="AW16" i="16"/>
  <c r="AV16" i="16"/>
  <c r="AV18" i="16" s="1"/>
  <c r="AU16" i="16"/>
  <c r="AW14" i="16"/>
  <c r="AW15" i="16" s="1"/>
  <c r="AV14" i="16"/>
  <c r="AV15" i="16" s="1"/>
  <c r="AU14" i="16"/>
  <c r="AU15" i="16" s="1"/>
  <c r="AW12" i="16"/>
  <c r="AV12" i="16"/>
  <c r="AU12" i="16"/>
  <c r="AW11" i="16"/>
  <c r="AW13" i="16" s="1"/>
  <c r="AV11" i="16"/>
  <c r="AU11" i="16"/>
  <c r="AU13" i="16" s="1"/>
  <c r="AU5" i="16"/>
  <c r="BQ63" i="16"/>
  <c r="BP63" i="16"/>
  <c r="BO63" i="16"/>
  <c r="BQ62" i="16"/>
  <c r="BP62" i="16"/>
  <c r="BO62" i="16"/>
  <c r="BQ61" i="16"/>
  <c r="BP61" i="16"/>
  <c r="BO61" i="16"/>
  <c r="BO65" i="16" s="1"/>
  <c r="BQ60" i="16"/>
  <c r="BO94" i="16" s="1"/>
  <c r="BQ46" i="16"/>
  <c r="BP46" i="16"/>
  <c r="BO46" i="16"/>
  <c r="BQ45" i="16"/>
  <c r="BP45" i="16"/>
  <c r="BO45" i="16"/>
  <c r="BQ44" i="16"/>
  <c r="BP44" i="16"/>
  <c r="BO44" i="16"/>
  <c r="BQ43" i="16"/>
  <c r="BP43" i="16"/>
  <c r="BO43" i="16"/>
  <c r="BQ42" i="16"/>
  <c r="BP42" i="16"/>
  <c r="BO42" i="16"/>
  <c r="BQ39" i="16"/>
  <c r="BP39" i="16"/>
  <c r="BP41" i="16" s="1"/>
  <c r="BN79" i="16" s="1"/>
  <c r="BN89" i="16" s="1"/>
  <c r="BO39" i="16"/>
  <c r="BQ38" i="16"/>
  <c r="BQ41" i="16" s="1"/>
  <c r="BO79" i="16" s="1"/>
  <c r="BO89" i="16" s="1"/>
  <c r="BO38" i="16"/>
  <c r="BQ37" i="16"/>
  <c r="BP37" i="16"/>
  <c r="BO37" i="16"/>
  <c r="BQ33" i="16"/>
  <c r="BP33" i="16"/>
  <c r="BO33" i="16"/>
  <c r="BQ32" i="16"/>
  <c r="BQ36" i="16" s="1"/>
  <c r="BP32" i="16"/>
  <c r="BO32" i="16"/>
  <c r="BO36" i="16" s="1"/>
  <c r="BQ28" i="16"/>
  <c r="BP28" i="16"/>
  <c r="BP30" i="16" s="1"/>
  <c r="BO28" i="16"/>
  <c r="BQ26" i="16"/>
  <c r="BP26" i="16"/>
  <c r="BO26" i="16"/>
  <c r="BQ25" i="16"/>
  <c r="BP25" i="16"/>
  <c r="BO25" i="16"/>
  <c r="BQ24" i="16"/>
  <c r="BP24" i="16"/>
  <c r="BO24" i="16"/>
  <c r="BQ17" i="16"/>
  <c r="BP17" i="16"/>
  <c r="BO17" i="16"/>
  <c r="BQ16" i="16"/>
  <c r="BP16" i="16"/>
  <c r="BP18" i="16" s="1"/>
  <c r="BO16" i="16"/>
  <c r="BO18" i="16" s="1"/>
  <c r="BQ14" i="16"/>
  <c r="BQ15" i="16" s="1"/>
  <c r="BP14" i="16"/>
  <c r="BO14" i="16"/>
  <c r="BO15" i="16" s="1"/>
  <c r="BQ12" i="16"/>
  <c r="BP12" i="16"/>
  <c r="BO12" i="16"/>
  <c r="BQ11" i="16"/>
  <c r="BP11" i="16"/>
  <c r="BO11" i="16"/>
  <c r="BO13" i="16" s="1"/>
  <c r="AC45" i="17"/>
  <c r="AA45" i="17"/>
  <c r="AW45" i="17"/>
  <c r="AU45" i="17"/>
  <c r="BQ45" i="17"/>
  <c r="BO45" i="17"/>
  <c r="AC70" i="17"/>
  <c r="AB70" i="17"/>
  <c r="AA70" i="17"/>
  <c r="AC69" i="17"/>
  <c r="AB69" i="17"/>
  <c r="AA69" i="17"/>
  <c r="AC68" i="17"/>
  <c r="AB68" i="17"/>
  <c r="AA68" i="17"/>
  <c r="AC65" i="17"/>
  <c r="AB65" i="17"/>
  <c r="AB67" i="17" s="1"/>
  <c r="AA65" i="17"/>
  <c r="AC53" i="17"/>
  <c r="AB53" i="17"/>
  <c r="AA53" i="17"/>
  <c r="AC52" i="17"/>
  <c r="AB52" i="17"/>
  <c r="AA52" i="17"/>
  <c r="AC51" i="17"/>
  <c r="AB51" i="17"/>
  <c r="AA51" i="17"/>
  <c r="AC50" i="17"/>
  <c r="AB50" i="17"/>
  <c r="AA50" i="17"/>
  <c r="AC49" i="17"/>
  <c r="AB49" i="17"/>
  <c r="AA49" i="17"/>
  <c r="AC46" i="17"/>
  <c r="AB46" i="17"/>
  <c r="AA46" i="17"/>
  <c r="AC44" i="17"/>
  <c r="AB44" i="17"/>
  <c r="AA44" i="17"/>
  <c r="AC39" i="17"/>
  <c r="AC43" i="17" s="1"/>
  <c r="AB39" i="17"/>
  <c r="AB43" i="17" s="1"/>
  <c r="AA39" i="17"/>
  <c r="AA43" i="17" s="1"/>
  <c r="AC37" i="17"/>
  <c r="AC42" i="17" s="1"/>
  <c r="AA132" i="17" s="1"/>
  <c r="AB37" i="17"/>
  <c r="AB42" i="17" s="1"/>
  <c r="Z132" i="17" s="1"/>
  <c r="AA37" i="17"/>
  <c r="AA42" i="17" s="1"/>
  <c r="Y132" i="17" s="1"/>
  <c r="AC36" i="17"/>
  <c r="AC41" i="17" s="1"/>
  <c r="AB36" i="17"/>
  <c r="AB41" i="17" s="1"/>
  <c r="AA36" i="17"/>
  <c r="AA41" i="17" s="1"/>
  <c r="AC20" i="17"/>
  <c r="AB20" i="17"/>
  <c r="AA20" i="17"/>
  <c r="AC19" i="17"/>
  <c r="AB19" i="17"/>
  <c r="AA19" i="17"/>
  <c r="AC17" i="17"/>
  <c r="AB17" i="17"/>
  <c r="AA17" i="17"/>
  <c r="AC16" i="17"/>
  <c r="AB16" i="17"/>
  <c r="AA16" i="17"/>
  <c r="AC15" i="17"/>
  <c r="AB15" i="17"/>
  <c r="AA15" i="17"/>
  <c r="AC13" i="17"/>
  <c r="AB13" i="17"/>
  <c r="AA13" i="17"/>
  <c r="AC12" i="17"/>
  <c r="AB12" i="17"/>
  <c r="AA12" i="17"/>
  <c r="AC11" i="17"/>
  <c r="AB11" i="17"/>
  <c r="AA11" i="17"/>
  <c r="AW70" i="17"/>
  <c r="AV70" i="17"/>
  <c r="AU70" i="17"/>
  <c r="AW69" i="17"/>
  <c r="AV69" i="17"/>
  <c r="AU69" i="17"/>
  <c r="AW68" i="17"/>
  <c r="AV68" i="17"/>
  <c r="AU68" i="17"/>
  <c r="AW65" i="17"/>
  <c r="AV65" i="17"/>
  <c r="AU65" i="17"/>
  <c r="AW53" i="17"/>
  <c r="AV53" i="17"/>
  <c r="AU53" i="17"/>
  <c r="AW52" i="17"/>
  <c r="AV52" i="17"/>
  <c r="AU52" i="17"/>
  <c r="AW51" i="17"/>
  <c r="AV51" i="17"/>
  <c r="AU51" i="17"/>
  <c r="AW50" i="17"/>
  <c r="AV50" i="17"/>
  <c r="AU50" i="17"/>
  <c r="AW49" i="17"/>
  <c r="AV49" i="17"/>
  <c r="AU49" i="17"/>
  <c r="AW46" i="17"/>
  <c r="AV46" i="17"/>
  <c r="AU46" i="17"/>
  <c r="AV45" i="17"/>
  <c r="AW44" i="17"/>
  <c r="AV44" i="17"/>
  <c r="AU44" i="17"/>
  <c r="AW39" i="17"/>
  <c r="AW43" i="17" s="1"/>
  <c r="AV39" i="17"/>
  <c r="AT134" i="17" s="1"/>
  <c r="AU39" i="17"/>
  <c r="AU43" i="17" s="1"/>
  <c r="AW37" i="17"/>
  <c r="AW42" i="17" s="1"/>
  <c r="AU132" i="17" s="1"/>
  <c r="AV37" i="17"/>
  <c r="AV42" i="17" s="1"/>
  <c r="AT132" i="17" s="1"/>
  <c r="AU37" i="17"/>
  <c r="AU42" i="17" s="1"/>
  <c r="AS132" i="17" s="1"/>
  <c r="AW36" i="17"/>
  <c r="AW41" i="17" s="1"/>
  <c r="AV36" i="17"/>
  <c r="AV41" i="17" s="1"/>
  <c r="AU36" i="17"/>
  <c r="AU41" i="17" s="1"/>
  <c r="AW20" i="17"/>
  <c r="AV20" i="17"/>
  <c r="AU20" i="17"/>
  <c r="AW19" i="17"/>
  <c r="AV19" i="17"/>
  <c r="AU19" i="17"/>
  <c r="AW17" i="17"/>
  <c r="AV17" i="17"/>
  <c r="AU17" i="17"/>
  <c r="AW16" i="17"/>
  <c r="AV16" i="17"/>
  <c r="AU16" i="17"/>
  <c r="AW15" i="17"/>
  <c r="AV15" i="17"/>
  <c r="AU15" i="17"/>
  <c r="AW13" i="17"/>
  <c r="AV13" i="17"/>
  <c r="AU13" i="17"/>
  <c r="AW12" i="17"/>
  <c r="AV12" i="17"/>
  <c r="AU12" i="17"/>
  <c r="AW11" i="17"/>
  <c r="AV11" i="17"/>
  <c r="AU11" i="17"/>
  <c r="BH45" i="17"/>
  <c r="AP45" i="17"/>
  <c r="AN45" i="17"/>
  <c r="V45" i="17"/>
  <c r="T45" i="17"/>
  <c r="J512" i="19"/>
  <c r="I512" i="19"/>
  <c r="H512" i="19"/>
  <c r="G512" i="19"/>
  <c r="F512" i="19"/>
  <c r="E512" i="19"/>
  <c r="D512" i="19"/>
  <c r="C512" i="19"/>
  <c r="B512" i="19"/>
  <c r="I508" i="19"/>
  <c r="H508" i="19"/>
  <c r="G508" i="19"/>
  <c r="F508" i="19"/>
  <c r="E508" i="19"/>
  <c r="D508" i="19"/>
  <c r="C508" i="19"/>
  <c r="B508" i="19"/>
  <c r="J448" i="19"/>
  <c r="I448" i="19"/>
  <c r="H448" i="19"/>
  <c r="G448" i="19"/>
  <c r="F448" i="19"/>
  <c r="E448" i="19"/>
  <c r="D448" i="19"/>
  <c r="C448" i="19"/>
  <c r="B448" i="19"/>
  <c r="I443" i="19"/>
  <c r="H443" i="19"/>
  <c r="G443" i="19"/>
  <c r="F443" i="19"/>
  <c r="E443" i="19"/>
  <c r="D443" i="19"/>
  <c r="C443" i="19"/>
  <c r="B443" i="19"/>
  <c r="J321" i="19"/>
  <c r="I321" i="19"/>
  <c r="H321" i="19"/>
  <c r="G321" i="19"/>
  <c r="F321" i="19"/>
  <c r="E321" i="19"/>
  <c r="D321" i="19"/>
  <c r="C321" i="19"/>
  <c r="B321" i="19"/>
  <c r="J384" i="19"/>
  <c r="I384" i="19"/>
  <c r="H384" i="19"/>
  <c r="G384" i="19"/>
  <c r="F384" i="19"/>
  <c r="E384" i="19"/>
  <c r="D384" i="19"/>
  <c r="C384" i="19"/>
  <c r="B384" i="19"/>
  <c r="J270" i="19"/>
  <c r="I270" i="19"/>
  <c r="H270" i="19"/>
  <c r="G270" i="19"/>
  <c r="F270" i="19"/>
  <c r="E270" i="19"/>
  <c r="D270" i="19"/>
  <c r="C270" i="19"/>
  <c r="B270" i="19"/>
  <c r="J220" i="19"/>
  <c r="I220" i="19"/>
  <c r="H220" i="19"/>
  <c r="G220" i="19"/>
  <c r="F220" i="19"/>
  <c r="E220" i="19"/>
  <c r="D220" i="19"/>
  <c r="C220" i="19"/>
  <c r="B220" i="19"/>
  <c r="J171" i="19"/>
  <c r="I171" i="19"/>
  <c r="H171" i="19"/>
  <c r="G171" i="19"/>
  <c r="F171" i="19"/>
  <c r="E171" i="19"/>
  <c r="D171" i="19"/>
  <c r="C171" i="19"/>
  <c r="B171" i="19"/>
  <c r="I380" i="19"/>
  <c r="H380" i="19"/>
  <c r="G380" i="19"/>
  <c r="F380" i="19"/>
  <c r="E380" i="19"/>
  <c r="D380" i="19"/>
  <c r="C380" i="19"/>
  <c r="B380" i="19"/>
  <c r="C362" i="19"/>
  <c r="B362" i="19"/>
  <c r="I317" i="19"/>
  <c r="H317" i="19"/>
  <c r="G317" i="19"/>
  <c r="F317" i="19"/>
  <c r="E317" i="19"/>
  <c r="D317" i="19"/>
  <c r="C317" i="19"/>
  <c r="B317" i="19"/>
  <c r="I266" i="19"/>
  <c r="H266" i="19"/>
  <c r="G266" i="19"/>
  <c r="F266" i="19"/>
  <c r="E266" i="19"/>
  <c r="D266" i="19"/>
  <c r="C266" i="19"/>
  <c r="B266" i="19"/>
  <c r="I216" i="19"/>
  <c r="H216" i="19"/>
  <c r="G216" i="19"/>
  <c r="F216" i="19"/>
  <c r="E216" i="19"/>
  <c r="D216" i="19"/>
  <c r="C216" i="19"/>
  <c r="B216" i="19"/>
  <c r="I167" i="19"/>
  <c r="H167" i="19"/>
  <c r="G167" i="19"/>
  <c r="F167" i="19"/>
  <c r="E167" i="19"/>
  <c r="D167" i="19"/>
  <c r="C167" i="19"/>
  <c r="B167" i="19"/>
  <c r="F105" i="19"/>
  <c r="E105" i="19"/>
  <c r="D105" i="19"/>
  <c r="C105" i="19"/>
  <c r="B105" i="19"/>
  <c r="F104" i="19"/>
  <c r="E104" i="19"/>
  <c r="D104" i="19"/>
  <c r="C104" i="19"/>
  <c r="B104" i="19"/>
  <c r="C10" i="19"/>
  <c r="B10" i="19"/>
  <c r="I10" i="19"/>
  <c r="H10" i="19"/>
  <c r="F10" i="19"/>
  <c r="E10" i="19"/>
  <c r="D10" i="19"/>
  <c r="G10" i="19"/>
  <c r="B122" i="19"/>
  <c r="C122" i="19"/>
  <c r="D122" i="19"/>
  <c r="E122" i="19"/>
  <c r="F122" i="19"/>
  <c r="G122" i="19"/>
  <c r="H122" i="19"/>
  <c r="I122" i="19"/>
  <c r="I74" i="19"/>
  <c r="H74" i="19"/>
  <c r="G74" i="19"/>
  <c r="F74" i="19"/>
  <c r="E74" i="19"/>
  <c r="D74" i="19"/>
  <c r="C74" i="19"/>
  <c r="B74" i="19"/>
  <c r="I28" i="19"/>
  <c r="H28" i="19"/>
  <c r="G28" i="19"/>
  <c r="F28" i="19"/>
  <c r="E28" i="19"/>
  <c r="D28" i="19"/>
  <c r="C28" i="19"/>
  <c r="B28" i="19"/>
  <c r="BK72" i="17"/>
  <c r="BK65" i="17"/>
  <c r="BK67" i="17" s="1"/>
  <c r="BQ70" i="17"/>
  <c r="BP70" i="17"/>
  <c r="BO70" i="17"/>
  <c r="BQ69" i="17"/>
  <c r="BP69" i="17"/>
  <c r="BO69" i="17"/>
  <c r="BQ68" i="17"/>
  <c r="BP68" i="17"/>
  <c r="BO68" i="17"/>
  <c r="BQ65" i="17"/>
  <c r="BP65" i="17"/>
  <c r="BO65" i="17"/>
  <c r="BQ53" i="17"/>
  <c r="BP53" i="17"/>
  <c r="BO53" i="17"/>
  <c r="BQ52" i="17"/>
  <c r="BP52" i="17"/>
  <c r="BO52" i="17"/>
  <c r="BQ51" i="17"/>
  <c r="BP51" i="17"/>
  <c r="BO51" i="17"/>
  <c r="BQ50" i="17"/>
  <c r="BP50" i="17"/>
  <c r="BO50" i="17"/>
  <c r="BQ49" i="17"/>
  <c r="BP49" i="17"/>
  <c r="BO49" i="17"/>
  <c r="BQ46" i="17"/>
  <c r="BP46" i="17"/>
  <c r="BO46" i="17"/>
  <c r="BQ44" i="17"/>
  <c r="BP44" i="17"/>
  <c r="BO44" i="17"/>
  <c r="BQ39" i="17"/>
  <c r="BP39" i="17"/>
  <c r="BO39" i="17"/>
  <c r="BM127" i="17" s="1"/>
  <c r="BM134" i="17" s="1"/>
  <c r="BQ37" i="17"/>
  <c r="BQ42" i="17" s="1"/>
  <c r="BO125" i="17" s="1"/>
  <c r="BO132" i="17" s="1"/>
  <c r="BP37" i="17"/>
  <c r="BQ36" i="17"/>
  <c r="BQ41" i="17" s="1"/>
  <c r="BO123" i="17" s="1"/>
  <c r="BP36" i="17"/>
  <c r="BP41" i="17" s="1"/>
  <c r="BN123" i="17" s="1"/>
  <c r="BO37" i="17"/>
  <c r="BO36" i="17"/>
  <c r="BO41" i="17" s="1"/>
  <c r="BM123" i="17" s="1"/>
  <c r="BQ32" i="17"/>
  <c r="BP32" i="17"/>
  <c r="BO32" i="17"/>
  <c r="BQ29" i="17"/>
  <c r="BP29" i="17"/>
  <c r="BO29" i="17"/>
  <c r="BQ28" i="17"/>
  <c r="BP28" i="17"/>
  <c r="BO28" i="17"/>
  <c r="BQ27" i="17"/>
  <c r="BP27" i="17"/>
  <c r="BO27" i="17"/>
  <c r="BQ20" i="17"/>
  <c r="BP20" i="17"/>
  <c r="BQ19" i="17"/>
  <c r="BQ21" i="17" s="1"/>
  <c r="BP19" i="17"/>
  <c r="BO20" i="17"/>
  <c r="BO19" i="17"/>
  <c r="BO21" i="17" s="1"/>
  <c r="BQ17" i="17"/>
  <c r="BQ16" i="17"/>
  <c r="BQ15" i="17"/>
  <c r="BP17" i="17"/>
  <c r="BP16" i="17"/>
  <c r="BP15" i="17"/>
  <c r="BO17" i="17"/>
  <c r="BO16" i="17"/>
  <c r="BO15" i="17"/>
  <c r="BQ13" i="17"/>
  <c r="BP13" i="17"/>
  <c r="BQ12" i="17"/>
  <c r="BP12" i="17"/>
  <c r="BQ11" i="17"/>
  <c r="BP11" i="17"/>
  <c r="BO13" i="17"/>
  <c r="BO12" i="17"/>
  <c r="BO11" i="17"/>
  <c r="BI70" i="17"/>
  <c r="BJ70" i="17" s="1"/>
  <c r="BG70" i="17"/>
  <c r="BH70" i="17" s="1"/>
  <c r="BI69" i="17"/>
  <c r="BJ69" i="17" s="1"/>
  <c r="BG69" i="17"/>
  <c r="BH69" i="17" s="1"/>
  <c r="BF69" i="17"/>
  <c r="BI68" i="17"/>
  <c r="BJ68" i="17" s="1"/>
  <c r="BG68" i="17"/>
  <c r="BH68" i="17" s="1"/>
  <c r="BF68" i="17"/>
  <c r="AQ72" i="17"/>
  <c r="AO70" i="17"/>
  <c r="AP70" i="17" s="1"/>
  <c r="AM70" i="17"/>
  <c r="AN70" i="17" s="1"/>
  <c r="AO69" i="17"/>
  <c r="AP69" i="17" s="1"/>
  <c r="AM69" i="17"/>
  <c r="AN69" i="17" s="1"/>
  <c r="AL69" i="17"/>
  <c r="AO68" i="17"/>
  <c r="AP68" i="17" s="1"/>
  <c r="AM68" i="17"/>
  <c r="AN68" i="17" s="1"/>
  <c r="AL68" i="17"/>
  <c r="U70" i="17"/>
  <c r="V70" i="17" s="1"/>
  <c r="U69" i="17"/>
  <c r="V69" i="17" s="1"/>
  <c r="U68" i="17"/>
  <c r="V68" i="17" s="1"/>
  <c r="S70" i="17"/>
  <c r="T70" i="17" s="1"/>
  <c r="S69" i="17"/>
  <c r="T69" i="17" s="1"/>
  <c r="S68" i="17"/>
  <c r="T68" i="17" s="1"/>
  <c r="R69" i="17"/>
  <c r="R68" i="17"/>
  <c r="W72" i="17"/>
  <c r="BI65" i="17"/>
  <c r="BJ65" i="17" s="1"/>
  <c r="BG65" i="17"/>
  <c r="BH65" i="17" s="1"/>
  <c r="BI64" i="17"/>
  <c r="BJ64" i="17" s="1"/>
  <c r="BG64" i="17"/>
  <c r="BH64" i="17" s="1"/>
  <c r="BF64" i="17"/>
  <c r="BI63" i="17"/>
  <c r="BJ63" i="17" s="1"/>
  <c r="BG63" i="17"/>
  <c r="BH63" i="17" s="1"/>
  <c r="BF63" i="17"/>
  <c r="BI62" i="17"/>
  <c r="BJ62" i="17" s="1"/>
  <c r="BG62" i="17"/>
  <c r="BH62" i="17" s="1"/>
  <c r="BF62" i="17"/>
  <c r="BI61" i="17"/>
  <c r="BJ61" i="17" s="1"/>
  <c r="BG61" i="17"/>
  <c r="BH61" i="17" s="1"/>
  <c r="BF61" i="17"/>
  <c r="BI60" i="17"/>
  <c r="BJ60" i="17" s="1"/>
  <c r="BG60" i="17"/>
  <c r="BH60" i="17" s="1"/>
  <c r="BF60" i="17"/>
  <c r="BI59" i="17"/>
  <c r="BJ59" i="17" s="1"/>
  <c r="BG59" i="17"/>
  <c r="BH59" i="17" s="1"/>
  <c r="BF59" i="17"/>
  <c r="BI58" i="17"/>
  <c r="BJ58" i="17" s="1"/>
  <c r="BG58" i="17"/>
  <c r="BH58" i="17" s="1"/>
  <c r="BF58" i="17"/>
  <c r="BI57" i="17"/>
  <c r="BJ57" i="17" s="1"/>
  <c r="BG57" i="17"/>
  <c r="BH57" i="17" s="1"/>
  <c r="BF57" i="17"/>
  <c r="BI56" i="17"/>
  <c r="BJ56" i="17" s="1"/>
  <c r="BG56" i="17"/>
  <c r="BH56" i="17" s="1"/>
  <c r="BF56" i="17"/>
  <c r="AQ65" i="17"/>
  <c r="AQ67" i="17" s="1"/>
  <c r="AO65" i="17"/>
  <c r="AP65" i="17" s="1"/>
  <c r="AM65" i="17"/>
  <c r="AN65" i="17" s="1"/>
  <c r="AO64" i="17"/>
  <c r="AP64" i="17" s="1"/>
  <c r="AM64" i="17"/>
  <c r="AN64" i="17" s="1"/>
  <c r="AL64" i="17"/>
  <c r="AO63" i="17"/>
  <c r="AP63" i="17" s="1"/>
  <c r="AM63" i="17"/>
  <c r="AN63" i="17" s="1"/>
  <c r="AL63" i="17"/>
  <c r="AO62" i="17"/>
  <c r="AP62" i="17" s="1"/>
  <c r="AM62" i="17"/>
  <c r="AN62" i="17" s="1"/>
  <c r="AL62" i="17"/>
  <c r="AO61" i="17"/>
  <c r="AP61" i="17" s="1"/>
  <c r="AM61" i="17"/>
  <c r="AN61" i="17" s="1"/>
  <c r="AL61" i="17"/>
  <c r="AO60" i="17"/>
  <c r="AP60" i="17" s="1"/>
  <c r="AM60" i="17"/>
  <c r="AN60" i="17" s="1"/>
  <c r="AL60" i="17"/>
  <c r="AO59" i="17"/>
  <c r="AP59" i="17" s="1"/>
  <c r="AM59" i="17"/>
  <c r="AN59" i="17" s="1"/>
  <c r="AL59" i="17"/>
  <c r="AO58" i="17"/>
  <c r="AP58" i="17" s="1"/>
  <c r="AM58" i="17"/>
  <c r="AN58" i="17" s="1"/>
  <c r="AL58" i="17"/>
  <c r="AO57" i="17"/>
  <c r="AP57" i="17" s="1"/>
  <c r="AM57" i="17"/>
  <c r="AN57" i="17" s="1"/>
  <c r="AL57" i="17"/>
  <c r="AO56" i="17"/>
  <c r="AP56" i="17" s="1"/>
  <c r="AM56" i="17"/>
  <c r="AN56" i="17" s="1"/>
  <c r="AL56" i="17"/>
  <c r="U65" i="17"/>
  <c r="U64" i="17"/>
  <c r="V64" i="17" s="1"/>
  <c r="U63" i="17"/>
  <c r="V63" i="17" s="1"/>
  <c r="U62" i="17"/>
  <c r="V62" i="17" s="1"/>
  <c r="U61" i="17"/>
  <c r="V61" i="17" s="1"/>
  <c r="U60" i="17"/>
  <c r="V60" i="17" s="1"/>
  <c r="U59" i="17"/>
  <c r="V59" i="17" s="1"/>
  <c r="U58" i="17"/>
  <c r="V58" i="17" s="1"/>
  <c r="U57" i="17"/>
  <c r="U56" i="17"/>
  <c r="V56" i="17" s="1"/>
  <c r="S65" i="17"/>
  <c r="T65" i="17" s="1"/>
  <c r="S64" i="17"/>
  <c r="T64" i="17" s="1"/>
  <c r="S63" i="17"/>
  <c r="T63" i="17" s="1"/>
  <c r="S62" i="17"/>
  <c r="T62" i="17" s="1"/>
  <c r="S61" i="17"/>
  <c r="T61" i="17" s="1"/>
  <c r="S60" i="17"/>
  <c r="T60" i="17" s="1"/>
  <c r="S59" i="17"/>
  <c r="T59" i="17" s="1"/>
  <c r="S58" i="17"/>
  <c r="T58" i="17" s="1"/>
  <c r="S57" i="17"/>
  <c r="T57" i="17" s="1"/>
  <c r="S56" i="17"/>
  <c r="T56" i="17" s="1"/>
  <c r="R64" i="17"/>
  <c r="R63" i="17"/>
  <c r="R62" i="17"/>
  <c r="R61" i="17"/>
  <c r="R60" i="17"/>
  <c r="R59" i="17"/>
  <c r="R58" i="17"/>
  <c r="R57" i="17"/>
  <c r="R56" i="17"/>
  <c r="W65" i="17"/>
  <c r="W67" i="17" s="1"/>
  <c r="V65" i="17"/>
  <c r="BI53" i="17"/>
  <c r="BJ53" i="17" s="1"/>
  <c r="BG53" i="17"/>
  <c r="BH53" i="17" s="1"/>
  <c r="BF53" i="17"/>
  <c r="BI52" i="17"/>
  <c r="BJ52" i="17" s="1"/>
  <c r="BG52" i="17"/>
  <c r="BH52" i="17" s="1"/>
  <c r="BF52" i="17"/>
  <c r="BI51" i="17"/>
  <c r="BJ51" i="17" s="1"/>
  <c r="BG51" i="17"/>
  <c r="BH51" i="17" s="1"/>
  <c r="BF51" i="17"/>
  <c r="BI50" i="17"/>
  <c r="BJ50" i="17" s="1"/>
  <c r="BG50" i="17"/>
  <c r="BH50" i="17" s="1"/>
  <c r="BF50" i="17"/>
  <c r="BI49" i="17"/>
  <c r="BJ49" i="17" s="1"/>
  <c r="BG49" i="17"/>
  <c r="BH49" i="17" s="1"/>
  <c r="BF49" i="17"/>
  <c r="AO53" i="17"/>
  <c r="AP53" i="17" s="1"/>
  <c r="AM53" i="17"/>
  <c r="AN53" i="17" s="1"/>
  <c r="AL53" i="17"/>
  <c r="AO52" i="17"/>
  <c r="AP52" i="17" s="1"/>
  <c r="AM52" i="17"/>
  <c r="AN52" i="17" s="1"/>
  <c r="AL52" i="17"/>
  <c r="AO51" i="17"/>
  <c r="AP51" i="17" s="1"/>
  <c r="AM51" i="17"/>
  <c r="AN51" i="17" s="1"/>
  <c r="AL51" i="17"/>
  <c r="AO50" i="17"/>
  <c r="AP50" i="17" s="1"/>
  <c r="AM50" i="17"/>
  <c r="AN50" i="17" s="1"/>
  <c r="AL50" i="17"/>
  <c r="AO49" i="17"/>
  <c r="AP49" i="17" s="1"/>
  <c r="AM49" i="17"/>
  <c r="AN49" i="17" s="1"/>
  <c r="AL49" i="17"/>
  <c r="U53" i="17"/>
  <c r="V53" i="17" s="1"/>
  <c r="U52" i="17"/>
  <c r="V52" i="17" s="1"/>
  <c r="U51" i="17"/>
  <c r="V51" i="17" s="1"/>
  <c r="U50" i="17"/>
  <c r="V50" i="17" s="1"/>
  <c r="U49" i="17"/>
  <c r="V49" i="17" s="1"/>
  <c r="S53" i="17"/>
  <c r="T53" i="17" s="1"/>
  <c r="S52" i="17"/>
  <c r="T52" i="17" s="1"/>
  <c r="S51" i="17"/>
  <c r="T51" i="17" s="1"/>
  <c r="S50" i="17"/>
  <c r="T50" i="17" s="1"/>
  <c r="S49" i="17"/>
  <c r="T49" i="17" s="1"/>
  <c r="R53" i="17"/>
  <c r="R52" i="17"/>
  <c r="R51" i="17"/>
  <c r="R50" i="17"/>
  <c r="R49" i="17"/>
  <c r="BI46" i="17"/>
  <c r="BJ46" i="17" s="1"/>
  <c r="BG46" i="17"/>
  <c r="BH46" i="17" s="1"/>
  <c r="BF46" i="17"/>
  <c r="BI45" i="17"/>
  <c r="BJ45" i="17" s="1"/>
  <c r="BG45" i="17"/>
  <c r="BI44" i="17"/>
  <c r="BJ44" i="17" s="1"/>
  <c r="BG44" i="17"/>
  <c r="BH44" i="17" s="1"/>
  <c r="BF44" i="17"/>
  <c r="AO46" i="17"/>
  <c r="AP46" i="17" s="1"/>
  <c r="AM46" i="17"/>
  <c r="AN46" i="17" s="1"/>
  <c r="AL46" i="17"/>
  <c r="AO45" i="17"/>
  <c r="AM45" i="17"/>
  <c r="AO44" i="17"/>
  <c r="AP44" i="17" s="1"/>
  <c r="AM44" i="17"/>
  <c r="AN44" i="17" s="1"/>
  <c r="AL43" i="17"/>
  <c r="U46" i="17"/>
  <c r="V46" i="17" s="1"/>
  <c r="U45" i="17"/>
  <c r="U44" i="17"/>
  <c r="V44" i="17" s="1"/>
  <c r="S46" i="17"/>
  <c r="T46" i="17" s="1"/>
  <c r="S45" i="17"/>
  <c r="S44" i="17"/>
  <c r="T44" i="17" s="1"/>
  <c r="R46" i="17"/>
  <c r="R44" i="17"/>
  <c r="BI39" i="17"/>
  <c r="BJ39" i="17" s="1"/>
  <c r="BG39" i="17"/>
  <c r="BH39" i="17" s="1"/>
  <c r="BH127" i="17" s="1"/>
  <c r="BH134" i="17" s="1"/>
  <c r="BF39" i="17"/>
  <c r="BI38" i="17"/>
  <c r="BJ38" i="17" s="1"/>
  <c r="BF38" i="17"/>
  <c r="AY38" i="17"/>
  <c r="BG38" i="17" s="1"/>
  <c r="BH38" i="17" s="1"/>
  <c r="BI37" i="17"/>
  <c r="BJ37" i="17" s="1"/>
  <c r="BG37" i="17"/>
  <c r="BH37" i="17" s="1"/>
  <c r="BF37" i="17"/>
  <c r="BI36" i="17"/>
  <c r="BJ36" i="17" s="1"/>
  <c r="BJ41" i="17" s="1"/>
  <c r="BJ123" i="17" s="1"/>
  <c r="BL123" i="17" s="1"/>
  <c r="BG36" i="17"/>
  <c r="BH36" i="17" s="1"/>
  <c r="BH41" i="17" s="1"/>
  <c r="BH123" i="17" s="1"/>
  <c r="AO39" i="17"/>
  <c r="AP39" i="17" s="1"/>
  <c r="AP43" i="17" s="1"/>
  <c r="AM39" i="17"/>
  <c r="AN39" i="17" s="1"/>
  <c r="AN43" i="17" s="1"/>
  <c r="AL39" i="17"/>
  <c r="AO38" i="17"/>
  <c r="AP38" i="17" s="1"/>
  <c r="AL38" i="17"/>
  <c r="AE38" i="17"/>
  <c r="AM38" i="17" s="1"/>
  <c r="AN38" i="17" s="1"/>
  <c r="AO37" i="17"/>
  <c r="AP37" i="17" s="1"/>
  <c r="AP42" i="17" s="1"/>
  <c r="AR125" i="17" s="1"/>
  <c r="AR132" i="17" s="1"/>
  <c r="AM37" i="17"/>
  <c r="AN37" i="17" s="1"/>
  <c r="AN42" i="17" s="1"/>
  <c r="AN132" i="17" s="1"/>
  <c r="AL37" i="17"/>
  <c r="AO36" i="17"/>
  <c r="AP36" i="17" s="1"/>
  <c r="AP41" i="17" s="1"/>
  <c r="AR123" i="17" s="1"/>
  <c r="AM36" i="17"/>
  <c r="AN36" i="17" s="1"/>
  <c r="AN41" i="17" s="1"/>
  <c r="U39" i="17"/>
  <c r="V39" i="17" s="1"/>
  <c r="V43" i="17" s="1"/>
  <c r="S39" i="17"/>
  <c r="T39" i="17" s="1"/>
  <c r="T134" i="17" s="1"/>
  <c r="R39" i="17"/>
  <c r="R38" i="17"/>
  <c r="R37" i="17"/>
  <c r="U38" i="17"/>
  <c r="V38" i="17" s="1"/>
  <c r="U37" i="17"/>
  <c r="V37" i="17" s="1"/>
  <c r="V42" i="17" s="1"/>
  <c r="U36" i="17"/>
  <c r="V36" i="17" s="1"/>
  <c r="V41" i="17" s="1"/>
  <c r="S37" i="17"/>
  <c r="T37" i="17" s="1"/>
  <c r="T42" i="17" s="1"/>
  <c r="T132" i="17" s="1"/>
  <c r="S36" i="17"/>
  <c r="T36" i="17" s="1"/>
  <c r="T41" i="17" s="1"/>
  <c r="K38" i="17"/>
  <c r="S38" i="17" s="1"/>
  <c r="T38" i="17" s="1"/>
  <c r="BI32" i="17"/>
  <c r="BJ32" i="17" s="1"/>
  <c r="BG32" i="17"/>
  <c r="BH32" i="17" s="1"/>
  <c r="BG31" i="17"/>
  <c r="BH31" i="17" s="1"/>
  <c r="BE31" i="17"/>
  <c r="BQ31" i="17" s="1"/>
  <c r="BC31" i="17"/>
  <c r="BO31" i="17" s="1"/>
  <c r="BI31" i="17"/>
  <c r="BJ31" i="17" s="1"/>
  <c r="BE30" i="17"/>
  <c r="BQ30" i="17" s="1"/>
  <c r="BC30" i="17"/>
  <c r="BO30" i="17" s="1"/>
  <c r="BI30" i="17"/>
  <c r="BJ30" i="17" s="1"/>
  <c r="BG30" i="17"/>
  <c r="BH30" i="17" s="1"/>
  <c r="BI29" i="17"/>
  <c r="BJ29" i="17" s="1"/>
  <c r="BG29" i="17"/>
  <c r="BH29" i="17" s="1"/>
  <c r="BF29" i="17"/>
  <c r="BI28" i="17"/>
  <c r="BJ28" i="17" s="1"/>
  <c r="BG28" i="17"/>
  <c r="BH28" i="17" s="1"/>
  <c r="BI27" i="17"/>
  <c r="BJ27" i="17" s="1"/>
  <c r="BG27" i="17"/>
  <c r="BH27" i="17" s="1"/>
  <c r="BF27" i="17"/>
  <c r="AK31" i="17"/>
  <c r="AW31" i="17" s="1"/>
  <c r="AI31" i="17"/>
  <c r="AU31" i="17" s="1"/>
  <c r="AH31" i="17"/>
  <c r="AG31" i="17"/>
  <c r="AO31" i="17" s="1"/>
  <c r="AP31" i="17" s="1"/>
  <c r="AE31" i="17"/>
  <c r="AM31" i="17" s="1"/>
  <c r="AN31" i="17" s="1"/>
  <c r="AK30" i="17"/>
  <c r="AW30" i="17" s="1"/>
  <c r="AI30" i="17"/>
  <c r="AU30" i="17" s="1"/>
  <c r="AH30" i="17"/>
  <c r="AG30" i="17"/>
  <c r="AO30" i="17" s="1"/>
  <c r="AP30" i="17" s="1"/>
  <c r="AE30" i="17"/>
  <c r="AM30" i="17" s="1"/>
  <c r="AN30" i="17" s="1"/>
  <c r="Q31" i="17"/>
  <c r="AC31" i="17" s="1"/>
  <c r="P31" i="17"/>
  <c r="AB31" i="17" s="1"/>
  <c r="O31" i="17"/>
  <c r="AA31" i="17" s="1"/>
  <c r="N31" i="17"/>
  <c r="M31" i="17"/>
  <c r="U31" i="17" s="1"/>
  <c r="V31" i="17" s="1"/>
  <c r="K31" i="17"/>
  <c r="S31" i="17" s="1"/>
  <c r="T31" i="17" s="1"/>
  <c r="Q30" i="17"/>
  <c r="AC30" i="17" s="1"/>
  <c r="P30" i="17"/>
  <c r="AB30" i="17" s="1"/>
  <c r="O30" i="17"/>
  <c r="AA30" i="17" s="1"/>
  <c r="N30" i="17"/>
  <c r="M30" i="17"/>
  <c r="U30" i="17" s="1"/>
  <c r="V30" i="17" s="1"/>
  <c r="K30" i="17"/>
  <c r="S30" i="17" s="1"/>
  <c r="T30" i="17" s="1"/>
  <c r="BK20" i="17"/>
  <c r="BI20" i="17"/>
  <c r="BJ20" i="17" s="1"/>
  <c r="BG20" i="17"/>
  <c r="BH20" i="17" s="1"/>
  <c r="BK19" i="17"/>
  <c r="BI19" i="17"/>
  <c r="BJ19" i="17" s="1"/>
  <c r="BG19" i="17"/>
  <c r="BH19" i="17" s="1"/>
  <c r="AQ20" i="17"/>
  <c r="AO20" i="17"/>
  <c r="AP20" i="17" s="1"/>
  <c r="AM20" i="17"/>
  <c r="AN20" i="17" s="1"/>
  <c r="AQ19" i="17"/>
  <c r="AO19" i="17"/>
  <c r="AP19" i="17" s="1"/>
  <c r="AM19" i="17"/>
  <c r="AN19" i="17" s="1"/>
  <c r="U20" i="17"/>
  <c r="V20" i="17" s="1"/>
  <c r="U19" i="17"/>
  <c r="V19" i="17" s="1"/>
  <c r="S20" i="17"/>
  <c r="T20" i="17" s="1"/>
  <c r="S19" i="17"/>
  <c r="T19" i="17" s="1"/>
  <c r="BI17" i="17"/>
  <c r="BJ17" i="17" s="1"/>
  <c r="BG17" i="17"/>
  <c r="BH17" i="17" s="1"/>
  <c r="BF17" i="17"/>
  <c r="BI16" i="17"/>
  <c r="BJ16" i="17" s="1"/>
  <c r="BG16" i="17"/>
  <c r="BH16" i="17" s="1"/>
  <c r="BF16" i="17"/>
  <c r="BI15" i="17"/>
  <c r="BJ15" i="17" s="1"/>
  <c r="BG15" i="17"/>
  <c r="BH15" i="17" s="1"/>
  <c r="BF15" i="17"/>
  <c r="AO17" i="17"/>
  <c r="AP17" i="17" s="1"/>
  <c r="AM17" i="17"/>
  <c r="AN17" i="17" s="1"/>
  <c r="AL17" i="17"/>
  <c r="AO16" i="17"/>
  <c r="AP16" i="17" s="1"/>
  <c r="AM16" i="17"/>
  <c r="AN16" i="17" s="1"/>
  <c r="AL16" i="17"/>
  <c r="AO15" i="17"/>
  <c r="AP15" i="17" s="1"/>
  <c r="AM15" i="17"/>
  <c r="AN15" i="17" s="1"/>
  <c r="AL15" i="17"/>
  <c r="U17" i="17"/>
  <c r="V17" i="17" s="1"/>
  <c r="U16" i="17"/>
  <c r="V16" i="17" s="1"/>
  <c r="U15" i="17"/>
  <c r="V15" i="17" s="1"/>
  <c r="S17" i="17"/>
  <c r="T17" i="17" s="1"/>
  <c r="S16" i="17"/>
  <c r="T16" i="17" s="1"/>
  <c r="S15" i="17"/>
  <c r="T15" i="17" s="1"/>
  <c r="R17" i="17"/>
  <c r="R16" i="17"/>
  <c r="R15" i="17"/>
  <c r="BI13" i="17"/>
  <c r="BJ13" i="17" s="1"/>
  <c r="BG13" i="17"/>
  <c r="BH13" i="17" s="1"/>
  <c r="BI12" i="17"/>
  <c r="BJ12" i="17" s="1"/>
  <c r="BG12" i="17"/>
  <c r="BH12" i="17" s="1"/>
  <c r="BI11" i="17"/>
  <c r="BJ11" i="17" s="1"/>
  <c r="BG11" i="17"/>
  <c r="BH11" i="17" s="1"/>
  <c r="AO13" i="17"/>
  <c r="AP13" i="17" s="1"/>
  <c r="AM13" i="17"/>
  <c r="AN13" i="17" s="1"/>
  <c r="AO12" i="17"/>
  <c r="AP12" i="17" s="1"/>
  <c r="AM12" i="17"/>
  <c r="AN12" i="17" s="1"/>
  <c r="AO11" i="17"/>
  <c r="AP11" i="17" s="1"/>
  <c r="AM11" i="17"/>
  <c r="AN11" i="17" s="1"/>
  <c r="U13" i="17"/>
  <c r="V13" i="17" s="1"/>
  <c r="U12" i="17"/>
  <c r="V12" i="17" s="1"/>
  <c r="U11" i="17"/>
  <c r="V11" i="17" s="1"/>
  <c r="S13" i="17"/>
  <c r="T13" i="17" s="1"/>
  <c r="S12" i="17"/>
  <c r="T12" i="17" s="1"/>
  <c r="S11" i="17"/>
  <c r="T11" i="17" s="1"/>
  <c r="BE8" i="17"/>
  <c r="BQ7" i="17" s="1"/>
  <c r="BD8" i="17"/>
  <c r="BP7" i="17" s="1"/>
  <c r="BC8" i="17"/>
  <c r="BO7" i="17" s="1"/>
  <c r="BB8" i="17"/>
  <c r="BA8" i="17"/>
  <c r="BI7" i="17" s="1"/>
  <c r="BJ7" i="17" s="1"/>
  <c r="AY8" i="17"/>
  <c r="BG7" i="17" s="1"/>
  <c r="BH7" i="17" s="1"/>
  <c r="AK8" i="17"/>
  <c r="AW7" i="17" s="1"/>
  <c r="AW10" i="17" s="1"/>
  <c r="AJ8" i="17"/>
  <c r="AV7" i="17" s="1"/>
  <c r="AI8" i="17"/>
  <c r="AU7" i="17" s="1"/>
  <c r="AH8" i="17"/>
  <c r="AG8" i="17"/>
  <c r="AO7" i="17" s="1"/>
  <c r="AP7" i="17" s="1"/>
  <c r="AE8" i="17"/>
  <c r="AM7" i="17" s="1"/>
  <c r="AN7" i="17" s="1"/>
  <c r="Q8" i="17"/>
  <c r="AC7" i="17" s="1"/>
  <c r="P8" i="17"/>
  <c r="AB7" i="17" s="1"/>
  <c r="O8" i="17"/>
  <c r="AA7" i="17" s="1"/>
  <c r="N8" i="17"/>
  <c r="M8" i="17"/>
  <c r="U7" i="17" s="1"/>
  <c r="V7" i="17" s="1"/>
  <c r="V10" i="17" s="1"/>
  <c r="V116" i="17" s="1"/>
  <c r="X116" i="17" s="1"/>
  <c r="K8" i="17"/>
  <c r="S7" i="17" s="1"/>
  <c r="T7" i="17" s="1"/>
  <c r="BE6" i="17"/>
  <c r="BQ5" i="17" s="1"/>
  <c r="BD6" i="17"/>
  <c r="BP5" i="17" s="1"/>
  <c r="BC6" i="17"/>
  <c r="BO5" i="17" s="1"/>
  <c r="BB6" i="17"/>
  <c r="BA6" i="17"/>
  <c r="BI5" i="17" s="1"/>
  <c r="BJ5" i="17" s="1"/>
  <c r="AY6" i="17"/>
  <c r="BG5" i="17" s="1"/>
  <c r="BH5" i="17" s="1"/>
  <c r="AK6" i="17"/>
  <c r="AW5" i="17" s="1"/>
  <c r="AJ6" i="17"/>
  <c r="AV5" i="17" s="1"/>
  <c r="AI6" i="17"/>
  <c r="AU5" i="17" s="1"/>
  <c r="AH6" i="17"/>
  <c r="AG6" i="17"/>
  <c r="AO5" i="17" s="1"/>
  <c r="AP5" i="17" s="1"/>
  <c r="AE6" i="17"/>
  <c r="AM5" i="17" s="1"/>
  <c r="AN5" i="17" s="1"/>
  <c r="Q6" i="17"/>
  <c r="AC5" i="17" s="1"/>
  <c r="P6" i="17"/>
  <c r="AB5" i="17" s="1"/>
  <c r="O6" i="17"/>
  <c r="AA5" i="17" s="1"/>
  <c r="N6" i="17"/>
  <c r="M6" i="17"/>
  <c r="U5" i="17" s="1"/>
  <c r="V5" i="17" s="1"/>
  <c r="K6" i="17"/>
  <c r="S5" i="17" s="1"/>
  <c r="T5" i="17" s="1"/>
  <c r="BG63" i="16"/>
  <c r="BH63" i="16" s="1"/>
  <c r="BG62" i="16"/>
  <c r="BH62" i="16" s="1"/>
  <c r="BG61" i="16"/>
  <c r="BH61" i="16" s="1"/>
  <c r="BG46" i="16"/>
  <c r="BH46" i="16" s="1"/>
  <c r="BG45" i="16"/>
  <c r="BG44" i="16"/>
  <c r="BH44" i="16" s="1"/>
  <c r="BG43" i="16"/>
  <c r="BH43" i="16" s="1"/>
  <c r="BG42" i="16"/>
  <c r="BH42" i="16" s="1"/>
  <c r="BG39" i="16"/>
  <c r="BH39" i="16" s="1"/>
  <c r="BG38" i="16"/>
  <c r="BH38" i="16" s="1"/>
  <c r="BG37" i="16"/>
  <c r="BH37" i="16" s="1"/>
  <c r="BH41" i="16" s="1"/>
  <c r="BH89" i="16" s="1"/>
  <c r="BG33" i="16"/>
  <c r="BH33" i="16" s="1"/>
  <c r="BG32" i="16"/>
  <c r="BH32" i="16" s="1"/>
  <c r="BG28" i="16"/>
  <c r="BH28" i="16" s="1"/>
  <c r="BH30" i="16" s="1"/>
  <c r="BG27" i="16"/>
  <c r="BH27" i="16" s="1"/>
  <c r="BH29" i="16" s="1"/>
  <c r="BG26" i="16"/>
  <c r="BH26" i="16" s="1"/>
  <c r="BG25" i="16"/>
  <c r="BH25" i="16" s="1"/>
  <c r="BG24" i="16"/>
  <c r="BH24" i="16" s="1"/>
  <c r="BG21" i="16"/>
  <c r="BG20" i="16"/>
  <c r="BG19" i="16"/>
  <c r="BG17" i="16"/>
  <c r="BH17" i="16" s="1"/>
  <c r="BG16" i="16"/>
  <c r="BH16" i="16" s="1"/>
  <c r="BH18" i="16" s="1"/>
  <c r="BG14" i="16"/>
  <c r="BH14" i="16" s="1"/>
  <c r="BH15" i="16" s="1"/>
  <c r="BG12" i="16"/>
  <c r="BH12" i="16" s="1"/>
  <c r="BG11" i="16"/>
  <c r="BH11" i="16" s="1"/>
  <c r="BI63" i="16"/>
  <c r="BJ63" i="16" s="1"/>
  <c r="BI62" i="16"/>
  <c r="BJ62" i="16" s="1"/>
  <c r="BI61" i="16"/>
  <c r="BJ61" i="16" s="1"/>
  <c r="BI46" i="16"/>
  <c r="BJ46" i="16" s="1"/>
  <c r="BI45" i="16"/>
  <c r="BJ45" i="16" s="1"/>
  <c r="BI44" i="16"/>
  <c r="BJ44" i="16" s="1"/>
  <c r="BI43" i="16"/>
  <c r="BJ43" i="16" s="1"/>
  <c r="BI42" i="16"/>
  <c r="BJ42" i="16" s="1"/>
  <c r="BJ48" i="16" s="1"/>
  <c r="BI39" i="16"/>
  <c r="BJ39" i="16" s="1"/>
  <c r="BI38" i="16"/>
  <c r="BJ38" i="16" s="1"/>
  <c r="BI37" i="16"/>
  <c r="BJ37" i="16" s="1"/>
  <c r="BI33" i="16"/>
  <c r="BJ33" i="16" s="1"/>
  <c r="BI32" i="16"/>
  <c r="BJ32" i="16" s="1"/>
  <c r="BJ36" i="16" s="1"/>
  <c r="BI28" i="16"/>
  <c r="BJ28" i="16" s="1"/>
  <c r="BJ30" i="16" s="1"/>
  <c r="BI27" i="16"/>
  <c r="BJ27" i="16" s="1"/>
  <c r="BI26" i="16"/>
  <c r="BJ26" i="16" s="1"/>
  <c r="BI25" i="16"/>
  <c r="BJ25" i="16" s="1"/>
  <c r="BI24" i="16"/>
  <c r="BJ24" i="16" s="1"/>
  <c r="BI21" i="16"/>
  <c r="BI20" i="16"/>
  <c r="BI19" i="16"/>
  <c r="BI17" i="16"/>
  <c r="BJ17" i="16" s="1"/>
  <c r="BI16" i="16"/>
  <c r="BJ16" i="16" s="1"/>
  <c r="BJ18" i="16" s="1"/>
  <c r="BI14" i="16"/>
  <c r="BJ14" i="16" s="1"/>
  <c r="BJ15" i="16" s="1"/>
  <c r="BI12" i="16"/>
  <c r="BJ12" i="16" s="1"/>
  <c r="BI11" i="16"/>
  <c r="BJ11" i="16" s="1"/>
  <c r="AO63" i="16"/>
  <c r="AP63" i="16" s="1"/>
  <c r="AO62" i="16"/>
  <c r="AP62" i="16" s="1"/>
  <c r="AO61" i="16"/>
  <c r="AP61" i="16" s="1"/>
  <c r="AO46" i="16"/>
  <c r="AP46" i="16" s="1"/>
  <c r="AO45" i="16"/>
  <c r="AP45" i="16" s="1"/>
  <c r="AO44" i="16"/>
  <c r="AP44" i="16" s="1"/>
  <c r="AO43" i="16"/>
  <c r="AP43" i="16" s="1"/>
  <c r="AO42" i="16"/>
  <c r="AP42" i="16" s="1"/>
  <c r="AP48" i="16" s="1"/>
  <c r="AO39" i="16"/>
  <c r="AP39" i="16" s="1"/>
  <c r="AO38" i="16"/>
  <c r="AP38" i="16" s="1"/>
  <c r="AO37" i="16"/>
  <c r="AP37" i="16" s="1"/>
  <c r="AO33" i="16"/>
  <c r="AP33" i="16" s="1"/>
  <c r="AO32" i="16"/>
  <c r="AP32" i="16" s="1"/>
  <c r="AO28" i="16"/>
  <c r="AP28" i="16" s="1"/>
  <c r="AO26" i="16"/>
  <c r="AP26" i="16" s="1"/>
  <c r="AO25" i="16"/>
  <c r="AP25" i="16" s="1"/>
  <c r="AO24" i="16"/>
  <c r="AP24" i="16" s="1"/>
  <c r="AO21" i="16"/>
  <c r="AO20" i="16"/>
  <c r="AO19" i="16"/>
  <c r="AO17" i="16"/>
  <c r="AP17" i="16" s="1"/>
  <c r="AO16" i="16"/>
  <c r="AP16" i="16" s="1"/>
  <c r="AP18" i="16" s="1"/>
  <c r="AO14" i="16"/>
  <c r="AP14" i="16" s="1"/>
  <c r="AP15" i="16" s="1"/>
  <c r="AO12" i="16"/>
  <c r="AP12" i="16" s="1"/>
  <c r="AO11" i="16"/>
  <c r="AP11" i="16" s="1"/>
  <c r="AP13" i="16" s="1"/>
  <c r="AM63" i="16"/>
  <c r="AN63" i="16" s="1"/>
  <c r="AM62" i="16"/>
  <c r="AN62" i="16" s="1"/>
  <c r="AM61" i="16"/>
  <c r="AN61" i="16" s="1"/>
  <c r="AM46" i="16"/>
  <c r="AN46" i="16" s="1"/>
  <c r="AM45" i="16"/>
  <c r="AN45" i="16" s="1"/>
  <c r="AM44" i="16"/>
  <c r="AN44" i="16" s="1"/>
  <c r="AM43" i="16"/>
  <c r="AN43" i="16" s="1"/>
  <c r="AM42" i="16"/>
  <c r="AN42" i="16" s="1"/>
  <c r="AM39" i="16"/>
  <c r="AN39" i="16" s="1"/>
  <c r="AM38" i="16"/>
  <c r="AN38" i="16" s="1"/>
  <c r="AM37" i="16"/>
  <c r="AN37" i="16" s="1"/>
  <c r="AN41" i="16" s="1"/>
  <c r="AN89" i="16" s="1"/>
  <c r="AM33" i="16"/>
  <c r="AN33" i="16" s="1"/>
  <c r="AM32" i="16"/>
  <c r="AN32" i="16" s="1"/>
  <c r="AM28" i="16"/>
  <c r="AN28" i="16" s="1"/>
  <c r="AN30" i="16" s="1"/>
  <c r="AM26" i="16"/>
  <c r="AN26" i="16" s="1"/>
  <c r="AM25" i="16"/>
  <c r="AN25" i="16" s="1"/>
  <c r="AM24" i="16"/>
  <c r="AN24" i="16" s="1"/>
  <c r="AM21" i="16"/>
  <c r="AM20" i="16"/>
  <c r="AM19" i="16"/>
  <c r="AM17" i="16"/>
  <c r="AN17" i="16" s="1"/>
  <c r="AM16" i="16"/>
  <c r="AN16" i="16" s="1"/>
  <c r="AN18" i="16" s="1"/>
  <c r="AM14" i="16"/>
  <c r="AN14" i="16" s="1"/>
  <c r="AN15" i="16" s="1"/>
  <c r="AM12" i="16"/>
  <c r="AN12" i="16" s="1"/>
  <c r="AM11" i="16"/>
  <c r="AN11" i="16" s="1"/>
  <c r="U63" i="16"/>
  <c r="V63" i="16" s="1"/>
  <c r="U62" i="16"/>
  <c r="U61" i="16"/>
  <c r="V61" i="16" s="1"/>
  <c r="S63" i="16"/>
  <c r="T63" i="16" s="1"/>
  <c r="S62" i="16"/>
  <c r="T62" i="16" s="1"/>
  <c r="S61" i="16"/>
  <c r="T61" i="16" s="1"/>
  <c r="U58" i="16"/>
  <c r="V58" i="16" s="1"/>
  <c r="S58" i="16"/>
  <c r="T58" i="16" s="1"/>
  <c r="U46" i="16"/>
  <c r="V46" i="16" s="1"/>
  <c r="U45" i="16"/>
  <c r="V45" i="16" s="1"/>
  <c r="U44" i="16"/>
  <c r="V44" i="16" s="1"/>
  <c r="U43" i="16"/>
  <c r="V43" i="16" s="1"/>
  <c r="U42" i="16"/>
  <c r="V42" i="16" s="1"/>
  <c r="S46" i="16"/>
  <c r="T46" i="16" s="1"/>
  <c r="S45" i="16"/>
  <c r="T45" i="16" s="1"/>
  <c r="S44" i="16"/>
  <c r="T44" i="16" s="1"/>
  <c r="S43" i="16"/>
  <c r="T43" i="16" s="1"/>
  <c r="S42" i="16"/>
  <c r="T42" i="16" s="1"/>
  <c r="U39" i="16"/>
  <c r="V39" i="16" s="1"/>
  <c r="U38" i="16"/>
  <c r="V38" i="16" s="1"/>
  <c r="U37" i="16"/>
  <c r="V37" i="16" s="1"/>
  <c r="S39" i="16"/>
  <c r="T39" i="16" s="1"/>
  <c r="S38" i="16"/>
  <c r="T38" i="16" s="1"/>
  <c r="S37" i="16"/>
  <c r="T37" i="16" s="1"/>
  <c r="U33" i="16"/>
  <c r="V33" i="16" s="1"/>
  <c r="U32" i="16"/>
  <c r="V32" i="16" s="1"/>
  <c r="S33" i="16"/>
  <c r="T33" i="16" s="1"/>
  <c r="S32" i="16"/>
  <c r="T32" i="16" s="1"/>
  <c r="U28" i="16"/>
  <c r="V28" i="16" s="1"/>
  <c r="U26" i="16"/>
  <c r="U25" i="16"/>
  <c r="V25" i="16" s="1"/>
  <c r="U24" i="16"/>
  <c r="S28" i="16"/>
  <c r="T28" i="16" s="1"/>
  <c r="S26" i="16"/>
  <c r="T26" i="16" s="1"/>
  <c r="S25" i="16"/>
  <c r="T25" i="16" s="1"/>
  <c r="S24" i="16"/>
  <c r="T24" i="16" s="1"/>
  <c r="U17" i="16"/>
  <c r="V17" i="16" s="1"/>
  <c r="U16" i="16"/>
  <c r="V16" i="16" s="1"/>
  <c r="V18" i="16" s="1"/>
  <c r="S17" i="16"/>
  <c r="T17" i="16" s="1"/>
  <c r="S16" i="16"/>
  <c r="T16" i="16" s="1"/>
  <c r="T18" i="16" s="1"/>
  <c r="U14" i="16"/>
  <c r="BF14" i="16" s="1"/>
  <c r="S14" i="16"/>
  <c r="U12" i="16"/>
  <c r="V12" i="16" s="1"/>
  <c r="U11" i="16"/>
  <c r="V11" i="16" s="1"/>
  <c r="V13" i="16" s="1"/>
  <c r="S12" i="16"/>
  <c r="T12" i="16" s="1"/>
  <c r="S11" i="16"/>
  <c r="T11" i="16" s="1"/>
  <c r="T13" i="16" s="1"/>
  <c r="BE8" i="16"/>
  <c r="BQ7" i="16" s="1"/>
  <c r="BD8" i="16"/>
  <c r="BP7" i="16" s="1"/>
  <c r="BC8" i="16"/>
  <c r="BO7" i="16" s="1"/>
  <c r="BB8" i="16"/>
  <c r="BA8" i="16"/>
  <c r="BI7" i="16" s="1"/>
  <c r="BE6" i="16"/>
  <c r="BQ5" i="16" s="1"/>
  <c r="BD6" i="16"/>
  <c r="BP5" i="16" s="1"/>
  <c r="BC6" i="16"/>
  <c r="BO5" i="16" s="1"/>
  <c r="BO10" i="16" s="1"/>
  <c r="BB6" i="16"/>
  <c r="BA6" i="16"/>
  <c r="BI5" i="16" s="1"/>
  <c r="AY8" i="16"/>
  <c r="BG7" i="16" s="1"/>
  <c r="BH7" i="16" s="1"/>
  <c r="AY6" i="16"/>
  <c r="BG5" i="16" s="1"/>
  <c r="BH5" i="16" s="1"/>
  <c r="BH10" i="16" s="1"/>
  <c r="AK8" i="16"/>
  <c r="AW7" i="16" s="1"/>
  <c r="AJ8" i="16"/>
  <c r="AV7" i="16" s="1"/>
  <c r="AI8" i="16"/>
  <c r="AU7" i="16" s="1"/>
  <c r="AH8" i="16"/>
  <c r="AG8" i="16"/>
  <c r="AO7" i="16" s="1"/>
  <c r="AE8" i="16"/>
  <c r="AM7" i="16" s="1"/>
  <c r="AN7" i="16" s="1"/>
  <c r="Q8" i="16"/>
  <c r="AC7" i="16" s="1"/>
  <c r="P8" i="16"/>
  <c r="AB7" i="16" s="1"/>
  <c r="O8" i="16"/>
  <c r="AA7" i="16" s="1"/>
  <c r="N8" i="16"/>
  <c r="M8" i="16"/>
  <c r="U7" i="16" s="1"/>
  <c r="V7" i="16" s="1"/>
  <c r="K8" i="16"/>
  <c r="S7" i="16" s="1"/>
  <c r="T7" i="16" s="1"/>
  <c r="AK6" i="16"/>
  <c r="AW5" i="16" s="1"/>
  <c r="AJ6" i="16"/>
  <c r="AV5" i="16" s="1"/>
  <c r="AI6" i="16"/>
  <c r="AH6" i="16"/>
  <c r="AG6" i="16"/>
  <c r="AO5" i="16" s="1"/>
  <c r="AE6" i="16"/>
  <c r="AM5" i="16" s="1"/>
  <c r="AN5" i="16" s="1"/>
  <c r="AN10" i="16" s="1"/>
  <c r="Q6" i="16"/>
  <c r="AC5" i="16" s="1"/>
  <c r="P6" i="16"/>
  <c r="AB5" i="16" s="1"/>
  <c r="AB10" i="16" s="1"/>
  <c r="O6" i="16"/>
  <c r="AA5" i="16" s="1"/>
  <c r="N6" i="16"/>
  <c r="M6" i="16"/>
  <c r="U5" i="16" s="1"/>
  <c r="V5" i="16" s="1"/>
  <c r="V10" i="16" s="1"/>
  <c r="K6" i="16"/>
  <c r="S5" i="16" s="1"/>
  <c r="T5" i="16" s="1"/>
  <c r="AO58" i="4"/>
  <c r="AP58" i="4" s="1"/>
  <c r="AO57" i="4"/>
  <c r="AP57" i="4" s="1"/>
  <c r="AO56" i="4"/>
  <c r="AP56" i="4" s="1"/>
  <c r="AM58" i="4"/>
  <c r="AN58" i="4" s="1"/>
  <c r="AM57" i="4"/>
  <c r="AN57" i="4" s="1"/>
  <c r="AM56" i="4"/>
  <c r="AN56" i="4" s="1"/>
  <c r="AO53" i="4"/>
  <c r="AP53" i="4" s="1"/>
  <c r="AM53" i="4"/>
  <c r="AN53" i="4" s="1"/>
  <c r="AO41" i="4"/>
  <c r="AP41" i="4" s="1"/>
  <c r="AO40" i="4"/>
  <c r="AP40" i="4" s="1"/>
  <c r="AM41" i="4"/>
  <c r="AN41" i="4" s="1"/>
  <c r="AM40" i="4"/>
  <c r="AN40" i="4" s="1"/>
  <c r="AO37" i="4"/>
  <c r="AP37" i="4" s="1"/>
  <c r="AO36" i="4"/>
  <c r="AP36" i="4" s="1"/>
  <c r="AM37" i="4"/>
  <c r="AN37" i="4" s="1"/>
  <c r="AM36" i="4"/>
  <c r="AN36" i="4" s="1"/>
  <c r="AO32" i="4"/>
  <c r="AP32" i="4" s="1"/>
  <c r="AO31" i="4"/>
  <c r="AP31" i="4" s="1"/>
  <c r="AM32" i="4"/>
  <c r="AN32" i="4" s="1"/>
  <c r="AM31" i="4"/>
  <c r="AN31" i="4" s="1"/>
  <c r="AO27" i="4"/>
  <c r="AP27" i="4" s="1"/>
  <c r="AO26" i="4"/>
  <c r="AP26" i="4" s="1"/>
  <c r="AO25" i="4"/>
  <c r="AP25" i="4" s="1"/>
  <c r="AO24" i="4"/>
  <c r="AP24" i="4" s="1"/>
  <c r="AM27" i="4"/>
  <c r="AN27" i="4" s="1"/>
  <c r="AM26" i="4"/>
  <c r="AN26" i="4" s="1"/>
  <c r="AM25" i="4"/>
  <c r="AM24" i="4"/>
  <c r="AO17" i="4"/>
  <c r="AP17" i="4" s="1"/>
  <c r="AO16" i="4"/>
  <c r="AP16" i="4" s="1"/>
  <c r="AM17" i="4"/>
  <c r="AN17" i="4" s="1"/>
  <c r="AM16" i="4"/>
  <c r="AN16" i="4" s="1"/>
  <c r="AO14" i="4"/>
  <c r="AP14" i="4" s="1"/>
  <c r="AM14" i="4"/>
  <c r="AN14" i="4" s="1"/>
  <c r="AO12" i="4"/>
  <c r="AP12" i="4" s="1"/>
  <c r="AO11" i="4"/>
  <c r="AP11" i="4" s="1"/>
  <c r="AM12" i="4"/>
  <c r="AN12" i="4" s="1"/>
  <c r="AM11" i="4"/>
  <c r="AN11" i="4" s="1"/>
  <c r="U58" i="4"/>
  <c r="V58" i="4" s="1"/>
  <c r="U57" i="4"/>
  <c r="V57" i="4" s="1"/>
  <c r="U56" i="4"/>
  <c r="V56" i="4" s="1"/>
  <c r="S58" i="4"/>
  <c r="T58" i="4" s="1"/>
  <c r="S57" i="4"/>
  <c r="T57" i="4" s="1"/>
  <c r="S56" i="4"/>
  <c r="T56" i="4" s="1"/>
  <c r="U53" i="4"/>
  <c r="V53" i="4" s="1"/>
  <c r="S53" i="4"/>
  <c r="T53" i="4" s="1"/>
  <c r="U41" i="4"/>
  <c r="V41" i="4" s="1"/>
  <c r="U40" i="4"/>
  <c r="V40" i="4" s="1"/>
  <c r="S41" i="4"/>
  <c r="T41" i="4" s="1"/>
  <c r="S40" i="4"/>
  <c r="T40" i="4" s="1"/>
  <c r="U37" i="4"/>
  <c r="V37" i="4" s="1"/>
  <c r="U36" i="4"/>
  <c r="V36" i="4" s="1"/>
  <c r="S37" i="4"/>
  <c r="T37" i="4" s="1"/>
  <c r="S36" i="4"/>
  <c r="T36" i="4" s="1"/>
  <c r="U32" i="4"/>
  <c r="V32" i="4" s="1"/>
  <c r="U31" i="4"/>
  <c r="V31" i="4" s="1"/>
  <c r="S32" i="4"/>
  <c r="T32" i="4" s="1"/>
  <c r="S31" i="4"/>
  <c r="U27" i="4"/>
  <c r="V27" i="4" s="1"/>
  <c r="U26" i="4"/>
  <c r="V26" i="4" s="1"/>
  <c r="U25" i="4"/>
  <c r="V25" i="4" s="1"/>
  <c r="U24" i="4"/>
  <c r="V24" i="4" s="1"/>
  <c r="S27" i="4"/>
  <c r="T27" i="4" s="1"/>
  <c r="S26" i="4"/>
  <c r="T26" i="4" s="1"/>
  <c r="S25" i="4"/>
  <c r="T25" i="4" s="1"/>
  <c r="S24" i="4"/>
  <c r="T24" i="4" s="1"/>
  <c r="U17" i="4"/>
  <c r="V17" i="4" s="1"/>
  <c r="S17" i="4"/>
  <c r="T17" i="4" s="1"/>
  <c r="U16" i="4"/>
  <c r="U14" i="4"/>
  <c r="U12" i="4"/>
  <c r="V12" i="4" s="1"/>
  <c r="U11" i="4"/>
  <c r="V11" i="4" s="1"/>
  <c r="S14" i="4"/>
  <c r="T14" i="4" s="1"/>
  <c r="S12" i="4"/>
  <c r="T12" i="4" s="1"/>
  <c r="S11" i="4"/>
  <c r="T11" i="4" s="1"/>
  <c r="AK8" i="4"/>
  <c r="AW7" i="4" s="1"/>
  <c r="AJ8" i="4"/>
  <c r="AV7" i="4" s="1"/>
  <c r="AI8" i="4"/>
  <c r="AU7" i="4" s="1"/>
  <c r="AH8" i="4"/>
  <c r="AG8" i="4"/>
  <c r="AO7" i="4" s="1"/>
  <c r="AP7" i="4" s="1"/>
  <c r="AE8" i="4"/>
  <c r="AM7" i="4" s="1"/>
  <c r="AN7" i="4" s="1"/>
  <c r="Q8" i="4"/>
  <c r="P8" i="4"/>
  <c r="O8" i="4"/>
  <c r="N8" i="4"/>
  <c r="M8" i="4"/>
  <c r="U7" i="4" s="1"/>
  <c r="V7" i="4" s="1"/>
  <c r="K8" i="4"/>
  <c r="S7" i="4" s="1"/>
  <c r="T7" i="4" s="1"/>
  <c r="AK6" i="4"/>
  <c r="AW5" i="4" s="1"/>
  <c r="AJ6" i="4"/>
  <c r="AV5" i="4" s="1"/>
  <c r="AI6" i="4"/>
  <c r="AU5" i="4" s="1"/>
  <c r="AH6" i="4"/>
  <c r="AG6" i="4"/>
  <c r="AO5" i="4" s="1"/>
  <c r="AP5" i="4" s="1"/>
  <c r="AE6" i="4"/>
  <c r="AM5" i="4" s="1"/>
  <c r="AN5" i="4" s="1"/>
  <c r="Q6" i="4"/>
  <c r="P6" i="4"/>
  <c r="O6" i="4"/>
  <c r="N6" i="4"/>
  <c r="M6" i="4"/>
  <c r="U5" i="4" s="1"/>
  <c r="V5" i="4" s="1"/>
  <c r="K6" i="4"/>
  <c r="S5" i="4" s="1"/>
  <c r="T5" i="4" s="1"/>
  <c r="U56" i="9"/>
  <c r="V56" i="9" s="1"/>
  <c r="U55" i="9"/>
  <c r="V55" i="9" s="1"/>
  <c r="U54" i="9"/>
  <c r="V54" i="9" s="1"/>
  <c r="U53" i="9"/>
  <c r="V53" i="9" s="1"/>
  <c r="S56" i="9"/>
  <c r="T56" i="9" s="1"/>
  <c r="S55" i="9"/>
  <c r="T55" i="9" s="1"/>
  <c r="S54" i="9"/>
  <c r="T54" i="9" s="1"/>
  <c r="S53" i="9"/>
  <c r="T53" i="9" s="1"/>
  <c r="U49" i="9"/>
  <c r="V49" i="9" s="1"/>
  <c r="U86" i="9" s="1"/>
  <c r="W86" i="9" s="1"/>
  <c r="U48" i="9"/>
  <c r="V48" i="9" s="1"/>
  <c r="U47" i="9"/>
  <c r="V47" i="9" s="1"/>
  <c r="U46" i="9"/>
  <c r="V46" i="9" s="1"/>
  <c r="U87" i="9" s="1"/>
  <c r="W87" i="9" s="1"/>
  <c r="U45" i="9"/>
  <c r="V45" i="9" s="1"/>
  <c r="U44" i="9"/>
  <c r="V44" i="9" s="1"/>
  <c r="U43" i="9"/>
  <c r="V43" i="9" s="1"/>
  <c r="U42" i="9"/>
  <c r="V42" i="9" s="1"/>
  <c r="U41" i="9"/>
  <c r="V41" i="9" s="1"/>
  <c r="U40" i="9"/>
  <c r="V40" i="9" s="1"/>
  <c r="U79" i="9" s="1"/>
  <c r="S49" i="9"/>
  <c r="T49" i="9" s="1"/>
  <c r="S88" i="9" s="1"/>
  <c r="S48" i="9"/>
  <c r="T48" i="9" s="1"/>
  <c r="S47" i="9"/>
  <c r="T47" i="9" s="1"/>
  <c r="S46" i="9"/>
  <c r="T46" i="9" s="1"/>
  <c r="S87" i="9" s="1"/>
  <c r="S45" i="9"/>
  <c r="T45" i="9" s="1"/>
  <c r="S44" i="9"/>
  <c r="T44" i="9" s="1"/>
  <c r="S43" i="9"/>
  <c r="T43" i="9" s="1"/>
  <c r="S42" i="9"/>
  <c r="T42" i="9" s="1"/>
  <c r="S41" i="9"/>
  <c r="T41" i="9" s="1"/>
  <c r="S40" i="9"/>
  <c r="T40" i="9" s="1"/>
  <c r="S79" i="9" s="1"/>
  <c r="U34" i="9"/>
  <c r="V34" i="9" s="1"/>
  <c r="U33" i="9"/>
  <c r="V33" i="9" s="1"/>
  <c r="U32" i="9"/>
  <c r="V32" i="9" s="1"/>
  <c r="U31" i="9"/>
  <c r="V31" i="9" s="1"/>
  <c r="U78" i="9" s="1"/>
  <c r="W78" i="9" s="1"/>
  <c r="S34" i="9"/>
  <c r="T34" i="9" s="1"/>
  <c r="S33" i="9"/>
  <c r="T33" i="9" s="1"/>
  <c r="S32" i="9"/>
  <c r="T32" i="9" s="1"/>
  <c r="S31" i="9"/>
  <c r="T31" i="9" s="1"/>
  <c r="S107" i="9" s="1"/>
  <c r="U27" i="9"/>
  <c r="V27" i="9" s="1"/>
  <c r="U26" i="9"/>
  <c r="V26" i="9" s="1"/>
  <c r="U25" i="9"/>
  <c r="V25" i="9" s="1"/>
  <c r="U24" i="9"/>
  <c r="V24" i="9" s="1"/>
  <c r="S27" i="9"/>
  <c r="T27" i="9" s="1"/>
  <c r="S26" i="9"/>
  <c r="T26" i="9" s="1"/>
  <c r="S25" i="9"/>
  <c r="T25" i="9" s="1"/>
  <c r="S24" i="9"/>
  <c r="T24" i="9" s="1"/>
  <c r="U17" i="9"/>
  <c r="V17" i="9" s="1"/>
  <c r="U16" i="9"/>
  <c r="V16" i="9" s="1"/>
  <c r="V18" i="9" s="1"/>
  <c r="S17" i="9"/>
  <c r="T17" i="9" s="1"/>
  <c r="S16" i="9"/>
  <c r="T16" i="9" s="1"/>
  <c r="T18" i="9" s="1"/>
  <c r="U14" i="9"/>
  <c r="V14" i="9" s="1"/>
  <c r="S14" i="9"/>
  <c r="T14" i="9" s="1"/>
  <c r="U12" i="9"/>
  <c r="V12" i="9" s="1"/>
  <c r="U11" i="9"/>
  <c r="V11" i="9" s="1"/>
  <c r="V13" i="9" s="1"/>
  <c r="S12" i="9"/>
  <c r="T12" i="9" s="1"/>
  <c r="S11" i="9"/>
  <c r="T11" i="9" s="1"/>
  <c r="T13" i="9" s="1"/>
  <c r="Q8" i="9"/>
  <c r="AD7" i="9" s="1"/>
  <c r="P8" i="9"/>
  <c r="AC7" i="9" s="1"/>
  <c r="O8" i="9"/>
  <c r="AB7" i="9" s="1"/>
  <c r="N8" i="9"/>
  <c r="M8" i="9"/>
  <c r="U7" i="9" s="1"/>
  <c r="V7" i="9" s="1"/>
  <c r="K8" i="9"/>
  <c r="S7" i="9" s="1"/>
  <c r="T7" i="9" s="1"/>
  <c r="Q6" i="9"/>
  <c r="AD5" i="9" s="1"/>
  <c r="AD10" i="9" s="1"/>
  <c r="P6" i="9"/>
  <c r="AC5" i="9" s="1"/>
  <c r="AC10" i="9" s="1"/>
  <c r="O6" i="9"/>
  <c r="AB5" i="9" s="1"/>
  <c r="AB10" i="9" s="1"/>
  <c r="N6" i="9"/>
  <c r="M6" i="9"/>
  <c r="U5" i="9" s="1"/>
  <c r="V5" i="9" s="1"/>
  <c r="V10" i="9" s="1"/>
  <c r="K6" i="9"/>
  <c r="S5" i="9" s="1"/>
  <c r="T5" i="9" s="1"/>
  <c r="T10" i="9" s="1"/>
  <c r="U53" i="10"/>
  <c r="U52" i="10"/>
  <c r="U51" i="10"/>
  <c r="V51" i="10" s="1"/>
  <c r="U50" i="10"/>
  <c r="V50" i="10" s="1"/>
  <c r="S53" i="10"/>
  <c r="T53" i="10" s="1"/>
  <c r="S52" i="10"/>
  <c r="S51" i="10"/>
  <c r="S50" i="10"/>
  <c r="T50" i="10" s="1"/>
  <c r="U46" i="10"/>
  <c r="U45" i="10"/>
  <c r="U44" i="10"/>
  <c r="V44" i="10" s="1"/>
  <c r="U43" i="10"/>
  <c r="V43" i="10" s="1"/>
  <c r="U42" i="10"/>
  <c r="V42" i="10" s="1"/>
  <c r="U41" i="10"/>
  <c r="V41" i="10" s="1"/>
  <c r="U40" i="10"/>
  <c r="V40" i="10" s="1"/>
  <c r="U39" i="10"/>
  <c r="S46" i="10"/>
  <c r="S45" i="10"/>
  <c r="T45" i="10" s="1"/>
  <c r="S44" i="10"/>
  <c r="S43" i="10"/>
  <c r="S42" i="10"/>
  <c r="S41" i="10"/>
  <c r="S40" i="10"/>
  <c r="S39" i="10"/>
  <c r="T39" i="10" s="1"/>
  <c r="U33" i="10"/>
  <c r="U32" i="10"/>
  <c r="U31" i="10"/>
  <c r="V31" i="10" s="1"/>
  <c r="S33" i="10"/>
  <c r="T33" i="10" s="1"/>
  <c r="S32" i="10"/>
  <c r="S31" i="10"/>
  <c r="U27" i="10"/>
  <c r="U26" i="10"/>
  <c r="U25" i="10"/>
  <c r="V25" i="10" s="1"/>
  <c r="U24" i="10"/>
  <c r="V24" i="10" s="1"/>
  <c r="S27" i="10"/>
  <c r="T27" i="10" s="1"/>
  <c r="S26" i="10"/>
  <c r="S25" i="10"/>
  <c r="S24" i="10"/>
  <c r="T24" i="10" s="1"/>
  <c r="T30" i="10" s="1"/>
  <c r="Y30" i="10" s="1"/>
  <c r="S66" i="10" s="1"/>
  <c r="U17" i="10"/>
  <c r="U16" i="10"/>
  <c r="S17" i="10"/>
  <c r="T17" i="10" s="1"/>
  <c r="S16" i="10"/>
  <c r="U14" i="10"/>
  <c r="V14" i="10" s="1"/>
  <c r="V15" i="10" s="1"/>
  <c r="S14" i="10"/>
  <c r="T14" i="10" s="1"/>
  <c r="T15" i="10" s="1"/>
  <c r="S12" i="10"/>
  <c r="U12" i="10"/>
  <c r="U11" i="10"/>
  <c r="S11" i="10"/>
  <c r="T11" i="10" s="1"/>
  <c r="T13" i="10" s="1"/>
  <c r="Q8" i="10"/>
  <c r="AD7" i="10" s="1"/>
  <c r="P8" i="10"/>
  <c r="AC7" i="10" s="1"/>
  <c r="O8" i="10"/>
  <c r="N8" i="10"/>
  <c r="M8" i="10"/>
  <c r="U7" i="10" s="1"/>
  <c r="V7" i="10" s="1"/>
  <c r="K8" i="10"/>
  <c r="S7" i="10" s="1"/>
  <c r="T7" i="10" s="1"/>
  <c r="Q6" i="10"/>
  <c r="AD5" i="10" s="1"/>
  <c r="P6" i="10"/>
  <c r="AC5" i="10" s="1"/>
  <c r="O6" i="10"/>
  <c r="AB5" i="10" s="1"/>
  <c r="AB10" i="10" s="1"/>
  <c r="N6" i="10"/>
  <c r="M6" i="10"/>
  <c r="U5" i="10" s="1"/>
  <c r="V5" i="10" s="1"/>
  <c r="V10" i="10" s="1"/>
  <c r="K6" i="10"/>
  <c r="S5" i="10" s="1"/>
  <c r="T5" i="10" s="1"/>
  <c r="T10" i="10" s="1"/>
  <c r="U45" i="11"/>
  <c r="V45" i="11" s="1"/>
  <c r="U44" i="11"/>
  <c r="V44" i="11" s="1"/>
  <c r="U43" i="11"/>
  <c r="V43" i="11" s="1"/>
  <c r="U42" i="11"/>
  <c r="U39" i="11"/>
  <c r="U38" i="11"/>
  <c r="V38" i="11" s="1"/>
  <c r="U37" i="11"/>
  <c r="V37" i="11" s="1"/>
  <c r="U36" i="11"/>
  <c r="V36" i="11" s="1"/>
  <c r="U35" i="11"/>
  <c r="V35" i="11" s="1"/>
  <c r="U32" i="11"/>
  <c r="V32" i="11" s="1"/>
  <c r="U75" i="11" s="1"/>
  <c r="W75" i="11" s="1"/>
  <c r="U31" i="11"/>
  <c r="V31" i="11" s="1"/>
  <c r="U30" i="11"/>
  <c r="V30" i="11" s="1"/>
  <c r="U29" i="11"/>
  <c r="V29" i="11" s="1"/>
  <c r="U25" i="11"/>
  <c r="V25" i="11" s="1"/>
  <c r="U24" i="11"/>
  <c r="U23" i="11"/>
  <c r="U22" i="11"/>
  <c r="V22" i="11" s="1"/>
  <c r="U19" i="11"/>
  <c r="U17" i="11"/>
  <c r="U15" i="11"/>
  <c r="V15" i="11" s="1"/>
  <c r="U14" i="11"/>
  <c r="V14" i="11" s="1"/>
  <c r="U12" i="11"/>
  <c r="V12" i="11" s="1"/>
  <c r="U11" i="11"/>
  <c r="V11" i="11" s="1"/>
  <c r="V13" i="11" s="1"/>
  <c r="S45" i="11"/>
  <c r="T45" i="11" s="1"/>
  <c r="S44" i="11"/>
  <c r="T44" i="11" s="1"/>
  <c r="S43" i="11"/>
  <c r="S42" i="11"/>
  <c r="T42" i="11" s="1"/>
  <c r="S39" i="11"/>
  <c r="T39" i="11" s="1"/>
  <c r="S79" i="11" s="1"/>
  <c r="S38" i="11"/>
  <c r="T38" i="11" s="1"/>
  <c r="S37" i="11"/>
  <c r="T37" i="11" s="1"/>
  <c r="S36" i="11"/>
  <c r="T36" i="11" s="1"/>
  <c r="S35" i="11"/>
  <c r="T35" i="11" s="1"/>
  <c r="S32" i="11"/>
  <c r="T32" i="11" s="1"/>
  <c r="S31" i="11"/>
  <c r="T31" i="11" s="1"/>
  <c r="S30" i="11"/>
  <c r="T30" i="11" s="1"/>
  <c r="S29" i="11"/>
  <c r="S25" i="11"/>
  <c r="T25" i="11" s="1"/>
  <c r="S24" i="11"/>
  <c r="T24" i="11" s="1"/>
  <c r="S23" i="11"/>
  <c r="T23" i="11" s="1"/>
  <c r="S22" i="11"/>
  <c r="T22" i="11" s="1"/>
  <c r="S15" i="11"/>
  <c r="T15" i="11" s="1"/>
  <c r="S14" i="11"/>
  <c r="T14" i="11" s="1"/>
  <c r="S12" i="11"/>
  <c r="T12" i="11" s="1"/>
  <c r="S11" i="11"/>
  <c r="T11" i="11" s="1"/>
  <c r="Q8" i="11"/>
  <c r="AD7" i="11" s="1"/>
  <c r="P8" i="11"/>
  <c r="AC7" i="11" s="1"/>
  <c r="O8" i="11"/>
  <c r="AB7" i="11" s="1"/>
  <c r="N8" i="11"/>
  <c r="U7" i="11" s="1"/>
  <c r="V7" i="11" s="1"/>
  <c r="M8" i="11"/>
  <c r="K8" i="11"/>
  <c r="S7" i="11" s="1"/>
  <c r="T7" i="11" s="1"/>
  <c r="Q6" i="11"/>
  <c r="AD5" i="11" s="1"/>
  <c r="AD10" i="11" s="1"/>
  <c r="P6" i="11"/>
  <c r="AC5" i="11" s="1"/>
  <c r="O6" i="11"/>
  <c r="AB5" i="11" s="1"/>
  <c r="N6" i="11"/>
  <c r="M6" i="11"/>
  <c r="U5" i="11" s="1"/>
  <c r="V5" i="11" s="1"/>
  <c r="K6" i="11"/>
  <c r="S5" i="11" s="1"/>
  <c r="T5" i="11" s="1"/>
  <c r="AL8" i="12"/>
  <c r="AK8" i="12"/>
  <c r="AY7" i="12" s="1"/>
  <c r="AJ8" i="12"/>
  <c r="AX7" i="12" s="1"/>
  <c r="AI8" i="12"/>
  <c r="AW7" i="12" s="1"/>
  <c r="AH8" i="12"/>
  <c r="AP7" i="12" s="1"/>
  <c r="AQ7" i="12" s="1"/>
  <c r="AL6" i="12"/>
  <c r="AK6" i="12"/>
  <c r="AY5" i="12" s="1"/>
  <c r="AJ6" i="12"/>
  <c r="AX5" i="12" s="1"/>
  <c r="AI6" i="12"/>
  <c r="AW5" i="12" s="1"/>
  <c r="AH6" i="12"/>
  <c r="AP5" i="12" s="1"/>
  <c r="AQ5" i="12" s="1"/>
  <c r="AF6" i="12"/>
  <c r="AV5" i="12" s="1"/>
  <c r="AF8" i="12"/>
  <c r="AN7" i="12" s="1"/>
  <c r="AO7" i="12" s="1"/>
  <c r="Q8" i="12"/>
  <c r="P8" i="12"/>
  <c r="O8" i="12"/>
  <c r="N8" i="12"/>
  <c r="M8" i="12"/>
  <c r="U7" i="12" s="1"/>
  <c r="V7" i="12" s="1"/>
  <c r="K8" i="12"/>
  <c r="S7" i="12" s="1"/>
  <c r="T7" i="12" s="1"/>
  <c r="Q6" i="12"/>
  <c r="P6" i="12"/>
  <c r="O6" i="12"/>
  <c r="N6" i="12"/>
  <c r="M6" i="12"/>
  <c r="U5" i="12" s="1"/>
  <c r="V5" i="12" s="1"/>
  <c r="K6" i="12"/>
  <c r="S5" i="12" s="1"/>
  <c r="T5" i="12" s="1"/>
  <c r="AP37" i="12"/>
  <c r="AQ37" i="12" s="1"/>
  <c r="AP36" i="12"/>
  <c r="AQ36" i="12" s="1"/>
  <c r="AP35" i="12"/>
  <c r="AQ35" i="12" s="1"/>
  <c r="AP34" i="12"/>
  <c r="AQ34" i="12" s="1"/>
  <c r="AP31" i="12"/>
  <c r="AQ31" i="12" s="1"/>
  <c r="AP30" i="12"/>
  <c r="AQ30" i="12" s="1"/>
  <c r="AP27" i="12"/>
  <c r="AP26" i="12"/>
  <c r="AQ26" i="12" s="1"/>
  <c r="AP25" i="12"/>
  <c r="AQ25" i="12" s="1"/>
  <c r="AP24" i="12"/>
  <c r="AQ24" i="12" s="1"/>
  <c r="AP20" i="12"/>
  <c r="AQ20" i="12" s="1"/>
  <c r="AP19" i="12"/>
  <c r="AP18" i="12"/>
  <c r="AQ18" i="12" s="1"/>
  <c r="AP15" i="12"/>
  <c r="AP14" i="12"/>
  <c r="AP12" i="12"/>
  <c r="AQ12" i="12" s="1"/>
  <c r="AP11" i="12"/>
  <c r="AQ11" i="12" s="1"/>
  <c r="AQ13" i="12" s="1"/>
  <c r="AN37" i="12"/>
  <c r="AO37" i="12" s="1"/>
  <c r="AN36" i="12"/>
  <c r="AO36" i="12" s="1"/>
  <c r="AN35" i="12"/>
  <c r="AO35" i="12" s="1"/>
  <c r="AN34" i="12"/>
  <c r="AO34" i="12" s="1"/>
  <c r="AN31" i="12"/>
  <c r="AO31" i="12" s="1"/>
  <c r="AN30" i="12"/>
  <c r="AO30" i="12" s="1"/>
  <c r="AN27" i="12"/>
  <c r="AN26" i="12"/>
  <c r="AO26" i="12" s="1"/>
  <c r="AN25" i="12"/>
  <c r="AO25" i="12" s="1"/>
  <c r="AN24" i="12"/>
  <c r="AO24" i="12" s="1"/>
  <c r="AN20" i="12"/>
  <c r="AO20" i="12" s="1"/>
  <c r="AN19" i="12"/>
  <c r="AO19" i="12" s="1"/>
  <c r="AN18" i="12"/>
  <c r="AO18" i="12" s="1"/>
  <c r="AN15" i="12"/>
  <c r="AN14" i="12"/>
  <c r="AN12" i="12"/>
  <c r="AO12" i="12" s="1"/>
  <c r="AN11" i="12"/>
  <c r="AO11" i="12" s="1"/>
  <c r="U37" i="12"/>
  <c r="V37" i="12" s="1"/>
  <c r="U36" i="12"/>
  <c r="V36" i="12" s="1"/>
  <c r="U35" i="12"/>
  <c r="V35" i="12" s="1"/>
  <c r="U34" i="12"/>
  <c r="V34" i="12" s="1"/>
  <c r="U31" i="12"/>
  <c r="V31" i="12" s="1"/>
  <c r="U30" i="12"/>
  <c r="V30" i="12" s="1"/>
  <c r="U27" i="12"/>
  <c r="V27" i="12" s="1"/>
  <c r="U26" i="12"/>
  <c r="V26" i="12" s="1"/>
  <c r="U25" i="12"/>
  <c r="V25" i="12" s="1"/>
  <c r="U24" i="12"/>
  <c r="V24" i="12" s="1"/>
  <c r="U20" i="12"/>
  <c r="V20" i="12" s="1"/>
  <c r="U19" i="12"/>
  <c r="V19" i="12" s="1"/>
  <c r="U18" i="12"/>
  <c r="V18" i="12" s="1"/>
  <c r="U12" i="12"/>
  <c r="V12" i="12" s="1"/>
  <c r="U11" i="12"/>
  <c r="V11" i="12" s="1"/>
  <c r="S37" i="12"/>
  <c r="T37" i="12" s="1"/>
  <c r="S36" i="12"/>
  <c r="T36" i="12" s="1"/>
  <c r="S35" i="12"/>
  <c r="T35" i="12" s="1"/>
  <c r="S34" i="12"/>
  <c r="T34" i="12" s="1"/>
  <c r="S31" i="12"/>
  <c r="T31" i="12" s="1"/>
  <c r="S30" i="12"/>
  <c r="T30" i="12" s="1"/>
  <c r="S27" i="12"/>
  <c r="T27" i="12" s="1"/>
  <c r="S26" i="12"/>
  <c r="T26" i="12" s="1"/>
  <c r="S25" i="12"/>
  <c r="T25" i="12" s="1"/>
  <c r="S24" i="12"/>
  <c r="T24" i="12" s="1"/>
  <c r="S20" i="12"/>
  <c r="T20" i="12" s="1"/>
  <c r="S19" i="12"/>
  <c r="T19" i="12" s="1"/>
  <c r="S18" i="12"/>
  <c r="T18" i="12" s="1"/>
  <c r="S12" i="12"/>
  <c r="T12" i="12" s="1"/>
  <c r="S11" i="12"/>
  <c r="T11" i="12" s="1"/>
  <c r="BL74" i="17"/>
  <c r="AR74" i="17"/>
  <c r="X74" i="17"/>
  <c r="BK55" i="17"/>
  <c r="W55" i="17"/>
  <c r="W48" i="17"/>
  <c r="BI24" i="17"/>
  <c r="BG24" i="17"/>
  <c r="AO24" i="17"/>
  <c r="AM24" i="17"/>
  <c r="U24" i="17"/>
  <c r="S24" i="17"/>
  <c r="BI23" i="17"/>
  <c r="BG23" i="17"/>
  <c r="AO23" i="17"/>
  <c r="AM23" i="17"/>
  <c r="U23" i="17"/>
  <c r="S23" i="17"/>
  <c r="BI22" i="17"/>
  <c r="BG22" i="17"/>
  <c r="AO22" i="17"/>
  <c r="AM22" i="17"/>
  <c r="U22" i="17"/>
  <c r="S22" i="17"/>
  <c r="W20" i="17"/>
  <c r="W19" i="17"/>
  <c r="BF46" i="16"/>
  <c r="BF45" i="16"/>
  <c r="BF44" i="16"/>
  <c r="BF43" i="16"/>
  <c r="BF42" i="16"/>
  <c r="BH45" i="16"/>
  <c r="AL46" i="16"/>
  <c r="AL45" i="16"/>
  <c r="AL44" i="16"/>
  <c r="AL43" i="16"/>
  <c r="AL42" i="16"/>
  <c r="W48" i="16"/>
  <c r="W41" i="16"/>
  <c r="R46" i="16"/>
  <c r="R45" i="16"/>
  <c r="R44" i="16"/>
  <c r="BF39" i="16"/>
  <c r="BF37" i="16"/>
  <c r="AL39" i="16"/>
  <c r="R39" i="16"/>
  <c r="W36" i="16"/>
  <c r="AQ36" i="16"/>
  <c r="BK36" i="16"/>
  <c r="BF33" i="16"/>
  <c r="AL33" i="16"/>
  <c r="BL67" i="16"/>
  <c r="BK63" i="16"/>
  <c r="BK65" i="16" s="1"/>
  <c r="BK60" i="16"/>
  <c r="BK17" i="16"/>
  <c r="BK16" i="16"/>
  <c r="BK18" i="16" s="1"/>
  <c r="BK12" i="16"/>
  <c r="BK11" i="16"/>
  <c r="BK13" i="16" s="1"/>
  <c r="AR67" i="16"/>
  <c r="X67" i="16"/>
  <c r="AQ63" i="16"/>
  <c r="AQ65" i="16" s="1"/>
  <c r="W63" i="16"/>
  <c r="W65" i="16" s="1"/>
  <c r="AL62" i="16"/>
  <c r="R62" i="16"/>
  <c r="AL61" i="16"/>
  <c r="R61" i="16"/>
  <c r="AQ60" i="16"/>
  <c r="W58" i="16"/>
  <c r="W60" i="16" s="1"/>
  <c r="R43" i="16"/>
  <c r="R42" i="16"/>
  <c r="AL37" i="16"/>
  <c r="R37" i="16"/>
  <c r="R33" i="16"/>
  <c r="AL26" i="16"/>
  <c r="R26" i="16"/>
  <c r="AL24" i="16"/>
  <c r="R24" i="16"/>
  <c r="U21" i="16"/>
  <c r="S21" i="16"/>
  <c r="U20" i="16"/>
  <c r="S20" i="16"/>
  <c r="U19" i="16"/>
  <c r="S19" i="16"/>
  <c r="AQ17" i="16"/>
  <c r="W17" i="16"/>
  <c r="AQ16" i="16"/>
  <c r="AQ18" i="16" s="1"/>
  <c r="W16" i="16"/>
  <c r="W18" i="16" s="1"/>
  <c r="AL14" i="16"/>
  <c r="R14" i="16"/>
  <c r="AQ12" i="16"/>
  <c r="W12" i="16"/>
  <c r="AQ11" i="16"/>
  <c r="AQ13" i="16" s="1"/>
  <c r="W11" i="16"/>
  <c r="W13" i="16" s="1"/>
  <c r="AR62" i="4"/>
  <c r="AL57" i="4"/>
  <c r="AL56" i="4"/>
  <c r="AL14" i="4"/>
  <c r="AL24" i="4"/>
  <c r="AL26" i="4"/>
  <c r="AL32" i="4"/>
  <c r="AL36" i="4"/>
  <c r="AL41" i="4"/>
  <c r="AL40" i="4"/>
  <c r="AQ58" i="4"/>
  <c r="AQ60" i="4" s="1"/>
  <c r="AP93" i="4" s="1"/>
  <c r="AQ53" i="4"/>
  <c r="AQ55" i="4" s="1"/>
  <c r="AQ43" i="4"/>
  <c r="AQ39" i="4"/>
  <c r="AQ35" i="4"/>
  <c r="AT72" i="4" s="1"/>
  <c r="AT83" i="4" s="1"/>
  <c r="AN25" i="4"/>
  <c r="AN24" i="4"/>
  <c r="AO21" i="4"/>
  <c r="AM21" i="4"/>
  <c r="AO20" i="4"/>
  <c r="AM20" i="4"/>
  <c r="AO19" i="4"/>
  <c r="AM19" i="4"/>
  <c r="AQ17" i="4"/>
  <c r="AQ16" i="4"/>
  <c r="AQ12" i="4"/>
  <c r="AQ11" i="4"/>
  <c r="X62" i="4"/>
  <c r="U19" i="4"/>
  <c r="U20" i="4"/>
  <c r="U21" i="4"/>
  <c r="S21" i="4"/>
  <c r="S20" i="4"/>
  <c r="S19" i="4"/>
  <c r="V16" i="4"/>
  <c r="V14" i="4"/>
  <c r="S19" i="11"/>
  <c r="S18" i="11"/>
  <c r="S17" i="11"/>
  <c r="V42" i="11"/>
  <c r="V39" i="11"/>
  <c r="V24" i="11"/>
  <c r="V23" i="11"/>
  <c r="AQ19" i="12"/>
  <c r="U15" i="12"/>
  <c r="U14" i="12"/>
  <c r="S14" i="12"/>
  <c r="S15" i="12"/>
  <c r="U21" i="10"/>
  <c r="S21" i="10"/>
  <c r="S20" i="10"/>
  <c r="S19" i="10"/>
  <c r="V53" i="10"/>
  <c r="V52" i="10"/>
  <c r="V46" i="10"/>
  <c r="V45" i="10"/>
  <c r="V39" i="10"/>
  <c r="V33" i="10"/>
  <c r="V32" i="10"/>
  <c r="V27" i="10"/>
  <c r="V26" i="10"/>
  <c r="V17" i="10"/>
  <c r="V16" i="10"/>
  <c r="V18" i="10" s="1"/>
  <c r="V12" i="10"/>
  <c r="V11" i="10"/>
  <c r="V13" i="10" s="1"/>
  <c r="X61" i="9"/>
  <c r="W52" i="9"/>
  <c r="W58" i="4"/>
  <c r="W60" i="4" s="1"/>
  <c r="R57" i="4"/>
  <c r="R56" i="4"/>
  <c r="W53" i="4"/>
  <c r="W55" i="4" s="1"/>
  <c r="AA78" i="4" s="1"/>
  <c r="W43" i="4"/>
  <c r="R41" i="4"/>
  <c r="R40" i="4"/>
  <c r="W39" i="4"/>
  <c r="R36" i="4"/>
  <c r="R32" i="4"/>
  <c r="W35" i="4"/>
  <c r="AA72" i="4" s="1"/>
  <c r="AA83" i="4" s="1"/>
  <c r="T31" i="4"/>
  <c r="R26" i="4"/>
  <c r="R24" i="4"/>
  <c r="W17" i="4"/>
  <c r="W16" i="4"/>
  <c r="T16" i="4"/>
  <c r="R14" i="4"/>
  <c r="W12" i="4"/>
  <c r="W11" i="4"/>
  <c r="R55" i="9"/>
  <c r="R54" i="9"/>
  <c r="R53" i="9"/>
  <c r="W56" i="9"/>
  <c r="W58" i="9" s="1"/>
  <c r="R49" i="9"/>
  <c r="R48" i="9"/>
  <c r="R47" i="9"/>
  <c r="R46" i="9"/>
  <c r="R45" i="9"/>
  <c r="R44" i="9"/>
  <c r="R43" i="9"/>
  <c r="R42" i="9"/>
  <c r="R41" i="9"/>
  <c r="W37" i="10"/>
  <c r="W39" i="9"/>
  <c r="R34" i="9"/>
  <c r="R32" i="9"/>
  <c r="R26" i="9"/>
  <c r="R24" i="9"/>
  <c r="W17" i="9"/>
  <c r="W16" i="9"/>
  <c r="W18" i="9" s="1"/>
  <c r="R14" i="9"/>
  <c r="W12" i="9"/>
  <c r="W11" i="9"/>
  <c r="W13" i="9" s="1"/>
  <c r="X58" i="10"/>
  <c r="W53" i="10"/>
  <c r="T52" i="10"/>
  <c r="T51" i="10"/>
  <c r="R52" i="10"/>
  <c r="R51" i="10"/>
  <c r="R50" i="10"/>
  <c r="T44" i="10"/>
  <c r="T43" i="10"/>
  <c r="T42" i="10"/>
  <c r="T41" i="10"/>
  <c r="T40" i="10"/>
  <c r="R45" i="10"/>
  <c r="R44" i="10"/>
  <c r="R43" i="10"/>
  <c r="R42" i="10"/>
  <c r="R41" i="10"/>
  <c r="R40" i="10"/>
  <c r="R39" i="10"/>
  <c r="R46" i="10"/>
  <c r="T46" i="10"/>
  <c r="S87" i="10" s="1"/>
  <c r="T31" i="10"/>
  <c r="T37" i="10" s="1"/>
  <c r="T32" i="10"/>
  <c r="R33" i="10"/>
  <c r="R32" i="10"/>
  <c r="W27" i="10"/>
  <c r="W25" i="10"/>
  <c r="T26" i="10"/>
  <c r="R26" i="10"/>
  <c r="T25" i="10"/>
  <c r="R24" i="10"/>
  <c r="R14" i="10"/>
  <c r="W17" i="10"/>
  <c r="W16" i="10"/>
  <c r="W18" i="10" s="1"/>
  <c r="T16" i="10"/>
  <c r="T18" i="10" s="1"/>
  <c r="W12" i="10"/>
  <c r="T12" i="10"/>
  <c r="W11" i="10"/>
  <c r="W13" i="10" s="1"/>
  <c r="T29" i="11"/>
  <c r="W23" i="11"/>
  <c r="X50" i="11"/>
  <c r="W47" i="11"/>
  <c r="R45" i="11"/>
  <c r="R44" i="11"/>
  <c r="R43" i="11"/>
  <c r="R42" i="11"/>
  <c r="T43" i="11"/>
  <c r="R39" i="11"/>
  <c r="R38" i="11"/>
  <c r="R37" i="11"/>
  <c r="R36" i="11"/>
  <c r="R35" i="11"/>
  <c r="W30" i="11"/>
  <c r="W34" i="11" s="1"/>
  <c r="R22" i="11"/>
  <c r="R24" i="11"/>
  <c r="W25" i="11"/>
  <c r="W15" i="11"/>
  <c r="W14" i="11"/>
  <c r="W12" i="11"/>
  <c r="W11" i="11"/>
  <c r="AR25" i="12"/>
  <c r="W25" i="12"/>
  <c r="AS41" i="12"/>
  <c r="AR18" i="12"/>
  <c r="AR12" i="12"/>
  <c r="AR11" i="12"/>
  <c r="X41" i="12"/>
  <c r="W39" i="12"/>
  <c r="W33" i="12"/>
  <c r="W24" i="12"/>
  <c r="W18" i="12"/>
  <c r="W12" i="12"/>
  <c r="W11" i="12"/>
  <c r="V131" i="16" l="1"/>
  <c r="V132" i="16" s="1"/>
  <c r="V124" i="16" s="1"/>
  <c r="AN75" i="12"/>
  <c r="AN77" i="12"/>
  <c r="AP77" i="12"/>
  <c r="AR77" i="12"/>
  <c r="Z117" i="10"/>
  <c r="Z118" i="10" s="1"/>
  <c r="Z119" i="10" s="1"/>
  <c r="Z111" i="10" s="1"/>
  <c r="S117" i="10"/>
  <c r="S118" i="10" s="1"/>
  <c r="S119" i="10" s="1"/>
  <c r="S111" i="10" s="1"/>
  <c r="S104" i="10"/>
  <c r="S105" i="10"/>
  <c r="S75" i="10"/>
  <c r="X117" i="10"/>
  <c r="X118" i="10" s="1"/>
  <c r="X119" i="10" s="1"/>
  <c r="X111" i="10" s="1"/>
  <c r="W117" i="10"/>
  <c r="W118" i="10" s="1"/>
  <c r="W119" i="10" s="1"/>
  <c r="W111" i="10" s="1"/>
  <c r="U117" i="10"/>
  <c r="U118" i="10" s="1"/>
  <c r="U119" i="10" s="1"/>
  <c r="U111" i="10" s="1"/>
  <c r="Y121" i="9"/>
  <c r="Y122" i="9" s="1"/>
  <c r="Y114" i="9" s="1"/>
  <c r="Z121" i="9"/>
  <c r="Z122" i="9" s="1"/>
  <c r="Z114" i="9" s="1"/>
  <c r="U117" i="9"/>
  <c r="S121" i="9"/>
  <c r="S122" i="9" s="1"/>
  <c r="S114" i="9" s="1"/>
  <c r="S78" i="9"/>
  <c r="U121" i="9"/>
  <c r="U122" i="9" s="1"/>
  <c r="U114" i="9" s="1"/>
  <c r="W116" i="9"/>
  <c r="X121" i="9"/>
  <c r="X122" i="9" s="1"/>
  <c r="X114" i="9" s="1"/>
  <c r="Z126" i="4"/>
  <c r="Z127" i="4" s="1"/>
  <c r="Z119" i="4" s="1"/>
  <c r="AA126" i="4"/>
  <c r="AA127" i="4" s="1"/>
  <c r="AA119" i="4" s="1"/>
  <c r="Y126" i="4"/>
  <c r="Y127" i="4" s="1"/>
  <c r="Y119" i="4" s="1"/>
  <c r="AP125" i="4"/>
  <c r="AP126" i="4" s="1"/>
  <c r="AP127" i="4" s="1"/>
  <c r="AP119" i="4" s="1"/>
  <c r="AN125" i="4"/>
  <c r="AN126" i="4" s="1"/>
  <c r="AN127" i="4" s="1"/>
  <c r="AN119" i="4" s="1"/>
  <c r="AT125" i="4"/>
  <c r="AT126" i="4" s="1"/>
  <c r="AT127" i="4" s="1"/>
  <c r="AT119" i="4" s="1"/>
  <c r="AS125" i="4"/>
  <c r="AS126" i="4" s="1"/>
  <c r="AS127" i="4" s="1"/>
  <c r="AS119" i="4" s="1"/>
  <c r="AR121" i="4"/>
  <c r="AR125" i="4" s="1"/>
  <c r="AR126" i="4" s="1"/>
  <c r="AR127" i="4" s="1"/>
  <c r="AR119" i="4" s="1"/>
  <c r="AA131" i="16"/>
  <c r="AA132" i="16" s="1"/>
  <c r="AA124" i="16" s="1"/>
  <c r="T131" i="16"/>
  <c r="T132" i="16" s="1"/>
  <c r="T124" i="16" s="1"/>
  <c r="Y131" i="16"/>
  <c r="Y132" i="16" s="1"/>
  <c r="Y124" i="16" s="1"/>
  <c r="Z131" i="16"/>
  <c r="Z132" i="16" s="1"/>
  <c r="Z124" i="16" s="1"/>
  <c r="X126" i="16"/>
  <c r="AU131" i="16"/>
  <c r="AU132" i="16" s="1"/>
  <c r="AU124" i="16" s="1"/>
  <c r="AT131" i="16"/>
  <c r="AT132" i="16" s="1"/>
  <c r="AT124" i="16" s="1"/>
  <c r="AP127" i="16"/>
  <c r="AP131" i="16" s="1"/>
  <c r="AP132" i="16" s="1"/>
  <c r="AP124" i="16" s="1"/>
  <c r="AS131" i="16"/>
  <c r="AS132" i="16" s="1"/>
  <c r="AS124" i="16" s="1"/>
  <c r="AR126" i="16"/>
  <c r="AR130" i="16" s="1"/>
  <c r="AR131" i="16" s="1"/>
  <c r="AR132" i="16" s="1"/>
  <c r="AR124" i="16" s="1"/>
  <c r="BN130" i="16"/>
  <c r="BN131" i="16" s="1"/>
  <c r="BN132" i="16" s="1"/>
  <c r="BN124" i="16" s="1"/>
  <c r="BO130" i="16"/>
  <c r="BO131" i="16" s="1"/>
  <c r="BO132" i="16" s="1"/>
  <c r="BO124" i="16" s="1"/>
  <c r="X123" i="17"/>
  <c r="BH131" i="16"/>
  <c r="BH132" i="16" s="1"/>
  <c r="BH124" i="16" s="1"/>
  <c r="BL126" i="16"/>
  <c r="BL130" i="16" s="1"/>
  <c r="BL131" i="16" s="1"/>
  <c r="BL132" i="16" s="1"/>
  <c r="BL124" i="16" s="1"/>
  <c r="V132" i="17"/>
  <c r="X125" i="17"/>
  <c r="X132" i="17" s="1"/>
  <c r="AV43" i="17"/>
  <c r="BM135" i="17"/>
  <c r="BM136" i="17" s="1"/>
  <c r="BM137" i="17" s="1"/>
  <c r="BM129" i="17" s="1"/>
  <c r="AU134" i="17"/>
  <c r="AU136" i="17" s="1"/>
  <c r="AU137" i="17" s="1"/>
  <c r="AU129" i="17" s="1"/>
  <c r="AS136" i="17"/>
  <c r="AS137" i="17" s="1"/>
  <c r="AS129" i="17" s="1"/>
  <c r="AR126" i="17"/>
  <c r="AR133" i="17" s="1"/>
  <c r="W21" i="17"/>
  <c r="T21" i="17"/>
  <c r="BP48" i="17"/>
  <c r="T43" i="17"/>
  <c r="AN134" i="17"/>
  <c r="AN136" i="17" s="1"/>
  <c r="AN137" i="17" s="1"/>
  <c r="AN129" i="17" s="1"/>
  <c r="X127" i="17"/>
  <c r="X134" i="17" s="1"/>
  <c r="BP42" i="17"/>
  <c r="BN125" i="17" s="1"/>
  <c r="BN132" i="17" s="1"/>
  <c r="BJ133" i="17"/>
  <c r="Y134" i="17"/>
  <c r="Y136" i="17" s="1"/>
  <c r="Y137" i="17" s="1"/>
  <c r="Y129" i="17" s="1"/>
  <c r="T34" i="17"/>
  <c r="Z134" i="17"/>
  <c r="Z136" i="17" s="1"/>
  <c r="Z137" i="17" s="1"/>
  <c r="Z129" i="17" s="1"/>
  <c r="AS134" i="17"/>
  <c r="AA134" i="17"/>
  <c r="AV10" i="17"/>
  <c r="T136" i="17"/>
  <c r="T137" i="17" s="1"/>
  <c r="T129" i="17" s="1"/>
  <c r="AA136" i="17"/>
  <c r="AA137" i="17" s="1"/>
  <c r="AA129" i="17" s="1"/>
  <c r="V134" i="17"/>
  <c r="V136" i="17" s="1"/>
  <c r="V137" i="17" s="1"/>
  <c r="V129" i="17" s="1"/>
  <c r="AT136" i="17"/>
  <c r="AT137" i="17" s="1"/>
  <c r="AT129" i="17" s="1"/>
  <c r="AP132" i="17"/>
  <c r="BO135" i="17"/>
  <c r="BO136" i="17" s="1"/>
  <c r="BO137" i="17" s="1"/>
  <c r="BO129" i="17" s="1"/>
  <c r="BH135" i="17"/>
  <c r="BH136" i="17" s="1"/>
  <c r="BH137" i="17" s="1"/>
  <c r="BH129" i="17" s="1"/>
  <c r="BJ43" i="17"/>
  <c r="BL124" i="17"/>
  <c r="BP43" i="17"/>
  <c r="BJ127" i="17"/>
  <c r="BQ43" i="17"/>
  <c r="BO84" i="17" s="1"/>
  <c r="BO95" i="17" s="1"/>
  <c r="BH42" i="17"/>
  <c r="BH125" i="17" s="1"/>
  <c r="BH132" i="17" s="1"/>
  <c r="BN127" i="17"/>
  <c r="BN134" i="17" s="1"/>
  <c r="BO127" i="17"/>
  <c r="BO134" i="17" s="1"/>
  <c r="BJ42" i="17"/>
  <c r="BJ125" i="17" s="1"/>
  <c r="AP18" i="17"/>
  <c r="AN21" i="17"/>
  <c r="BP14" i="17"/>
  <c r="BO42" i="17"/>
  <c r="BM125" i="17" s="1"/>
  <c r="BM132" i="17" s="1"/>
  <c r="AU18" i="17"/>
  <c r="AV21" i="17"/>
  <c r="AC14" i="17"/>
  <c r="AA18" i="17"/>
  <c r="AB21" i="17"/>
  <c r="AC72" i="17"/>
  <c r="AA104" i="17" s="1"/>
  <c r="T14" i="17"/>
  <c r="AW18" i="17"/>
  <c r="T115" i="17"/>
  <c r="BO43" i="17"/>
  <c r="V21" i="17"/>
  <c r="BK21" i="17"/>
  <c r="BP33" i="17"/>
  <c r="BN114" i="17" s="1"/>
  <c r="BN117" i="17" s="1"/>
  <c r="BQ34" i="17"/>
  <c r="BO115" i="17" s="1"/>
  <c r="AU34" i="17"/>
  <c r="AS115" i="17" s="1"/>
  <c r="AU21" i="17"/>
  <c r="AB14" i="17"/>
  <c r="AC18" i="17"/>
  <c r="AV34" i="17"/>
  <c r="AT115" i="17" s="1"/>
  <c r="AP10" i="17"/>
  <c r="AP116" i="17" s="1"/>
  <c r="AR116" i="17" s="1"/>
  <c r="BQ10" i="17"/>
  <c r="BO116" i="17" s="1"/>
  <c r="AP21" i="17"/>
  <c r="AV18" i="17"/>
  <c r="AB18" i="17"/>
  <c r="AB48" i="17"/>
  <c r="Z86" i="17" s="1"/>
  <c r="Z96" i="17" s="1"/>
  <c r="BJ34" i="17"/>
  <c r="BJ115" i="17" s="1"/>
  <c r="BL115" i="17" s="1"/>
  <c r="T18" i="17"/>
  <c r="AQ21" i="17"/>
  <c r="Z90" i="17"/>
  <c r="V34" i="17"/>
  <c r="V115" i="17" s="1"/>
  <c r="X115" i="17" s="1"/>
  <c r="AA48" i="17"/>
  <c r="Y86" i="17" s="1"/>
  <c r="Y96" i="17" s="1"/>
  <c r="AT116" i="17"/>
  <c r="AV35" i="17"/>
  <c r="V33" i="17"/>
  <c r="V114" i="17" s="1"/>
  <c r="X114" i="17" s="1"/>
  <c r="X117" i="17" s="1"/>
  <c r="T10" i="17"/>
  <c r="T116" i="17" s="1"/>
  <c r="BH14" i="17"/>
  <c r="BO18" i="17"/>
  <c r="AT84" i="17"/>
  <c r="AT95" i="17" s="1"/>
  <c r="AN33" i="17"/>
  <c r="AN114" i="17" s="1"/>
  <c r="AN117" i="17" s="1"/>
  <c r="AW34" i="17"/>
  <c r="AU115" i="17" s="1"/>
  <c r="AA33" i="17"/>
  <c r="Y114" i="17" s="1"/>
  <c r="Y117" i="17" s="1"/>
  <c r="BH34" i="17"/>
  <c r="BH115" i="17" s="1"/>
  <c r="AU10" i="17"/>
  <c r="AS116" i="17" s="1"/>
  <c r="AW14" i="17"/>
  <c r="AU84" i="17"/>
  <c r="AU95" i="17" s="1"/>
  <c r="AV72" i="17"/>
  <c r="AT103" i="17" s="1"/>
  <c r="AC48" i="17"/>
  <c r="AP33" i="17"/>
  <c r="AP114" i="17" s="1"/>
  <c r="AP117" i="17" s="1"/>
  <c r="AN34" i="17"/>
  <c r="AN115" i="17" s="1"/>
  <c r="AU116" i="17"/>
  <c r="BO14" i="17"/>
  <c r="AU14" i="17"/>
  <c r="AW21" i="17"/>
  <c r="AU48" i="17"/>
  <c r="AS86" i="17" s="1"/>
  <c r="AS96" i="17" s="1"/>
  <c r="V14" i="17"/>
  <c r="BP21" i="17"/>
  <c r="AV14" i="17"/>
  <c r="AV48" i="17"/>
  <c r="AT86" i="17" s="1"/>
  <c r="AT96" i="17" s="1"/>
  <c r="AV33" i="17"/>
  <c r="AT114" i="17" s="1"/>
  <c r="AT117" i="17" s="1"/>
  <c r="BJ14" i="17"/>
  <c r="BJ48" i="17"/>
  <c r="BJ96" i="17" s="1"/>
  <c r="AA10" i="17"/>
  <c r="Y116" i="17" s="1"/>
  <c r="BJ10" i="17"/>
  <c r="BJ116" i="17" s="1"/>
  <c r="BL116" i="17" s="1"/>
  <c r="V18" i="17"/>
  <c r="BH21" i="17"/>
  <c r="AN48" i="17"/>
  <c r="AN96" i="17" s="1"/>
  <c r="BP18" i="17"/>
  <c r="BH10" i="17"/>
  <c r="BH116" i="17" s="1"/>
  <c r="AB10" i="17"/>
  <c r="Z116" i="17" s="1"/>
  <c r="AN14" i="17"/>
  <c r="BJ21" i="17"/>
  <c r="AP48" i="17"/>
  <c r="AP96" i="17" s="1"/>
  <c r="BO34" i="17"/>
  <c r="BM115" i="17" s="1"/>
  <c r="AW48" i="17"/>
  <c r="AU86" i="17" s="1"/>
  <c r="AU96" i="17" s="1"/>
  <c r="AA21" i="17"/>
  <c r="AC10" i="17"/>
  <c r="AA116" i="17" s="1"/>
  <c r="BO10" i="17"/>
  <c r="BM116" i="17" s="1"/>
  <c r="AP14" i="17"/>
  <c r="BH18" i="17"/>
  <c r="BQ14" i="17"/>
  <c r="BP34" i="17"/>
  <c r="BN115" i="17" s="1"/>
  <c r="AN10" i="17"/>
  <c r="AN116" i="17" s="1"/>
  <c r="BP10" i="17"/>
  <c r="BN116" i="17" s="1"/>
  <c r="AN18" i="17"/>
  <c r="BJ18" i="17"/>
  <c r="BQ18" i="17"/>
  <c r="AA14" i="17"/>
  <c r="AC21" i="17"/>
  <c r="AA34" i="17"/>
  <c r="Y115" i="17" s="1"/>
  <c r="AP34" i="17"/>
  <c r="AP115" i="17" s="1"/>
  <c r="AR115" i="17" s="1"/>
  <c r="AB34" i="17"/>
  <c r="Z115" i="17" s="1"/>
  <c r="AC34" i="17"/>
  <c r="AA115" i="17" s="1"/>
  <c r="BJ33" i="17"/>
  <c r="BJ114" i="17" s="1"/>
  <c r="AU33" i="17"/>
  <c r="AS114" i="17" s="1"/>
  <c r="AS117" i="17" s="1"/>
  <c r="AC33" i="17"/>
  <c r="AA114" i="17" s="1"/>
  <c r="AA117" i="17" s="1"/>
  <c r="BO33" i="17"/>
  <c r="BM114" i="17" s="1"/>
  <c r="BM117" i="17" s="1"/>
  <c r="AW33" i="17"/>
  <c r="AU114" i="17" s="1"/>
  <c r="AU117" i="17" s="1"/>
  <c r="T33" i="17"/>
  <c r="T114" i="17" s="1"/>
  <c r="T117" i="17" s="1"/>
  <c r="AB33" i="17"/>
  <c r="Z114" i="17" s="1"/>
  <c r="Z117" i="17" s="1"/>
  <c r="BQ33" i="17"/>
  <c r="BO114" i="17" s="1"/>
  <c r="BO117" i="17" s="1"/>
  <c r="BJ35" i="17"/>
  <c r="AV55" i="17"/>
  <c r="AT88" i="17" s="1"/>
  <c r="AT97" i="17" s="1"/>
  <c r="Z101" i="17"/>
  <c r="BO48" i="17"/>
  <c r="BM86" i="17" s="1"/>
  <c r="BM96" i="17" s="1"/>
  <c r="BO35" i="17"/>
  <c r="BP35" i="17"/>
  <c r="AW55" i="17"/>
  <c r="AU88" i="17" s="1"/>
  <c r="AU97" i="17" s="1"/>
  <c r="Z99" i="17"/>
  <c r="AB55" i="17"/>
  <c r="Z88" i="17" s="1"/>
  <c r="Z97" i="17" s="1"/>
  <c r="Z84" i="17"/>
  <c r="Z95" i="17" s="1"/>
  <c r="AA72" i="17"/>
  <c r="Y92" i="17" s="1"/>
  <c r="BQ35" i="17"/>
  <c r="BH35" i="17"/>
  <c r="BH48" i="17"/>
  <c r="BH96" i="17" s="1"/>
  <c r="Z100" i="17"/>
  <c r="BH33" i="17"/>
  <c r="BH114" i="17" s="1"/>
  <c r="BH117" i="17" s="1"/>
  <c r="Y72" i="4"/>
  <c r="Y83" i="4" s="1"/>
  <c r="Z72" i="4"/>
  <c r="Z83" i="4" s="1"/>
  <c r="AS72" i="4"/>
  <c r="AS83" i="4" s="1"/>
  <c r="BO77" i="16"/>
  <c r="BO88" i="16" s="1"/>
  <c r="T95" i="17"/>
  <c r="S80" i="12"/>
  <c r="S84" i="12"/>
  <c r="U84" i="12"/>
  <c r="W84" i="12" s="1"/>
  <c r="X84" i="12"/>
  <c r="AT49" i="12"/>
  <c r="Z49" i="12"/>
  <c r="Z84" i="12"/>
  <c r="AS49" i="12"/>
  <c r="X49" i="12"/>
  <c r="AS80" i="12"/>
  <c r="AR80" i="12"/>
  <c r="AN84" i="12"/>
  <c r="AU84" i="12"/>
  <c r="AU80" i="12"/>
  <c r="AS84" i="12"/>
  <c r="AP82" i="12"/>
  <c r="AP84" i="12"/>
  <c r="AR84" i="12" s="1"/>
  <c r="W79" i="12"/>
  <c r="W82" i="12" s="1"/>
  <c r="AR104" i="4"/>
  <c r="AR107" i="4" s="1"/>
  <c r="BL109" i="16"/>
  <c r="BL112" i="16" s="1"/>
  <c r="AR75" i="12"/>
  <c r="AS75" i="12"/>
  <c r="AT75" i="12"/>
  <c r="AP75" i="12"/>
  <c r="Z77" i="12"/>
  <c r="W17" i="12"/>
  <c r="U68" i="12"/>
  <c r="U77" i="12" s="1"/>
  <c r="V68" i="12"/>
  <c r="W68" i="12"/>
  <c r="Z75" i="12"/>
  <c r="X68" i="12"/>
  <c r="X75" i="12" s="1"/>
  <c r="S68" i="12"/>
  <c r="S77" i="12" s="1"/>
  <c r="Y68" i="12"/>
  <c r="Y77" i="12" s="1"/>
  <c r="W59" i="12"/>
  <c r="W73" i="12" s="1"/>
  <c r="W71" i="12"/>
  <c r="W58" i="12"/>
  <c r="AA41" i="12"/>
  <c r="AB41" i="12"/>
  <c r="AC41" i="12"/>
  <c r="AD41" i="12"/>
  <c r="AO39" i="12"/>
  <c r="AT39" i="12" s="1"/>
  <c r="AN55" i="12" s="1"/>
  <c r="AV33" i="12"/>
  <c r="AW29" i="12"/>
  <c r="AR13" i="12"/>
  <c r="AR17" i="12" s="1"/>
  <c r="AO29" i="12"/>
  <c r="AY13" i="12"/>
  <c r="AQ39" i="12"/>
  <c r="AV29" i="12"/>
  <c r="AR29" i="12"/>
  <c r="AO13" i="12"/>
  <c r="AV13" i="12"/>
  <c r="AO33" i="12"/>
  <c r="AX13" i="12"/>
  <c r="AQ29" i="12"/>
  <c r="AQ33" i="12"/>
  <c r="AV39" i="12"/>
  <c r="AQ10" i="12"/>
  <c r="AQ17" i="12" s="1"/>
  <c r="AW13" i="12"/>
  <c r="AX10" i="12"/>
  <c r="AY10" i="12"/>
  <c r="AV7" i="12"/>
  <c r="AV10" i="12" s="1"/>
  <c r="AW10" i="12"/>
  <c r="AN5" i="12"/>
  <c r="AO5" i="12" s="1"/>
  <c r="AO10" i="12" s="1"/>
  <c r="V69" i="11"/>
  <c r="V68" i="11"/>
  <c r="X64" i="11"/>
  <c r="AC16" i="11"/>
  <c r="U76" i="11"/>
  <c r="W76" i="11" s="1"/>
  <c r="V77" i="11"/>
  <c r="W13" i="11"/>
  <c r="AA47" i="11"/>
  <c r="V67" i="11"/>
  <c r="AA21" i="11"/>
  <c r="AA13" i="11"/>
  <c r="V41" i="11"/>
  <c r="AD13" i="11"/>
  <c r="AD34" i="11"/>
  <c r="U79" i="11"/>
  <c r="W79" i="11" s="1"/>
  <c r="AC10" i="11"/>
  <c r="Y80" i="11" s="1"/>
  <c r="AB41" i="11"/>
  <c r="X69" i="11" s="1"/>
  <c r="Z60" i="11"/>
  <c r="X58" i="11"/>
  <c r="T13" i="11"/>
  <c r="T34" i="11"/>
  <c r="S67" i="11" s="1"/>
  <c r="AB34" i="11"/>
  <c r="AC34" i="11"/>
  <c r="Z80" i="11"/>
  <c r="T16" i="11"/>
  <c r="AC13" i="11"/>
  <c r="AC21" i="11" s="1"/>
  <c r="T28" i="11"/>
  <c r="Y28" i="11" s="1"/>
  <c r="S58" i="11" s="1"/>
  <c r="U80" i="11"/>
  <c r="U84" i="11" s="1"/>
  <c r="S75" i="11"/>
  <c r="W16" i="11"/>
  <c r="T10" i="11"/>
  <c r="S77" i="11" s="1"/>
  <c r="V10" i="11"/>
  <c r="U77" i="11" s="1"/>
  <c r="W77" i="11" s="1"/>
  <c r="AB16" i="11"/>
  <c r="X67" i="11"/>
  <c r="X74" i="11"/>
  <c r="X72" i="11"/>
  <c r="U68" i="11"/>
  <c r="W62" i="11"/>
  <c r="U69" i="11"/>
  <c r="W69" i="11" s="1"/>
  <c r="Y60" i="11"/>
  <c r="Y67" i="11"/>
  <c r="V16" i="11"/>
  <c r="V21" i="11" s="1"/>
  <c r="Z58" i="11"/>
  <c r="Y75" i="11"/>
  <c r="Y79" i="11"/>
  <c r="V34" i="11"/>
  <c r="Z75" i="11"/>
  <c r="Z77" i="11"/>
  <c r="Z79" i="11"/>
  <c r="S76" i="11"/>
  <c r="S80" i="11"/>
  <c r="Y64" i="11"/>
  <c r="Z64" i="11"/>
  <c r="Z67" i="11"/>
  <c r="X76" i="11"/>
  <c r="AB13" i="11"/>
  <c r="Y76" i="11"/>
  <c r="X75" i="11"/>
  <c r="AD16" i="11"/>
  <c r="AD21" i="11" s="1"/>
  <c r="Z76" i="11"/>
  <c r="AB10" i="11"/>
  <c r="X77" i="11" s="1"/>
  <c r="AA55" i="10"/>
  <c r="V79" i="10" s="1"/>
  <c r="AA37" i="10"/>
  <c r="AA49" i="10" s="1"/>
  <c r="AA10" i="10"/>
  <c r="AA23" i="10"/>
  <c r="Z70" i="10"/>
  <c r="Z76" i="10"/>
  <c r="S77" i="10"/>
  <c r="V37" i="10"/>
  <c r="W68" i="10" s="1"/>
  <c r="U75" i="10"/>
  <c r="W75" i="10" s="1"/>
  <c r="AC10" i="10"/>
  <c r="AD10" i="10"/>
  <c r="AD23" i="10" s="1"/>
  <c r="AD58" i="10" s="1"/>
  <c r="AB23" i="10"/>
  <c r="AB58" i="10" s="1"/>
  <c r="X76" i="10"/>
  <c r="X90" i="10" s="1"/>
  <c r="X70" i="10"/>
  <c r="X80" i="10"/>
  <c r="Y80" i="10"/>
  <c r="Y81" i="10"/>
  <c r="Y72" i="10"/>
  <c r="Y82" i="10"/>
  <c r="Y79" i="10"/>
  <c r="Z30" i="10"/>
  <c r="U66" i="10" s="1"/>
  <c r="W66" i="10"/>
  <c r="T49" i="10"/>
  <c r="V55" i="10"/>
  <c r="U84" i="10"/>
  <c r="W84" i="10" s="1"/>
  <c r="T23" i="10"/>
  <c r="Y76" i="10"/>
  <c r="Y70" i="10"/>
  <c r="Z80" i="10"/>
  <c r="Z81" i="10"/>
  <c r="Z72" i="10"/>
  <c r="Z82" i="10"/>
  <c r="Z79" i="10"/>
  <c r="T55" i="10"/>
  <c r="S84" i="10"/>
  <c r="U87" i="10"/>
  <c r="W87" i="10" s="1"/>
  <c r="V23" i="10"/>
  <c r="AC37" i="10"/>
  <c r="V49" i="10"/>
  <c r="X79" i="10"/>
  <c r="X94" i="10" s="1"/>
  <c r="S88" i="10"/>
  <c r="X82" i="10"/>
  <c r="Z77" i="10"/>
  <c r="AC18" i="10"/>
  <c r="X77" i="10"/>
  <c r="X81" i="10"/>
  <c r="X83" i="10"/>
  <c r="S83" i="10"/>
  <c r="U83" i="10"/>
  <c r="W83" i="10" s="1"/>
  <c r="S85" i="10"/>
  <c r="Z83" i="10"/>
  <c r="Y83" i="10"/>
  <c r="Y92" i="10" s="1"/>
  <c r="U88" i="10"/>
  <c r="W88" i="10" s="1"/>
  <c r="U85" i="10"/>
  <c r="W85" i="10" s="1"/>
  <c r="W23" i="9"/>
  <c r="AA10" i="9"/>
  <c r="V91" i="9" s="1"/>
  <c r="J427" i="19" s="1"/>
  <c r="V86" i="9"/>
  <c r="H427" i="19" s="1"/>
  <c r="V87" i="9"/>
  <c r="G427" i="19" s="1"/>
  <c r="V88" i="9"/>
  <c r="I427" i="19" s="1"/>
  <c r="AA52" i="9"/>
  <c r="V85" i="9" s="1"/>
  <c r="L427" i="19" s="1"/>
  <c r="V83" i="9"/>
  <c r="E427" i="19" s="1"/>
  <c r="V84" i="9"/>
  <c r="F427" i="19" s="1"/>
  <c r="S86" i="9"/>
  <c r="S91" i="9"/>
  <c r="U91" i="9"/>
  <c r="U88" i="9"/>
  <c r="W88" i="9" s="1"/>
  <c r="AC23" i="9"/>
  <c r="Y85" i="9"/>
  <c r="X88" i="9"/>
  <c r="X86" i="9"/>
  <c r="X91" i="9"/>
  <c r="AD23" i="9"/>
  <c r="W79" i="9"/>
  <c r="Y86" i="9"/>
  <c r="Y88" i="9"/>
  <c r="Y91" i="9"/>
  <c r="Z86" i="9"/>
  <c r="Z88" i="9"/>
  <c r="S90" i="9"/>
  <c r="X87" i="9"/>
  <c r="U90" i="9"/>
  <c r="W90" i="9" s="1"/>
  <c r="Z91" i="9"/>
  <c r="Y87" i="9"/>
  <c r="Y83" i="9"/>
  <c r="X60" i="11"/>
  <c r="AC41" i="11"/>
  <c r="Y71" i="11" s="1"/>
  <c r="AD41" i="11"/>
  <c r="Z73" i="11" s="1"/>
  <c r="Z34" i="11"/>
  <c r="U60" i="11" s="1"/>
  <c r="Y58" i="11"/>
  <c r="W23" i="10"/>
  <c r="W58" i="10" s="1"/>
  <c r="Y23" i="10"/>
  <c r="Y93" i="4"/>
  <c r="Y102" i="4" s="1"/>
  <c r="Y100" i="4"/>
  <c r="AA100" i="4"/>
  <c r="AB23" i="4"/>
  <c r="V23" i="4"/>
  <c r="T23" i="4"/>
  <c r="AC62" i="4"/>
  <c r="X72" i="10"/>
  <c r="Y90" i="10"/>
  <c r="Y94" i="10"/>
  <c r="Z37" i="10"/>
  <c r="U68" i="10" s="1"/>
  <c r="X68" i="10"/>
  <c r="Y37" i="10"/>
  <c r="S68" i="10" s="1"/>
  <c r="X92" i="10"/>
  <c r="AD58" i="9"/>
  <c r="AD52" i="9"/>
  <c r="Z73" i="9" s="1"/>
  <c r="Z69" i="9"/>
  <c r="AB58" i="9"/>
  <c r="X98" i="4"/>
  <c r="Z100" i="4"/>
  <c r="T102" i="4"/>
  <c r="V102" i="4"/>
  <c r="X93" i="4"/>
  <c r="AR93" i="4"/>
  <c r="AP91" i="4"/>
  <c r="AR91" i="4" s="1"/>
  <c r="AT95" i="4"/>
  <c r="AS91" i="4"/>
  <c r="AU95" i="4"/>
  <c r="AT91" i="4"/>
  <c r="AN96" i="4"/>
  <c r="AU91" i="4"/>
  <c r="AP96" i="4"/>
  <c r="AR96" i="4" s="1"/>
  <c r="AN92" i="4"/>
  <c r="AS96" i="4"/>
  <c r="AP92" i="4"/>
  <c r="AR92" i="4" s="1"/>
  <c r="AT96" i="4"/>
  <c r="AS92" i="4"/>
  <c r="AP95" i="4"/>
  <c r="AR95" i="4" s="1"/>
  <c r="AT92" i="4"/>
  <c r="AN93" i="4"/>
  <c r="AN91" i="4"/>
  <c r="AU92" i="4"/>
  <c r="AS95" i="4"/>
  <c r="AR102" i="4"/>
  <c r="AR100" i="4"/>
  <c r="AP102" i="4"/>
  <c r="AW62" i="4"/>
  <c r="AV62" i="4"/>
  <c r="AU62" i="4"/>
  <c r="T101" i="16"/>
  <c r="V101" i="16"/>
  <c r="X101" i="16" s="1"/>
  <c r="Y101" i="16"/>
  <c r="Z101" i="16"/>
  <c r="T10" i="16"/>
  <c r="AN48" i="16"/>
  <c r="AN90" i="16" s="1"/>
  <c r="AW29" i="16"/>
  <c r="AU109" i="16" s="1"/>
  <c r="AU112" i="16" s="1"/>
  <c r="AU10" i="16"/>
  <c r="AS94" i="16"/>
  <c r="BM77" i="16"/>
  <c r="BM88" i="16" s="1"/>
  <c r="Y77" i="16"/>
  <c r="Y88" i="16" s="1"/>
  <c r="AT94" i="16"/>
  <c r="AP41" i="16"/>
  <c r="AT41" i="16" s="1"/>
  <c r="AP79" i="16" s="1"/>
  <c r="AN13" i="16"/>
  <c r="BJ13" i="16"/>
  <c r="BP13" i="16"/>
  <c r="BQ18" i="16"/>
  <c r="BO30" i="16"/>
  <c r="BP36" i="16"/>
  <c r="BN77" i="16" s="1"/>
  <c r="BN88" i="16" s="1"/>
  <c r="AU18" i="16"/>
  <c r="AW30" i="16"/>
  <c r="AU41" i="16"/>
  <c r="AS79" i="16" s="1"/>
  <c r="AS89" i="16" s="1"/>
  <c r="AB13" i="16"/>
  <c r="AC18" i="16"/>
  <c r="AB36" i="16"/>
  <c r="Z77" i="16" s="1"/>
  <c r="Z88" i="16" s="1"/>
  <c r="AA41" i="16"/>
  <c r="Y79" i="16" s="1"/>
  <c r="Y89" i="16" s="1"/>
  <c r="Y103" i="16" s="1"/>
  <c r="BQ65" i="16"/>
  <c r="AS77" i="16"/>
  <c r="AS88" i="16" s="1"/>
  <c r="AV65" i="16"/>
  <c r="AT96" i="16" s="1"/>
  <c r="AT105" i="16" s="1"/>
  <c r="BN97" i="16"/>
  <c r="BQ30" i="16"/>
  <c r="AC30" i="16"/>
  <c r="AC41" i="16"/>
  <c r="AA79" i="16" s="1"/>
  <c r="AA89" i="16" s="1"/>
  <c r="AB65" i="16"/>
  <c r="Z96" i="16" s="1"/>
  <c r="BO29" i="16"/>
  <c r="BM109" i="16" s="1"/>
  <c r="BM112" i="16" s="1"/>
  <c r="BO48" i="16"/>
  <c r="BM81" i="16" s="1"/>
  <c r="BM90" i="16" s="1"/>
  <c r="AA29" i="16"/>
  <c r="Y109" i="16" s="1"/>
  <c r="Y112" i="16" s="1"/>
  <c r="AA48" i="16"/>
  <c r="Y81" i="16" s="1"/>
  <c r="Y90" i="16" s="1"/>
  <c r="AC65" i="16"/>
  <c r="BH48" i="16"/>
  <c r="BH90" i="16" s="1"/>
  <c r="BQ13" i="16"/>
  <c r="BP29" i="16"/>
  <c r="BN109" i="16" s="1"/>
  <c r="BN112" i="16" s="1"/>
  <c r="BP48" i="16"/>
  <c r="BN81" i="16" s="1"/>
  <c r="BN90" i="16" s="1"/>
  <c r="AA31" i="16"/>
  <c r="Y114" i="16" s="1"/>
  <c r="AB29" i="16"/>
  <c r="Z109" i="16" s="1"/>
  <c r="Z112" i="16" s="1"/>
  <c r="AC36" i="16"/>
  <c r="AA77" i="16" s="1"/>
  <c r="AA88" i="16" s="1"/>
  <c r="AB48" i="16"/>
  <c r="Z81" i="16" s="1"/>
  <c r="Z90" i="16" s="1"/>
  <c r="AA65" i="16"/>
  <c r="BP31" i="16"/>
  <c r="BN114" i="16" s="1"/>
  <c r="BQ29" i="16"/>
  <c r="BO109" i="16" s="1"/>
  <c r="BO112" i="16" s="1"/>
  <c r="BO41" i="16"/>
  <c r="BM79" i="16" s="1"/>
  <c r="BM89" i="16" s="1"/>
  <c r="BM103" i="16" s="1"/>
  <c r="BQ48" i="16"/>
  <c r="BO81" i="16" s="1"/>
  <c r="BO90" i="16" s="1"/>
  <c r="AV13" i="16"/>
  <c r="AW18" i="16"/>
  <c r="AU29" i="16"/>
  <c r="AS109" i="16" s="1"/>
  <c r="AS112" i="16" s="1"/>
  <c r="AV36" i="16"/>
  <c r="AT77" i="16" s="1"/>
  <c r="AT88" i="16" s="1"/>
  <c r="AU48" i="16"/>
  <c r="AS81" i="16" s="1"/>
  <c r="AS90" i="16" s="1"/>
  <c r="AB31" i="16"/>
  <c r="Z114" i="16" s="1"/>
  <c r="AC29" i="16"/>
  <c r="AA109" i="16" s="1"/>
  <c r="AA112" i="16" s="1"/>
  <c r="BJ29" i="16"/>
  <c r="BJ41" i="16"/>
  <c r="BJ89" i="16" s="1"/>
  <c r="BO83" i="16"/>
  <c r="BP10" i="16"/>
  <c r="T30" i="16"/>
  <c r="AP30" i="16"/>
  <c r="BH13" i="16"/>
  <c r="AU31" i="16"/>
  <c r="AS114" i="16" s="1"/>
  <c r="AV29" i="16"/>
  <c r="AT109" i="16" s="1"/>
  <c r="AT112" i="16" s="1"/>
  <c r="AW36" i="16"/>
  <c r="AU77" i="16" s="1"/>
  <c r="AU88" i="16" s="1"/>
  <c r="AV48" i="16"/>
  <c r="AT81" i="16" s="1"/>
  <c r="AT90" i="16" s="1"/>
  <c r="AU65" i="16"/>
  <c r="AS97" i="16" s="1"/>
  <c r="AC31" i="16"/>
  <c r="AA114" i="16" s="1"/>
  <c r="AB41" i="16"/>
  <c r="Z79" i="16" s="1"/>
  <c r="Z89" i="16" s="1"/>
  <c r="Z103" i="16" s="1"/>
  <c r="Z94" i="16"/>
  <c r="Z92" i="16"/>
  <c r="Z93" i="16"/>
  <c r="AA83" i="16"/>
  <c r="AA94" i="16"/>
  <c r="AA92" i="16"/>
  <c r="AA93" i="16"/>
  <c r="BO97" i="16"/>
  <c r="BO98" i="16"/>
  <c r="BO96" i="16"/>
  <c r="AT97" i="16"/>
  <c r="AT98" i="16"/>
  <c r="BM97" i="16"/>
  <c r="BM98" i="16"/>
  <c r="BM96" i="16"/>
  <c r="AC10" i="16"/>
  <c r="AP90" i="16"/>
  <c r="AR81" i="16"/>
  <c r="AR90" i="16" s="1"/>
  <c r="Z97" i="16"/>
  <c r="Z98" i="16"/>
  <c r="AW10" i="16"/>
  <c r="AW67" i="16" s="1"/>
  <c r="BJ90" i="16"/>
  <c r="BL81" i="16"/>
  <c r="BL90" i="16" s="1"/>
  <c r="AR79" i="16"/>
  <c r="AR89" i="16" s="1"/>
  <c r="AV10" i="16"/>
  <c r="BL77" i="16"/>
  <c r="BL88" i="16" s="1"/>
  <c r="BJ88" i="16"/>
  <c r="AA98" i="16"/>
  <c r="AA96" i="16"/>
  <c r="AA97" i="16"/>
  <c r="Y97" i="16"/>
  <c r="Y98" i="16"/>
  <c r="Y96" i="16"/>
  <c r="AA10" i="16"/>
  <c r="AA67" i="16" s="1"/>
  <c r="BM83" i="16"/>
  <c r="BM94" i="16"/>
  <c r="BM92" i="16"/>
  <c r="BM93" i="16"/>
  <c r="AU97" i="16"/>
  <c r="AU98" i="16"/>
  <c r="AU96" i="16"/>
  <c r="BQ10" i="16"/>
  <c r="AS93" i="16"/>
  <c r="BO31" i="16"/>
  <c r="BM114" i="16" s="1"/>
  <c r="AN29" i="16"/>
  <c r="BN93" i="16"/>
  <c r="BN103" i="16" s="1"/>
  <c r="AT93" i="16"/>
  <c r="Y93" i="16"/>
  <c r="BO93" i="16"/>
  <c r="BN96" i="16"/>
  <c r="BN98" i="16"/>
  <c r="AU93" i="16"/>
  <c r="BQ31" i="16"/>
  <c r="BO114" i="16" s="1"/>
  <c r="T29" i="16"/>
  <c r="BN83" i="16"/>
  <c r="V29" i="16"/>
  <c r="AS92" i="16"/>
  <c r="BN92" i="16"/>
  <c r="AT92" i="16"/>
  <c r="Y92" i="16"/>
  <c r="BO92" i="16"/>
  <c r="BN94" i="16"/>
  <c r="AU92" i="16"/>
  <c r="AU103" i="16" s="1"/>
  <c r="BM105" i="16"/>
  <c r="AP29" i="16"/>
  <c r="Y83" i="16"/>
  <c r="Z83" i="16"/>
  <c r="AS83" i="16"/>
  <c r="AT83" i="16"/>
  <c r="AU83" i="16"/>
  <c r="AR84" i="17"/>
  <c r="AR95" i="17" s="1"/>
  <c r="AU35" i="17"/>
  <c r="AC55" i="17"/>
  <c r="AA88" i="17" s="1"/>
  <c r="AA97" i="17" s="1"/>
  <c r="AW35" i="17"/>
  <c r="AU67" i="17"/>
  <c r="AS84" i="17"/>
  <c r="AS95" i="17" s="1"/>
  <c r="AA35" i="17"/>
  <c r="AA84" i="17"/>
  <c r="AA95" i="17" s="1"/>
  <c r="AW67" i="17"/>
  <c r="AB35" i="17"/>
  <c r="AC67" i="17"/>
  <c r="AA86" i="17"/>
  <c r="AA96" i="17" s="1"/>
  <c r="AU55" i="17"/>
  <c r="AS88" i="17" s="1"/>
  <c r="AS97" i="17" s="1"/>
  <c r="AC35" i="17"/>
  <c r="AA67" i="17"/>
  <c r="AV67" i="17"/>
  <c r="AW72" i="17"/>
  <c r="AU105" i="17" s="1"/>
  <c r="AB72" i="17"/>
  <c r="BQ48" i="17"/>
  <c r="BO86" i="17" s="1"/>
  <c r="BO96" i="17" s="1"/>
  <c r="AU72" i="17"/>
  <c r="Y84" i="17"/>
  <c r="Y95" i="17" s="1"/>
  <c r="AA55" i="17"/>
  <c r="Y88" i="17" s="1"/>
  <c r="Y97" i="17" s="1"/>
  <c r="AB52" i="9"/>
  <c r="X73" i="9" s="1"/>
  <c r="AC52" i="9"/>
  <c r="Y73" i="9" s="1"/>
  <c r="AB39" i="9"/>
  <c r="X71" i="9" s="1"/>
  <c r="Y75" i="9"/>
  <c r="AD39" i="9"/>
  <c r="Z71" i="9" s="1"/>
  <c r="AC39" i="9"/>
  <c r="Y71" i="9" s="1"/>
  <c r="AB62" i="4"/>
  <c r="AA62" i="4"/>
  <c r="V62" i="16"/>
  <c r="V65" i="16" s="1"/>
  <c r="V26" i="16"/>
  <c r="V30" i="16" s="1"/>
  <c r="AP5" i="16"/>
  <c r="AP10" i="16" s="1"/>
  <c r="V24" i="16"/>
  <c r="BN84" i="17"/>
  <c r="BN95" i="17" s="1"/>
  <c r="BP72" i="17"/>
  <c r="BN86" i="17"/>
  <c r="BN96" i="17" s="1"/>
  <c r="BO72" i="17"/>
  <c r="BP67" i="17"/>
  <c r="BQ72" i="17"/>
  <c r="BO104" i="17" s="1"/>
  <c r="BQ67" i="17"/>
  <c r="BO90" i="17" s="1"/>
  <c r="V58" i="9"/>
  <c r="X69" i="9"/>
  <c r="T30" i="9"/>
  <c r="BM84" i="17"/>
  <c r="BM95" i="17" s="1"/>
  <c r="BO55" i="17"/>
  <c r="BM88" i="17" s="1"/>
  <c r="BM97" i="17" s="1"/>
  <c r="BO67" i="17"/>
  <c r="BH67" i="17"/>
  <c r="BJ67" i="17"/>
  <c r="BP55" i="17"/>
  <c r="BN88" i="17" s="1"/>
  <c r="BN97" i="17" s="1"/>
  <c r="BQ55" i="17"/>
  <c r="BO88" i="17" s="1"/>
  <c r="BO97" i="17" s="1"/>
  <c r="Y43" i="17"/>
  <c r="T84" i="17" s="1"/>
  <c r="AP95" i="17"/>
  <c r="V95" i="17"/>
  <c r="BH43" i="17"/>
  <c r="AS43" i="17"/>
  <c r="AN84" i="17" s="1"/>
  <c r="V57" i="17"/>
  <c r="V67" i="17" s="1"/>
  <c r="BK35" i="17"/>
  <c r="AP72" i="17"/>
  <c r="BJ5" i="16"/>
  <c r="BJ7" i="16"/>
  <c r="AP7" i="16"/>
  <c r="AN31" i="16"/>
  <c r="AS41" i="16"/>
  <c r="AN79" i="16" s="1"/>
  <c r="AN36" i="16"/>
  <c r="BM41" i="16"/>
  <c r="BH79" i="16" s="1"/>
  <c r="T48" i="16"/>
  <c r="V41" i="16"/>
  <c r="BN48" i="16"/>
  <c r="BJ81" i="16" s="1"/>
  <c r="BN36" i="16"/>
  <c r="BJ77" i="16" s="1"/>
  <c r="T41" i="16"/>
  <c r="V48" i="16"/>
  <c r="BK31" i="16"/>
  <c r="AN35" i="4"/>
  <c r="AP39" i="4"/>
  <c r="AT39" i="4" s="1"/>
  <c r="AP74" i="4" s="1"/>
  <c r="AN43" i="4"/>
  <c r="AT68" i="4"/>
  <c r="V43" i="4"/>
  <c r="Z43" i="4" s="1"/>
  <c r="V76" i="4" s="1"/>
  <c r="AN60" i="4"/>
  <c r="AS60" i="4" s="1"/>
  <c r="AN80" i="4" s="1"/>
  <c r="AS43" i="4"/>
  <c r="AN76" i="4" s="1"/>
  <c r="AP60" i="4"/>
  <c r="AT60" i="4" s="1"/>
  <c r="AP80" i="4" s="1"/>
  <c r="AP35" i="4"/>
  <c r="AT35" i="4" s="1"/>
  <c r="AP72" i="4" s="1"/>
  <c r="T58" i="9"/>
  <c r="V52" i="9"/>
  <c r="V39" i="9"/>
  <c r="T52" i="9"/>
  <c r="Y52" i="9" s="1"/>
  <c r="S73" i="9" s="1"/>
  <c r="T39" i="9"/>
  <c r="Y39" i="9" s="1"/>
  <c r="S71" i="9" s="1"/>
  <c r="V47" i="11"/>
  <c r="Z47" i="11"/>
  <c r="U64" i="11" s="1"/>
  <c r="Z41" i="11"/>
  <c r="U62" i="11" s="1"/>
  <c r="V33" i="12"/>
  <c r="Z33" i="12" s="1"/>
  <c r="U53" i="12" s="1"/>
  <c r="V29" i="12"/>
  <c r="V39" i="12"/>
  <c r="T35" i="17"/>
  <c r="AP55" i="17"/>
  <c r="AP97" i="17" s="1"/>
  <c r="V72" i="17"/>
  <c r="V105" i="17" s="1"/>
  <c r="AP67" i="17"/>
  <c r="V55" i="17"/>
  <c r="V97" i="17" s="1"/>
  <c r="T48" i="17"/>
  <c r="V48" i="17"/>
  <c r="V96" i="17" s="1"/>
  <c r="V35" i="17"/>
  <c r="BJ55" i="17"/>
  <c r="BJ97" i="17" s="1"/>
  <c r="AN67" i="17"/>
  <c r="W35" i="17"/>
  <c r="AN55" i="17"/>
  <c r="BH55" i="17"/>
  <c r="BH72" i="17"/>
  <c r="BH103" i="17" s="1"/>
  <c r="AN35" i="17"/>
  <c r="AP35" i="17"/>
  <c r="BJ72" i="17"/>
  <c r="AQ35" i="17"/>
  <c r="T67" i="17"/>
  <c r="T55" i="17"/>
  <c r="T72" i="17"/>
  <c r="AN72" i="17"/>
  <c r="BH36" i="16"/>
  <c r="BH31" i="16"/>
  <c r="BJ31" i="16"/>
  <c r="T36" i="16"/>
  <c r="AP65" i="16"/>
  <c r="W31" i="16"/>
  <c r="AP36" i="16"/>
  <c r="V36" i="16"/>
  <c r="AQ31" i="16"/>
  <c r="BH60" i="16"/>
  <c r="AP60" i="16"/>
  <c r="AN65" i="16"/>
  <c r="BH65" i="16"/>
  <c r="AN60" i="16"/>
  <c r="AP31" i="16"/>
  <c r="AT48" i="16"/>
  <c r="AP81" i="16" s="1"/>
  <c r="BJ60" i="16"/>
  <c r="BJ65" i="16"/>
  <c r="T31" i="16"/>
  <c r="T60" i="16"/>
  <c r="T65" i="16"/>
  <c r="AP55" i="4"/>
  <c r="AN55" i="4"/>
  <c r="AP43" i="4"/>
  <c r="AN39" i="4"/>
  <c r="AS39" i="4" s="1"/>
  <c r="AN74" i="4" s="1"/>
  <c r="AS35" i="4"/>
  <c r="AN72" i="4" s="1"/>
  <c r="V60" i="4"/>
  <c r="V55" i="4"/>
  <c r="V39" i="4"/>
  <c r="Z39" i="4" s="1"/>
  <c r="V74" i="4" s="1"/>
  <c r="V35" i="4"/>
  <c r="Z35" i="4" s="1"/>
  <c r="V72" i="4" s="1"/>
  <c r="T47" i="11"/>
  <c r="T39" i="4"/>
  <c r="Y39" i="4" s="1"/>
  <c r="T74" i="4" s="1"/>
  <c r="T43" i="4"/>
  <c r="T60" i="4"/>
  <c r="Y60" i="4" s="1"/>
  <c r="T55" i="4"/>
  <c r="Y55" i="4" s="1"/>
  <c r="T78" i="4" s="1"/>
  <c r="T35" i="4"/>
  <c r="T30" i="4"/>
  <c r="T41" i="11"/>
  <c r="AT33" i="12"/>
  <c r="AN53" i="12" s="1"/>
  <c r="T33" i="12"/>
  <c r="Y33" i="12" s="1"/>
  <c r="S53" i="12" s="1"/>
  <c r="T29" i="12"/>
  <c r="T39" i="12"/>
  <c r="Y39" i="12" s="1"/>
  <c r="S55" i="12" s="1"/>
  <c r="W29" i="12"/>
  <c r="X130" i="16" l="1"/>
  <c r="X131" i="16" s="1"/>
  <c r="X132" i="16" s="1"/>
  <c r="X124" i="16" s="1"/>
  <c r="X125" i="4"/>
  <c r="X126" i="4" s="1"/>
  <c r="X127" i="4" s="1"/>
  <c r="X119" i="4" s="1"/>
  <c r="W120" i="9"/>
  <c r="W121" i="9" s="1"/>
  <c r="W122" i="9" s="1"/>
  <c r="W114" i="9" s="1"/>
  <c r="BJ130" i="16"/>
  <c r="BJ131" i="16" s="1"/>
  <c r="BJ132" i="16" s="1"/>
  <c r="BJ124" i="16" s="1"/>
  <c r="X136" i="17"/>
  <c r="X137" i="17" s="1"/>
  <c r="X129" i="17" s="1"/>
  <c r="BL125" i="17"/>
  <c r="BL132" i="17" s="1"/>
  <c r="BJ132" i="17"/>
  <c r="AP134" i="17"/>
  <c r="AP136" i="17" s="1"/>
  <c r="AP137" i="17" s="1"/>
  <c r="AP129" i="17" s="1"/>
  <c r="AR127" i="17"/>
  <c r="AR134" i="17" s="1"/>
  <c r="BN135" i="17"/>
  <c r="BN136" i="17" s="1"/>
  <c r="BN137" i="17" s="1"/>
  <c r="BN129" i="17" s="1"/>
  <c r="AR114" i="17"/>
  <c r="AR117" i="17" s="1"/>
  <c r="AR136" i="17"/>
  <c r="AR137" i="17" s="1"/>
  <c r="AR129" i="17" s="1"/>
  <c r="BN80" i="17"/>
  <c r="Y105" i="17"/>
  <c r="BL127" i="17"/>
  <c r="BL134" i="17" s="1"/>
  <c r="BJ134" i="17"/>
  <c r="T105" i="17"/>
  <c r="AA105" i="17"/>
  <c r="AR86" i="17"/>
  <c r="AR96" i="17" s="1"/>
  <c r="BO103" i="17"/>
  <c r="AT119" i="17"/>
  <c r="BH74" i="17"/>
  <c r="AW74" i="17"/>
  <c r="BM80" i="17"/>
  <c r="AA103" i="17"/>
  <c r="AV74" i="17"/>
  <c r="AA92" i="17"/>
  <c r="BO80" i="17"/>
  <c r="BL78" i="17"/>
  <c r="V117" i="17"/>
  <c r="AS26" i="17"/>
  <c r="AN80" i="17" s="1"/>
  <c r="AP74" i="17"/>
  <c r="AT48" i="17"/>
  <c r="AP86" i="17" s="1"/>
  <c r="AN95" i="17"/>
  <c r="AC74" i="17"/>
  <c r="AT105" i="17"/>
  <c r="Y26" i="17"/>
  <c r="T80" i="17" s="1"/>
  <c r="AT92" i="17"/>
  <c r="Z119" i="17"/>
  <c r="BH119" i="17"/>
  <c r="BM119" i="17"/>
  <c r="AB74" i="17"/>
  <c r="BJ119" i="17"/>
  <c r="BL119" i="17" s="1"/>
  <c r="Z108" i="17"/>
  <c r="BN119" i="17"/>
  <c r="BM48" i="17"/>
  <c r="BH86" i="17" s="1"/>
  <c r="AS48" i="17"/>
  <c r="AN86" i="17" s="1"/>
  <c r="V119" i="17"/>
  <c r="X119" i="17" s="1"/>
  <c r="Y80" i="17"/>
  <c r="AT104" i="17"/>
  <c r="BN92" i="17"/>
  <c r="BN103" i="17"/>
  <c r="BN105" i="17"/>
  <c r="Z92" i="17"/>
  <c r="Z104" i="17"/>
  <c r="Z103" i="17"/>
  <c r="BO119" i="17"/>
  <c r="BM92" i="17"/>
  <c r="BM103" i="17"/>
  <c r="BM105" i="17"/>
  <c r="AS55" i="17"/>
  <c r="AN88" i="17" s="1"/>
  <c r="AN97" i="17"/>
  <c r="AP103" i="17"/>
  <c r="AR103" i="17" s="1"/>
  <c r="AP104" i="17"/>
  <c r="AR104" i="17" s="1"/>
  <c r="AU92" i="17"/>
  <c r="AU104" i="17"/>
  <c r="AU103" i="17"/>
  <c r="Y119" i="17"/>
  <c r="Z105" i="17"/>
  <c r="Y103" i="17"/>
  <c r="Y104" i="17"/>
  <c r="AS92" i="17"/>
  <c r="AS103" i="17"/>
  <c r="AS104" i="17"/>
  <c r="V100" i="17"/>
  <c r="X100" i="17" s="1"/>
  <c r="V101" i="17"/>
  <c r="X101" i="17" s="1"/>
  <c r="V99" i="17"/>
  <c r="X99" i="17" s="1"/>
  <c r="Y67" i="17"/>
  <c r="T90" i="17" s="1"/>
  <c r="T100" i="17"/>
  <c r="T101" i="17"/>
  <c r="T99" i="17"/>
  <c r="BL92" i="17"/>
  <c r="BJ104" i="17"/>
  <c r="BL104" i="17" s="1"/>
  <c r="BJ105" i="17"/>
  <c r="AP119" i="17"/>
  <c r="AR119" i="17" s="1"/>
  <c r="AU90" i="17"/>
  <c r="AU100" i="17"/>
  <c r="AU101" i="17"/>
  <c r="AU99" i="17"/>
  <c r="AS72" i="17"/>
  <c r="AN92" i="17" s="1"/>
  <c r="AN103" i="17"/>
  <c r="AN104" i="17"/>
  <c r="Y90" i="17"/>
  <c r="Y100" i="17"/>
  <c r="Y101" i="17"/>
  <c r="Y99" i="17"/>
  <c r="BJ103" i="17"/>
  <c r="BL103" i="17" s="1"/>
  <c r="V104" i="17"/>
  <c r="X104" i="17" s="1"/>
  <c r="V103" i="17"/>
  <c r="X103" i="17" s="1"/>
  <c r="BL90" i="17"/>
  <c r="BJ99" i="17"/>
  <c r="BL99" i="17" s="1"/>
  <c r="BJ100" i="17"/>
  <c r="BL100" i="17" s="1"/>
  <c r="BJ101" i="17"/>
  <c r="BL101" i="17" s="1"/>
  <c r="AA119" i="17"/>
  <c r="BN104" i="17"/>
  <c r="Y55" i="17"/>
  <c r="T88" i="17" s="1"/>
  <c r="T97" i="17"/>
  <c r="AN119" i="17"/>
  <c r="AS67" i="17"/>
  <c r="AN90" i="17" s="1"/>
  <c r="AN100" i="17"/>
  <c r="AN101" i="17"/>
  <c r="AN99" i="17"/>
  <c r="BM67" i="17"/>
  <c r="BH90" i="17" s="1"/>
  <c r="BH101" i="17"/>
  <c r="BH99" i="17"/>
  <c r="BH100" i="17"/>
  <c r="BN100" i="17"/>
  <c r="BN101" i="17"/>
  <c r="BN99" i="17"/>
  <c r="AP105" i="17"/>
  <c r="AR105" i="17" s="1"/>
  <c r="BL114" i="17"/>
  <c r="BL117" i="17" s="1"/>
  <c r="BJ117" i="17"/>
  <c r="AA90" i="17"/>
  <c r="AA100" i="17"/>
  <c r="AA101" i="17"/>
  <c r="AA99" i="17"/>
  <c r="Y48" i="17"/>
  <c r="T86" i="17" s="1"/>
  <c r="T96" i="17"/>
  <c r="AT90" i="17"/>
  <c r="AT100" i="17"/>
  <c r="AT101" i="17"/>
  <c r="AT99" i="17"/>
  <c r="AP100" i="17"/>
  <c r="AR100" i="17" s="1"/>
  <c r="AP101" i="17"/>
  <c r="AR101" i="17" s="1"/>
  <c r="AP99" i="17"/>
  <c r="BO100" i="17"/>
  <c r="BO101" i="17"/>
  <c r="BO99" i="17"/>
  <c r="AS90" i="17"/>
  <c r="AS100" i="17"/>
  <c r="AS101" i="17"/>
  <c r="AS99" i="17"/>
  <c r="Y72" i="17"/>
  <c r="T92" i="17" s="1"/>
  <c r="T103" i="17"/>
  <c r="T104" i="17"/>
  <c r="BO92" i="17"/>
  <c r="BO105" i="17"/>
  <c r="AU119" i="17"/>
  <c r="AS105" i="17"/>
  <c r="BH104" i="17"/>
  <c r="BH105" i="17"/>
  <c r="T119" i="17"/>
  <c r="BM90" i="17"/>
  <c r="BM100" i="17"/>
  <c r="BM101" i="17"/>
  <c r="BM99" i="17"/>
  <c r="AS82" i="17"/>
  <c r="AS119" i="17"/>
  <c r="BM104" i="17"/>
  <c r="AN105" i="17"/>
  <c r="AQ58" i="12"/>
  <c r="AP58" i="12"/>
  <c r="AR58" i="12" s="1"/>
  <c r="AR51" i="12"/>
  <c r="AN58" i="12"/>
  <c r="AU29" i="12"/>
  <c r="AP51" i="12" s="1"/>
  <c r="AB67" i="16"/>
  <c r="AU67" i="16"/>
  <c r="Y82" i="17"/>
  <c r="Z82" i="17"/>
  <c r="U75" i="12"/>
  <c r="S75" i="12"/>
  <c r="X77" i="12"/>
  <c r="Y75" i="12"/>
  <c r="W47" i="12"/>
  <c r="X47" i="12"/>
  <c r="Y47" i="12"/>
  <c r="Z47" i="12"/>
  <c r="W77" i="12"/>
  <c r="W75" i="12"/>
  <c r="AR41" i="12"/>
  <c r="AV17" i="12"/>
  <c r="AV41" i="12" s="1"/>
  <c r="AY17" i="12"/>
  <c r="AY41" i="12" s="1"/>
  <c r="AX17" i="12"/>
  <c r="AQ41" i="12"/>
  <c r="AX41" i="12"/>
  <c r="AO17" i="12"/>
  <c r="AW17" i="12"/>
  <c r="AW41" i="12" s="1"/>
  <c r="X71" i="11"/>
  <c r="X68" i="11"/>
  <c r="X62" i="11"/>
  <c r="X73" i="11"/>
  <c r="Z56" i="11"/>
  <c r="AA50" i="11"/>
  <c r="V74" i="11"/>
  <c r="V73" i="11"/>
  <c r="V72" i="11"/>
  <c r="V71" i="11"/>
  <c r="S84" i="11"/>
  <c r="W21" i="11"/>
  <c r="W50" i="11" s="1"/>
  <c r="T21" i="11"/>
  <c r="T50" i="11" s="1"/>
  <c r="W80" i="11"/>
  <c r="W84" i="11" s="1"/>
  <c r="X82" i="11"/>
  <c r="AB21" i="11"/>
  <c r="X56" i="11" s="1"/>
  <c r="Y77" i="11"/>
  <c r="Y84" i="11" s="1"/>
  <c r="Y34" i="11"/>
  <c r="S60" i="11" s="1"/>
  <c r="Z72" i="11"/>
  <c r="Y74" i="11"/>
  <c r="W56" i="11"/>
  <c r="V50" i="11"/>
  <c r="Y47" i="11"/>
  <c r="S64" i="11" s="1"/>
  <c r="S73" i="11"/>
  <c r="S71" i="11"/>
  <c r="S74" i="11"/>
  <c r="S72" i="11"/>
  <c r="Z69" i="11"/>
  <c r="Z62" i="11"/>
  <c r="Z68" i="11"/>
  <c r="AC50" i="11"/>
  <c r="U71" i="11"/>
  <c r="W71" i="11" s="1"/>
  <c r="W64" i="11"/>
  <c r="U74" i="11"/>
  <c r="W74" i="11" s="1"/>
  <c r="U73" i="11"/>
  <c r="U72" i="11"/>
  <c r="W72" i="11" s="1"/>
  <c r="Z84" i="11"/>
  <c r="Y68" i="11"/>
  <c r="Y69" i="11"/>
  <c r="Y62" i="11"/>
  <c r="W60" i="11"/>
  <c r="U67" i="11"/>
  <c r="W67" i="11" s="1"/>
  <c r="Z28" i="11"/>
  <c r="U58" i="11" s="1"/>
  <c r="W58" i="11"/>
  <c r="Z74" i="11"/>
  <c r="X80" i="11"/>
  <c r="X86" i="11" s="1"/>
  <c r="Y41" i="11"/>
  <c r="S62" i="11" s="1"/>
  <c r="S68" i="11"/>
  <c r="S69" i="11"/>
  <c r="Z71" i="11"/>
  <c r="W68" i="11"/>
  <c r="Y72" i="11"/>
  <c r="AD50" i="11"/>
  <c r="AB50" i="11"/>
  <c r="Y73" i="11"/>
  <c r="AA58" i="10"/>
  <c r="Z49" i="10"/>
  <c r="U70" i="10" s="1"/>
  <c r="U76" i="10"/>
  <c r="W76" i="10" s="1"/>
  <c r="W70" i="10"/>
  <c r="S76" i="10"/>
  <c r="Y49" i="10"/>
  <c r="S70" i="10" s="1"/>
  <c r="Z94" i="10"/>
  <c r="Z90" i="10"/>
  <c r="AC23" i="10"/>
  <c r="AC58" i="10" s="1"/>
  <c r="Y62" i="10" s="1"/>
  <c r="S79" i="10"/>
  <c r="S80" i="10"/>
  <c r="S94" i="10" s="1"/>
  <c r="Y55" i="10"/>
  <c r="S72" i="10" s="1"/>
  <c r="S81" i="10"/>
  <c r="S82" i="10"/>
  <c r="U79" i="10"/>
  <c r="W79" i="10" s="1"/>
  <c r="W90" i="10" s="1"/>
  <c r="U82" i="10"/>
  <c r="W82" i="10" s="1"/>
  <c r="U80" i="10"/>
  <c r="W80" i="10" s="1"/>
  <c r="Z55" i="10"/>
  <c r="U72" i="10" s="1"/>
  <c r="U81" i="10"/>
  <c r="W81" i="10" s="1"/>
  <c r="W72" i="10"/>
  <c r="W64" i="10"/>
  <c r="U92" i="10"/>
  <c r="S92" i="10"/>
  <c r="Z92" i="10"/>
  <c r="AA23" i="9"/>
  <c r="AA61" i="9" s="1"/>
  <c r="V82" i="9"/>
  <c r="D427" i="19" s="1"/>
  <c r="Y58" i="9"/>
  <c r="S75" i="9" s="1"/>
  <c r="S85" i="9"/>
  <c r="S84" i="9"/>
  <c r="S82" i="9"/>
  <c r="S93" i="9" s="1"/>
  <c r="S83" i="9"/>
  <c r="U82" i="9"/>
  <c r="U83" i="9"/>
  <c r="W83" i="9" s="1"/>
  <c r="U84" i="9"/>
  <c r="W84" i="9" s="1"/>
  <c r="U85" i="9"/>
  <c r="W85" i="9" s="1"/>
  <c r="Z75" i="9"/>
  <c r="Z85" i="9"/>
  <c r="Z83" i="9"/>
  <c r="Z84" i="9"/>
  <c r="Z82" i="9"/>
  <c r="Z93" i="9" s="1"/>
  <c r="Y84" i="9"/>
  <c r="Y97" i="9" s="1"/>
  <c r="U95" i="9"/>
  <c r="W91" i="9"/>
  <c r="Y95" i="9"/>
  <c r="Y82" i="9"/>
  <c r="Y93" i="9" s="1"/>
  <c r="S95" i="9"/>
  <c r="X83" i="9"/>
  <c r="X85" i="9"/>
  <c r="X84" i="9"/>
  <c r="X97" i="9" s="1"/>
  <c r="X82" i="9"/>
  <c r="X93" i="9" s="1"/>
  <c r="Z95" i="9"/>
  <c r="Z97" i="9"/>
  <c r="X95" i="9"/>
  <c r="X64" i="10"/>
  <c r="Z23" i="10"/>
  <c r="U64" i="10" s="1"/>
  <c r="Z64" i="10"/>
  <c r="Y68" i="10"/>
  <c r="Z68" i="10"/>
  <c r="X62" i="10"/>
  <c r="Z62" i="10"/>
  <c r="W92" i="10"/>
  <c r="Z23" i="9"/>
  <c r="U67" i="9" s="1"/>
  <c r="AB61" i="9"/>
  <c r="Y67" i="9"/>
  <c r="Y69" i="9"/>
  <c r="X75" i="9"/>
  <c r="X102" i="4"/>
  <c r="X100" i="4"/>
  <c r="AS102" i="4"/>
  <c r="AS100" i="4"/>
  <c r="AT102" i="4"/>
  <c r="AT100" i="4"/>
  <c r="AU102" i="4"/>
  <c r="AU100" i="4"/>
  <c r="AN100" i="4"/>
  <c r="AP100" i="4"/>
  <c r="Z55" i="4"/>
  <c r="V78" i="4" s="1"/>
  <c r="X78" i="4"/>
  <c r="AT55" i="4"/>
  <c r="AP78" i="4" s="1"/>
  <c r="AR78" i="4"/>
  <c r="AQ62" i="4"/>
  <c r="AS80" i="4" s="1"/>
  <c r="AR68" i="4"/>
  <c r="AU68" i="4"/>
  <c r="AS68" i="4"/>
  <c r="X105" i="17"/>
  <c r="Y105" i="16"/>
  <c r="AS48" i="16"/>
  <c r="AN81" i="16" s="1"/>
  <c r="BO103" i="16"/>
  <c r="AT103" i="16"/>
  <c r="BL79" i="16"/>
  <c r="BL89" i="16" s="1"/>
  <c r="AP89" i="16"/>
  <c r="BP67" i="16"/>
  <c r="AS103" i="16"/>
  <c r="BN41" i="16"/>
  <c r="BJ79" i="16" s="1"/>
  <c r="AS98" i="16"/>
  <c r="AS107" i="16" s="1"/>
  <c r="AC67" i="16"/>
  <c r="BO67" i="16"/>
  <c r="BQ67" i="16"/>
  <c r="AA103" i="16"/>
  <c r="AS96" i="16"/>
  <c r="BM48" i="16"/>
  <c r="BH81" i="16" s="1"/>
  <c r="AV67" i="16"/>
  <c r="AS36" i="16"/>
  <c r="AN77" i="16" s="1"/>
  <c r="AN88" i="16"/>
  <c r="BM107" i="16"/>
  <c r="Z36" i="16"/>
  <c r="V77" i="16" s="1"/>
  <c r="V88" i="16"/>
  <c r="X77" i="16"/>
  <c r="X88" i="16" s="1"/>
  <c r="BM36" i="16"/>
  <c r="BH77" i="16" s="1"/>
  <c r="BH88" i="16"/>
  <c r="Y107" i="16"/>
  <c r="Z107" i="16"/>
  <c r="Z105" i="16"/>
  <c r="BJ97" i="16"/>
  <c r="BL97" i="16" s="1"/>
  <c r="BJ98" i="16"/>
  <c r="BJ96" i="16"/>
  <c r="BL96" i="16" s="1"/>
  <c r="Y48" i="16"/>
  <c r="T81" i="16" s="1"/>
  <c r="T90" i="16"/>
  <c r="BJ93" i="16"/>
  <c r="BL93" i="16" s="1"/>
  <c r="BJ94" i="16"/>
  <c r="BL94" i="16" s="1"/>
  <c r="BJ92" i="16"/>
  <c r="Z65" i="16"/>
  <c r="V97" i="16"/>
  <c r="X97" i="16" s="1"/>
  <c r="V98" i="16"/>
  <c r="V96" i="16"/>
  <c r="X96" i="16" s="1"/>
  <c r="AT107" i="16"/>
  <c r="AU107" i="16"/>
  <c r="AT36" i="16"/>
  <c r="AP77" i="16" s="1"/>
  <c r="AP88" i="16"/>
  <c r="AR77" i="16"/>
  <c r="AR88" i="16" s="1"/>
  <c r="T97" i="16"/>
  <c r="T98" i="16"/>
  <c r="T96" i="16"/>
  <c r="Y41" i="16"/>
  <c r="T79" i="16" s="1"/>
  <c r="T89" i="16"/>
  <c r="BN107" i="16"/>
  <c r="Y36" i="16"/>
  <c r="T77" i="16" s="1"/>
  <c r="T88" i="16"/>
  <c r="BM60" i="16"/>
  <c r="BH83" i="16" s="1"/>
  <c r="BH93" i="16"/>
  <c r="BH94" i="16"/>
  <c r="BH92" i="16"/>
  <c r="BH103" i="16" s="1"/>
  <c r="Z48" i="16"/>
  <c r="V81" i="16" s="1"/>
  <c r="V90" i="16"/>
  <c r="X81" i="16"/>
  <c r="X90" i="16" s="1"/>
  <c r="AS60" i="16"/>
  <c r="AN83" i="16" s="1"/>
  <c r="AN93" i="16"/>
  <c r="AN94" i="16"/>
  <c r="AN92" i="16"/>
  <c r="Y60" i="16"/>
  <c r="T83" i="16" s="1"/>
  <c r="T93" i="16"/>
  <c r="T94" i="16"/>
  <c r="T92" i="16"/>
  <c r="AU105" i="16"/>
  <c r="BM65" i="16"/>
  <c r="BH85" i="16" s="1"/>
  <c r="BH98" i="16"/>
  <c r="BH96" i="16"/>
  <c r="BH97" i="16"/>
  <c r="AT73" i="16"/>
  <c r="AS65" i="16"/>
  <c r="AN85" i="16" s="1"/>
  <c r="AN96" i="16"/>
  <c r="AN97" i="16"/>
  <c r="AN98" i="16"/>
  <c r="BJ10" i="16"/>
  <c r="BO107" i="16"/>
  <c r="BO105" i="16"/>
  <c r="AP93" i="16"/>
  <c r="AR93" i="16" s="1"/>
  <c r="AP94" i="16"/>
  <c r="AR94" i="16" s="1"/>
  <c r="AP92" i="16"/>
  <c r="AR92" i="16" s="1"/>
  <c r="AR103" i="16" s="1"/>
  <c r="AT65" i="16"/>
  <c r="AP85" i="16" s="1"/>
  <c r="AP97" i="16"/>
  <c r="AR97" i="16" s="1"/>
  <c r="AP98" i="16"/>
  <c r="AP96" i="16"/>
  <c r="AR96" i="16" s="1"/>
  <c r="Z41" i="16"/>
  <c r="V79" i="16" s="1"/>
  <c r="X79" i="16"/>
  <c r="X89" i="16" s="1"/>
  <c r="V89" i="16"/>
  <c r="BN105" i="16"/>
  <c r="AA107" i="16"/>
  <c r="AA105" i="16"/>
  <c r="AA75" i="16"/>
  <c r="Z75" i="16"/>
  <c r="Y75" i="16"/>
  <c r="AS75" i="16"/>
  <c r="AU75" i="16"/>
  <c r="AT75" i="16"/>
  <c r="AR75" i="16"/>
  <c r="BL75" i="16"/>
  <c r="BM31" i="16"/>
  <c r="BH75" i="16" s="1"/>
  <c r="BM75" i="16"/>
  <c r="BO75" i="16"/>
  <c r="BN75" i="16"/>
  <c r="BN60" i="16"/>
  <c r="BJ83" i="16" s="1"/>
  <c r="BL83" i="16"/>
  <c r="X73" i="16"/>
  <c r="Y73" i="16"/>
  <c r="Z73" i="16"/>
  <c r="AA73" i="16"/>
  <c r="AU73" i="16"/>
  <c r="AS73" i="16"/>
  <c r="BM73" i="16"/>
  <c r="BN73" i="16"/>
  <c r="BO73" i="16"/>
  <c r="AT60" i="16"/>
  <c r="AP83" i="16" s="1"/>
  <c r="AR83" i="16"/>
  <c r="AS80" i="17"/>
  <c r="BM55" i="17"/>
  <c r="BH88" i="17" s="1"/>
  <c r="BH97" i="17"/>
  <c r="AT55" i="17"/>
  <c r="AP88" i="17" s="1"/>
  <c r="AR88" i="17"/>
  <c r="AR97" i="17" s="1"/>
  <c r="Z43" i="17"/>
  <c r="V84" i="17" s="1"/>
  <c r="X82" i="17"/>
  <c r="AU74" i="17"/>
  <c r="AR80" i="17"/>
  <c r="Z72" i="17"/>
  <c r="V92" i="17" s="1"/>
  <c r="X92" i="17"/>
  <c r="BL82" i="17"/>
  <c r="BJ95" i="17"/>
  <c r="BM43" i="17"/>
  <c r="BH84" i="17" s="1"/>
  <c r="BH95" i="17"/>
  <c r="AT72" i="17"/>
  <c r="AP92" i="17" s="1"/>
  <c r="AR92" i="17"/>
  <c r="AT82" i="17"/>
  <c r="AT43" i="17"/>
  <c r="AP84" i="17" s="1"/>
  <c r="AR82" i="17"/>
  <c r="Z48" i="17"/>
  <c r="V86" i="17" s="1"/>
  <c r="X86" i="17"/>
  <c r="X96" i="17" s="1"/>
  <c r="X84" i="17"/>
  <c r="X95" i="17" s="1"/>
  <c r="X80" i="17"/>
  <c r="Z55" i="17"/>
  <c r="V88" i="17" s="1"/>
  <c r="X88" i="17"/>
  <c r="X97" i="17" s="1"/>
  <c r="AA82" i="17"/>
  <c r="AU82" i="17"/>
  <c r="X78" i="17"/>
  <c r="AT67" i="17"/>
  <c r="AP90" i="17" s="1"/>
  <c r="AR90" i="17"/>
  <c r="Z67" i="17"/>
  <c r="V90" i="17" s="1"/>
  <c r="X90" i="17"/>
  <c r="AD61" i="9"/>
  <c r="Z67" i="9"/>
  <c r="Z39" i="9"/>
  <c r="U71" i="9" s="1"/>
  <c r="W71" i="9"/>
  <c r="Z52" i="9"/>
  <c r="U73" i="9" s="1"/>
  <c r="W73" i="9"/>
  <c r="W67" i="9"/>
  <c r="AC61" i="9"/>
  <c r="X67" i="9"/>
  <c r="W69" i="9"/>
  <c r="Z58" i="9"/>
  <c r="U75" i="9" s="1"/>
  <c r="W75" i="9"/>
  <c r="Z30" i="9"/>
  <c r="U69" i="9" s="1"/>
  <c r="Y30" i="9"/>
  <c r="S69" i="9" s="1"/>
  <c r="AA68" i="4"/>
  <c r="Y68" i="4"/>
  <c r="Z68" i="4"/>
  <c r="X68" i="4"/>
  <c r="V31" i="16"/>
  <c r="X75" i="16" s="1"/>
  <c r="V60" i="16"/>
  <c r="BQ74" i="17"/>
  <c r="BN90" i="17"/>
  <c r="BN82" i="17"/>
  <c r="BN43" i="17"/>
  <c r="BJ84" i="17" s="1"/>
  <c r="V61" i="9"/>
  <c r="BN67" i="17"/>
  <c r="BJ90" i="17" s="1"/>
  <c r="BM82" i="17"/>
  <c r="BN35" i="17"/>
  <c r="BJ82" i="17" s="1"/>
  <c r="BL80" i="17"/>
  <c r="BN55" i="17"/>
  <c r="BJ88" i="17" s="1"/>
  <c r="BL88" i="17"/>
  <c r="BL97" i="17" s="1"/>
  <c r="BN48" i="17"/>
  <c r="BJ86" i="17" s="1"/>
  <c r="BL86" i="17"/>
  <c r="BL96" i="17" s="1"/>
  <c r="BL84" i="17"/>
  <c r="BL95" i="17" s="1"/>
  <c r="BO82" i="17"/>
  <c r="BK74" i="17"/>
  <c r="BM35" i="17"/>
  <c r="BH82" i="17" s="1"/>
  <c r="Y35" i="17"/>
  <c r="T82" i="17" s="1"/>
  <c r="BM26" i="17"/>
  <c r="BH80" i="17" s="1"/>
  <c r="BN31" i="16"/>
  <c r="BJ75" i="16" s="1"/>
  <c r="Z23" i="16"/>
  <c r="V73" i="16" s="1"/>
  <c r="Y30" i="4"/>
  <c r="T70" i="4" s="1"/>
  <c r="AT30" i="4"/>
  <c r="AP70" i="4" s="1"/>
  <c r="AS23" i="4"/>
  <c r="AN68" i="4" s="1"/>
  <c r="AS30" i="4"/>
  <c r="AN70" i="4" s="1"/>
  <c r="AT23" i="4"/>
  <c r="AP68" i="4" s="1"/>
  <c r="Z30" i="4"/>
  <c r="V70" i="4" s="1"/>
  <c r="W62" i="4"/>
  <c r="T61" i="9"/>
  <c r="W61" i="9"/>
  <c r="V58" i="10"/>
  <c r="U62" i="10" s="1"/>
  <c r="AT17" i="12"/>
  <c r="AN47" i="12" s="1"/>
  <c r="Z23" i="12"/>
  <c r="U49" i="12" s="1"/>
  <c r="Y23" i="12"/>
  <c r="S49" i="12" s="1"/>
  <c r="AT23" i="12"/>
  <c r="AN49" i="12" s="1"/>
  <c r="Z29" i="12"/>
  <c r="U51" i="12" s="1"/>
  <c r="Z17" i="12"/>
  <c r="U47" i="12" s="1"/>
  <c r="Z39" i="12"/>
  <c r="U55" i="12" s="1"/>
  <c r="V41" i="12"/>
  <c r="Z35" i="17"/>
  <c r="V82" i="17" s="1"/>
  <c r="W74" i="17"/>
  <c r="BN72" i="17"/>
  <c r="BJ92" i="17" s="1"/>
  <c r="AQ74" i="17"/>
  <c r="AN74" i="17"/>
  <c r="Z26" i="17"/>
  <c r="V80" i="17" s="1"/>
  <c r="V74" i="17"/>
  <c r="BM72" i="17"/>
  <c r="AT35" i="17"/>
  <c r="AP82" i="17" s="1"/>
  <c r="AS35" i="17"/>
  <c r="AN82" i="17" s="1"/>
  <c r="AT31" i="16"/>
  <c r="AP75" i="16" s="1"/>
  <c r="T67" i="16"/>
  <c r="W67" i="16"/>
  <c r="AS31" i="16"/>
  <c r="AN75" i="16" s="1"/>
  <c r="AN67" i="16"/>
  <c r="Y31" i="16"/>
  <c r="T75" i="16" s="1"/>
  <c r="BH67" i="16"/>
  <c r="AQ67" i="16"/>
  <c r="AU85" i="16" s="1"/>
  <c r="Y23" i="16"/>
  <c r="T73" i="16" s="1"/>
  <c r="BN65" i="16"/>
  <c r="BJ85" i="16" s="1"/>
  <c r="BK67" i="16"/>
  <c r="Y65" i="16"/>
  <c r="T85" i="16" s="1"/>
  <c r="BM23" i="16"/>
  <c r="BH73" i="16" s="1"/>
  <c r="AS23" i="16"/>
  <c r="AN73" i="16" s="1"/>
  <c r="V85" i="16"/>
  <c r="AS55" i="4"/>
  <c r="AN78" i="4" s="1"/>
  <c r="AN62" i="4"/>
  <c r="AT43" i="4"/>
  <c r="AP76" i="4" s="1"/>
  <c r="AP62" i="4"/>
  <c r="Z23" i="4"/>
  <c r="V68" i="4" s="1"/>
  <c r="T80" i="4"/>
  <c r="T62" i="4"/>
  <c r="V62" i="4"/>
  <c r="Z60" i="4"/>
  <c r="Y23" i="4"/>
  <c r="T68" i="4" s="1"/>
  <c r="Y35" i="4"/>
  <c r="T72" i="4" s="1"/>
  <c r="Y43" i="4"/>
  <c r="T76" i="4" s="1"/>
  <c r="Y23" i="9"/>
  <c r="S67" i="9" s="1"/>
  <c r="T58" i="10"/>
  <c r="S62" i="10" s="1"/>
  <c r="S64" i="10"/>
  <c r="AT29" i="12"/>
  <c r="AN51" i="12" s="1"/>
  <c r="W41" i="12"/>
  <c r="Y29" i="12"/>
  <c r="S51" i="12" s="1"/>
  <c r="AO41" i="12"/>
  <c r="T41" i="12"/>
  <c r="Y17" i="12"/>
  <c r="S47" i="12" s="1"/>
  <c r="AA71" i="16" l="1"/>
  <c r="BO74" i="17"/>
  <c r="BM78" i="17" s="1"/>
  <c r="BP74" i="17"/>
  <c r="BN78" i="17" s="1"/>
  <c r="BJ135" i="17"/>
  <c r="BJ136" i="17" s="1"/>
  <c r="BJ137" i="17" s="1"/>
  <c r="BJ129" i="17" s="1"/>
  <c r="T110" i="17"/>
  <c r="AA110" i="17"/>
  <c r="BL135" i="17"/>
  <c r="BL136" i="17" s="1"/>
  <c r="BL137" i="17" s="1"/>
  <c r="BL129" i="17" s="1"/>
  <c r="AT80" i="17"/>
  <c r="AT26" i="17"/>
  <c r="AP80" i="17" s="1"/>
  <c r="AA112" i="17"/>
  <c r="AR78" i="17"/>
  <c r="V110" i="17"/>
  <c r="BM108" i="17"/>
  <c r="AA108" i="17"/>
  <c r="Y108" i="17"/>
  <c r="BJ74" i="17"/>
  <c r="BJ78" i="17" s="1"/>
  <c r="BN26" i="17"/>
  <c r="BJ80" i="17" s="1"/>
  <c r="AA74" i="17"/>
  <c r="AU80" i="17"/>
  <c r="AA80" i="17"/>
  <c r="AP110" i="17"/>
  <c r="AU110" i="17"/>
  <c r="T74" i="17"/>
  <c r="T78" i="17" s="1"/>
  <c r="Y110" i="17"/>
  <c r="BH108" i="17"/>
  <c r="AS110" i="17"/>
  <c r="BN108" i="17"/>
  <c r="AU108" i="17"/>
  <c r="BO108" i="17"/>
  <c r="AU112" i="17"/>
  <c r="Z80" i="17"/>
  <c r="AN110" i="17"/>
  <c r="Z110" i="17"/>
  <c r="AT110" i="17"/>
  <c r="AP112" i="17"/>
  <c r="BL108" i="17"/>
  <c r="AN108" i="17"/>
  <c r="BN112" i="17"/>
  <c r="BN110" i="17"/>
  <c r="T108" i="17"/>
  <c r="Y112" i="17"/>
  <c r="AR99" i="17"/>
  <c r="AR108" i="17" s="1"/>
  <c r="AP108" i="17"/>
  <c r="X108" i="17"/>
  <c r="AS112" i="17"/>
  <c r="T112" i="17"/>
  <c r="BM110" i="17"/>
  <c r="BM112" i="17"/>
  <c r="BO112" i="17"/>
  <c r="BO110" i="17"/>
  <c r="Z112" i="17"/>
  <c r="BJ108" i="17"/>
  <c r="AN112" i="17"/>
  <c r="BH112" i="17"/>
  <c r="BH110" i="17"/>
  <c r="AS108" i="17"/>
  <c r="AT108" i="17"/>
  <c r="BJ110" i="17"/>
  <c r="BJ112" i="17"/>
  <c r="BL105" i="17"/>
  <c r="V108" i="17"/>
  <c r="AT78" i="17"/>
  <c r="V112" i="17"/>
  <c r="AT112" i="17"/>
  <c r="Z54" i="11"/>
  <c r="X54" i="11"/>
  <c r="W54" i="11"/>
  <c r="Y54" i="11"/>
  <c r="AP45" i="12"/>
  <c r="AR45" i="12"/>
  <c r="AT45" i="12"/>
  <c r="AS45" i="12"/>
  <c r="AU45" i="12"/>
  <c r="S54" i="11"/>
  <c r="BO85" i="16"/>
  <c r="W45" i="12"/>
  <c r="Z45" i="12"/>
  <c r="Y45" i="12"/>
  <c r="X45" i="12"/>
  <c r="AN45" i="12"/>
  <c r="Y21" i="11"/>
  <c r="S56" i="11" s="1"/>
  <c r="Z21" i="11"/>
  <c r="U56" i="11" s="1"/>
  <c r="Y56" i="11"/>
  <c r="S86" i="11"/>
  <c r="Z86" i="11"/>
  <c r="U54" i="11"/>
  <c r="U82" i="11"/>
  <c r="X84" i="11"/>
  <c r="Z82" i="11"/>
  <c r="S82" i="11"/>
  <c r="W73" i="11"/>
  <c r="W86" i="11" s="1"/>
  <c r="U86" i="11"/>
  <c r="Y86" i="11"/>
  <c r="Y82" i="11"/>
  <c r="S90" i="10"/>
  <c r="W94" i="10"/>
  <c r="U94" i="10"/>
  <c r="Y64" i="10"/>
  <c r="U90" i="10"/>
  <c r="W95" i="9"/>
  <c r="W82" i="9"/>
  <c r="W93" i="9" s="1"/>
  <c r="U93" i="9"/>
  <c r="U97" i="9"/>
  <c r="S97" i="9"/>
  <c r="AP66" i="4"/>
  <c r="AS66" i="4"/>
  <c r="AN66" i="4"/>
  <c r="W62" i="10"/>
  <c r="Y65" i="9"/>
  <c r="X65" i="9"/>
  <c r="W65" i="9"/>
  <c r="Z65" i="9"/>
  <c r="Z66" i="4"/>
  <c r="AR80" i="4"/>
  <c r="AR66" i="4"/>
  <c r="AA66" i="4"/>
  <c r="AU80" i="4"/>
  <c r="AT66" i="4"/>
  <c r="AU66" i="4"/>
  <c r="AT80" i="4"/>
  <c r="X110" i="17"/>
  <c r="X112" i="17"/>
  <c r="AR110" i="17"/>
  <c r="BH107" i="16"/>
  <c r="AS105" i="16"/>
  <c r="T103" i="16"/>
  <c r="BJ67" i="16"/>
  <c r="BJ71" i="16" s="1"/>
  <c r="BN23" i="16"/>
  <c r="BJ73" i="16" s="1"/>
  <c r="BL73" i="16"/>
  <c r="BH105" i="16"/>
  <c r="Z31" i="16"/>
  <c r="V75" i="16" s="1"/>
  <c r="AP105" i="16"/>
  <c r="AP107" i="16"/>
  <c r="AR98" i="16"/>
  <c r="BJ105" i="16"/>
  <c r="BJ107" i="16"/>
  <c r="BL98" i="16"/>
  <c r="AP103" i="16"/>
  <c r="AN105" i="16"/>
  <c r="AN107" i="16"/>
  <c r="AN103" i="16"/>
  <c r="T105" i="16"/>
  <c r="T107" i="16"/>
  <c r="V105" i="16"/>
  <c r="X98" i="16"/>
  <c r="V94" i="16"/>
  <c r="X94" i="16" s="1"/>
  <c r="V92" i="16"/>
  <c r="X92" i="16" s="1"/>
  <c r="V93" i="16"/>
  <c r="X93" i="16" s="1"/>
  <c r="X103" i="16" s="1"/>
  <c r="BL92" i="16"/>
  <c r="BL103" i="16" s="1"/>
  <c r="BJ103" i="16"/>
  <c r="Z60" i="16"/>
  <c r="V83" i="16" s="1"/>
  <c r="X83" i="16"/>
  <c r="Z85" i="16"/>
  <c r="AA85" i="16"/>
  <c r="Y85" i="16"/>
  <c r="Y71" i="16"/>
  <c r="Z71" i="16"/>
  <c r="AT23" i="16"/>
  <c r="AP73" i="16" s="1"/>
  <c r="AR73" i="16"/>
  <c r="AS85" i="16"/>
  <c r="AT85" i="16"/>
  <c r="BO71" i="16"/>
  <c r="BM71" i="16"/>
  <c r="BM85" i="16"/>
  <c r="BN71" i="16"/>
  <c r="BN85" i="16"/>
  <c r="Y78" i="17"/>
  <c r="Z78" i="17"/>
  <c r="Z61" i="9"/>
  <c r="Y66" i="4"/>
  <c r="X66" i="4"/>
  <c r="AA80" i="4"/>
  <c r="X80" i="4"/>
  <c r="Z80" i="4"/>
  <c r="Y80" i="4"/>
  <c r="AT71" i="16"/>
  <c r="AS71" i="16"/>
  <c r="AU71" i="16"/>
  <c r="AP67" i="16"/>
  <c r="AR85" i="16" s="1"/>
  <c r="V67" i="16"/>
  <c r="AA78" i="17"/>
  <c r="AS78" i="17"/>
  <c r="AU78" i="17"/>
  <c r="BM74" i="17"/>
  <c r="U65" i="9"/>
  <c r="S65" i="9"/>
  <c r="T66" i="4"/>
  <c r="V66" i="4"/>
  <c r="BH78" i="17"/>
  <c r="BO78" i="17"/>
  <c r="BH71" i="16"/>
  <c r="AN71" i="16"/>
  <c r="Y61" i="9"/>
  <c r="Z58" i="10"/>
  <c r="S45" i="12"/>
  <c r="U45" i="12"/>
  <c r="V78" i="17"/>
  <c r="BH92" i="17"/>
  <c r="AN78" i="17"/>
  <c r="AP78" i="17"/>
  <c r="Y74" i="17"/>
  <c r="Z74" i="17"/>
  <c r="AS74" i="17"/>
  <c r="T71" i="16"/>
  <c r="Y67" i="16"/>
  <c r="AS67" i="16"/>
  <c r="BM67" i="16"/>
  <c r="AS62" i="4"/>
  <c r="AT62" i="4"/>
  <c r="Y62" i="4"/>
  <c r="V80" i="4"/>
  <c r="Z62" i="4"/>
  <c r="AT41" i="12"/>
  <c r="Y58" i="10"/>
  <c r="Y50" i="11"/>
  <c r="Y41" i="12"/>
  <c r="BL85" i="16" l="1"/>
  <c r="AT74" i="17"/>
  <c r="BN74" i="17"/>
  <c r="AR112" i="17"/>
  <c r="BL110" i="17"/>
  <c r="BL112" i="17"/>
  <c r="W82" i="11"/>
  <c r="W97" i="9"/>
  <c r="BN67" i="16"/>
  <c r="AR107" i="16"/>
  <c r="AR105" i="16"/>
  <c r="V103" i="16"/>
  <c r="X105" i="16"/>
  <c r="X107" i="16"/>
  <c r="BL107" i="16"/>
  <c r="BL105" i="16"/>
  <c r="V107" i="16"/>
  <c r="Z67" i="16"/>
  <c r="AT67" i="16"/>
  <c r="V71" i="16"/>
  <c r="X85" i="16"/>
  <c r="AP71" i="1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<sst xmlns="http://schemas.openxmlformats.org/spreadsheetml/2006/main" count="7982" uniqueCount="1252">
  <si>
    <t xml:space="preserve">Baseball Performance Opimization Program </t>
  </si>
  <si>
    <t>Bpop</t>
  </si>
  <si>
    <t>GlVn7hCe1jUowoxv</t>
  </si>
  <si>
    <t>Supabase Postgres Database Password</t>
  </si>
  <si>
    <t>Github</t>
  </si>
  <si>
    <t>!Norman12</t>
  </si>
  <si>
    <t>Baseballpop1213</t>
  </si>
  <si>
    <t>Baseballpop's Org</t>
  </si>
  <si>
    <t>Baseballpop_main</t>
  </si>
  <si>
    <t>Repository</t>
  </si>
  <si>
    <t>Full Name</t>
  </si>
  <si>
    <t>Short Name</t>
  </si>
  <si>
    <t>Connections</t>
  </si>
  <si>
    <t>Baseball Performance Optimization Program - BPOP</t>
  </si>
  <si>
    <t>Email</t>
  </si>
  <si>
    <t>mybaseballpop@gmail.com</t>
  </si>
  <si>
    <t>website</t>
  </si>
  <si>
    <t>www.baseballpop.com</t>
  </si>
  <si>
    <t>Primary Category</t>
  </si>
  <si>
    <t>Secondary Category</t>
  </si>
  <si>
    <t>Test Name</t>
  </si>
  <si>
    <t>Description</t>
  </si>
  <si>
    <t>Selection Type</t>
  </si>
  <si>
    <t>Selection Options</t>
  </si>
  <si>
    <t>Selection Details</t>
  </si>
  <si>
    <t>Bronze Threshold</t>
  </si>
  <si>
    <t>Silver Threshold</t>
  </si>
  <si>
    <t xml:space="preserve">Gold Threshold </t>
  </si>
  <si>
    <t>Platinum Threshold</t>
  </si>
  <si>
    <t>Athletic Skills</t>
  </si>
  <si>
    <t xml:space="preserve">Speed </t>
  </si>
  <si>
    <t>Timed Run 1B (90ft)</t>
  </si>
  <si>
    <t>Timed Run 4B (360ft)</t>
  </si>
  <si>
    <t>40 Yard Dash</t>
  </si>
  <si>
    <t>Strength</t>
  </si>
  <si>
    <t>Pull Ups</t>
  </si>
  <si>
    <t>Push Ups</t>
  </si>
  <si>
    <t>Power</t>
  </si>
  <si>
    <t>Seated Chest Pass</t>
  </si>
  <si>
    <t>Sit up and throw</t>
  </si>
  <si>
    <t>Vertical Jump</t>
  </si>
  <si>
    <t>Balance</t>
  </si>
  <si>
    <t>SLS Eyes Open</t>
  </si>
  <si>
    <t>SLS Eyes Closed</t>
  </si>
  <si>
    <t>Mobility</t>
  </si>
  <si>
    <t>MSR</t>
  </si>
  <si>
    <t>Toe Touch</t>
  </si>
  <si>
    <t>Deep Squat</t>
  </si>
  <si>
    <t>Hitting</t>
  </si>
  <si>
    <t>Tee Line Drive Test</t>
  </si>
  <si>
    <t>Max Pitch Velo</t>
  </si>
  <si>
    <t>10 Fastball Test</t>
  </si>
  <si>
    <t>Position Specific</t>
  </si>
  <si>
    <t>Pitcher</t>
  </si>
  <si>
    <t>Catcher</t>
  </si>
  <si>
    <t>20 Pitch Screen</t>
  </si>
  <si>
    <t>Timed throw to 2B</t>
  </si>
  <si>
    <t>Target Throw 2B</t>
  </si>
  <si>
    <t>First Base</t>
  </si>
  <si>
    <t>Scoops Test</t>
  </si>
  <si>
    <t>First Base R/L/C Grounders</t>
  </si>
  <si>
    <t>Flys</t>
  </si>
  <si>
    <t>Line Drives</t>
  </si>
  <si>
    <t>Middle Infield (2B, SS, 3B)</t>
  </si>
  <si>
    <t>SS to First Time</t>
  </si>
  <si>
    <t>Outfield</t>
  </si>
  <si>
    <t>120ft throw to target</t>
  </si>
  <si>
    <t>Max Exit Velo Tee</t>
  </si>
  <si>
    <t>Have the player run from home plate straight through 1st base.</t>
  </si>
  <si>
    <t>Have the player run from home plate around all four bases.</t>
  </si>
  <si>
    <t xml:space="preserve">Have the player run 40 yards. </t>
  </si>
  <si>
    <t>Sit Ups</t>
  </si>
  <si>
    <t>Record the number of pull-ups the player can do in 60 seconds</t>
  </si>
  <si>
    <t>Record the number of push ups the player can do in 60 seconds</t>
  </si>
  <si>
    <t>Record the number of sit-ups the player can do in 60 seconds</t>
  </si>
  <si>
    <t>INPUT with 60 second countdown Timer</t>
  </si>
  <si>
    <t xml:space="preserve">INPUT with Optional Stopwatch </t>
  </si>
  <si>
    <t>INPUT</t>
  </si>
  <si>
    <t>Feet and Inches</t>
  </si>
  <si>
    <t>Number</t>
  </si>
  <si>
    <t>Time - Seconds to the hundreth</t>
  </si>
  <si>
    <t>Have the player sit on the edge of a chair or bench and hold a medicine ball with both hands against their chest. Have the player throw the medicine ball forward as far as possible. The player gets 3 attempts</t>
  </si>
  <si>
    <t>Have the player start in a hook-line position with a medicine ball above their head. Have the player site up and throw the medicine ball as far as possible.The player gets 3 attempts</t>
  </si>
  <si>
    <t>Measure the player's max vertical jump. The player can squat slightly to start, but cannot take a running start.The player gets 3 attempts</t>
  </si>
  <si>
    <t>Inches to the .25 of an inch</t>
  </si>
  <si>
    <t>Have the player get into a single leg stance with their thigh parallel to the ground and the arms by their side. Once stable, have them hold this position for as long as possible up to 30 seconds.</t>
  </si>
  <si>
    <t>Have the player get into a single leg stance with their thigh parallel to the ground and the arms by their side. Once stable, have the player close their eyes and hold this position for as long as possible up to 30 seconds.</t>
  </si>
  <si>
    <t>Have the player stand tall with hte feet together. Have them try to touch their toes without bending the knees. If they can touch their toes, have them try to touch the ground in front of their toes.</t>
  </si>
  <si>
    <t>Have the player stand with their feet shoulder width apart with the arms striaght above their head. Have them do a deep squat trying to get their pelvis below the knees without the arms moving forward or the ankles flaring.</t>
  </si>
  <si>
    <t>Have the player stand straight, feet together, with a bat across the shoulders. Then have them rotate their body around to look behind. The player should be able to rotate their torso more than 180 degrees.</t>
  </si>
  <si>
    <t>Select only 1 option</t>
  </si>
  <si>
    <t>Full Overhead Deep Squat, Arms move forward of head, Pelvis not below the hips, Ankles Flare</t>
  </si>
  <si>
    <t>Select 1 or Multiple Options - If "Full Overhead Deep Squat" is selected, then the other options become unavailable. If not, then the user could select one or more of the remaining options.</t>
  </si>
  <si>
    <t>Value Range</t>
  </si>
  <si>
    <t>Red Range</t>
  </si>
  <si>
    <t>Yellow Range</t>
  </si>
  <si>
    <t>Green Range</t>
  </si>
  <si>
    <t xml:space="preserve">Have the player attempt to hit line drives off a tee. Count how many the player can hit in a row with a maximum of 10. </t>
  </si>
  <si>
    <t xml:space="preserve">Max Bat Speed </t>
  </si>
  <si>
    <t>Have the player make dry swings with their game bat in front of a radar and measure the maximum bat speed. The player gets 3 attempts.</t>
  </si>
  <si>
    <t>10 Swing Fastball Matrix</t>
  </si>
  <si>
    <t xml:space="preserve">5 Swing Curves </t>
  </si>
  <si>
    <t>5 Swing Varied Speed</t>
  </si>
  <si>
    <t>Separate Entry for each of the 5 Swings</t>
  </si>
  <si>
    <t>Separate Entry for each of the 10 Swings</t>
  </si>
  <si>
    <t>With live pitching or a machine, have the player take 10 swings on fastballs. The player can choose the 10 pitches. If the player swings and misses, they get 0 points. If the player hits a foul ball, foul tip, or weak infield ball, they get 1 point. If the player hits a ball that would roll past the infielders or a fly ball that could be caught by an infielder, they get 2 points. If the player hits a hard grounder or fly ball, they get 3 points. Balls that fly over the outfielders or hard gap/line hits will get 4 points. The player can get 5 points for a no-doubt home run.</t>
  </si>
  <si>
    <t>With live pitching or a machine, have the player take 5 swings on Curves. The player can choose the 5 pitches. If the player swings and misses, they get 0 points. If the player hits a foul ball, foul tip, or weak infield ball, they get 1 point. If the player hits a ball that would roll past the infielders or a fly ball that could be caught by an infielder, they get 2 points. If the player hits a hard grounder or fly ball, they get 3 points. Balls that fly over the outfielders or hard gap/line hits will get 4 points. The player can get 5 points for a no-doubt home run.</t>
  </si>
  <si>
    <t>With live pitching or a machine, have the player take 5 swings on off-speed pitches. The player can choose the 5 pitches. Pitches in this test should vary from a full speed fastball to a very slow change-up. If the player swings and misses, they get 0 points. If the player hits a foul ball, foul tip, or weak infield ball, they get 1 point. If the player hits a ball that would roll past the infielders or a fly ball that could be caught by an infielder, they get 2 points. If the player hits a hard grounder or fly ball, they get 3 points. Balls that fly over the outfielders or hard gap/line hits will get 4 points. The player can get 5 points for a no-doubt home run.</t>
  </si>
  <si>
    <t>MPH</t>
  </si>
  <si>
    <t xml:space="preserve">MPH </t>
  </si>
  <si>
    <t>Separate Entry for each of the 10 pitches</t>
  </si>
  <si>
    <t>5 Pitch Additional Pitch (from intake)</t>
  </si>
  <si>
    <t>Separate Entry for each of the 5 pitches</t>
  </si>
  <si>
    <t>Have the catcher set up to catch a live pitcher or machine. Have the player catch 20 pitches. 10 pitches should be pretty standard strikes in the zone. 5 should be balls outside the zone, and 5 should be in the dirt in front of the player. The player gets 0 points for a passed ball, 1 point for a blocked ball that stays in front of them, and 2 points for a catch or scoop.</t>
  </si>
  <si>
    <t>Have the catcher receive a pitch a then throw it to second base. There can be a target or player at second base. Time the player from the time the ball crosses the plate to the time the ball reaches second base.</t>
  </si>
  <si>
    <t>Separate Entry for each of the 20 pitches</t>
  </si>
  <si>
    <t>INPUT with optional stopwatch</t>
  </si>
  <si>
    <t>Have the catcher receive 5 pitches and then throw it to 2B. The player gets one point for catching the ball and making a throw, and 3 points for hitting the target.</t>
  </si>
  <si>
    <t>Logos</t>
  </si>
  <si>
    <t>Hit 3 fly balls to the first base side. These can be into foul territory, behind the player or in front of the player. The player gets 2 points for each catch and 0 for each miss.</t>
  </si>
  <si>
    <t>Hit 3 line drives to the player at first base. The player gets 2 points for a catch and 0 for a miss.</t>
  </si>
  <si>
    <t>R/L/C Grounders 2B</t>
  </si>
  <si>
    <t>R/L/C Grounders SS</t>
  </si>
  <si>
    <t>R/L/C Grounders 3B</t>
  </si>
  <si>
    <t>Hit 3 fly balls to the player at 2B. These should be within a 20ft radius around the player. The player gets 0 points for a miss and 2 points for a catch.</t>
  </si>
  <si>
    <t>Infield Fly 2B</t>
  </si>
  <si>
    <t>Infield Fly SS</t>
  </si>
  <si>
    <t>Infield Fly 3B</t>
  </si>
  <si>
    <t>Line Drives 2B</t>
  </si>
  <si>
    <t>Line Drives SS</t>
  </si>
  <si>
    <t>Line Drives 3B</t>
  </si>
  <si>
    <t xml:space="preserve">Hit a ball or use a machine to send a ball to a player at shortstop. The ball should be approximately 60 MPH. Time the player from the moment the balll leaves the bat to the time the ball reaches First Base. </t>
  </si>
  <si>
    <t>Hit 3 fly balls to the player at SS. These should be within a 20ft radius around the player. The player gets 0 points for a miss and 2 points for a catch.</t>
  </si>
  <si>
    <t>Hit 3 fly balls to the player at 3B. These should be within a 20ft radius around the player. The player gets 0 points for a miss and 2 points for a catch.</t>
  </si>
  <si>
    <t>Hit 3 Line Drives to the player at 2B. These should make the player move inside a 10ft radius. The player gets 0 points for a miss and 2 points for a catch.</t>
  </si>
  <si>
    <t>Hit 3 Line Drives to the player at SS. These should make the player move inside a 10ft radius. The player gets 0 points for a miss and 2 points for a catch.</t>
  </si>
  <si>
    <t>Hit 3 Line Drives to the player at 3B. These should make the player move inside a 10ft radius. The player gets 0 points for a miss and 2 points for a catch.</t>
  </si>
  <si>
    <t>30X30 Matrix</t>
  </si>
  <si>
    <t>Set up a pitching target at 120ft from the player. Have the player make 5 throws at the target. The player can get a running start as long as they don't move in front of the 120ft marker. The player gets 0 points for a throw that comes up more than 10 ft short of the target, 1 point for a throw that lands between 10ft and the target, 2 points for a throw that lands at or past the target but misses, and 4 points for each throw that hits the target.</t>
  </si>
  <si>
    <t>Ground ball to home time</t>
  </si>
  <si>
    <t>Have the player set up 180 ft from home plate in either left or right field. Hit a ground ball with 60 mph exit velo at the player. Time the player from the moment the ball is hit or sent and when the ball crosses the area around home plate.</t>
  </si>
  <si>
    <t>Separate Entry for each of the 10 throws</t>
  </si>
  <si>
    <t>Have the player set up at first base to take throws from ShortStop. Have a machine or player throw 10 balls at the player. 5 should be good throws and 5 should be high, low, or to the sides of the player. The player gets 0 points for a missed catch that gets by, 1 point for a blocked ball , and 3 points for a catch with the foot on the bag.</t>
  </si>
  <si>
    <t>Selection Optons</t>
  </si>
  <si>
    <t xml:space="preserve">Selection and MPH </t>
  </si>
  <si>
    <t>SELECT Miss, Foul, Weak Infield, Ground Ball, Hard Ground Ball, Fly Ball, Hard Gap or Line, Home Run,  INPUT Exit Velo</t>
  </si>
  <si>
    <t xml:space="preserve">SELECT Missed Target, Hit General Target, Hit Specific Section, INPUT Velocity </t>
  </si>
  <si>
    <t>Selection</t>
  </si>
  <si>
    <t>SELECT No Catch, Throw Missed Target, Throw Hit Target</t>
  </si>
  <si>
    <t>SELECT Throw Type - Good or Hard, INPUT Miss, Blocked, or Catch</t>
  </si>
  <si>
    <t>Multiple Selections</t>
  </si>
  <si>
    <t>SELECT Pitch Type - In the Zone, Outside the Zone, In the Dirt, SELECT Passed Ball, Blocked Ball, Catch, Scoop</t>
  </si>
  <si>
    <t>Have a machine or player stand 40ft from first base. Throw 10 balls short of the player that the first baseman must scoop. The player gets 0 points for a missed catch that gets by, 1 point for a blocked ball, and 3 points for a scoop with the foot on the bag.</t>
  </si>
  <si>
    <t>SELECT Miss, Blocked Ball, Catch</t>
  </si>
  <si>
    <t>Separate Entry for each of the 6 grounders</t>
  </si>
  <si>
    <t>SELECT - Right, Center, Left, SELECT - Didn't Field, Fielded but Missed Target, Fielded and Hit Target</t>
  </si>
  <si>
    <t>SELECT - Miss, Catch</t>
  </si>
  <si>
    <t>Separate Entry for each of the 3 fly balls</t>
  </si>
  <si>
    <t>Separate Entry for each of the 3 Line Drives</t>
  </si>
  <si>
    <t>Hit a total of 6 ground balls to the player at first base. 2 will be to the center, 2 will make the player move at least 10 feet to the right, and 2 will make the player move at least 10 feet to the left. The player will get 0 points if they fail to field the ground ball, and 2 points if they field the ball and run to touch first base.</t>
  </si>
  <si>
    <t>Separate Entry for each of the 10 fly balls</t>
  </si>
  <si>
    <t>SELECT - &gt;10ft Short, Lands short but misses the target, Bounces into the Target, Lands at or Past the Target, Hits the Target</t>
  </si>
  <si>
    <t>Separate Entry for each of the 5 throws</t>
  </si>
  <si>
    <t>Separate Entry for each of the 3 attempts</t>
  </si>
  <si>
    <t>2 Seconds - 10 Seconds</t>
  </si>
  <si>
    <t>10 Seconds - 60 Seconds</t>
  </si>
  <si>
    <t>3 Seconds - 12 Seconds</t>
  </si>
  <si>
    <t>0 - 100</t>
  </si>
  <si>
    <t>0 - 200</t>
  </si>
  <si>
    <t>2ft - 40 ft</t>
  </si>
  <si>
    <t>4 inches - 50 inches</t>
  </si>
  <si>
    <t>Separate Entry for Right and Left Side</t>
  </si>
  <si>
    <t>INPUT with Stopwatch that automatically stops at 30 seconds. The user can click a stop button to record the time.</t>
  </si>
  <si>
    <t>0 Seconds - 30 Seconds</t>
  </si>
  <si>
    <t>SELECT - Less than 180 Degrees, Equal to 180 Degrees, Greater than 180 Degress</t>
  </si>
  <si>
    <t>Separate Selection for Right and Left Side</t>
  </si>
  <si>
    <t>SELECT - Cannot Touch Toes, Touches Toes, Touches Ground</t>
  </si>
  <si>
    <t>SELECT - Full Overhead Deep Squat, Arms Move Forward, Pelvis not below the knees, Ankles Flare</t>
  </si>
  <si>
    <t xml:space="preserve">The player gets 3 attempts to max out their exit velow off a tee. </t>
  </si>
  <si>
    <t>INPUT - Exit Velo</t>
  </si>
  <si>
    <t>Separate Input for each of the 3 attempts</t>
  </si>
  <si>
    <t>N/A</t>
  </si>
  <si>
    <t>No Range - Specific Options</t>
  </si>
  <si>
    <t>0 - 10</t>
  </si>
  <si>
    <t>0 MPH - 140 MPH</t>
  </si>
  <si>
    <t>0 - 50</t>
  </si>
  <si>
    <t>Separate Input for each of the 5 attempts</t>
  </si>
  <si>
    <t>0 MPH - 120 MPH</t>
  </si>
  <si>
    <t>0 Points - 30 Points</t>
  </si>
  <si>
    <t>0 Points - 30 Points, 0 MPH - 120 MPH</t>
  </si>
  <si>
    <t>0 Points - 15 Points, 0 MPH - 120 MPH</t>
  </si>
  <si>
    <t>0 Points - 40 Points</t>
  </si>
  <si>
    <t>0 Points - 25 Points</t>
  </si>
  <si>
    <t>0 Points - 50 Points</t>
  </si>
  <si>
    <t>.5 seconds - 6 seconds</t>
  </si>
  <si>
    <t>0 Points - 15 Points</t>
  </si>
  <si>
    <t>10 Catch 1B</t>
  </si>
  <si>
    <t>0 Points - 12 Points</t>
  </si>
  <si>
    <t>0 Points - 6 Points</t>
  </si>
  <si>
    <t>.5 seconds - 8 seconds</t>
  </si>
  <si>
    <t>0 Points - 20 Points</t>
  </si>
  <si>
    <t>2 seconds - 12 seconds</t>
  </si>
  <si>
    <t>High School Ranges</t>
  </si>
  <si>
    <t>College Ranges</t>
  </si>
  <si>
    <t>Pro Ranges</t>
  </si>
  <si>
    <t>&gt;5.25</t>
  </si>
  <si>
    <t>4.9 - 5.25</t>
  </si>
  <si>
    <t>&lt;4.9</t>
  </si>
  <si>
    <t>4.7-4.89</t>
  </si>
  <si>
    <t>&lt;=4.9</t>
  </si>
  <si>
    <t>4.6-4.69</t>
  </si>
  <si>
    <t>&lt;4.6</t>
  </si>
  <si>
    <t>&gt;4.95</t>
  </si>
  <si>
    <t>&lt;4.65</t>
  </si>
  <si>
    <t>4.65-4.95</t>
  </si>
  <si>
    <t>&gt;4.65</t>
  </si>
  <si>
    <t>4.5-4.65</t>
  </si>
  <si>
    <t>&lt;4.5</t>
  </si>
  <si>
    <t>&lt;=4.65</t>
  </si>
  <si>
    <t>4.55-4.64</t>
  </si>
  <si>
    <t>4.45-4.54</t>
  </si>
  <si>
    <t>&lt;4.45</t>
  </si>
  <si>
    <t>4.42-4.49</t>
  </si>
  <si>
    <t>&lt;4.3</t>
  </si>
  <si>
    <t>4.30-4.41</t>
  </si>
  <si>
    <t>Record the number of push ups the player can do in 30 seconds</t>
  </si>
  <si>
    <t>Record the number of sit-ups the player can do in 30 seconds</t>
  </si>
  <si>
    <t>INPUT with 30 second countdown Timer</t>
  </si>
  <si>
    <t>12U</t>
  </si>
  <si>
    <t>12U Ranges</t>
  </si>
  <si>
    <t>13U Ranges</t>
  </si>
  <si>
    <t>14U Ranges</t>
  </si>
  <si>
    <t>10 Pitch Screen</t>
  </si>
  <si>
    <t>Have the catcher set up to catch a live pitcher or machine. Have the player catch 10 pitches. 6 pitches should be pretty standard strikes in the zone. 2 should be balls outside the zone, and 2 should be in the dirt in front of the player. The player gets 0 points for a passed ball, 1 point for a blocked ball that stays in front of them, and 2 points for a catch or scoop.</t>
  </si>
  <si>
    <t>.5 seconds - 10 seconds</t>
  </si>
  <si>
    <t>Have a machine or player stand 40ft from first base. Throw 5 balls short of the player that the first baseman must scoop. The player gets 0 points for a missed catch that gets by, 1 point for a blocked ball, and 3 points for a scoop with the foot on the bag.</t>
  </si>
  <si>
    <t xml:space="preserve">Hit a ball or use a machine to send a ball to a player at shortstop. The ball should be approximately 50 MPH. Time the player from the moment the balll leaves the bat to the time the ball reaches First Base. </t>
  </si>
  <si>
    <t>20 X 20 Matrix</t>
  </si>
  <si>
    <t>Have the player set up 180 ft from home plate in either left or right field. Hit a ground ball with 50 mph exit velo at the player. Time the player from the moment the ball is hit or sent and when the ball crosses the area around home plate.</t>
  </si>
  <si>
    <t>Set up a pitching target at 100ft from the player. Have the player make 5 throws at the target. The player can get a running start as long as they don't move in front of the 120ft marker. The player gets 0 points for a throw that comes up more than 10 ft short of the target, 1 point for a throw that lands between 10ft and the target, 2 points for a throw that lands at or past the target but misses, and 4 points for each throw that hits the target.</t>
  </si>
  <si>
    <t>100 ft throw to target</t>
  </si>
  <si>
    <t xml:space="preserve">Have the player pitch toward a 9-slot pitching target from 60 feet 6 inches. Before each pitch, the player should "call his shot" for the specific slot he is aiming at. The player gets 0 points if they miss the target, 1 point if they hit the target, but not in the chosen slot, and 3 points for hitting the called section of the target. </t>
  </si>
  <si>
    <t>Have the player throw 5 pitches from 50ft, trying to max out their Velocity.</t>
  </si>
  <si>
    <t xml:space="preserve">Have the player pitch toward a 9-slot pitching target from 50ft. Before each pitch, the player should "call his shot" for the specific slot he is aiming at. The player gets 0 points if they miss the target, 1 point if they hit the target, but not in the chosen slot, and 3 points for hitting the called section of the target. </t>
  </si>
  <si>
    <t>Have the player throw 5 pitches from 60 feet 6 inches, trying to max out their Velocity.</t>
  </si>
  <si>
    <t xml:space="preserve">The player gets 3 attempts to max out their exit velo off a tee. </t>
  </si>
  <si>
    <t>10 Pitch Test</t>
  </si>
  <si>
    <t>Throwing</t>
  </si>
  <si>
    <t>Pitching</t>
  </si>
  <si>
    <t>5 Catch 1B</t>
  </si>
  <si>
    <t>Have the player set up at first base to take throws from ShortStop. Have a machine or player throw 5 balls at the player. 3 should be good throws and 2 should be high, low, or to the sides of the player. The player gets 0 points for a missed catch that gets by, 1 point for a blocked ball , and 3 points for a catch with the foot on the bag.</t>
  </si>
  <si>
    <t>80ft throw to target</t>
  </si>
  <si>
    <t>Have the player throw 5 pitches from 45ft, trying to max out their Velocity.</t>
  </si>
  <si>
    <t xml:space="preserve">Have the player pitch toward a 9-slot pitching target from 45ft. Before each pitch, the player should "call his shot" for the specific slot he is aiming at. The player gets 0 points if they miss the target, 1 point if they hit the target, but not in the chosen slot, and 3 points for hitting the called section of the target. </t>
  </si>
  <si>
    <t>5 Pitch Catcher Screen</t>
  </si>
  <si>
    <t>Contact</t>
  </si>
  <si>
    <t>Contact and Power</t>
  </si>
  <si>
    <t>Have the catcher set up to catch a live pitcher or machine. Have the player catch 5 pitches. 3 pitches should be pretty standard strikes in the zone. 1 should be balls outside the zone, and 1 should be in the dirt in front of the player. The player gets 0 points for a passed ball, 1 point for a blocked ball that stays in front of them, and 2 points for a catch or scoop.</t>
  </si>
  <si>
    <t>0 Points - 10 Points</t>
  </si>
  <si>
    <t>Catching</t>
  </si>
  <si>
    <t>Fielding</t>
  </si>
  <si>
    <t>15 X 15 Matrix</t>
  </si>
  <si>
    <t xml:space="preserve">Hit a ball or use a machine to send a ball to a player at shortstop. The ball should be approximately 40 MPH. Time the player from the moment the balll leaves the bat to the time the ball reaches First Base. </t>
  </si>
  <si>
    <t xml:space="preserve">Hit a ball or use a machine to send a ball to a player at shortstop. The ball should be approximately 45 MPH. Time the player from the moment the balll leaves the bat to the time the ball reaches First Base. </t>
  </si>
  <si>
    <t>BPOP 14U-12U Assessment</t>
  </si>
  <si>
    <t>BPOP High School, College, and Pro assessment</t>
  </si>
  <si>
    <t>10 X 10 Fly Ball Ladder</t>
  </si>
  <si>
    <t>Set up a 15 yard radius around the player. Hit 10 fly balls to the player at varied points around the coverage area from 80 ft. The player gets 2 points for each catch and 0 for each miss.</t>
  </si>
  <si>
    <t>Set up a 20 yard radius around the player. Hit 10 fly balls to the player at varied points around the coverage area from 50 yards. The player gets 2 points for each catch and 0 for each miss.</t>
  </si>
  <si>
    <t>Set up a 20 yard radius around the player. Hit 10 fly balls to the player at varied points around the coverage area from 60 yards. The player gets 2 points for each catch and 0 for each miss.</t>
  </si>
  <si>
    <t>Set up a 30 yard radius around the player. Hit 10 fly balls to the player at varied points around the coverage area from 90 yards. The player gets 2 points for each catch and 0 for each miss.</t>
  </si>
  <si>
    <t>SELECT - Level 1, Level 2, Level 3, Level 4, Level 5, Level 6</t>
  </si>
  <si>
    <t>Level 1 = 0 Points, Level 2 = 5 Points, Level 3 = 10 Points, Level 4 = 15 Points, Level 5 = 20 Points, Level 6 = 25 Points</t>
  </si>
  <si>
    <t>Set up markers every 20ft going back to 120ft. The player starts at 20ft (level 1). Hit or throw 2 fly balls at the player. If the player catches both, they move back to 40ft (level 2), If they catch one and miss one, they stay at Level 1, if they miss both, the also stay at level 1. Once at level 2 or greater, if the player misses both balls, they move forward to the previous level. Record the highest level the player reaches before misses 3 total balls. For Level s 1 and 2, the fly balls should be relatively at the player, For levels 3 and beyond, set up cones 10 yards to the right and left of the player. The player should be forced to move within a 10 yard radius at this level and beyond.</t>
  </si>
  <si>
    <t>Have the player throw 5 pitches from 40ft, trying to max out their Velocity.</t>
  </si>
  <si>
    <t xml:space="preserve">Have the player pitch toward a 9-slot pitching target from 40ft. Before each pitch, the player should "call his shot" for the specific slot he is aiming at. The player gets 0 points if they miss the target, 1 point if they hit the target, but not in the chosen slot, and 3 points for hitting the called section of the target. </t>
  </si>
  <si>
    <t>Infield Fly/Line Drive 2B</t>
  </si>
  <si>
    <t>Infield Fly/Line Drive SS</t>
  </si>
  <si>
    <t>Infield Fly/Line Drive 3B</t>
  </si>
  <si>
    <t>Hit 3 Infield Fly Balls or Light Line Drives to the player at 2B. These should be within a 20ft radius around the player. The player gets 0 points for a miss and 2 points for a catch.</t>
  </si>
  <si>
    <t>Hit 3 Infield Fly Balls or Light Line Drives at SS. These should be within a 20ft radius around the player. The player gets 0 points for a miss and 2 points for a catch.</t>
  </si>
  <si>
    <t>Hit 3 Infield Fly Balls or Light Line Drives at 3B. These should be within a 20ft radius around the player. The player gets 0 points for a miss and 2 points for a catch.</t>
  </si>
  <si>
    <t>R/L/C Grounders Pitcher</t>
  </si>
  <si>
    <t>5 X 5 Fly Ball Ladder</t>
  </si>
  <si>
    <t>Set up markers every 20ft going back to 120ft. The player starts at 20ft (level 1). Hit or throw 2 fly balls at the player. If the player catches both, they move back to 40ft (level 2), If they catch one and miss one, they stay at Level 1, if they miss both, the also stay at level 1. Once at level 2 or greater, if the player misses both balls, they move forward to the previous level. Record the highest level the player reaches before misses 3 total balls. For Level s 1 and 2, the fly balls should be relatively at the player, For levels 3 and beyond, set up cones 5 yards to the right and left of the player. The player should be forced to move within a 5 yard radius at this level and beyond.</t>
  </si>
  <si>
    <t>Have the player hit balls off a tee. For each swing, the player gets 0 points for a miss, 1 points for a foul tip, and 2 points for good contact.</t>
  </si>
  <si>
    <t>10 Swing Tee Contact Test</t>
  </si>
  <si>
    <t>SELECT Miss, Foul Tip, Good Contact</t>
  </si>
  <si>
    <t>0 -20</t>
  </si>
  <si>
    <t xml:space="preserve">Selection </t>
  </si>
  <si>
    <t>With live pitching or a machine, have the player take 10 swings. The player can choose the 10 pitches. If the player swings and misses, they get 0 points. If the player hits a foul ball, foul tip, or weak infield ball, they get 1 point. If the player hits a ball that would roll past the infielders or a fly ball that could be caught by an infielder, they get 2 points. If the player hits a hard grounder or fly ball, they get 3 points. Balls that fly over the outfielders or hard gap/line hits will get 4 points. The player can get 5 points for a no-doubt home run.</t>
  </si>
  <si>
    <t>10 Swing Pitch Matrix</t>
  </si>
  <si>
    <t>SELECT Miss, Foul, Weak Infield, Ground Ball, Hard Ground Ball, Fly Ball, Hard Gap or Line, Home Run</t>
  </si>
  <si>
    <t>Max Throwing Speed</t>
  </si>
  <si>
    <t>10 Throw Test 20ft</t>
  </si>
  <si>
    <t>10 Throw Test 40ft</t>
  </si>
  <si>
    <t>Have the player throw toward a 9-slot pitching target from 20ft. Before each pitch, the player should "call his shot" for the specific slot he is aiming at. The player gets 0 points if they miss the target and 1 point if they hit the target</t>
  </si>
  <si>
    <t>SELECT Missed Target, Hit Target</t>
  </si>
  <si>
    <t>Have the player throw toward a 9-slot pitching target from 40ft. Before each pitch, the player should "call his shot" for the specific slot he is aiming at. The player gets 0 points if they miss the target and 1 point if they hit the target</t>
  </si>
  <si>
    <t>Have the player throw 5 balls as hard as possible at a 20ft target</t>
  </si>
  <si>
    <t>0 MPH - 50 MPH</t>
  </si>
  <si>
    <t>Grounders 2B</t>
  </si>
  <si>
    <t>Grounders SS</t>
  </si>
  <si>
    <t>Grounders 3B</t>
  </si>
  <si>
    <t>Grounders Pitcher</t>
  </si>
  <si>
    <t>SELECT - Didn't Field, Fielded but Missed Target, Fielded and Hit Target</t>
  </si>
  <si>
    <t>Hit 3 ground balls to the player at 2B. The player gets a point for fielding the ball cleanly and a second point if they can field it cleanly and hit the target at first base.</t>
  </si>
  <si>
    <t>Hit 3 ground balls to the player at SS. The player gets a point for fielding the ball cleanly and a second point if they can field it cleanly and hit the target at first base.</t>
  </si>
  <si>
    <t>Hit 3 ground balls to the player at 3B. The player gets a point for fielding the ball cleanly and a second point if they can field it cleanly and hit the target at first base.</t>
  </si>
  <si>
    <t>Hit 3 ground balls to the player at Pitcher. The player gets a point for fielding the ball cleanly and a second point if they can field it cleanly and hit the target at first base.</t>
  </si>
  <si>
    <t>Separate Entry for each of the 3 grounders</t>
  </si>
  <si>
    <t>Hit 6 ground balls to the player at 2B. 2 should be at the player, 2 should make the player move at least 10ft to the right, and 2 should make the player move at least 10ft to the left. The player should not know what direction is coming. The player gets 1 point for fielding the ball cleanly and 2 points if they field it cleanly and hit the target at first base.</t>
  </si>
  <si>
    <t>Hit 6 ground balls to the player at SS. 2 should be at the player, 2 should make the player move at least 10ft to the right, and 2 should make the player move at least 10ft to the left. The player should not know what direction is coming. The player gets 1 point for fielding the ball cleanly and 2 points if they field it cleanly and hit the target at first base.</t>
  </si>
  <si>
    <t>Hit 6 ground balls to the player at 3B. 2 should be at the player, 2 should make the player move at least 10ft to the right, and 2 should make the player move at least 10ft to the left. The player should not know what direction is coming. The player gets 1 point for fielding the ball cleanly and 2 points if they field it cleanly and hit the target at first base.</t>
  </si>
  <si>
    <t>Hit 6 ground balls to the player at Pitcher. 2 should be at the player, 2 should make the player move at least 10ft to the right, and 2 should make the player move at least 10ft to the left. The player should not know what direction is coming. The player gets 1 point for fielding the ball cleanly and 2 points if they field it cleanly and hit the target at first base.</t>
  </si>
  <si>
    <t>20ft Catching Test</t>
  </si>
  <si>
    <t>40 ft Catching Test</t>
  </si>
  <si>
    <t>Have the player stand 20ft away. Throw 5 balls to the player. If the player misses completely, they get 0 points, if they touch the ball with their glove, they get 1 point, and if they catch the ball they get 2 points.</t>
  </si>
  <si>
    <t>Have the player stand 40ft away. Throw 5 balls to the player. If the player misses completely, they get 0 points, if they touch the ball with their glove, they get 1 point, and if they catch the ball they get 2 points.</t>
  </si>
  <si>
    <t>SELECT Miss, Glove touched the ball, Catch</t>
  </si>
  <si>
    <t>7U Ranges</t>
  </si>
  <si>
    <t>5U Ranges</t>
  </si>
  <si>
    <t>6U Ranges</t>
  </si>
  <si>
    <t>8U Ranges</t>
  </si>
  <si>
    <t>9U Ranges</t>
  </si>
  <si>
    <t>10U Ranges</t>
  </si>
  <si>
    <t>11U Ranges</t>
  </si>
  <si>
    <t>Bronze</t>
  </si>
  <si>
    <t>Infield</t>
  </si>
  <si>
    <t>Touches Toes</t>
  </si>
  <si>
    <t>Cannot Touch Toes</t>
  </si>
  <si>
    <t>Touches Ground</t>
  </si>
  <si>
    <t>Full Overhead Deep Squat</t>
  </si>
  <si>
    <t>2 or more of Arms move forward of head, Pelvis not below the hips, Ankles Flare</t>
  </si>
  <si>
    <t>1 or less of Arms move forward of head, Pelvis not below the hips, Ankles Flare</t>
  </si>
  <si>
    <t>5.0-11</t>
  </si>
  <si>
    <t>1.0-3</t>
  </si>
  <si>
    <t>Fielding Totals for Medals</t>
  </si>
  <si>
    <t>Total Score on all Grounders Screens</t>
  </si>
  <si>
    <t>24 Points Total</t>
  </si>
  <si>
    <t>Must meet threshold for both eyes open and eyes closed screens to earn a medal</t>
  </si>
  <si>
    <t>Speed Medal Requirements</t>
  </si>
  <si>
    <t>Balance Medal Requirements</t>
  </si>
  <si>
    <t>Mobility Medal Requirements</t>
  </si>
  <si>
    <t>Power Medal Requirements</t>
  </si>
  <si>
    <t>Must meet the medal requirements for both 10 swing tee and 10 swing pitch tests</t>
  </si>
  <si>
    <t>Must meet the medal requirements for both the 10 swing pitch and max bat speed tests</t>
  </si>
  <si>
    <t>Must meet threshold for both 1B and 4B Speed Tests to earn a medal</t>
  </si>
  <si>
    <t>Total Point Cacluation</t>
  </si>
  <si>
    <t>Score Definition</t>
  </si>
  <si>
    <t>1BSPEED</t>
  </si>
  <si>
    <t>BSLEC</t>
  </si>
  <si>
    <t>BSLEO</t>
  </si>
  <si>
    <t>MTT</t>
  </si>
  <si>
    <t>MDS</t>
  </si>
  <si>
    <t>H10PITCH</t>
  </si>
  <si>
    <t>H10TEE</t>
  </si>
  <si>
    <t>TSPEED</t>
  </si>
  <si>
    <t>T20FT</t>
  </si>
  <si>
    <t>T40FT</t>
  </si>
  <si>
    <t>C20FT</t>
  </si>
  <si>
    <t>C40FT</t>
  </si>
  <si>
    <t>FG2B</t>
  </si>
  <si>
    <t>FGSS</t>
  </si>
  <si>
    <t>FG3B</t>
  </si>
  <si>
    <t>FGP</t>
  </si>
  <si>
    <t>BSLEC/2</t>
  </si>
  <si>
    <t>BSLEO/3</t>
  </si>
  <si>
    <t>Cannot Touch toes=0, Touches Toes=3, Touches Ground=6</t>
  </si>
  <si>
    <t>Full Overhead Deep Squat=9, For each selection other than Full Overhead Deep Squat, minus 3 points. 1 Selection= 6, 2 Selections=3, 3 Selections=0</t>
  </si>
  <si>
    <t>H10TEE/2</t>
  </si>
  <si>
    <t>HBSPEED/5</t>
  </si>
  <si>
    <t>TSPEED/4</t>
  </si>
  <si>
    <t>Max Score</t>
  </si>
  <si>
    <t>With live pitching or a machine, have the player take 10 swings on fastballs. The player can choose the 10 pitches. For each swing, the player gets 0 points for a miss, 1 points for a foul tip, and 2 points for contact.</t>
  </si>
  <si>
    <t>SELECT Miss, Foul Tip, Contact</t>
  </si>
  <si>
    <t>Athletic Skills Category Totals</t>
  </si>
  <si>
    <t>Throwing Skills Category Totals</t>
  </si>
  <si>
    <t>Normalized Max</t>
  </si>
  <si>
    <t>Catching Skills Category Totals</t>
  </si>
  <si>
    <t>Fielding Skills Category Totals</t>
  </si>
  <si>
    <t>Totals</t>
  </si>
  <si>
    <t>21-30</t>
  </si>
  <si>
    <t>Pro</t>
  </si>
  <si>
    <t>HC10LD</t>
  </si>
  <si>
    <t>HPTEV</t>
  </si>
  <si>
    <t>HPBS</t>
  </si>
  <si>
    <t>SELECT Missed Target, Hit General Target, Hit Specific Section</t>
  </si>
  <si>
    <t>C51B</t>
  </si>
  <si>
    <t>CIFFLD2B</t>
  </si>
  <si>
    <t>CIFFLDSS</t>
  </si>
  <si>
    <t>CIFFLD3B</t>
  </si>
  <si>
    <t>C5X5LD</t>
  </si>
  <si>
    <t>RLCG2B</t>
  </si>
  <si>
    <t>RLCGSS</t>
  </si>
  <si>
    <t>RLCG3B</t>
  </si>
  <si>
    <t>RLCGP</t>
  </si>
  <si>
    <t>Strength Medal Requirments</t>
  </si>
  <si>
    <t>Hitting Contact Medal Requirements</t>
  </si>
  <si>
    <t>Hitting Power Medal Requirements</t>
  </si>
  <si>
    <t>Hitting Category Totals</t>
  </si>
  <si>
    <t>Throwing Medal Requirements</t>
  </si>
  <si>
    <t>Throwing Category Totals</t>
  </si>
  <si>
    <t>Catching Medal Requirements</t>
  </si>
  <si>
    <t>Catching Category Totals</t>
  </si>
  <si>
    <t>Fielding Medal Requirements</t>
  </si>
  <si>
    <t>Fielding Category Totals</t>
  </si>
  <si>
    <t>Test Definition</t>
  </si>
  <si>
    <t>ASPJUMP</t>
  </si>
  <si>
    <t>H10FAST</t>
  </si>
  <si>
    <t>Max Throwing Speed Small Ball</t>
  </si>
  <si>
    <t>TSPDSMALL</t>
  </si>
  <si>
    <t>TSPEED20</t>
  </si>
  <si>
    <t>TSPEED40</t>
  </si>
  <si>
    <t>Have the player throw 5 balls as hard as possible at a 20ft target with a 7.2" baseball or tennis ball.</t>
  </si>
  <si>
    <t>0 MPH - 60 MPH</t>
  </si>
  <si>
    <t>SELECT - Small Baseball, tennis ball, or Rquetball and INPUT</t>
  </si>
  <si>
    <t>One SELECTION at the start of the test and then Separate Input for each of the 5 attempts</t>
  </si>
  <si>
    <t>SELECTION and MPH</t>
  </si>
  <si>
    <t>TSPEED20/4</t>
  </si>
  <si>
    <t>TSPDSMALL/5</t>
  </si>
  <si>
    <t>Throwing Medal requirements</t>
  </si>
  <si>
    <t>Must Meet the Throwing Speed requirement and Category Totals for T20FT and T40ft</t>
  </si>
  <si>
    <t>Must Meet the Category Total Thresholds</t>
  </si>
  <si>
    <t>4.74-4.26</t>
  </si>
  <si>
    <t>APUSH30</t>
  </si>
  <si>
    <t>ASIT30</t>
  </si>
  <si>
    <t>0 - 60</t>
  </si>
  <si>
    <t>APUSH30/2</t>
  </si>
  <si>
    <t>ASIT30/3</t>
  </si>
  <si>
    <t>Less than 180 Degrees Both Sides</t>
  </si>
  <si>
    <t>Greater than 180 Degrees Both Sides</t>
  </si>
  <si>
    <t>This could be any combinantion between the low and high options</t>
  </si>
  <si>
    <t>If One Test meets Platium threshold and Toe Touch meets Silver threshold</t>
  </si>
  <si>
    <t>If One Test meets Platium threshold</t>
  </si>
  <si>
    <t>If two tests meet platium threshold</t>
  </si>
  <si>
    <t>If all three tests meet platinum threshold</t>
  </si>
  <si>
    <t>If Full Overhead Deep Squat meets Platinum Threshold and Toe Touch Meets Silver threshold.</t>
  </si>
  <si>
    <t>If both tests meet Platinum threshold.</t>
  </si>
  <si>
    <t>Greater Than 180 Degrees=3, Equal to 180 Degrees=1, Less than 180 Degrees=0 Add total for right and left side</t>
  </si>
  <si>
    <t>Must Meet Requirement for both Push Ups and Sit ups</t>
  </si>
  <si>
    <t>Must Meet Requirement for both Eyes Open and Eyes Closed</t>
  </si>
  <si>
    <t>Must meet thresholds for HC10LD and H10PITCH</t>
  </si>
  <si>
    <t>Must Meet the Throwing Speed requirements and Category Totals for T20FT and T40ft</t>
  </si>
  <si>
    <t>5.0-7</t>
  </si>
  <si>
    <t>5.0-8</t>
  </si>
  <si>
    <t>Must meet thresholds for each each and category</t>
  </si>
  <si>
    <t>Must Meet Category Thresholds</t>
  </si>
  <si>
    <t>HPTEV/5</t>
  </si>
  <si>
    <t>HBSPEED/4</t>
  </si>
  <si>
    <t>Must meet the Medal requirement for Vertical Jump</t>
  </si>
  <si>
    <t>T80FT</t>
  </si>
  <si>
    <t>Set up a pitching target at 80ft from the player. Have the player make 5 throws at the target. The player can get a running start as long as they don't move in front of the 80ft marker. The player gets 0 points for a throw that comes up more than 10 ft short of the target, 1 point for a throw that lands between 10ft and the target, 2 points for a throw that lands at or past the target but misses, and 4 points for each throw that hits the target.</t>
  </si>
  <si>
    <t>Set up a pitching target at 80ft from the player. Have the player make 5 throws at the target. The player can get a running start as long as they don't move in front of the 80ft marker. The player gets 0 points for a throw that comes up more than 10 ft short of the target, 1 point for a throw that lands between 10ft and the target, 2 points for a throw that lands at or past the target, 2 Points for a throw that lands less than 10 ft short and bounches into the target, and 4 points for each throw that hits the target.</t>
  </si>
  <si>
    <t>SELECT - &gt;10ft Short, &lt;10ft Short, Lands at or Past the Target, &lt;10ft Short and bounces into the target, Hits the target</t>
  </si>
  <si>
    <t>TSPEED/2</t>
  </si>
  <si>
    <t>Must Meet the threshold for TSPEED and T80FT</t>
  </si>
  <si>
    <t>Pitching Speed Medal Requirement</t>
  </si>
  <si>
    <t>Pitching Accuracy Medal Requirement</t>
  </si>
  <si>
    <t>Must Meet the Threshold for TSPEED</t>
  </si>
  <si>
    <t>Must Meet the Requirement for TPITCH10</t>
  </si>
  <si>
    <t>First Base Medal Requirements</t>
  </si>
  <si>
    <t>C10X10LD</t>
  </si>
  <si>
    <t>C1BST</t>
  </si>
  <si>
    <t>CIFF2B</t>
  </si>
  <si>
    <t>CIFFSS</t>
  </si>
  <si>
    <t>CIFF3B</t>
  </si>
  <si>
    <t>CLD2B</t>
  </si>
  <si>
    <t>CLDSS</t>
  </si>
  <si>
    <t>CLD3B</t>
  </si>
  <si>
    <t>IFSS1BT</t>
  </si>
  <si>
    <t>Must Meet All Category Thresholds</t>
  </si>
  <si>
    <t>(10-IFSS1BT)*2</t>
  </si>
  <si>
    <t>19.99-17.01</t>
  </si>
  <si>
    <t>Catcher Medal Requirements (Special Multi-Category)</t>
  </si>
  <si>
    <t>CT2BT</t>
  </si>
  <si>
    <t>C5PCS</t>
  </si>
  <si>
    <t>TPITCH1045</t>
  </si>
  <si>
    <t>TPITCH1040</t>
  </si>
  <si>
    <t>Must Meet the Thresholds for CT2BT and C5PCS (from catching Category)</t>
  </si>
  <si>
    <t>3.0-7</t>
  </si>
  <si>
    <t>7.0-13</t>
  </si>
  <si>
    <t>C15X15M</t>
  </si>
  <si>
    <t>Must Meet Thresholds for C51B and C1BST</t>
  </si>
  <si>
    <t>11.5-21.49</t>
  </si>
  <si>
    <t>15-23.99</t>
  </si>
  <si>
    <t>Pitching Category Totals</t>
  </si>
  <si>
    <t xml:space="preserve">Catcher Medal Requirements </t>
  </si>
  <si>
    <t>Catcher Category Totals</t>
  </si>
  <si>
    <t>Infield Medal Requirements</t>
  </si>
  <si>
    <t>Infield Category Totals</t>
  </si>
  <si>
    <t>Outfield Medal Requirements</t>
  </si>
  <si>
    <t>Outfield Category Totals</t>
  </si>
  <si>
    <t>TPITCH1050</t>
  </si>
  <si>
    <t>10 Pitch Catcher Screen</t>
  </si>
  <si>
    <t>C10PCS</t>
  </si>
  <si>
    <t>OFGBHT</t>
  </si>
  <si>
    <t>C20X20M</t>
  </si>
  <si>
    <t>Must meet thresholds for HC10LD and H10FAST</t>
  </si>
  <si>
    <t>Must meed thresholds for HC10LD, H10FAST, and HPBS</t>
  </si>
  <si>
    <t>2.51-1.61</t>
  </si>
  <si>
    <t xml:space="preserve">Must Meet the Thresholds for CT2BT and C10PCS </t>
  </si>
  <si>
    <t>C101B</t>
  </si>
  <si>
    <t>Must Meet Thresholds for C101B and C1BST</t>
  </si>
  <si>
    <t>6.0-15</t>
  </si>
  <si>
    <t>Frist Base Category Totals</t>
  </si>
  <si>
    <t>4.2-3.66</t>
  </si>
  <si>
    <t>(12-OFGBHT)*2</t>
  </si>
  <si>
    <t>One Side &gt;180 Degrees, One Side Equal to 180 Degrees</t>
  </si>
  <si>
    <t>9U Overall Rubric Ranges</t>
  </si>
  <si>
    <t>RED</t>
  </si>
  <si>
    <t>GREEN</t>
  </si>
  <si>
    <t>9U Athletic Skills Ranges</t>
  </si>
  <si>
    <t>9U Hitting Skills Ranges</t>
  </si>
  <si>
    <t>9U Throwing Skills Ranges</t>
  </si>
  <si>
    <t>9U Catching Skills Ranges</t>
  </si>
  <si>
    <t>9U Fielding Skills Ranges</t>
  </si>
  <si>
    <t>Greater than 180 Degrees on one side and Equal to 180 Degrees on the other.</t>
  </si>
  <si>
    <t>8U Overall Rubric Ranges</t>
  </si>
  <si>
    <t>8U Athletic Skills Ranges</t>
  </si>
  <si>
    <t>8U Hitting Skills Ranges</t>
  </si>
  <si>
    <t>8U Throwing Skills Ranges</t>
  </si>
  <si>
    <t>8U Catching Skills Ranges</t>
  </si>
  <si>
    <t>8U Fielding Skills Ranges</t>
  </si>
  <si>
    <t>7U Overall Rubric Ranges</t>
  </si>
  <si>
    <t>7U Athletic Skills Ranges</t>
  </si>
  <si>
    <t>7U Hitting Skills Ranges</t>
  </si>
  <si>
    <t>7U Throwing Skills Ranges</t>
  </si>
  <si>
    <t>7U Catching Skills Ranges</t>
  </si>
  <si>
    <t>7U Fielding Skills Ranges</t>
  </si>
  <si>
    <t>5U Overall Rubric Ranges</t>
  </si>
  <si>
    <t>5U Athletic Skills Ranges</t>
  </si>
  <si>
    <t>5U Hitting Skills Ranges</t>
  </si>
  <si>
    <t>5U Throwing Skills Ranges</t>
  </si>
  <si>
    <t>5U Catching Skills Ranges</t>
  </si>
  <si>
    <t>5U Fielding Skills Ranges</t>
  </si>
  <si>
    <t>6U Overall Rubric Ranges</t>
  </si>
  <si>
    <t>6U Athletic Skills Ranges</t>
  </si>
  <si>
    <t>6U Hitting Skills Ranges</t>
  </si>
  <si>
    <t>6U Throwing Skills Ranges</t>
  </si>
  <si>
    <t>6U Catching Skills Ranges</t>
  </si>
  <si>
    <t>6U Fielding Skills Ranges</t>
  </si>
  <si>
    <t>10U Overall Player Score</t>
  </si>
  <si>
    <t>10U Athletic Skills Ranges</t>
  </si>
  <si>
    <t>10U Hitting Skills Ranges</t>
  </si>
  <si>
    <t>10U Pitcher Skills Ranges</t>
  </si>
  <si>
    <t>10U Catcher Skills Ranges</t>
  </si>
  <si>
    <t>10U Infield Skills Ranges</t>
  </si>
  <si>
    <t>10U Outfield Skills Ranges</t>
  </si>
  <si>
    <t>10U First Base Skills Ranges</t>
  </si>
  <si>
    <t>2.39-1.51</t>
  </si>
  <si>
    <t>6.0-16</t>
  </si>
  <si>
    <t>5.0-9</t>
  </si>
  <si>
    <t>7.99-6.51</t>
  </si>
  <si>
    <t>6.99-5.76</t>
  </si>
  <si>
    <t>20 Pitch Test</t>
  </si>
  <si>
    <t>0 Points - 60 Points</t>
  </si>
  <si>
    <t>Have the player throw 5 pitches from 60ft, 6 Inches trying to max out their Velocity.</t>
  </si>
  <si>
    <t xml:space="preserve">Have the player pitch toward a 9-slot pitching target from 60ft, 6 inches. Before each pitch, the player should "call his shot" for the specific slot he is aiming at. The player gets 0 points if they miss the target, 1 point if they hit the target, but not in the chosen slot, and 3 points for hitting the called section of the target. </t>
  </si>
  <si>
    <t>TPITCH2060</t>
  </si>
  <si>
    <t>H5VSPD</t>
  </si>
  <si>
    <t>CTTT2B</t>
  </si>
  <si>
    <t>100ft throw to target</t>
  </si>
  <si>
    <t>Set up a pitching target at 100ft from the player. Have the player make 5 throws at the target. The player can get a running start as long as they don't move in front of the 100ft marker. The player gets 0 points for a throw that comes up more than 10 ft short of the target, 1 point for a throw that lands between 10ft and the target, 2 points for a throw that lands at or past the target but misses, and 4 points for each throw that hits the target.</t>
  </si>
  <si>
    <t>T100FT</t>
  </si>
  <si>
    <t>RLC1B</t>
  </si>
  <si>
    <t>FBFLY</t>
  </si>
  <si>
    <t>FBLD</t>
  </si>
  <si>
    <t>APUSH60</t>
  </si>
  <si>
    <t>ASIT60</t>
  </si>
  <si>
    <t>25-35</t>
  </si>
  <si>
    <t>11.25-14.75</t>
  </si>
  <si>
    <t>23-33</t>
  </si>
  <si>
    <t>27-36</t>
  </si>
  <si>
    <t>23-32</t>
  </si>
  <si>
    <t>27-38</t>
  </si>
  <si>
    <t>12.25-16</t>
  </si>
  <si>
    <t>41-51</t>
  </si>
  <si>
    <t>44-54</t>
  </si>
  <si>
    <t>13-28</t>
  </si>
  <si>
    <t>17-32</t>
  </si>
  <si>
    <t>46-56</t>
  </si>
  <si>
    <t>18-34</t>
  </si>
  <si>
    <t>6.0-9</t>
  </si>
  <si>
    <t xml:space="preserve">TPITCH5AP1, TPITCH5AP2, TPITCH5AP3, TPITCH5AP4, TPITCH5AP5,  </t>
  </si>
  <si>
    <t>Have the player pitch toward a 9-slot pitching target from 60 feet 6 inches. Before each pitch, the player should "call his shot" for the specific slot he is aiming at. The player gets 0 points if they miss the target, 1 point if they hit the target, but not in the chosen slot, and 3 points for hitting the called section of the target.  This screen will consist of multiple tests cooresponding to the different pitches that the player wants to throw during the screen.</t>
  </si>
  <si>
    <t>20 Pitch Catcher Screen</t>
  </si>
  <si>
    <t>C20PCS</t>
  </si>
  <si>
    <t>30 X 30 Matrix</t>
  </si>
  <si>
    <t>T120FT</t>
  </si>
  <si>
    <t>C30X30M</t>
  </si>
  <si>
    <t>5U</t>
  </si>
  <si>
    <t>6U</t>
  </si>
  <si>
    <t>7U</t>
  </si>
  <si>
    <t>8U</t>
  </si>
  <si>
    <t>9U</t>
  </si>
  <si>
    <t>10U</t>
  </si>
  <si>
    <t>11U</t>
  </si>
  <si>
    <t>13U</t>
  </si>
  <si>
    <t>14U</t>
  </si>
  <si>
    <t>College</t>
  </si>
  <si>
    <t>Base Length</t>
  </si>
  <si>
    <t>4BSPEED</t>
  </si>
  <si>
    <t xml:space="preserve">INPUT BASE LENGTH, INPUT with Optional Stopwatch </t>
  </si>
  <si>
    <t>FEET, Time - Seconds to the hundreth</t>
  </si>
  <si>
    <t>40 - 90 FT, 2 Seconds - 10 Seconds</t>
  </si>
  <si>
    <t>40 - 90 FT, 2 Seconds - 30 Seconds</t>
  </si>
  <si>
    <t>FT/SEC</t>
  </si>
  <si>
    <t>TIME</t>
  </si>
  <si>
    <t>Sample Data RED</t>
  </si>
  <si>
    <t>Sample Calc RED</t>
  </si>
  <si>
    <t>Sample Data GREEN</t>
  </si>
  <si>
    <t>Sample Calc GREEN</t>
  </si>
  <si>
    <t>BETWEEN</t>
  </si>
  <si>
    <t>(1BSPEEDFPS-7FPS)*3</t>
  </si>
  <si>
    <t>(4BSPEEDFPS-7FPS)*3</t>
  </si>
  <si>
    <t>YELLOW</t>
  </si>
  <si>
    <t xml:space="preserve">Timed Run 1B </t>
  </si>
  <si>
    <t xml:space="preserve">Timed Run 4B </t>
  </si>
  <si>
    <t>NOTE - Data will be stored as Feet Per Second (base length / Time)</t>
  </si>
  <si>
    <t>APULL60</t>
  </si>
  <si>
    <t>APUSH60/2</t>
  </si>
  <si>
    <t>ASIT60/3</t>
  </si>
  <si>
    <t>ASPSCP</t>
  </si>
  <si>
    <t>ASPSUP</t>
  </si>
  <si>
    <t>H5CBPD</t>
  </si>
  <si>
    <t>Average of Additional Pitches</t>
  </si>
  <si>
    <t>TPITCH5AVG</t>
  </si>
  <si>
    <t>Must Meet the Requirement for TPITCH20</t>
  </si>
  <si>
    <t>Take the avereage of all the additional ptich scores above</t>
  </si>
  <si>
    <t>NO INPUT</t>
  </si>
  <si>
    <t>Calculation</t>
  </si>
  <si>
    <t>BPOP High School, College, and Pro Evals</t>
  </si>
  <si>
    <t>BPOP  12U-14U Evals</t>
  </si>
  <si>
    <t>BPOP  10U-11U Evals</t>
  </si>
  <si>
    <t>BPOP  9U Eval</t>
  </si>
  <si>
    <t>BPOP  8U Eval</t>
  </si>
  <si>
    <t>BPOP  7U Eval</t>
  </si>
  <si>
    <t>BPOP  5U -6U Evals</t>
  </si>
  <si>
    <t>BPOP Team Position Management</t>
  </si>
  <si>
    <t xml:space="preserve">Team Level </t>
  </si>
  <si>
    <t>Position</t>
  </si>
  <si>
    <t>Shortstop</t>
  </si>
  <si>
    <t>Firstbase</t>
  </si>
  <si>
    <t>1B</t>
  </si>
  <si>
    <t>2B</t>
  </si>
  <si>
    <t>3B</t>
  </si>
  <si>
    <t>Right Field</t>
  </si>
  <si>
    <t>Left Field</t>
  </si>
  <si>
    <t>Center Field</t>
  </si>
  <si>
    <t>PITCHSCORE</t>
  </si>
  <si>
    <t>CATCHERSCORE</t>
  </si>
  <si>
    <t>1BSCORE</t>
  </si>
  <si>
    <t>IFSCORE</t>
  </si>
  <si>
    <t>OFSCORE</t>
  </si>
  <si>
    <t>Primary pupose for professional teams is to rank the players in the organization based on performance for the positions played.</t>
  </si>
  <si>
    <t>HITSCORE</t>
  </si>
  <si>
    <t>Primary Ranked BY Stat</t>
  </si>
  <si>
    <t>Team Position Rankings</t>
  </si>
  <si>
    <t>Medal Shown</t>
  </si>
  <si>
    <t>Position Optimization</t>
  </si>
  <si>
    <t xml:space="preserve">Position Optmization does not apply to pitchers. </t>
  </si>
  <si>
    <t xml:space="preserve">Position Hierarchy </t>
  </si>
  <si>
    <t>BPOP Defense Optimization Rating</t>
  </si>
  <si>
    <t>Silver Calc</t>
  </si>
  <si>
    <t>Gold Calc</t>
  </si>
  <si>
    <t>Platinum Calc</t>
  </si>
  <si>
    <t>Normalized Sample Calc RED</t>
  </si>
  <si>
    <t>Normalized Sample Calc GREEN</t>
  </si>
  <si>
    <t>Must Meet all Thresholds in the category</t>
  </si>
  <si>
    <t>SILVER</t>
  </si>
  <si>
    <t>GOLD</t>
  </si>
  <si>
    <t>PLAT</t>
  </si>
  <si>
    <t>PRO Overall Player Score</t>
  </si>
  <si>
    <t>PRO Athletic Skills Ranges</t>
  </si>
  <si>
    <t>PRO Hitting Skills Ranges</t>
  </si>
  <si>
    <t>PRO Pitcher Skills Ranges</t>
  </si>
  <si>
    <t>PRO Catcher Skills Ranges</t>
  </si>
  <si>
    <t>PRO First Base Skills Ranges</t>
  </si>
  <si>
    <t>PRO Infield Skills Ranges</t>
  </si>
  <si>
    <t>PRO Outfield Skills Ranges</t>
  </si>
  <si>
    <t>Medal Percentiles</t>
  </si>
  <si>
    <t>BPOP  Infield Optimization Rating</t>
  </si>
  <si>
    <t>BPOP Outfield Optimization Rating</t>
  </si>
  <si>
    <t>This will be the avereage of all the BPOP position scores for all outfield positions, represented as a percentage. The actual value will display with a Medal if the score is high enough</t>
  </si>
  <si>
    <t>This will be the avereage of all the BPOP position scores for all infield positions, represented as a percentage. The actual value will display with a Medal if the score is high enough</t>
  </si>
  <si>
    <t>This will be the avereage of all the BPOP position scores, represented as a percentage. The actual value will display with a Medal if the score is high enough</t>
  </si>
  <si>
    <t>Note - For each position, the optimal player based on the optimization criteria will represent a score for that position. Position medals will be displayed if the cooresponding scores are high enough.</t>
  </si>
  <si>
    <t>Pro, College, High School</t>
  </si>
  <si>
    <t>Notes - The coach will be able to manually move players from one position to another. This will change the  BPOP Position Scores, and the BPOP Defense Optimization Ratings</t>
  </si>
  <si>
    <t xml:space="preserve">The coach will be able to select a player and drag their nameplate to a desired position. </t>
  </si>
  <si>
    <t>The optimizer will automatically place players at positions.</t>
  </si>
  <si>
    <t xml:space="preserve">The coach will then be able to edit the optimized layout and see how this affects their overall optimization scores. </t>
  </si>
  <si>
    <t>Overall Section Notes</t>
  </si>
  <si>
    <t>Clicking on a position title will bring up that positions overall player list, and stat summary.</t>
  </si>
  <si>
    <t>NEED TO MAKE TEAM DEFENSE MEDAL</t>
  </si>
  <si>
    <t>NEED TO MAKE TEAM INFIELD MEDAL</t>
  </si>
  <si>
    <t>NEED TO MAKE TEAM OUTFIELD MEDAL</t>
  </si>
  <si>
    <t>Secondardy Ranked BY Stat</t>
  </si>
  <si>
    <t>Tertiary Ranked BY Stat</t>
  </si>
  <si>
    <t>BPOP Team Overview</t>
  </si>
  <si>
    <t>Team Info</t>
  </si>
  <si>
    <t>NAME</t>
  </si>
  <si>
    <t>AGE RANGE</t>
  </si>
  <si>
    <t xml:space="preserve">LEVEL </t>
  </si>
  <si>
    <t>From Team Creation</t>
  </si>
  <si>
    <t>NUMBER OF PLAYERS</t>
  </si>
  <si>
    <t>Total Rostered Players</t>
  </si>
  <si>
    <t>AVERAGE AGE OF PLAYERS</t>
  </si>
  <si>
    <t>Average of all ages of players who have entered a birthdate on their info form</t>
  </si>
  <si>
    <t xml:space="preserve">BPOP LEVEL </t>
  </si>
  <si>
    <t>Receomdended Level based on average age of the players and BPOP Team Optimization Score</t>
  </si>
  <si>
    <t>Calculated Team Info</t>
  </si>
  <si>
    <t>Team Logo</t>
  </si>
  <si>
    <t>Can input at team creation and edit/iupdate from this Team Info Page</t>
  </si>
  <si>
    <t>BPOP Team Optimization Rating</t>
  </si>
  <si>
    <t>BPOP Offense Optimization Rating</t>
  </si>
  <si>
    <t>ALL</t>
  </si>
  <si>
    <t>Team Options</t>
  </si>
  <si>
    <t>LINEUP TYPE</t>
  </si>
  <si>
    <t>SELECT - Straight 9, 10,  CONTINUOUS</t>
  </si>
  <si>
    <t>This score will be calculated by the following formula: ((avereage of the top 6 players hitting optimization rating X 2) + (Average of the bottom 3 (or more depending on the LINEUP TYPE SELECTION)) /3</t>
  </si>
  <si>
    <t>FIELDING SET UP</t>
  </si>
  <si>
    <t>PITCHING SET UP</t>
  </si>
  <si>
    <t>SELECT - STANDARD, 10  PLAYER</t>
  </si>
  <si>
    <t>SELECT - STANDARD, Pitcher's Helper</t>
  </si>
  <si>
    <t>BPOP Pitching Optimization Rating</t>
  </si>
  <si>
    <t>Definitions: Straogjt 9 - The team is forced to play and bat only 9 players, normal substitution rules apply, The team has a line-up of 10 hitters with normal substitution rules, CONTINUOUS - The entire team maintains a consistent line-up where fielding positions do not affect the batting order.</t>
  </si>
  <si>
    <t>Definitions: Standard - 9 Players in the field, Left, Center, and Right in the outfield. 10 Player - 10 players play in the field, Left, Left-Center, Right-Center, and Right in the outfield.</t>
  </si>
  <si>
    <t>Definitions: Standard - normal baseball rules, the pitcher will be selected from the Pitching Optimization Page. Pitcher's Helper - Used in youth coach pitch teams, the PH is only a fielder and does not acutally pitch</t>
  </si>
  <si>
    <t>NUMBER OF STARTING PITCHERS</t>
  </si>
  <si>
    <t>INPUT - 1 to 6</t>
  </si>
  <si>
    <t>ONLY ACTIVE WITH STANDARD PITCHING SET UP - This score will be calculated by the following formula: ((Average of the BPOP Pitcher Rating for the Starting Pitchers x 2 + Average of the BPOP Rating of the relief pitchers)/3)</t>
  </si>
  <si>
    <t>BPOP Pitching Optimization</t>
  </si>
  <si>
    <t>NEED TO MAKE A TEAM OPTIMIZATION MEDAL</t>
  </si>
  <si>
    <t>Eval Level</t>
  </si>
  <si>
    <t>Position Management Sample Graphic (all Levels)</t>
  </si>
  <si>
    <t>Note - For Pro Level Teams, players and/or coaches will designate one more more positions for the player.</t>
  </si>
  <si>
    <t>Clicking on an individual player name will bring up that player's specific Player Info/Stats Page</t>
  </si>
  <si>
    <t>Notes - If a player is ranked toward the top of the list for multiple positions, follow the position hierarchy to determine where that player should optmizally play. Once a player is placed in a position, the next player in line will take that spot for the next position in the hierarchy</t>
  </si>
  <si>
    <t>Note - For College Level Teams, players and/or coaches will designate one more more positions for the player.</t>
  </si>
  <si>
    <t>Must Meet Thresholds for all CONTACT Tests</t>
  </si>
  <si>
    <t>Must Meet Thresholds for all POWER Tests</t>
  </si>
  <si>
    <t>Must Meet the Requirement for TPITCH2060 and TPITCH5AVG</t>
  </si>
  <si>
    <t>BPOP Athletic Optimization Rating</t>
  </si>
  <si>
    <t>The overall team optimization rating will be the average of the BPOP Defense Optimization Rating and the BPOP Offense Optimization Rating, BPOP PITCHING OPTIMIZATION RATING(IF STANDARD SELECTED IN PITCHING SETUP), and the BPOP Athletic Optimization Rating</t>
  </si>
  <si>
    <t>Note - Clicking on the Defense, Offense, Pitching Optimization, or Athleticism sections will bring the user to the Position Management (defense), Line-up Optimization (Offense), and Pitching Optimization (Pitching), Athletic Skills (Athleticism)</t>
  </si>
  <si>
    <t>This will be the average of the BPOP Athletic Optimization Rating for all players on the active roster.</t>
  </si>
  <si>
    <t>This will be the avereage of all the BPOP position scores, represented as a percentage. The actual value will display with a Medal if the score is high enough. This value will adjust based on selections in Fielding Set up and Pitching Set up</t>
  </si>
  <si>
    <t xml:space="preserve">This will be the avereage of all the BPOP position scores, represented as a percentage. The actual value will display with a Medal if the score is high enough. </t>
  </si>
  <si>
    <t>Fielding Set Up</t>
  </si>
  <si>
    <t>STANDARD (Only, no selection)</t>
  </si>
  <si>
    <t>Pitching Set Sup</t>
  </si>
  <si>
    <t>STANDARD (No Option)</t>
  </si>
  <si>
    <t>Pitching Set Up</t>
  </si>
  <si>
    <t>The coach will be able to "lock" specific players in a position and run the optimizer again to optimize with specific positions/players excluded</t>
  </si>
  <si>
    <t>High School</t>
  </si>
  <si>
    <t>Note - For High School Level Teams, players and/or coaches will designate one more more positions for the player.</t>
  </si>
  <si>
    <t>ATHLETESCORE</t>
  </si>
  <si>
    <t>SPEEDSCORE</t>
  </si>
  <si>
    <t>POWERSCORE</t>
  </si>
  <si>
    <t>STRENGTHSCORE</t>
  </si>
  <si>
    <t>BALANCESCORE</t>
  </si>
  <si>
    <t>CONTACTSCORE</t>
  </si>
  <si>
    <t>HITPOWERSCORE</t>
  </si>
  <si>
    <t>Note - For 14ULevel Teams, players and/or coaches will designate one more more positions for the player.</t>
  </si>
  <si>
    <t>Primary purpose for 14U teams is to rank players by position effectiveness to determine the optimal fielding set up for the team</t>
  </si>
  <si>
    <t>Primary pupose for High School teams is to rank the players in the organization based on performance for the positions played.</t>
  </si>
  <si>
    <t>Primary pupose for collegiate teams is to rank the players in the organization based on performance for the positions played.</t>
  </si>
  <si>
    <t>Primary purpose for 13U teams is to rank players by position effectiveness to determine the optimal fielding set up for the team</t>
  </si>
  <si>
    <t>Note - For 13U Level Teams, players and/or coaches will designate one more more positions for the player.</t>
  </si>
  <si>
    <t>Note - For 12U Level Teams, players and/or coaches will designate one more more positions for the player.</t>
  </si>
  <si>
    <t>Primary purpose for 12U teams is to rank players by position effectiveness to determine the optimal fielding set up for the team</t>
  </si>
  <si>
    <t>Primary purpose for 11U teams is to rank players by position effectiveness to determine the optimal fielding set up for the team and provide options for fielding sets</t>
  </si>
  <si>
    <t>Primary purpose for 10U teams is to rank players by position effectiveness to determine the optimal fielding set up for the team and provide options for fielding sets</t>
  </si>
  <si>
    <t>Note - For 10U Level Teams, players and/or coaches will designate one more more positions for the player, If a player takes a position specific screen, they will automatically be added to that position category</t>
  </si>
  <si>
    <t>Note - For 11U Level Teams, players and/or coaches will designate one more more positions for the player, If a player takes a position specific screen, they will automatically be added to that position category</t>
  </si>
  <si>
    <t xml:space="preserve">Position Optimization </t>
  </si>
  <si>
    <t>Standard Optimization (default)</t>
  </si>
  <si>
    <t>Infield Priority</t>
  </si>
  <si>
    <t>Center Field (STANDARD FIELDING SET UP)</t>
  </si>
  <si>
    <t>Right Center</t>
  </si>
  <si>
    <t>Left Center</t>
  </si>
  <si>
    <t>Right Center (10 PLAYER FIELDING SET UP)</t>
  </si>
  <si>
    <t>LEFT Center (10 PLAYER FIELDING SET UP)</t>
  </si>
  <si>
    <t>Position Hierarchy STANDARD</t>
  </si>
  <si>
    <t>Position Hierarchy 10 PLAYER</t>
  </si>
  <si>
    <t>Right</t>
  </si>
  <si>
    <t>Left</t>
  </si>
  <si>
    <t xml:space="preserve">Left </t>
  </si>
  <si>
    <t>Position Hierarchy  STANDARD</t>
  </si>
  <si>
    <t>Position Hierarchy 10 Player</t>
  </si>
  <si>
    <t xml:space="preserve">STANDARD </t>
  </si>
  <si>
    <t>10 PLAYER</t>
  </si>
  <si>
    <t>Split Outfield Prioirty</t>
  </si>
  <si>
    <t>Primary purpose for 9U teams is to determine the optimal positions for each player on the team.</t>
  </si>
  <si>
    <t>Pitcher's Helper</t>
  </si>
  <si>
    <t>FIELDINGSCORE</t>
  </si>
  <si>
    <t>CATCHINGSCORE</t>
  </si>
  <si>
    <t>Primary purpose for 8U teams is to determine the optimal positions for each player on the team.</t>
  </si>
  <si>
    <t>(5-CB2BT)*4</t>
  </si>
  <si>
    <t>(5-IFSS1BT)*4</t>
  </si>
  <si>
    <t>9UCATCHERSCORE</t>
  </si>
  <si>
    <t>ShortStop</t>
  </si>
  <si>
    <t>COLL  Overall Player Score</t>
  </si>
  <si>
    <t>COLL Athletic Skills Ranges</t>
  </si>
  <si>
    <t>COLL Hitting Skills Ranges</t>
  </si>
  <si>
    <t>COLL Pitcher Skills Ranges</t>
  </si>
  <si>
    <t>COLL Catcher Skills Ranges</t>
  </si>
  <si>
    <t>COLL First Base Skills Ranges</t>
  </si>
  <si>
    <t>COLL Infield Skills Ranges</t>
  </si>
  <si>
    <t>COLL Outfield Skills Ranges</t>
  </si>
  <si>
    <t>HS Overall Player Score</t>
  </si>
  <si>
    <t>HS Athletic Skills Ranges</t>
  </si>
  <si>
    <t>HS  Hitting Skills Ranges</t>
  </si>
  <si>
    <t>HS Pitcher Skills Ranges</t>
  </si>
  <si>
    <t>HS Catcher Skills Ranges</t>
  </si>
  <si>
    <t>HS  First Base Skills Ranges</t>
  </si>
  <si>
    <t>HS Infield Skills Ranges</t>
  </si>
  <si>
    <t>HS  Outfield Skills Ranges</t>
  </si>
  <si>
    <t>Normalized Sample Calc Red</t>
  </si>
  <si>
    <t>ACTIVE PLAYERS</t>
  </si>
  <si>
    <t>BENCH PLAYERS</t>
  </si>
  <si>
    <t>Total number of players on the active roster who will be used to calculate optimization statistics</t>
  </si>
  <si>
    <t>Additional players who are not included in the active roster calculations. This can be used for potential players or additional players who are being considered for active status. This also includes any player with an injury designation.</t>
  </si>
  <si>
    <t>Position Score Details</t>
  </si>
  <si>
    <t>The average posotion score for all active rostered players will be displayed as a large number. The top score and bottom score will also be displayed with smaller numbers next to the avereage.</t>
  </si>
  <si>
    <t>Equal to the average CATCHERSCORE for all active rostered catchers, represented as a percentage</t>
  </si>
  <si>
    <t>Position Scores</t>
  </si>
  <si>
    <t>2BSCORE</t>
  </si>
  <si>
    <t>3BSCORE</t>
  </si>
  <si>
    <t>SHORTSCORE</t>
  </si>
  <si>
    <t>LFSCORE</t>
  </si>
  <si>
    <t>RFSCORE</t>
  </si>
  <si>
    <t>CFSCORE</t>
  </si>
  <si>
    <t>CENTERSCORE</t>
  </si>
  <si>
    <t>LCSCORE</t>
  </si>
  <si>
    <t>RCSCORE</t>
  </si>
  <si>
    <t>Definitions</t>
  </si>
  <si>
    <t>Tests Used</t>
  </si>
  <si>
    <t>Pitcher Eval</t>
  </si>
  <si>
    <t>Catcher Eval</t>
  </si>
  <si>
    <t>Firstbase Eval</t>
  </si>
  <si>
    <t>Infield Eval, RLC2B, SS1BT</t>
  </si>
  <si>
    <t>Infield Eval, RLC3B, SS1BT</t>
  </si>
  <si>
    <t>Infield Eval, RLCSS, SS1BT</t>
  </si>
  <si>
    <t>OF Eval, T120FT</t>
  </si>
  <si>
    <t>OF Eval, OFGBHT</t>
  </si>
  <si>
    <t>OF Eval, SPEEDSCORE</t>
  </si>
  <si>
    <t>Position Score Reference Cell</t>
  </si>
  <si>
    <t>Equal to the average 1BSCORE for all active rostered 1B, represented as a percentage</t>
  </si>
  <si>
    <t>Equal to the average 2BSCORE for all active rostered 2B, represented as a percentage</t>
  </si>
  <si>
    <t>Equal to the average 3BSCORE for all active rostered 3B, represented as a percentage</t>
  </si>
  <si>
    <t>Equal to the average SHORTSCORE for all active rostered SS, represented as a percentage</t>
  </si>
  <si>
    <t>Equal to the average RFSCORE for all active rostered Right Fielders, represented as a percentage</t>
  </si>
  <si>
    <t>Equal to the average LFSCORE for all active rostered LeftFielders, represented as a percentage</t>
  </si>
  <si>
    <t>Equal to the average CENTERSCOREfor all active rostered Center Fielders, represented as a percentage</t>
  </si>
  <si>
    <t>Player Position Rankings</t>
  </si>
  <si>
    <t>BPOP TEAM Position Score</t>
  </si>
  <si>
    <t xml:space="preserve">Infield </t>
  </si>
  <si>
    <t>Overall Defense</t>
  </si>
  <si>
    <t>IFTOTAL</t>
  </si>
  <si>
    <t>OFTOTAL</t>
  </si>
  <si>
    <t>DEFENSESCORE</t>
  </si>
  <si>
    <t>Average of all Defensive position scores</t>
  </si>
  <si>
    <t>Defense Score Cell Reference</t>
  </si>
  <si>
    <t>Infield Score Cell Reference</t>
  </si>
  <si>
    <t>Outfield Score Cell Reference</t>
  </si>
  <si>
    <t>Average of all Infield Positions</t>
  </si>
  <si>
    <t>Average of all Outfield Positions</t>
  </si>
  <si>
    <t>Must meet thresholds for HC10LD, H10FAST, and H5VSPD</t>
  </si>
  <si>
    <t>OF Eval, T100FT</t>
  </si>
  <si>
    <t>OF Eval, RLCGBSS</t>
  </si>
  <si>
    <t>Equal to the average LCSCORE for all active rostered Outfielders, represented as a percentage</t>
  </si>
  <si>
    <t>Equal to the average RCSCORE for all active rostered Outfielders, represented as a percentage</t>
  </si>
  <si>
    <t>Equal to the average LFSCORE or all active rostered Outfielders, represented as a percentage</t>
  </si>
  <si>
    <t>Equal to the average RFSCORE for all active rostered Outfielders, represented as a percentage</t>
  </si>
  <si>
    <t>Equal to the average CENTERSCOREfor all active rostered Outfielders, represented as a percentage</t>
  </si>
  <si>
    <t>Note: The Coach will be able to edite the position hierarchy or create custom options.</t>
  </si>
  <si>
    <t>Position Hierarchy</t>
  </si>
  <si>
    <t>Standard (default), Custom</t>
  </si>
  <si>
    <t>HPBS/4</t>
  </si>
  <si>
    <t>OF Eval, T80FT</t>
  </si>
  <si>
    <t>Standard (default), Infield Priority, Split Outfield Priority, Custom</t>
  </si>
  <si>
    <t>9UPITCHSCORE</t>
  </si>
  <si>
    <t>9U1BSCORE</t>
  </si>
  <si>
    <t>9U2BSCORE</t>
  </si>
  <si>
    <t>9U3BSCORE</t>
  </si>
  <si>
    <t>9USHORTSCORE</t>
  </si>
  <si>
    <t>9ULFSCORE</t>
  </si>
  <si>
    <t>9URFSCORE</t>
  </si>
  <si>
    <t>9UCENTERSCORE</t>
  </si>
  <si>
    <t>9ULCSCORE</t>
  </si>
  <si>
    <t>9URCSCORE</t>
  </si>
  <si>
    <t>9UIFTOTAL</t>
  </si>
  <si>
    <t>9UOFTOTAL</t>
  </si>
  <si>
    <t>9UDEFENSESCORE</t>
  </si>
  <si>
    <t>TSPEED, TPITCH1045</t>
  </si>
  <si>
    <t>C5PCS, CT2BT</t>
  </si>
  <si>
    <t>C51B, C1BST</t>
  </si>
  <si>
    <t>C15X15M, SPEEDSCORE</t>
  </si>
  <si>
    <t>C15X15M, RLCGB2B, CLD2B</t>
  </si>
  <si>
    <t>C15X15M, T80FT, SPEEDSCORE</t>
  </si>
  <si>
    <t>C15X15M, RLCGBSS, CLDSS</t>
  </si>
  <si>
    <t>Pitcher Helper</t>
  </si>
  <si>
    <t>9UPHSCORE</t>
  </si>
  <si>
    <t>9ULCFSCORE</t>
  </si>
  <si>
    <t>FIELDINGSCORE (2X), CATCHINGSCORE(1X), RLC2B (2X), SS1BT (1X)</t>
  </si>
  <si>
    <t>FIELDINGSCORE(2X), CATCHINGSCORE (1X), RLC3B (2X), SS1BT (1X)</t>
  </si>
  <si>
    <t>FIELDINGSCORE (2X), CATCHINGSCORE (1X), RLCSS (2X), SS1BT (1X)</t>
  </si>
  <si>
    <t>FIELDINGSCORE (2X), CATCHINGSCORE (1X)</t>
  </si>
  <si>
    <t>8UPITCHSCORE</t>
  </si>
  <si>
    <t>8UCATCHERSCORE</t>
  </si>
  <si>
    <t>8U1BSCORE</t>
  </si>
  <si>
    <t>8U2BSCORE</t>
  </si>
  <si>
    <t>8U3BSCORE</t>
  </si>
  <si>
    <t>8USHORTSCORE</t>
  </si>
  <si>
    <t>8UPHSCORE</t>
  </si>
  <si>
    <t>8ULFSCORE</t>
  </si>
  <si>
    <t>8URFSCORE</t>
  </si>
  <si>
    <t>8UCENTERSCORE</t>
  </si>
  <si>
    <t>8ULCSCORE</t>
  </si>
  <si>
    <t>8URCSCORE</t>
  </si>
  <si>
    <t>8UIFTOTAL</t>
  </si>
  <si>
    <t>8UOFTOTAL</t>
  </si>
  <si>
    <t>8UDEFENSESCORE</t>
  </si>
  <si>
    <t>C10X10LD, T80FT, SPEEDSCORE</t>
  </si>
  <si>
    <t>C10X10LD, RLCGB2B, CLD2B</t>
  </si>
  <si>
    <t>C10X10LD, SPEEDSCORE</t>
  </si>
  <si>
    <t>C10X10LD, RLCGBSS, CLDSS</t>
  </si>
  <si>
    <t>C10X10LD SPEEDSCORE</t>
  </si>
  <si>
    <t>Standard (default), Split Outfield Priority, Custom</t>
  </si>
  <si>
    <t>Secondary Ranked BY Stat</t>
  </si>
  <si>
    <t>7UCATCHERSCORE</t>
  </si>
  <si>
    <t>7U1BSCORE</t>
  </si>
  <si>
    <t>7U2BSCORE</t>
  </si>
  <si>
    <t>7U3BSCORE</t>
  </si>
  <si>
    <t>7USHORTSCORE</t>
  </si>
  <si>
    <t>7URFSCORE</t>
  </si>
  <si>
    <t>7ULFSCORE</t>
  </si>
  <si>
    <t>7UCENTERSCORE</t>
  </si>
  <si>
    <t>7URCSCORE</t>
  </si>
  <si>
    <t>7ULCSCORE</t>
  </si>
  <si>
    <t>7UPHSCORE</t>
  </si>
  <si>
    <t>7UDEFENSESCORE</t>
  </si>
  <si>
    <t>7UIFTOTAL</t>
  </si>
  <si>
    <t>7UOFTOTAL</t>
  </si>
  <si>
    <t>THROWSCORE</t>
  </si>
  <si>
    <t>7UPITCHSCORE</t>
  </si>
  <si>
    <t>C51B (3X), CATCHINGSCORE</t>
  </si>
  <si>
    <t>FIELDINGSCORE (2X), CATCHINGSCORE(1X), RLC2B (2X)</t>
  </si>
  <si>
    <t>FIELDINGSCORE(2X), CATCHINGSCORE (1X), RLC3B (2X)</t>
  </si>
  <si>
    <t>FIELDINGSCORE (2X), CATCHINGSCORE (1X), RLCSS (2X)</t>
  </si>
  <si>
    <t>FIELDINGSCORE (2X), CATCHINGSCORE (1X), RLCP (2X)</t>
  </si>
  <si>
    <t>C10X10LD, T40FT</t>
  </si>
  <si>
    <t>C10X10LD, RLCGB2B</t>
  </si>
  <si>
    <t>C10X10LD, RLCGBSS</t>
  </si>
  <si>
    <t>STANDARD, 10 PLAYER (default)</t>
  </si>
  <si>
    <t>STANDARD, Pitcher's Helper (default)</t>
  </si>
  <si>
    <t>STANDARD (default), Pitcher's Helper</t>
  </si>
  <si>
    <t>STANDARD (default), 10 PLAYER</t>
  </si>
  <si>
    <t>6UCATCHERSCORE</t>
  </si>
  <si>
    <t>6U1BSCORE</t>
  </si>
  <si>
    <t>6U2BSCORE</t>
  </si>
  <si>
    <t>6U3BSCORE</t>
  </si>
  <si>
    <t>6USHORTSCORE</t>
  </si>
  <si>
    <t>6URFSCORE</t>
  </si>
  <si>
    <t>6ULFSCORE</t>
  </si>
  <si>
    <t>6UCENTERSCORE</t>
  </si>
  <si>
    <t>6URCSCORE</t>
  </si>
  <si>
    <t>6ULCSCORE</t>
  </si>
  <si>
    <t>6UPHSCORE</t>
  </si>
  <si>
    <t>Avereage of 8UCATCHERSCORE for all players who qualify to play Catcher</t>
  </si>
  <si>
    <t>Average of the 8U1BSCORE for all players who qualify to play first base</t>
  </si>
  <si>
    <t>Equal to the average 8U2BSCORE for all players who qualify to play 2B</t>
  </si>
  <si>
    <t>Equal to the average 9U3BSCORE for all players who qualify to play 3B</t>
  </si>
  <si>
    <t>Equal to the average 9USHORTSCORE for all players who qualify to play shortstop</t>
  </si>
  <si>
    <t>Equal to the average 9URFSCORE for all players</t>
  </si>
  <si>
    <t>Equal to the average 9ULFSCORE or all players</t>
  </si>
  <si>
    <t>Average of the 8UPHSCORE for all players who qualify to play Pitchers' Helper</t>
  </si>
  <si>
    <t>Equal to the average 9ULCSCOREfor all players</t>
  </si>
  <si>
    <t>Equal to the average 9URCSCOREfor all players</t>
  </si>
  <si>
    <t>Minimum Position Qualification Score</t>
  </si>
  <si>
    <t>Equal to the average 9UCENTERSCORE for all players</t>
  </si>
  <si>
    <t>Avereage of 9UCATCHERSCORE for all players who qualify to play Catcher</t>
  </si>
  <si>
    <t>Average of the 9U1BSCORE for all players who qualify to play first base</t>
  </si>
  <si>
    <t>Equal to the average 9U2BSCORE for all players who qualify to play 2B</t>
  </si>
  <si>
    <t>Average of the 9UPHSCORE for all players who qualify to play Pitchers' Helper</t>
  </si>
  <si>
    <t>Min Position Qualification</t>
  </si>
  <si>
    <t>Minimum Position Qualification Calc</t>
  </si>
  <si>
    <t>Minimum Position Qualification Threshold</t>
  </si>
  <si>
    <t>Note: Rankings will always display the top 3 players for each position even if one or more of those players does not meet the qualification criteria.</t>
  </si>
  <si>
    <t>Note: Ranking will list ALL players who meet the qualification criteria</t>
  </si>
  <si>
    <t>Tie Breaker Stat</t>
  </si>
  <si>
    <t>Primary purpose for 7U teams is to determine the optimal positions for each player on the team.</t>
  </si>
  <si>
    <t>Equal to the average 8U3BSCORE for all players who qualify to play 3B</t>
  </si>
  <si>
    <t>Equal to the average 8USHORTSCORE for all players who qualify to play shortstop</t>
  </si>
  <si>
    <t>Equal to the average 8URFSCORE for all players</t>
  </si>
  <si>
    <t>Equal to the average 8ULFSCORE or all players</t>
  </si>
  <si>
    <t>Equal to the average 8UCENTERSCORE for all players</t>
  </si>
  <si>
    <t>Equal to the average 8ULCSCOREfor all players</t>
  </si>
  <si>
    <t>Equal to the average 8URCSCOREfor all players</t>
  </si>
  <si>
    <t>Avereage of 7UCATCHERSCORE for all players who qualify to play Catcher</t>
  </si>
  <si>
    <t>Average of the 7U1BSCORE for all players who qualify to play first base</t>
  </si>
  <si>
    <t>Equal to the average 7U2BSCORE for all players who qualify to play 2B</t>
  </si>
  <si>
    <t>Equal to the average 7U3BSCORE for all players who qualify to play 3B</t>
  </si>
  <si>
    <t>Equal to the average 7USHORTSCORE for all players who qualify to play shortstop</t>
  </si>
  <si>
    <t>Equal to the average 7URFSCORE for all players</t>
  </si>
  <si>
    <t>Equal to the average 7ULFSCORE or all players</t>
  </si>
  <si>
    <t>Equal to the average 7UCENTERSCORE for all players</t>
  </si>
  <si>
    <t>Average of the 7UPHSCORE for all players who qualify to play Pitchers' Helper</t>
  </si>
  <si>
    <t>Equal to the average 7ULCSCOREfor all players</t>
  </si>
  <si>
    <t>Equal to the average 7URCSCOREfor all players</t>
  </si>
  <si>
    <t>Note - If Pitching Set Up=Standard, Pitcher's Helper is omitted from the hierarchy</t>
  </si>
  <si>
    <t>Note - For 6U Level Teams all players will take all evaluations and be ranked for all positions. There is no position qualification score</t>
  </si>
  <si>
    <t>Note - For 7U Level Teams all players will take all evaluations. There are minimum thresholds for success at all positions.</t>
  </si>
  <si>
    <t>Note - For 8U Level Teams all players will take all evaluations. There are minimum thresholds for success at all positions.</t>
  </si>
  <si>
    <t>Note - For 9U Level Teams all players will take all evaluations. There are minimum thresholds for success at all positions.</t>
  </si>
  <si>
    <t>6UDEFENSESCORE</t>
  </si>
  <si>
    <t>6UIFTOTAL</t>
  </si>
  <si>
    <t>6UOFTOTAL</t>
  </si>
  <si>
    <t>Equal to the average 6URFSCORE for all players</t>
  </si>
  <si>
    <t>Equal to the average 6ULFSCORE or all players</t>
  </si>
  <si>
    <t>Equal to the average 6UCENTERSCORE for all players</t>
  </si>
  <si>
    <t>Equal to the average 6ULCSCOREfor all players</t>
  </si>
  <si>
    <t>Equal to the average 6URCSCOREfor all players</t>
  </si>
  <si>
    <t>Note - For 5U Level Teams all players will take all evaluations and be ranked for all positions. There is no position qualification score</t>
  </si>
  <si>
    <t>MOBILITYSCORE</t>
  </si>
  <si>
    <t>CATCHINGSCORE (2X), FIELDINGSCORE 1X)</t>
  </si>
  <si>
    <t>FIELDINGSCORE (2X), CATCHINGSCORE(1X), FG2B(2X)</t>
  </si>
  <si>
    <t>FIELDINGSCORE(2X), CATCHINGSCORE (1X), FG3B (2X)</t>
  </si>
  <si>
    <t>FIELDINGSCORE (2X), CATCHINGSCORE (1X), FGSS (2X)</t>
  </si>
  <si>
    <t>FIELDINGSCORE (2X), CATCHINGSCORE (1X), FGP (2X)</t>
  </si>
  <si>
    <t>CATCHINGSCORE, SPEEDSCORE</t>
  </si>
  <si>
    <t>CATCHINGSCORE, T40FT</t>
  </si>
  <si>
    <t>5UPITCHSCORE</t>
  </si>
  <si>
    <t>5UCATCHERSCORE</t>
  </si>
  <si>
    <t>5U1BSCORE</t>
  </si>
  <si>
    <t>5U2BSCORE</t>
  </si>
  <si>
    <t>5U3BSCORE</t>
  </si>
  <si>
    <t>5USHORTSCORE</t>
  </si>
  <si>
    <t>5UPHSCORE</t>
  </si>
  <si>
    <t>5ULFSCORE</t>
  </si>
  <si>
    <t>5URFSCORE</t>
  </si>
  <si>
    <t>5UCENTERSCORE</t>
  </si>
  <si>
    <t>5ULCSCORE</t>
  </si>
  <si>
    <t>5URCSCORE</t>
  </si>
  <si>
    <t>5UIFTOTAL</t>
  </si>
  <si>
    <t>5UOFTOTAL</t>
  </si>
  <si>
    <t>5UDEFENSESCORE</t>
  </si>
  <si>
    <t>CATCHINGSCORE, FG2B</t>
  </si>
  <si>
    <t>CATCHINGSCORE, FGSS</t>
  </si>
  <si>
    <t>6UPITCHSCORE</t>
  </si>
  <si>
    <t>Equal to the average 5URFSCORE for all players</t>
  </si>
  <si>
    <t>Equal to the average 5ULFSCORE or all players</t>
  </si>
  <si>
    <t>Equal to the average 5UCENTERSCORE for all players</t>
  </si>
  <si>
    <t>Equal to the average 5ULCSCOREfor all players</t>
  </si>
  <si>
    <t>Equal to the average 5URCSCOREfor all players</t>
  </si>
  <si>
    <t xml:space="preserve">Avereage of 5UCATCHERSCORE for all players </t>
  </si>
  <si>
    <t xml:space="preserve">Average of the 5U1BSCORE for all players </t>
  </si>
  <si>
    <t xml:space="preserve">Equal to the average 5U2BSCORE for all players </t>
  </si>
  <si>
    <t xml:space="preserve">Equal to the average 5U3BSCORE for all players </t>
  </si>
  <si>
    <t xml:space="preserve">Equal to the average 5USHORTSCORE for all players </t>
  </si>
  <si>
    <t xml:space="preserve">Average of the 5UPHSCORE for all players </t>
  </si>
  <si>
    <t xml:space="preserve">Avereage of 6UCATCHERSCORE for all players </t>
  </si>
  <si>
    <t xml:space="preserve">Average of the 6U1BSCORE for all players </t>
  </si>
  <si>
    <t xml:space="preserve">Equal to the average 6U2BSCORE for all players </t>
  </si>
  <si>
    <t xml:space="preserve">Equal to the average 6U3BSCORE for all players </t>
  </si>
  <si>
    <t xml:space="preserve">Equal to the average 6USHORTSCORE for all players </t>
  </si>
  <si>
    <t xml:space="preserve">Average of the 6UPHSCORE for all players </t>
  </si>
  <si>
    <t>BPOP Lineup Optimization</t>
  </si>
  <si>
    <t>Contactscore has an indirect relationship to Strike Out Chance</t>
  </si>
  <si>
    <t>STRIKECHANCE</t>
  </si>
  <si>
    <t>A Player's estimated chance to strike out, represented as a percentage chance.</t>
  </si>
  <si>
    <t>A Player's general ability to make contact and put the ball into play, represented by a value 0-100</t>
  </si>
  <si>
    <t>A Player's ability to create extra base hits, represented by a value 0-100</t>
  </si>
  <si>
    <t>A Player's speed as tested by a comination of running to 1B and around all 4 bases, represented by a value 0-100</t>
  </si>
  <si>
    <t>HITTING</t>
  </si>
  <si>
    <t>Chance to make solid contact represented as a value between 1-100</t>
  </si>
  <si>
    <t>A Player's running speed rating between 0-100</t>
  </si>
  <si>
    <t>Chance to hit for power and extra base hits represented as a value between 1-100</t>
  </si>
  <si>
    <t>An estimated chance that a player will strikeout, represented as a percentage</t>
  </si>
  <si>
    <t>CS</t>
  </si>
  <si>
    <t>PS</t>
  </si>
  <si>
    <t>SS</t>
  </si>
  <si>
    <t>SC</t>
  </si>
  <si>
    <t>General Line-Up Optimization Factors</t>
  </si>
  <si>
    <t>Prio</t>
  </si>
  <si>
    <t>HighSchool</t>
  </si>
  <si>
    <t>1–12</t>
  </si>
  <si>
    <t xml:space="preserve">Batting Order Optimization </t>
  </si>
  <si>
    <t>Each position in the order has different characteristics that lead to a successful batting rotation. These characteristics change depending on the level of the team, level of the individual players, and batting order strategy.</t>
  </si>
  <si>
    <t>Each player is ranked by a combination of CONTACTSCORE, POWERSCORE, SPEEDSCORE, and STRIKECHANCE by the following formula for each slot in the batting order for the different age groups and strategies.</t>
  </si>
  <si>
    <t>BPOP BALANCED</t>
  </si>
  <si>
    <t xml:space="preserve">12U </t>
  </si>
  <si>
    <t>Designated Hitter Set Up - SELECT - USE DH, PITCHER HITS</t>
  </si>
  <si>
    <t>Select Players to include in the batting order - This will be a checkbox selection screen with a select all at the top. It will only list active roster players. This will affect the number of players in the line up. (IF CONTINUOUS IS SELECTED IN OPTION1, ALL ACTIVE PLAYERS WILL BE INCLUDED)</t>
  </si>
  <si>
    <t>Batting Order Type: 9 Player, 10 Player, Continuous (all active players hit)</t>
  </si>
  <si>
    <t>BPOP TEAM HITTING METRICS</t>
  </si>
  <si>
    <t>BPOP Hitting Score</t>
  </si>
  <si>
    <t>BPOPHITSCORE</t>
  </si>
  <si>
    <t>This is equal to the avereage of our hitting eval category total score for all activly rostered players.</t>
  </si>
  <si>
    <t>This is equal to the average of the CONTACTSCORE for all actively rostered players.</t>
  </si>
  <si>
    <t>This is equal to the average of the POWERSCORE for all actively rostered players.</t>
  </si>
  <si>
    <t>This is equal to the average of the STRIKECHANCE for all actively rostered players.</t>
  </si>
  <si>
    <t>This is equal to the average of the SPEEDSCORE for all actively rostered players.</t>
  </si>
  <si>
    <t xml:space="preserve">Calculation Details: wCS + wPS + wSS - wSC = POSITIONSCORE </t>
  </si>
  <si>
    <t>Note: If more than 12 players on a Continuous Roster, additional players will be added between the 11 and 12 slot with reduced prio.</t>
  </si>
  <si>
    <t>OPTION - The coach can "lock" any player into a specific spot in the order. The optimization calculation will occur around that position with all other available players.</t>
  </si>
  <si>
    <t xml:space="preserve">This is a standard order prioitizing contact and speed at the top of the order, contact, and power in the middle of the order, higher srike out risk toward the end, and then a wrap around player in the nine slot. </t>
  </si>
  <si>
    <t>BPOP TOP DOWN</t>
  </si>
  <si>
    <t>PRO</t>
  </si>
  <si>
    <t>BPOP TOP6 BALANCED</t>
  </si>
  <si>
    <t>COLLEGE</t>
  </si>
  <si>
    <t>HS</t>
  </si>
  <si>
    <t>This is a more simple strategy that ranks the players from top to bottom prioritizing contact and chance to get on base.</t>
  </si>
  <si>
    <t>This is a hybrid strategy where the top 6 players in the order form an optimal set up and the bottom 3-6 players are ranked by Contact with a high strikeout penalty. This is recomended for youth teams playing 11 or 12 players</t>
  </si>
  <si>
    <t>7–12</t>
  </si>
  <si>
    <t>1–6</t>
  </si>
  <si>
    <t>NEED TO MAKE TEAM HITTING MEDALS</t>
  </si>
  <si>
    <t>BPOP TEAM HITTING SCORE</t>
  </si>
  <si>
    <t>BPOP TEAM CONTACTSCORE</t>
  </si>
  <si>
    <t>BPOP TEAM POWERSCORE</t>
  </si>
  <si>
    <t>BPOP TEAM SPEEDSCORE</t>
  </si>
  <si>
    <t>BPOP TEAM STRIKECHANCE</t>
  </si>
  <si>
    <t>note: Optimization Metrics are level specific on the evals</t>
  </si>
  <si>
    <t>Must meed thresholds for HPTEV, H10FAST, and HPBS</t>
  </si>
  <si>
    <t>Must Meet All Category Requirements</t>
  </si>
  <si>
    <t>Must meed thresholds for HPTEV, H10PITCH, and HPBS</t>
  </si>
  <si>
    <t>a</t>
  </si>
  <si>
    <t>Must meet the medal requirements for both H10TEE and HTPITCH</t>
  </si>
  <si>
    <t>Must meet the medal requirements for both the HTPITCH and HBSPEED</t>
  </si>
  <si>
    <t>BPOP Pitching Optimization Factors</t>
  </si>
  <si>
    <t>PITCHACCSCORE</t>
  </si>
  <si>
    <t>PITCHSPEEDSCORE</t>
  </si>
  <si>
    <t>ADDPITCHES</t>
  </si>
  <si>
    <t>ADDPITCHACCSCORE</t>
  </si>
  <si>
    <t>A pitcher's maximum fastball velocity represented in MPH</t>
  </si>
  <si>
    <t>A pitcher's ability to locate a pitch in the zone represented as a value between 0-100</t>
  </si>
  <si>
    <t>(PRO, College, HS ONLY) the number of additional pitches that the pitcher can throw</t>
  </si>
  <si>
    <t>(PRO, College, HS ONLY) the pitcher's ability to locate additional pitches in the zone represented as a value between 0-100</t>
  </si>
  <si>
    <t>STRIKEOUTCHANCE</t>
  </si>
  <si>
    <t>A calculation of the pitcher's probability of striking out any given batter relative to the pitcher's ability and play level</t>
  </si>
  <si>
    <t>PITCHING</t>
  </si>
  <si>
    <t>BPOP Pitching Score</t>
  </si>
  <si>
    <t>s</t>
  </si>
  <si>
    <t>p</t>
  </si>
  <si>
    <t>aa</t>
  </si>
  <si>
    <t>Level</t>
  </si>
  <si>
    <t>minSpeed (MPH)</t>
  </si>
  <si>
    <t>maxSpeed (MPH — updated)</t>
  </si>
  <si>
    <t>Additional Pitch Count</t>
  </si>
  <si>
    <t>Equals the count of the additional pitches that the player enters into the screen, maximum 4</t>
  </si>
  <si>
    <t>x</t>
  </si>
  <si>
    <t>e</t>
  </si>
  <si>
    <t>Pr(K)</t>
  </si>
  <si>
    <t>Baseline</t>
  </si>
  <si>
    <t>a_s</t>
  </si>
  <si>
    <t>a_a</t>
  </si>
  <si>
    <t>a_p</t>
  </si>
  <si>
    <t>a_aa</t>
  </si>
  <si>
    <t>PITCHSPEED</t>
  </si>
  <si>
    <t>Pitching Calcs</t>
  </si>
  <si>
    <t>BPOP Starter Rotation</t>
  </si>
  <si>
    <t>ACE</t>
  </si>
  <si>
    <t>SP2</t>
  </si>
  <si>
    <t>SP3</t>
  </si>
  <si>
    <t>SP4</t>
  </si>
  <si>
    <t>SP5</t>
  </si>
  <si>
    <t>USER SELECTED OPTIONS</t>
  </si>
  <si>
    <t>INPUT: Number of starting pitchers</t>
  </si>
  <si>
    <t>note: all players on the active roster who as designated as a pitcher with either be in the starting rotation or the bullpen. Coaches may lock a player into the starting rotation or bullpen in any position. BPOP will optimize around these players.</t>
  </si>
  <si>
    <t>This will create a rotation of all of the designated starting pitchers on the team. This is also a ranking of the starting pitchers. The number of starting pitchers will be determined by input selection</t>
  </si>
  <si>
    <t>Ranked by Formula</t>
  </si>
  <si>
    <t>BPOP PITCHER RATING</t>
  </si>
  <si>
    <t>BPOP PITCHER SCORE</t>
  </si>
  <si>
    <t>This incorporates pitching speed and accuracy. This is an overall performance stat for pitchers</t>
  </si>
  <si>
    <t>BPOP Bullpen</t>
  </si>
  <si>
    <t>RP1</t>
  </si>
  <si>
    <t>RP2</t>
  </si>
  <si>
    <t>RP3</t>
  </si>
  <si>
    <t>RPX (could be more)</t>
  </si>
  <si>
    <t>CLOSER</t>
  </si>
  <si>
    <t>.6 * PITCHACCSCORE + .4 * PITCHSPEEDSCORE</t>
  </si>
  <si>
    <t>.7 * PITCHACCSCORE + .3 * PITCHSPEEDSCORE</t>
  </si>
  <si>
    <t>If pitchers are not designated as starters or bullpen, the top players by BPOP Pitcher Rating will be in the starting rotation and relief pitchers will begin after that.</t>
  </si>
  <si>
    <t>.4 * PITCHACCSCORE + .4 * PITCHSPEEDSCORE + .2* STRIKEOUTCHANCE</t>
  </si>
  <si>
    <t>Note - For 14u and under teams, it is recommended to only keep one or two players in the starting rotation and typically many pitchers will be used over the course of a tournament.</t>
  </si>
  <si>
    <t>14U-8U</t>
  </si>
  <si>
    <t>All players will be ranked by BPOP Pitcher rating. There is no distinction between starting pitchers and relief pitchers.</t>
  </si>
  <si>
    <t>7U-5U</t>
  </si>
  <si>
    <t>All players will be ranked by BPOP Pitcher rating. This is more of a recommendation based on throwing skills than pure pitching screen.</t>
  </si>
  <si>
    <t>BPOP Athletic Skills Overview</t>
  </si>
  <si>
    <t>BPOP Team Athlete Rating</t>
  </si>
  <si>
    <t>Make Medals for Pitcher Score, speedscore and pitchaccscore</t>
  </si>
  <si>
    <t>This is the average of all actively rostered players of BPOP ATHLETE RATING</t>
  </si>
  <si>
    <t>BPOP Team SPEEDSCORE</t>
  </si>
  <si>
    <t>BPOP TEAM STRENGTHSCORE</t>
  </si>
  <si>
    <t>BPOP TEAM BALANCESCORE</t>
  </si>
  <si>
    <t>BPOP TEAM MOBILITY SCORE</t>
  </si>
  <si>
    <t>This is the average of all actively rostered players of SPEEDSCORE</t>
  </si>
  <si>
    <t>This is the average of all actively rostered players of STRENGTHSCORE</t>
  </si>
  <si>
    <t>This is the average of all actively rostered players of POWERSCORE</t>
  </si>
  <si>
    <t>This is the average of all actively rostered players of BALANCESCORE</t>
  </si>
  <si>
    <t>This is the average of all actively rostered players of MOBILITY SCORE</t>
  </si>
  <si>
    <t>Note: Clicking on any category will bring up the team roster ranked by that stat</t>
  </si>
  <si>
    <t xml:space="preserve">Add new player </t>
  </si>
  <si>
    <t>Note: this can be accessed by a coach to add a new player to the team.</t>
  </si>
  <si>
    <t>New Player Status</t>
  </si>
  <si>
    <t>Active, Reserve, Injured, Tryout</t>
  </si>
  <si>
    <t xml:space="preserve">Active </t>
  </si>
  <si>
    <t>This status represents a player who is actively on the team and playing. Active players will be included in all team calculations and optimizations</t>
  </si>
  <si>
    <t>Reserve</t>
  </si>
  <si>
    <t>These players are players who remain on the roster but are not actively playing. They may be former players or those who are taking a leave of absence from the team but still want access to team stats, team chat, team events, etc.</t>
  </si>
  <si>
    <t>Injured</t>
  </si>
  <si>
    <t>These are players who are on the team but currently not able to play due to injury. These players will be included in all team stats and rating, but will not be active in optimization functions.</t>
  </si>
  <si>
    <t>Tryout</t>
  </si>
  <si>
    <t>These players are prospective players for the team. Their stats will not be factored into the general team stats or optimizations except for in Tryout Mode.</t>
  </si>
  <si>
    <t>Player Info</t>
  </si>
  <si>
    <t>FIRSTNAME</t>
  </si>
  <si>
    <t>LASTNAME</t>
  </si>
  <si>
    <t xml:space="preserve">BIRTHDATE </t>
  </si>
  <si>
    <t>PARENT 1</t>
  </si>
  <si>
    <t>PARENT 2</t>
  </si>
  <si>
    <t>PLAYER EMAIL</t>
  </si>
  <si>
    <t>PLAYER PHONE</t>
  </si>
  <si>
    <t>Note - When a coach is adding a player, the minimum amount of information that is required is FIRSTNAME, LASTNAME, BIRTHDATE, and EMAIL - these will be required fields. The player will get an email invite after being added to the team to create their own account. At this time, the player can update additional profile infomation</t>
  </si>
  <si>
    <t>PARENT1EMAIL</t>
  </si>
  <si>
    <t>PARENT2EMAIL</t>
  </si>
  <si>
    <t>PARENT1PHONE</t>
  </si>
  <si>
    <t>PARENT2PHONE</t>
  </si>
  <si>
    <t>BPOP Add Player Screen</t>
  </si>
  <si>
    <t>BPOP Player Detail Screen</t>
  </si>
  <si>
    <t>BPOP PLAYER RATING</t>
  </si>
  <si>
    <t>BPOP OFFENSE RATING</t>
  </si>
  <si>
    <t>BPOP DEFENSE RATING</t>
  </si>
  <si>
    <t>TOP POSITION SCORE</t>
  </si>
  <si>
    <t>This will show the top 3 position scores for the player. Clicking on this will bring up the position detail page, which will show all positions and show the contributing factors for that position.</t>
  </si>
  <si>
    <t>This will show the overall player score for the player. This is Calculated by the overall player score. This will show the overall trophy</t>
  </si>
  <si>
    <t>Make Overall Trophy</t>
  </si>
  <si>
    <t>BPOP ATHLETE RATING</t>
  </si>
  <si>
    <t>Note - Clicking on any of these categories will bring up the detail screens for Offiense, defense, pitching, athleticism, positions, etc.</t>
  </si>
  <si>
    <t>Medals to make</t>
  </si>
  <si>
    <t>TEAM</t>
  </si>
  <si>
    <t>,png</t>
  </si>
  <si>
    <t>.png</t>
  </si>
  <si>
    <t>.jpeg</t>
  </si>
  <si>
    <t>.svg</t>
  </si>
  <si>
    <t>Main</t>
  </si>
  <si>
    <t>Alternate</t>
  </si>
  <si>
    <t>Dark Background</t>
  </si>
  <si>
    <t>Vector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</si>
</sst>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u/>
      <sz val="12"/>
      <color theme="10"/>
      <name val="Aptos Narrow"/>
      <family val="2"/>
      <scheme val="minor"/>
    </font>
    <font>
      <sz val="12"/>
      <color theme="1"/>
      <name val="Aptos Narrow"/>
      <family val="2"/>
      <scheme val="minor"/>
    </font>
    <font>
      <b/>
      <sz val="12"/>
      <color theme="1"/>
      <name val="Aptos Narrow"/>
      <family val="2"/>
      <scheme val="minor"/>
    </font>
    <font>
      <sz val="12"/>
      <name val="Aptos Narrow"/>
      <family val="2"/>
      <scheme val="minor"/>
    </font>
    <font>
      <sz val="12"/>
      <color rgb="FF000000"/>
      <name val="Aptos Narrow"/>
      <family val="2"/>
      <scheme val="minor"/>
    </font>
    <font>
      <b/>
      <sz val="12"/>
      <color theme="1"/>
      <name val="Aptos Narrow"/>
      <scheme val="minor"/>
    </font>
    <font>
      <b/>
      <sz val="14"/>
      <color theme="1"/>
      <name val="Aptos Narrow"/>
      <scheme val="minor"/>
    </font>
    <font>
      <b/>
      <sz val="14"/>
      <color rgb="FF000000"/>
      <name val="Aptos Narrow"/>
      <scheme val="minor"/>
    </font>
    <font>
      <sz val="12"/>
      <color theme="1"/>
      <name val="Aptos Narrow"/>
      <scheme val="minor"/>
    </font>
  </fonts>
  <fills count="18">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DFFAA"/>
        <bgColor indexed="64"/>
      </patternFill>
    </fill>
    <fill>
      <patternFill patternType="solid">
        <fgColor rgb="FFFF8C66"/>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3973C"/>
        <bgColor indexed="64"/>
      </patternFill>
    </fill>
    <fill>
      <patternFill patternType="solid">
        <fgColor theme="8" tint="0.39997558519241921"/>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9" fontId="2" fillId="0" borderId="0" applyFont="0" applyFill="0" applyBorder="0" applyAlignment="0" applyProtection="0"/>
  </cellStyleXfs>
  <cellXfs count="93">
    <xf numFmtId="0" fontId="0" fillId="0" borderId="0" xfId="0"/>
    <xf numFmtId="0" fontId="1" fillId="0" borderId="0" xfId="1"/>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xf>
    <xf numFmtId="0" fontId="0" fillId="2" borderId="0" xfId="0" applyFill="1"/>
    <xf numFmtId="0" fontId="0" fillId="0" borderId="0" xfId="0" applyFill="1"/>
    <xf numFmtId="16" fontId="0" fillId="0" borderId="0" xfId="0" applyNumberFormat="1" applyAlignment="1">
      <alignment horizontal="left" vertical="top"/>
    </xf>
    <xf numFmtId="2" fontId="0" fillId="0" borderId="0" xfId="0" applyNumberFormat="1" applyAlignment="1">
      <alignment horizontal="left" vertical="top"/>
    </xf>
    <xf numFmtId="0" fontId="0" fillId="0" borderId="0" xfId="0" applyNumberFormat="1" applyAlignment="1">
      <alignment horizontal="left" vertical="top"/>
    </xf>
    <xf numFmtId="0" fontId="0" fillId="0" borderId="0" xfId="0" applyAlignment="1">
      <alignment horizontal="center" vertical="top"/>
    </xf>
    <xf numFmtId="0" fontId="0" fillId="0" borderId="0" xfId="0" applyFill="1" applyAlignment="1">
      <alignment horizontal="left" vertical="top"/>
    </xf>
    <xf numFmtId="0" fontId="0" fillId="0" borderId="0" xfId="0" applyFill="1" applyAlignment="1">
      <alignment horizontal="center" vertical="top"/>
    </xf>
    <xf numFmtId="0" fontId="0" fillId="3" borderId="0" xfId="0" applyFill="1" applyAlignment="1">
      <alignment horizontal="left" vertical="top"/>
    </xf>
    <xf numFmtId="0" fontId="0" fillId="3" borderId="0" xfId="0" applyFill="1" applyAlignment="1">
      <alignment horizontal="left" vertical="top" wrapText="1"/>
    </xf>
    <xf numFmtId="0" fontId="0" fillId="3" borderId="0" xfId="0" applyFill="1" applyAlignment="1">
      <alignment horizontal="center" vertical="top"/>
    </xf>
    <xf numFmtId="0" fontId="0" fillId="3" borderId="0" xfId="0" applyFill="1" applyAlignment="1">
      <alignment horizontal="center" vertical="top"/>
    </xf>
    <xf numFmtId="2" fontId="0" fillId="3" borderId="0" xfId="0" applyNumberFormat="1" applyFill="1" applyAlignment="1">
      <alignment horizontal="left" vertical="top"/>
    </xf>
    <xf numFmtId="0" fontId="0" fillId="4" borderId="0" xfId="0" applyFill="1" applyAlignment="1">
      <alignment horizontal="left" vertical="top"/>
    </xf>
    <xf numFmtId="0" fontId="0" fillId="4" borderId="0" xfId="0" applyFill="1" applyAlignment="1">
      <alignment horizontal="left" vertical="top" wrapText="1"/>
    </xf>
    <xf numFmtId="0" fontId="0" fillId="4" borderId="0" xfId="0" applyFill="1" applyAlignment="1">
      <alignment horizontal="center" vertical="top"/>
    </xf>
    <xf numFmtId="0" fontId="0" fillId="4" borderId="0" xfId="0" applyFill="1" applyAlignment="1">
      <alignment horizontal="center" vertical="top"/>
    </xf>
    <xf numFmtId="2" fontId="0" fillId="4" borderId="0" xfId="0" applyNumberFormat="1" applyFill="1" applyAlignment="1">
      <alignment horizontal="left" vertical="top"/>
    </xf>
    <xf numFmtId="0" fontId="0" fillId="5" borderId="0" xfId="0" applyFill="1" applyAlignment="1">
      <alignment horizontal="left" vertical="top"/>
    </xf>
    <xf numFmtId="0" fontId="0" fillId="5" borderId="0" xfId="0" applyFill="1" applyAlignment="1">
      <alignment horizontal="left" vertical="top" wrapText="1"/>
    </xf>
    <xf numFmtId="0" fontId="0" fillId="5" borderId="0" xfId="0" applyFill="1" applyAlignment="1">
      <alignment horizontal="center" vertical="top"/>
    </xf>
    <xf numFmtId="2" fontId="0" fillId="5" borderId="0" xfId="0" applyNumberFormat="1" applyFill="1" applyAlignment="1">
      <alignment horizontal="left" vertical="top"/>
    </xf>
    <xf numFmtId="16" fontId="0" fillId="3" borderId="0" xfId="0" applyNumberFormat="1" applyFill="1" applyAlignment="1">
      <alignment horizontal="left" vertical="top"/>
    </xf>
    <xf numFmtId="0" fontId="0" fillId="3" borderId="0" xfId="0" applyNumberFormat="1" applyFill="1" applyAlignment="1">
      <alignment horizontal="left" vertical="top"/>
    </xf>
    <xf numFmtId="0" fontId="0" fillId="3" borderId="0" xfId="0" applyFill="1" applyAlignment="1">
      <alignment horizontal="center" vertical="top" wrapText="1"/>
    </xf>
    <xf numFmtId="0" fontId="0" fillId="6" borderId="0" xfId="0" applyFill="1" applyAlignment="1">
      <alignment horizontal="left" vertical="top"/>
    </xf>
    <xf numFmtId="0" fontId="0" fillId="6" borderId="0" xfId="0" applyFill="1" applyAlignment="1">
      <alignment horizontal="left" vertical="top" wrapText="1"/>
    </xf>
    <xf numFmtId="0" fontId="4" fillId="3" borderId="0" xfId="0" applyFont="1" applyFill="1" applyAlignment="1">
      <alignment horizontal="center" vertical="top"/>
    </xf>
    <xf numFmtId="0" fontId="0" fillId="3" borderId="0" xfId="0" applyFill="1" applyAlignment="1">
      <alignment vertical="top"/>
    </xf>
    <xf numFmtId="0" fontId="0" fillId="3" borderId="0" xfId="0" applyFill="1" applyAlignment="1">
      <alignment vertical="top" wrapText="1"/>
    </xf>
    <xf numFmtId="0" fontId="0" fillId="6" borderId="0" xfId="0" applyFill="1" applyAlignment="1">
      <alignment horizontal="center" vertical="top"/>
    </xf>
    <xf numFmtId="2" fontId="0" fillId="6" borderId="0" xfId="0" applyNumberFormat="1" applyFill="1" applyAlignment="1">
      <alignment horizontal="left" vertical="top"/>
    </xf>
    <xf numFmtId="0" fontId="0" fillId="0" borderId="0" xfId="0" applyFill="1" applyAlignment="1">
      <alignment horizontal="center" vertical="center"/>
    </xf>
    <xf numFmtId="0" fontId="0" fillId="0" borderId="0" xfId="0" applyAlignment="1">
      <alignment horizontal="center" vertical="center"/>
    </xf>
    <xf numFmtId="0" fontId="0" fillId="7" borderId="0" xfId="0" applyFill="1" applyAlignment="1">
      <alignment horizontal="left" vertical="top"/>
    </xf>
    <xf numFmtId="0" fontId="0" fillId="7" borderId="0" xfId="0" applyFill="1" applyAlignment="1">
      <alignment horizontal="left" vertical="top" wrapText="1"/>
    </xf>
    <xf numFmtId="0" fontId="0" fillId="7" borderId="0" xfId="0" applyFill="1" applyAlignment="1">
      <alignment horizontal="center" vertical="top"/>
    </xf>
    <xf numFmtId="0" fontId="5" fillId="0" borderId="0" xfId="0" applyFont="1"/>
    <xf numFmtId="0" fontId="5" fillId="0" borderId="0" xfId="0" applyFont="1" applyAlignment="1">
      <alignment horizontal="left" vertical="top"/>
    </xf>
    <xf numFmtId="0" fontId="0" fillId="8" borderId="0" xfId="0" applyFill="1" applyAlignment="1">
      <alignment horizontal="left" vertical="top"/>
    </xf>
    <xf numFmtId="0" fontId="0" fillId="8" borderId="0" xfId="0" applyFill="1" applyAlignment="1">
      <alignment horizontal="left" vertical="top" wrapText="1"/>
    </xf>
    <xf numFmtId="0" fontId="0" fillId="8" borderId="0" xfId="0" applyFill="1" applyAlignment="1">
      <alignment horizontal="center" vertical="top"/>
    </xf>
    <xf numFmtId="0" fontId="0" fillId="9" borderId="0" xfId="0" applyFill="1" applyAlignment="1">
      <alignment horizontal="center" vertical="top"/>
    </xf>
    <xf numFmtId="2" fontId="0" fillId="0" borderId="0" xfId="0" applyNumberFormat="1" applyFill="1" applyAlignment="1">
      <alignment horizontal="left" vertical="top"/>
    </xf>
    <xf numFmtId="2" fontId="0" fillId="0" borderId="0" xfId="0" applyNumberFormat="1" applyAlignment="1">
      <alignment horizontal="left" vertical="top" wrapText="1"/>
    </xf>
    <xf numFmtId="0" fontId="0" fillId="11" borderId="0" xfId="0" applyFill="1" applyAlignment="1">
      <alignment horizontal="center" vertical="top"/>
    </xf>
    <xf numFmtId="0" fontId="0" fillId="2" borderId="0" xfId="0" applyFill="1" applyAlignment="1">
      <alignment horizontal="center" vertical="top"/>
    </xf>
    <xf numFmtId="0" fontId="0" fillId="0" borderId="0" xfId="0" quotePrefix="1" applyAlignment="1">
      <alignment horizontal="left" vertical="top" wrapText="1"/>
    </xf>
    <xf numFmtId="0" fontId="0" fillId="12" borderId="0" xfId="0" applyFill="1" applyAlignment="1">
      <alignment horizontal="left" vertical="top"/>
    </xf>
    <xf numFmtId="0" fontId="0" fillId="12" borderId="0" xfId="0" applyFill="1" applyAlignment="1">
      <alignment horizontal="left" vertical="top" wrapText="1"/>
    </xf>
    <xf numFmtId="0" fontId="6" fillId="0" borderId="0" xfId="0" applyFont="1" applyAlignment="1">
      <alignment horizontal="left" vertical="top"/>
    </xf>
    <xf numFmtId="0" fontId="7" fillId="0" borderId="0" xfId="0" applyFont="1" applyAlignment="1">
      <alignment horizontal="left" vertical="center"/>
    </xf>
    <xf numFmtId="0" fontId="8" fillId="0" borderId="0" xfId="0" applyFont="1" applyAlignment="1">
      <alignment horizontal="left" vertical="center"/>
    </xf>
    <xf numFmtId="0" fontId="6" fillId="0" borderId="0" xfId="0" applyFont="1"/>
    <xf numFmtId="0" fontId="4" fillId="3" borderId="0" xfId="0" applyFont="1" applyFill="1" applyAlignment="1">
      <alignment vertical="top"/>
    </xf>
    <xf numFmtId="0" fontId="0" fillId="13" borderId="0" xfId="0" applyFill="1" applyAlignment="1">
      <alignment horizontal="left" vertical="top"/>
    </xf>
    <xf numFmtId="0" fontId="0" fillId="14" borderId="0" xfId="0" applyFill="1" applyAlignment="1">
      <alignment horizontal="left" vertical="top"/>
    </xf>
    <xf numFmtId="0" fontId="0" fillId="15" borderId="0" xfId="0" applyFill="1" applyAlignment="1">
      <alignment horizontal="left" vertical="top"/>
    </xf>
    <xf numFmtId="9" fontId="0" fillId="0" borderId="0" xfId="2" applyFont="1" applyAlignment="1">
      <alignment horizontal="left" vertical="top"/>
    </xf>
    <xf numFmtId="0" fontId="0" fillId="16" borderId="0" xfId="0" applyFill="1" applyAlignment="1">
      <alignment horizontal="left" vertical="top"/>
    </xf>
    <xf numFmtId="0" fontId="0" fillId="0" borderId="0" xfId="0" applyAlignment="1">
      <alignment wrapText="1"/>
    </xf>
    <xf numFmtId="0" fontId="0" fillId="0" borderId="0" xfId="0" applyAlignment="1"/>
    <xf numFmtId="0" fontId="0" fillId="0" borderId="0" xfId="0" applyAlignment="1">
      <alignment vertical="top" wrapText="1"/>
    </xf>
    <xf numFmtId="0" fontId="0" fillId="13" borderId="0" xfId="0" applyFill="1"/>
    <xf numFmtId="0" fontId="0" fillId="6" borderId="0" xfId="0" applyFill="1" applyAlignment="1">
      <alignment vertical="top"/>
    </xf>
    <xf numFmtId="0" fontId="5" fillId="0" borderId="0" xfId="0" applyFont="1" applyFill="1"/>
    <xf numFmtId="9" fontId="0" fillId="0" borderId="0" xfId="2" applyFont="1" applyFill="1" applyAlignment="1">
      <alignment horizontal="left" vertical="top"/>
    </xf>
    <xf numFmtId="0" fontId="0" fillId="0" borderId="0" xfId="0" applyFill="1" applyAlignment="1">
      <alignment wrapText="1"/>
    </xf>
    <xf numFmtId="0" fontId="0" fillId="0" borderId="0" xfId="0" applyAlignment="1">
      <alignment horizontal="center" wrapText="1"/>
    </xf>
    <xf numFmtId="0" fontId="0" fillId="0" borderId="0" xfId="0" applyAlignment="1">
      <alignment vertical="center"/>
    </xf>
    <xf numFmtId="2" fontId="0" fillId="3" borderId="0" xfId="0" applyNumberFormat="1" applyFill="1" applyAlignment="1">
      <alignment horizontal="left" vertical="top" wrapText="1"/>
    </xf>
    <xf numFmtId="0" fontId="9" fillId="0" borderId="0" xfId="0" applyFont="1"/>
    <xf numFmtId="0" fontId="0" fillId="0" borderId="0" xfId="0" applyFill="1" applyAlignment="1"/>
    <xf numFmtId="9" fontId="0" fillId="0" borderId="0" xfId="0" applyNumberFormat="1" applyFill="1" applyAlignment="1"/>
    <xf numFmtId="0" fontId="9" fillId="0" borderId="0" xfId="0" applyFont="1" applyFill="1"/>
    <xf numFmtId="0" fontId="6" fillId="0" borderId="0" xfId="0" applyFont="1" applyFill="1"/>
    <xf numFmtId="0" fontId="0" fillId="17" borderId="0" xfId="0" applyFill="1" applyAlignment="1">
      <alignment horizontal="center" vertical="top" wrapText="1"/>
    </xf>
    <xf numFmtId="9" fontId="5" fillId="0" borderId="0" xfId="0" applyNumberFormat="1" applyFont="1" applyFill="1"/>
    <xf numFmtId="9" fontId="0" fillId="0" borderId="0" xfId="0" applyNumberFormat="1" applyFill="1"/>
    <xf numFmtId="2" fontId="0" fillId="0" borderId="0" xfId="2" applyNumberFormat="1" applyFont="1" applyAlignment="1">
      <alignment horizontal="left" vertical="top"/>
    </xf>
    <xf numFmtId="10" fontId="0" fillId="0" borderId="0" xfId="0" applyNumberFormat="1" applyAlignment="1">
      <alignment horizontal="left" vertical="top"/>
    </xf>
    <xf numFmtId="0" fontId="3" fillId="0" borderId="0" xfId="0" applyFont="1"/>
    <xf numFmtId="0" fontId="6" fillId="0" borderId="0" xfId="0" applyFont="1" applyAlignment="1">
      <alignment wrapText="1"/>
    </xf>
    <xf numFmtId="0" fontId="9" fillId="0" borderId="0" xfId="0" applyFont="1" applyAlignment="1">
      <alignment wrapText="1"/>
    </xf>
    <xf numFmtId="0" fontId="0" fillId="10" borderId="0" xfId="0" applyFill="1" applyAlignment="1">
      <alignment horizontal="left" vertical="top"/>
    </xf>
    <xf numFmtId="0" fontId="0" fillId="10" borderId="0" xfId="0" applyFill="1" applyAlignment="1">
      <alignment horizontal="left" vertical="top" wrapText="1"/>
    </xf>
    <xf numFmtId="2" fontId="5" fillId="0" borderId="0" xfId="0" applyNumberFormat="1" applyFont="1" applyAlignment="1">
      <alignment horizontal="left" vertical="top"/>
    </xf>
    <xf numFmtId="0" fontId="9" fillId="0" borderId="0" xfId="0" applyFont="1" applyAlignment="1">
      <alignment horizontal="left" vertical="top"/>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FCB2FE"/>
      <color rgb="FFFF8C66"/>
      <color rgb="FFC3973C"/>
      <color rgb="FF96742E"/>
      <color rgb="FFFFD798"/>
      <color rgb="FFD5FF74"/>
      <color rgb="FFFDFF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16</xdr:col>
      <xdr:colOff>25400</xdr:colOff>
      <xdr:row>17</xdr:row>
      <xdr:rowOff>154050</xdr:rowOff>
    </xdr:from>
    <xdr:to>
      <xdr:col>20</xdr:col>
      <xdr:colOff>406400</xdr:colOff>
      <xdr:row>37</xdr:row>
      <xdr:rowOff>203199</xdr:rowOff>
    </xdr:to>
    <xdr:pic>
      <xdr:nvPicPr>
        <xdr:cNvPr id="2" name="Picture 1">
          <a:extLst>
            <a:ext uri="{FF2B5EF4-FFF2-40B4-BE49-F238E27FC236}">
              <a16:creationId xmlns:a16="http://schemas.microsoft.com/office/drawing/2014/main" id="{6EE63711-4880-7D40-8AEC-349237488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329400" y="5107050"/>
          <a:ext cx="3683000" cy="5903849"/>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baseballpop.com/" TargetMode="External"/><Relationship Id="rId1" Type="http://schemas.openxmlformats.org/officeDocument/2006/relationships/hyperlink" Target="mailto:mybaseballpop@gmail.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0409-8E6E-974F-9237-CA54A9017447}">
  <dimension ref="A1:F20"/>
  <sheetViews>
    <sheetView workbookViewId="0">
      <selection activeCell="B21" sqref="B21"/>
    </sheetView>
  </sheetViews>
  <sheetFormatPr baseColWidth="10" defaultRowHeight="16" x14ac:dyDescent="0.2"/>
  <cols>
    <col min="1" max="1" width="20" customWidth="1"/>
    <col min="2" max="2" width="37" customWidth="1"/>
    <col min="3" max="3" width="18.1640625" customWidth="1"/>
    <col min="4" max="4" width="24.83203125" customWidth="1"/>
    <col min="5" max="5" width="15.5" customWidth="1"/>
    <col min="6" max="6" width="15.83203125" customWidth="1"/>
  </cols>
  <sheetData>
    <row r="1" spans="1:6" x14ac:dyDescent="0.2">
      <c r="A1" t="s">
        <v>13</v>
      </c>
    </row>
    <row r="3" spans="1:6" x14ac:dyDescent="0.2">
      <c r="A3" t="s">
        <v>14</v>
      </c>
      <c r="B3" s="1" t="s">
        <v>15</v>
      </c>
    </row>
    <row r="4" spans="1:6" x14ac:dyDescent="0.2">
      <c r="A4" t="s">
        <v>16</v>
      </c>
      <c r="B4" s="1" t="s">
        <v>17</v>
      </c>
    </row>
    <row r="6" spans="1:6" x14ac:dyDescent="0.2">
      <c r="A6" t="s">
        <v>10</v>
      </c>
      <c r="B6" t="s">
        <v>0</v>
      </c>
    </row>
    <row r="7" spans="1:6" x14ac:dyDescent="0.2">
      <c r="A7" t="s">
        <v>11</v>
      </c>
      <c r="B7" t="s">
        <v>1</v>
      </c>
    </row>
    <row r="9" spans="1:6" x14ac:dyDescent="0.2">
      <c r="A9" t="s">
        <v>12</v>
      </c>
      <c r="B9" t="s">
        <v>4</v>
      </c>
      <c r="D9" t="s">
        <v>6</v>
      </c>
      <c r="E9" t="s">
        <v>5</v>
      </c>
    </row>
    <row r="10" spans="1:6" x14ac:dyDescent="0.2">
      <c r="B10" t="s">
        <v>9</v>
      </c>
      <c r="D10" t="s">
        <v>8</v>
      </c>
    </row>
    <row r="12" spans="1:6" x14ac:dyDescent="0.2">
      <c r="B12" t="s">
        <v>3</v>
      </c>
      <c r="D12" t="s">
        <v>7</v>
      </c>
      <c r="E12" t="s">
        <v>2</v>
      </c>
    </row>
    <row r="16" spans="1:6" ht="125" customHeight="1" x14ac:dyDescent="0.2">
      <c r="A16" t="s">
        <v>118</v>
      </c>
      <c r="B16" t="e" vm="1">
        <v>#VALUE!</v>
      </c>
      <c r="C16" t="e" vm="2">
        <v>#VALUE!</v>
      </c>
      <c r="D16" t="e" vm="3">
        <v>#VALUE!</v>
      </c>
      <c r="E16" t="e" vm="4">
        <v>#VALUE!</v>
      </c>
      <c r="F16" t="e" vm="5">
        <v>#VALUE!</v>
      </c>
    </row>
    <row r="18" spans="2:6" x14ac:dyDescent="0.2">
      <c r="B18" t="s">
        <v>1244</v>
      </c>
      <c r="C18" t="s">
        <v>1245</v>
      </c>
      <c r="D18" t="s">
        <v>1246</v>
      </c>
      <c r="E18" t="s">
        <v>1245</v>
      </c>
      <c r="F18" t="s">
        <v>1247</v>
      </c>
    </row>
    <row r="20" spans="2:6" x14ac:dyDescent="0.2">
      <c r="B20" t="s">
        <v>1248</v>
      </c>
      <c r="C20" t="s">
        <v>1249</v>
      </c>
      <c r="E20" t="s">
        <v>1250</v>
      </c>
      <c r="F20" t="s">
        <v>1251</v>
      </c>
    </row>
  </sheetData>
  <hyperlinks>
    <hyperlink ref="B3" r:id="rId1" xr:uid="{47B9828D-47CC-254F-8261-44091420AAC3}"/>
    <hyperlink ref="B4" r:id="rId2" xr:uid="{EFDDBD16-B805-2340-9362-657C0B356CB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AC51E-92CC-4845-B564-B20DB305127B}">
  <dimension ref="A1:AG62"/>
  <sheetViews>
    <sheetView topLeftCell="A55" workbookViewId="0">
      <selection activeCell="A33" sqref="A33:XFD33"/>
    </sheetView>
  </sheetViews>
  <sheetFormatPr baseColWidth="10" defaultRowHeight="16" x14ac:dyDescent="0.2"/>
  <cols>
    <col min="1" max="1" width="17.83203125" style="2" customWidth="1"/>
    <col min="2" max="2" width="22.1640625" style="2" customWidth="1"/>
    <col min="3" max="4" width="32.33203125" style="2" customWidth="1"/>
    <col min="5" max="5" width="45.83203125" style="3" customWidth="1"/>
    <col min="6" max="6" width="33" style="2" customWidth="1"/>
    <col min="7" max="7" width="18.6640625" style="2" customWidth="1"/>
    <col min="8" max="8" width="26" style="3" customWidth="1"/>
    <col min="9" max="9" width="29.1640625" style="2" customWidth="1"/>
    <col min="10" max="10" width="3.33203125" style="2" customWidth="1"/>
    <col min="11" max="11" width="18.6640625" style="2" customWidth="1"/>
    <col min="12" max="12" width="18.83203125" style="2" customWidth="1"/>
    <col min="13" max="13" width="18.33203125" style="2" customWidth="1"/>
    <col min="14" max="14" width="18" style="2" customWidth="1"/>
    <col min="15" max="15" width="17.5" style="2" customWidth="1"/>
    <col min="16" max="16" width="16.6640625" style="2" customWidth="1"/>
    <col min="17" max="17" width="18.6640625" style="2" customWidth="1"/>
    <col min="18" max="18" width="3.33203125" style="2" customWidth="1"/>
    <col min="19" max="19" width="18.6640625" style="2" customWidth="1"/>
    <col min="20" max="20" width="18.83203125" style="2" customWidth="1"/>
    <col min="21" max="21" width="18.33203125" style="2" customWidth="1"/>
    <col min="22" max="22" width="18" style="2" customWidth="1"/>
    <col min="23" max="23" width="17.5" style="2" customWidth="1"/>
    <col min="24" max="24" width="16.6640625" style="2" customWidth="1"/>
    <col min="25" max="25" width="18.6640625" style="2" customWidth="1"/>
    <col min="26" max="26" width="3.1640625" style="2" customWidth="1"/>
    <col min="27" max="27" width="18.6640625" style="2" customWidth="1"/>
    <col min="28" max="28" width="18.83203125" style="2" customWidth="1"/>
    <col min="29" max="29" width="18.33203125" style="2" customWidth="1"/>
    <col min="30" max="30" width="18" style="2" customWidth="1"/>
    <col min="31" max="31" width="17.5" style="2" customWidth="1"/>
    <col min="32" max="32" width="16.6640625" style="2" customWidth="1"/>
    <col min="33" max="33" width="18.6640625" style="2" customWidth="1"/>
    <col min="34" max="16384" width="10.83203125" style="2"/>
  </cols>
  <sheetData>
    <row r="1" spans="1:33" x14ac:dyDescent="0.2">
      <c r="A1" s="2" t="s">
        <v>265</v>
      </c>
    </row>
    <row r="2" spans="1:33" x14ac:dyDescent="0.2">
      <c r="K2" s="2" t="s">
        <v>202</v>
      </c>
      <c r="S2" s="2" t="s">
        <v>203</v>
      </c>
      <c r="AA2" s="2" t="s">
        <v>204</v>
      </c>
    </row>
    <row r="3" spans="1:33" ht="17" x14ac:dyDescent="0.2">
      <c r="A3" s="2" t="s">
        <v>18</v>
      </c>
      <c r="B3" s="2" t="s">
        <v>19</v>
      </c>
      <c r="C3" s="2" t="s">
        <v>20</v>
      </c>
      <c r="E3" s="3" t="s">
        <v>21</v>
      </c>
      <c r="F3" s="2" t="s">
        <v>22</v>
      </c>
      <c r="G3" s="2" t="s">
        <v>143</v>
      </c>
      <c r="H3" s="3" t="s">
        <v>24</v>
      </c>
      <c r="I3" s="2" t="s">
        <v>93</v>
      </c>
      <c r="K3" s="2" t="s">
        <v>94</v>
      </c>
      <c r="L3" s="2" t="s">
        <v>95</v>
      </c>
      <c r="M3" s="2" t="s">
        <v>96</v>
      </c>
      <c r="N3" s="2" t="s">
        <v>25</v>
      </c>
      <c r="O3" s="2" t="s">
        <v>26</v>
      </c>
      <c r="P3" s="2" t="s">
        <v>27</v>
      </c>
      <c r="Q3" s="2" t="s">
        <v>28</v>
      </c>
      <c r="S3" s="2" t="s">
        <v>94</v>
      </c>
      <c r="T3" s="2" t="s">
        <v>95</v>
      </c>
      <c r="U3" s="2" t="s">
        <v>96</v>
      </c>
      <c r="V3" s="2" t="s">
        <v>25</v>
      </c>
      <c r="W3" s="2" t="s">
        <v>26</v>
      </c>
      <c r="X3" s="2" t="s">
        <v>27</v>
      </c>
      <c r="Y3" s="2" t="s">
        <v>28</v>
      </c>
      <c r="AA3" s="2" t="s">
        <v>94</v>
      </c>
      <c r="AB3" s="2" t="s">
        <v>95</v>
      </c>
      <c r="AC3" s="2" t="s">
        <v>96</v>
      </c>
      <c r="AD3" s="2" t="s">
        <v>25</v>
      </c>
      <c r="AE3" s="2" t="s">
        <v>26</v>
      </c>
      <c r="AF3" s="2" t="s">
        <v>27</v>
      </c>
      <c r="AG3" s="2" t="s">
        <v>28</v>
      </c>
    </row>
    <row r="5" spans="1:33" ht="34" x14ac:dyDescent="0.2">
      <c r="A5" s="2" t="s">
        <v>29</v>
      </c>
      <c r="B5" s="2" t="s">
        <v>30</v>
      </c>
      <c r="C5" s="2" t="s">
        <v>31</v>
      </c>
      <c r="E5" s="3" t="s">
        <v>68</v>
      </c>
      <c r="F5" s="2" t="s">
        <v>76</v>
      </c>
      <c r="G5" s="4"/>
      <c r="H5" s="3" t="s">
        <v>80</v>
      </c>
      <c r="I5" s="2" t="s">
        <v>164</v>
      </c>
      <c r="U5" s="2">
        <v>4.3499999999999996</v>
      </c>
      <c r="AC5" s="2">
        <v>4.2</v>
      </c>
    </row>
    <row r="6" spans="1:33" ht="34" x14ac:dyDescent="0.2">
      <c r="C6" s="2" t="s">
        <v>32</v>
      </c>
      <c r="E6" s="3" t="s">
        <v>69</v>
      </c>
      <c r="F6" s="2" t="s">
        <v>76</v>
      </c>
      <c r="H6" s="3" t="s">
        <v>80</v>
      </c>
      <c r="I6" s="2" t="s">
        <v>165</v>
      </c>
    </row>
    <row r="7" spans="1:33" ht="34" x14ac:dyDescent="0.2">
      <c r="C7" s="2" t="s">
        <v>33</v>
      </c>
      <c r="E7" s="3" t="s">
        <v>70</v>
      </c>
      <c r="F7" s="2" t="s">
        <v>76</v>
      </c>
      <c r="H7" s="3" t="s">
        <v>80</v>
      </c>
      <c r="I7" s="2" t="s">
        <v>166</v>
      </c>
      <c r="K7" s="2" t="s">
        <v>205</v>
      </c>
      <c r="L7" s="2" t="s">
        <v>206</v>
      </c>
      <c r="M7" s="2" t="s">
        <v>207</v>
      </c>
      <c r="N7" s="2" t="s">
        <v>209</v>
      </c>
      <c r="O7" s="2" t="s">
        <v>208</v>
      </c>
      <c r="P7" s="2" t="s">
        <v>210</v>
      </c>
      <c r="Q7" s="2" t="s">
        <v>211</v>
      </c>
      <c r="S7" s="2" t="s">
        <v>212</v>
      </c>
      <c r="T7" s="2" t="s">
        <v>214</v>
      </c>
      <c r="U7" s="2" t="s">
        <v>213</v>
      </c>
      <c r="V7" s="2" t="s">
        <v>218</v>
      </c>
      <c r="W7" s="2" t="s">
        <v>219</v>
      </c>
      <c r="X7" s="2" t="s">
        <v>220</v>
      </c>
      <c r="Y7" s="2" t="s">
        <v>221</v>
      </c>
      <c r="AA7" s="2" t="s">
        <v>215</v>
      </c>
      <c r="AB7" s="2" t="s">
        <v>216</v>
      </c>
      <c r="AC7" s="2" t="s">
        <v>217</v>
      </c>
      <c r="AD7" s="2" t="s">
        <v>217</v>
      </c>
      <c r="AE7" s="2" t="s">
        <v>222</v>
      </c>
      <c r="AF7" s="2" t="s">
        <v>224</v>
      </c>
      <c r="AG7" s="2" t="s">
        <v>223</v>
      </c>
    </row>
    <row r="9" spans="1:33" ht="34" x14ac:dyDescent="0.2">
      <c r="B9" s="2" t="s">
        <v>34</v>
      </c>
      <c r="C9" s="2" t="s">
        <v>35</v>
      </c>
      <c r="E9" s="3" t="s">
        <v>72</v>
      </c>
      <c r="F9" s="2" t="s">
        <v>75</v>
      </c>
      <c r="H9" s="3" t="s">
        <v>79</v>
      </c>
      <c r="I9" s="2" t="s">
        <v>167</v>
      </c>
    </row>
    <row r="10" spans="1:33" ht="34" x14ac:dyDescent="0.2">
      <c r="C10" s="2" t="s">
        <v>36</v>
      </c>
      <c r="E10" s="3" t="s">
        <v>73</v>
      </c>
      <c r="F10" s="2" t="s">
        <v>75</v>
      </c>
      <c r="H10" s="3" t="s">
        <v>79</v>
      </c>
      <c r="I10" s="2" t="s">
        <v>167</v>
      </c>
    </row>
    <row r="11" spans="1:33" ht="34" x14ac:dyDescent="0.2">
      <c r="C11" s="2" t="s">
        <v>71</v>
      </c>
      <c r="E11" s="3" t="s">
        <v>74</v>
      </c>
      <c r="F11" s="2" t="s">
        <v>75</v>
      </c>
      <c r="H11" s="3" t="s">
        <v>79</v>
      </c>
      <c r="I11" s="2" t="s">
        <v>168</v>
      </c>
    </row>
    <row r="13" spans="1:33" ht="68" x14ac:dyDescent="0.2">
      <c r="B13" s="2" t="s">
        <v>37</v>
      </c>
      <c r="C13" s="2" t="s">
        <v>38</v>
      </c>
      <c r="E13" s="3" t="s">
        <v>81</v>
      </c>
      <c r="F13" s="2" t="s">
        <v>77</v>
      </c>
      <c r="G13" s="3" t="s">
        <v>163</v>
      </c>
      <c r="H13" s="3" t="s">
        <v>78</v>
      </c>
      <c r="I13" s="2" t="s">
        <v>169</v>
      </c>
    </row>
    <row r="14" spans="1:33" ht="68" x14ac:dyDescent="0.2">
      <c r="C14" s="2" t="s">
        <v>39</v>
      </c>
      <c r="E14" s="3" t="s">
        <v>82</v>
      </c>
      <c r="F14" s="2" t="s">
        <v>77</v>
      </c>
      <c r="G14" s="3" t="s">
        <v>163</v>
      </c>
      <c r="H14" s="3" t="s">
        <v>78</v>
      </c>
      <c r="I14" s="2" t="s">
        <v>169</v>
      </c>
    </row>
    <row r="15" spans="1:33" ht="51" x14ac:dyDescent="0.2">
      <c r="C15" s="2" t="s">
        <v>40</v>
      </c>
      <c r="E15" s="3" t="s">
        <v>83</v>
      </c>
      <c r="F15" s="2" t="s">
        <v>77</v>
      </c>
      <c r="G15" s="3" t="s">
        <v>163</v>
      </c>
      <c r="H15" s="3" t="s">
        <v>84</v>
      </c>
      <c r="I15" s="2" t="s">
        <v>170</v>
      </c>
    </row>
    <row r="17" spans="1:10" ht="68" x14ac:dyDescent="0.2">
      <c r="B17" s="2" t="s">
        <v>41</v>
      </c>
      <c r="C17" s="2" t="s">
        <v>42</v>
      </c>
      <c r="E17" s="3" t="s">
        <v>85</v>
      </c>
      <c r="F17" s="3" t="s">
        <v>172</v>
      </c>
      <c r="G17" s="3" t="s">
        <v>171</v>
      </c>
      <c r="H17" s="3" t="s">
        <v>80</v>
      </c>
      <c r="I17" s="2" t="s">
        <v>173</v>
      </c>
    </row>
    <row r="18" spans="1:10" ht="68" x14ac:dyDescent="0.2">
      <c r="C18" s="2" t="s">
        <v>43</v>
      </c>
      <c r="E18" s="3" t="s">
        <v>86</v>
      </c>
      <c r="F18" s="3" t="s">
        <v>172</v>
      </c>
      <c r="G18" s="3" t="s">
        <v>171</v>
      </c>
      <c r="H18" s="3" t="s">
        <v>80</v>
      </c>
      <c r="I18" s="2" t="s">
        <v>173</v>
      </c>
    </row>
    <row r="20" spans="1:10" ht="68" x14ac:dyDescent="0.2">
      <c r="B20" s="2" t="s">
        <v>44</v>
      </c>
      <c r="C20" s="2" t="s">
        <v>45</v>
      </c>
      <c r="E20" s="3" t="s">
        <v>89</v>
      </c>
      <c r="F20" s="3" t="s">
        <v>174</v>
      </c>
      <c r="G20" s="3" t="s">
        <v>175</v>
      </c>
      <c r="H20" s="3" t="s">
        <v>90</v>
      </c>
      <c r="I20" s="2" t="s">
        <v>182</v>
      </c>
    </row>
    <row r="21" spans="1:10" ht="68" x14ac:dyDescent="0.2">
      <c r="C21" s="2" t="s">
        <v>46</v>
      </c>
      <c r="E21" s="3" t="s">
        <v>87</v>
      </c>
      <c r="F21" s="3" t="s">
        <v>176</v>
      </c>
      <c r="G21" s="3"/>
      <c r="H21" s="3" t="s">
        <v>90</v>
      </c>
      <c r="I21" s="2" t="s">
        <v>182</v>
      </c>
    </row>
    <row r="22" spans="1:10" ht="115" customHeight="1" x14ac:dyDescent="0.2">
      <c r="C22" s="2" t="s">
        <v>47</v>
      </c>
      <c r="E22" s="3" t="s">
        <v>88</v>
      </c>
      <c r="F22" s="3" t="s">
        <v>177</v>
      </c>
      <c r="G22" s="3" t="s">
        <v>91</v>
      </c>
      <c r="H22" s="3" t="s">
        <v>92</v>
      </c>
      <c r="I22" s="2" t="s">
        <v>182</v>
      </c>
    </row>
    <row r="24" spans="1:10" ht="51" x14ac:dyDescent="0.2">
      <c r="A24" s="2" t="s">
        <v>48</v>
      </c>
      <c r="B24" s="2" t="s">
        <v>255</v>
      </c>
      <c r="C24" s="2" t="s">
        <v>49</v>
      </c>
      <c r="E24" s="3" t="s">
        <v>97</v>
      </c>
      <c r="F24" s="2" t="s">
        <v>77</v>
      </c>
      <c r="H24" s="3" t="s">
        <v>79</v>
      </c>
      <c r="I24" s="2" t="s">
        <v>183</v>
      </c>
    </row>
    <row r="25" spans="1:10" ht="51" x14ac:dyDescent="0.2">
      <c r="B25" s="2" t="s">
        <v>37</v>
      </c>
      <c r="C25" s="2" t="s">
        <v>67</v>
      </c>
      <c r="E25" s="3" t="s">
        <v>178</v>
      </c>
      <c r="F25" s="3" t="s">
        <v>179</v>
      </c>
      <c r="G25" s="3" t="s">
        <v>180</v>
      </c>
      <c r="H25" s="3" t="s">
        <v>109</v>
      </c>
      <c r="I25" s="2" t="s">
        <v>184</v>
      </c>
    </row>
    <row r="26" spans="1:10" ht="187" x14ac:dyDescent="0.2">
      <c r="B26" s="2" t="s">
        <v>256</v>
      </c>
      <c r="C26" s="2" t="s">
        <v>100</v>
      </c>
      <c r="E26" s="3" t="s">
        <v>105</v>
      </c>
      <c r="F26" s="3" t="s">
        <v>145</v>
      </c>
      <c r="G26" s="3" t="s">
        <v>104</v>
      </c>
      <c r="H26" s="3" t="s">
        <v>144</v>
      </c>
      <c r="I26" s="2" t="s">
        <v>193</v>
      </c>
    </row>
    <row r="27" spans="1:10" ht="170" x14ac:dyDescent="0.2">
      <c r="B27" s="2" t="s">
        <v>256</v>
      </c>
      <c r="C27" s="2" t="s">
        <v>101</v>
      </c>
      <c r="E27" s="3" t="s">
        <v>106</v>
      </c>
      <c r="F27" s="3" t="s">
        <v>145</v>
      </c>
      <c r="G27" s="3" t="s">
        <v>103</v>
      </c>
      <c r="H27" s="3" t="s">
        <v>144</v>
      </c>
      <c r="I27" s="2" t="s">
        <v>192</v>
      </c>
    </row>
    <row r="28" spans="1:10" ht="204" x14ac:dyDescent="0.2">
      <c r="B28" s="2" t="s">
        <v>256</v>
      </c>
      <c r="C28" s="2" t="s">
        <v>102</v>
      </c>
      <c r="E28" s="3" t="s">
        <v>107</v>
      </c>
      <c r="F28" s="3" t="s">
        <v>145</v>
      </c>
      <c r="G28" s="3" t="s">
        <v>103</v>
      </c>
      <c r="H28" s="3" t="s">
        <v>144</v>
      </c>
      <c r="I28" s="2" t="s">
        <v>192</v>
      </c>
    </row>
    <row r="29" spans="1:10" ht="51" x14ac:dyDescent="0.2">
      <c r="B29" s="2" t="s">
        <v>37</v>
      </c>
      <c r="C29" s="2" t="s">
        <v>98</v>
      </c>
      <c r="E29" s="3" t="s">
        <v>99</v>
      </c>
      <c r="F29" s="2" t="s">
        <v>77</v>
      </c>
      <c r="G29" s="3" t="s">
        <v>180</v>
      </c>
      <c r="H29" s="3" t="s">
        <v>108</v>
      </c>
      <c r="I29" s="2" t="s">
        <v>187</v>
      </c>
    </row>
    <row r="31" spans="1:10" ht="51" x14ac:dyDescent="0.2">
      <c r="A31" s="2" t="s">
        <v>52</v>
      </c>
      <c r="B31" s="2" t="s">
        <v>53</v>
      </c>
      <c r="C31" s="2" t="s">
        <v>50</v>
      </c>
      <c r="E31" s="3" t="s">
        <v>244</v>
      </c>
      <c r="F31" s="2" t="s">
        <v>77</v>
      </c>
      <c r="G31" s="3" t="s">
        <v>186</v>
      </c>
      <c r="H31" s="3" t="s">
        <v>108</v>
      </c>
      <c r="I31" s="2" t="s">
        <v>187</v>
      </c>
    </row>
    <row r="32" spans="1:10" ht="102" x14ac:dyDescent="0.2">
      <c r="B32" s="2" t="s">
        <v>53</v>
      </c>
      <c r="C32" s="2" t="s">
        <v>51</v>
      </c>
      <c r="E32" s="3" t="s">
        <v>241</v>
      </c>
      <c r="F32" s="3" t="s">
        <v>146</v>
      </c>
      <c r="G32" s="3" t="s">
        <v>110</v>
      </c>
      <c r="H32" s="3" t="s">
        <v>144</v>
      </c>
      <c r="I32" s="3" t="s">
        <v>189</v>
      </c>
      <c r="J32" s="3"/>
    </row>
    <row r="33" spans="2:10" ht="102" x14ac:dyDescent="0.2">
      <c r="B33" s="2" t="s">
        <v>53</v>
      </c>
      <c r="C33" s="2" t="s">
        <v>111</v>
      </c>
      <c r="E33" s="3" t="s">
        <v>241</v>
      </c>
      <c r="F33" s="3" t="s">
        <v>387</v>
      </c>
      <c r="G33" s="3" t="s">
        <v>112</v>
      </c>
      <c r="H33" s="3" t="s">
        <v>289</v>
      </c>
      <c r="I33" s="3" t="s">
        <v>195</v>
      </c>
      <c r="J33" s="3"/>
    </row>
    <row r="34" spans="2:10" ht="102" x14ac:dyDescent="0.2">
      <c r="B34" s="2" t="s">
        <v>53</v>
      </c>
      <c r="C34" s="2" t="s">
        <v>111</v>
      </c>
      <c r="E34" s="3" t="s">
        <v>241</v>
      </c>
      <c r="F34" s="3" t="s">
        <v>146</v>
      </c>
      <c r="G34" s="3" t="s">
        <v>112</v>
      </c>
      <c r="H34" s="3" t="s">
        <v>144</v>
      </c>
      <c r="I34" s="3" t="s">
        <v>190</v>
      </c>
      <c r="J34" s="3"/>
    </row>
    <row r="35" spans="2:10" ht="102" x14ac:dyDescent="0.2">
      <c r="B35" s="2" t="s">
        <v>53</v>
      </c>
      <c r="C35" s="2" t="s">
        <v>111</v>
      </c>
      <c r="E35" s="3" t="s">
        <v>241</v>
      </c>
      <c r="F35" s="3" t="s">
        <v>146</v>
      </c>
      <c r="G35" s="3" t="s">
        <v>112</v>
      </c>
      <c r="H35" s="3" t="s">
        <v>144</v>
      </c>
      <c r="I35" s="3" t="s">
        <v>190</v>
      </c>
      <c r="J35" s="3"/>
    </row>
    <row r="37" spans="2:10" ht="119" x14ac:dyDescent="0.2">
      <c r="B37" s="2" t="s">
        <v>54</v>
      </c>
      <c r="C37" s="2" t="s">
        <v>55</v>
      </c>
      <c r="E37" s="3" t="s">
        <v>113</v>
      </c>
      <c r="F37" s="3" t="s">
        <v>151</v>
      </c>
      <c r="G37" s="3" t="s">
        <v>115</v>
      </c>
      <c r="H37" s="3" t="s">
        <v>150</v>
      </c>
      <c r="I37" s="2" t="s">
        <v>191</v>
      </c>
    </row>
    <row r="38" spans="2:10" ht="68" x14ac:dyDescent="0.2">
      <c r="B38" s="2" t="s">
        <v>54</v>
      </c>
      <c r="C38" s="2" t="s">
        <v>56</v>
      </c>
      <c r="E38" s="3" t="s">
        <v>114</v>
      </c>
      <c r="F38" s="2" t="s">
        <v>116</v>
      </c>
      <c r="H38" s="3" t="s">
        <v>80</v>
      </c>
      <c r="I38" s="2" t="s">
        <v>194</v>
      </c>
    </row>
    <row r="39" spans="2:10" ht="51" x14ac:dyDescent="0.2">
      <c r="B39" s="2" t="s">
        <v>54</v>
      </c>
      <c r="C39" s="2" t="s">
        <v>57</v>
      </c>
      <c r="E39" s="3" t="s">
        <v>117</v>
      </c>
      <c r="F39" s="3" t="s">
        <v>148</v>
      </c>
      <c r="G39" s="3" t="s">
        <v>112</v>
      </c>
      <c r="H39" s="3" t="s">
        <v>147</v>
      </c>
      <c r="I39" s="2" t="s">
        <v>195</v>
      </c>
    </row>
    <row r="41" spans="2:10" ht="119" x14ac:dyDescent="0.2">
      <c r="B41" s="2" t="s">
        <v>58</v>
      </c>
      <c r="C41" s="2" t="s">
        <v>196</v>
      </c>
      <c r="E41" s="3" t="s">
        <v>142</v>
      </c>
      <c r="F41" s="3" t="s">
        <v>149</v>
      </c>
      <c r="G41" s="3" t="s">
        <v>141</v>
      </c>
      <c r="H41" s="3" t="s">
        <v>150</v>
      </c>
      <c r="I41" s="2" t="s">
        <v>188</v>
      </c>
    </row>
    <row r="42" spans="2:10" ht="85" x14ac:dyDescent="0.2">
      <c r="B42" s="2" t="s">
        <v>58</v>
      </c>
      <c r="C42" s="2" t="s">
        <v>59</v>
      </c>
      <c r="E42" s="3" t="s">
        <v>152</v>
      </c>
      <c r="F42" s="3" t="s">
        <v>153</v>
      </c>
      <c r="G42" s="3" t="s">
        <v>141</v>
      </c>
      <c r="H42" s="3" t="s">
        <v>147</v>
      </c>
      <c r="I42" s="2" t="s">
        <v>188</v>
      </c>
    </row>
    <row r="43" spans="2:10" ht="102" x14ac:dyDescent="0.2">
      <c r="B43" s="2" t="s">
        <v>58</v>
      </c>
      <c r="C43" s="2" t="s">
        <v>60</v>
      </c>
      <c r="E43" s="3" t="s">
        <v>159</v>
      </c>
      <c r="F43" s="3" t="s">
        <v>155</v>
      </c>
      <c r="G43" s="3" t="s">
        <v>154</v>
      </c>
      <c r="H43" s="3" t="s">
        <v>150</v>
      </c>
      <c r="I43" s="2" t="s">
        <v>197</v>
      </c>
    </row>
    <row r="44" spans="2:10" ht="68" x14ac:dyDescent="0.2">
      <c r="B44" s="2" t="s">
        <v>58</v>
      </c>
      <c r="C44" s="2" t="s">
        <v>61</v>
      </c>
      <c r="E44" s="3" t="s">
        <v>119</v>
      </c>
      <c r="F44" s="2" t="s">
        <v>156</v>
      </c>
      <c r="G44" s="3" t="s">
        <v>157</v>
      </c>
      <c r="H44" s="3" t="s">
        <v>147</v>
      </c>
      <c r="I44" s="2" t="s">
        <v>198</v>
      </c>
    </row>
    <row r="45" spans="2:10" ht="51" x14ac:dyDescent="0.2">
      <c r="B45" s="2" t="s">
        <v>58</v>
      </c>
      <c r="C45" s="2" t="s">
        <v>62</v>
      </c>
      <c r="E45" s="3" t="s">
        <v>120</v>
      </c>
      <c r="F45" s="2" t="s">
        <v>156</v>
      </c>
      <c r="G45" s="3" t="s">
        <v>158</v>
      </c>
      <c r="H45" s="3" t="s">
        <v>147</v>
      </c>
      <c r="I45" s="2" t="s">
        <v>198</v>
      </c>
    </row>
    <row r="47" spans="2:10" ht="119" x14ac:dyDescent="0.2">
      <c r="B47" s="2" t="s">
        <v>63</v>
      </c>
      <c r="C47" s="2" t="s">
        <v>121</v>
      </c>
      <c r="E47" s="3" t="s">
        <v>311</v>
      </c>
      <c r="F47" s="3" t="s">
        <v>155</v>
      </c>
      <c r="G47" s="3" t="s">
        <v>154</v>
      </c>
      <c r="H47" s="3" t="s">
        <v>150</v>
      </c>
      <c r="I47" s="2" t="s">
        <v>197</v>
      </c>
    </row>
    <row r="48" spans="2:10" ht="119" x14ac:dyDescent="0.2">
      <c r="C48" s="2" t="s">
        <v>122</v>
      </c>
      <c r="E48" s="3" t="s">
        <v>312</v>
      </c>
      <c r="F48" s="3" t="s">
        <v>155</v>
      </c>
      <c r="G48" s="3" t="s">
        <v>154</v>
      </c>
      <c r="H48" s="3" t="s">
        <v>150</v>
      </c>
      <c r="I48" s="2" t="s">
        <v>197</v>
      </c>
    </row>
    <row r="49" spans="2:9" ht="119" x14ac:dyDescent="0.2">
      <c r="C49" s="2" t="s">
        <v>123</v>
      </c>
      <c r="E49" s="3" t="s">
        <v>313</v>
      </c>
      <c r="F49" s="3" t="s">
        <v>155</v>
      </c>
      <c r="G49" s="3" t="s">
        <v>154</v>
      </c>
      <c r="H49" s="3" t="s">
        <v>150</v>
      </c>
      <c r="I49" s="2" t="s">
        <v>197</v>
      </c>
    </row>
    <row r="50" spans="2:9" ht="51" x14ac:dyDescent="0.2">
      <c r="B50" s="2" t="s">
        <v>63</v>
      </c>
      <c r="C50" s="2" t="s">
        <v>125</v>
      </c>
      <c r="E50" s="3" t="s">
        <v>124</v>
      </c>
      <c r="F50" s="2" t="s">
        <v>156</v>
      </c>
      <c r="G50" s="3" t="s">
        <v>157</v>
      </c>
      <c r="H50" s="3" t="s">
        <v>147</v>
      </c>
      <c r="I50" s="2" t="s">
        <v>198</v>
      </c>
    </row>
    <row r="51" spans="2:9" ht="51" x14ac:dyDescent="0.2">
      <c r="C51" s="2" t="s">
        <v>126</v>
      </c>
      <c r="E51" s="3" t="s">
        <v>132</v>
      </c>
      <c r="F51" s="2" t="s">
        <v>156</v>
      </c>
      <c r="G51" s="3" t="s">
        <v>157</v>
      </c>
      <c r="H51" s="3" t="s">
        <v>147</v>
      </c>
      <c r="I51" s="2" t="s">
        <v>198</v>
      </c>
    </row>
    <row r="52" spans="2:9" ht="51" x14ac:dyDescent="0.2">
      <c r="C52" s="2" t="s">
        <v>127</v>
      </c>
      <c r="E52" s="3" t="s">
        <v>133</v>
      </c>
      <c r="F52" s="2" t="s">
        <v>156</v>
      </c>
      <c r="G52" s="3" t="s">
        <v>157</v>
      </c>
      <c r="H52" s="3" t="s">
        <v>147</v>
      </c>
      <c r="I52" s="2" t="s">
        <v>198</v>
      </c>
    </row>
    <row r="53" spans="2:9" ht="51" x14ac:dyDescent="0.2">
      <c r="B53" s="2" t="s">
        <v>63</v>
      </c>
      <c r="C53" s="2" t="s">
        <v>128</v>
      </c>
      <c r="E53" s="3" t="s">
        <v>134</v>
      </c>
      <c r="F53" s="2" t="s">
        <v>156</v>
      </c>
      <c r="G53" s="3" t="s">
        <v>158</v>
      </c>
      <c r="H53" s="3" t="s">
        <v>147</v>
      </c>
      <c r="I53" s="2" t="s">
        <v>198</v>
      </c>
    </row>
    <row r="54" spans="2:9" ht="51" x14ac:dyDescent="0.2">
      <c r="C54" s="2" t="s">
        <v>129</v>
      </c>
      <c r="E54" s="3" t="s">
        <v>135</v>
      </c>
      <c r="F54" s="2" t="s">
        <v>156</v>
      </c>
      <c r="G54" s="3" t="s">
        <v>158</v>
      </c>
      <c r="H54" s="3" t="s">
        <v>147</v>
      </c>
      <c r="I54" s="2" t="s">
        <v>198</v>
      </c>
    </row>
    <row r="55" spans="2:9" ht="51" x14ac:dyDescent="0.2">
      <c r="C55" s="2" t="s">
        <v>130</v>
      </c>
      <c r="E55" s="3" t="s">
        <v>136</v>
      </c>
      <c r="F55" s="2" t="s">
        <v>156</v>
      </c>
      <c r="G55" s="3" t="s">
        <v>158</v>
      </c>
      <c r="H55" s="3" t="s">
        <v>147</v>
      </c>
      <c r="I55" s="2" t="s">
        <v>198</v>
      </c>
    </row>
    <row r="56" spans="2:9" ht="68" x14ac:dyDescent="0.2">
      <c r="B56" s="2" t="s">
        <v>63</v>
      </c>
      <c r="C56" s="2" t="s">
        <v>64</v>
      </c>
      <c r="E56" s="3" t="s">
        <v>131</v>
      </c>
      <c r="F56" s="2" t="s">
        <v>76</v>
      </c>
      <c r="H56" s="3" t="s">
        <v>80</v>
      </c>
      <c r="I56" s="2" t="s">
        <v>199</v>
      </c>
    </row>
    <row r="57" spans="2:9" x14ac:dyDescent="0.2">
      <c r="E57" s="2"/>
    </row>
    <row r="60" spans="2:9" ht="68" x14ac:dyDescent="0.2">
      <c r="B60" s="2" t="s">
        <v>65</v>
      </c>
      <c r="C60" s="2" t="s">
        <v>137</v>
      </c>
      <c r="E60" s="3" t="s">
        <v>270</v>
      </c>
      <c r="F60" s="2" t="s">
        <v>156</v>
      </c>
      <c r="G60" s="3" t="s">
        <v>160</v>
      </c>
      <c r="H60" s="3" t="s">
        <v>147</v>
      </c>
      <c r="I60" s="2" t="s">
        <v>200</v>
      </c>
    </row>
    <row r="61" spans="2:9" ht="153" x14ac:dyDescent="0.2">
      <c r="B61" s="2" t="s">
        <v>65</v>
      </c>
      <c r="C61" s="2" t="s">
        <v>66</v>
      </c>
      <c r="E61" s="3" t="s">
        <v>138</v>
      </c>
      <c r="F61" s="3" t="s">
        <v>161</v>
      </c>
      <c r="G61" s="3" t="s">
        <v>162</v>
      </c>
      <c r="H61" s="3" t="s">
        <v>147</v>
      </c>
      <c r="I61" s="2" t="s">
        <v>200</v>
      </c>
    </row>
    <row r="62" spans="2:9" ht="85" x14ac:dyDescent="0.2">
      <c r="B62" s="2" t="s">
        <v>65</v>
      </c>
      <c r="C62" s="2" t="s">
        <v>139</v>
      </c>
      <c r="E62" s="3" t="s">
        <v>140</v>
      </c>
      <c r="F62" s="2" t="s">
        <v>76</v>
      </c>
      <c r="H62" s="3" t="s">
        <v>80</v>
      </c>
      <c r="I62" s="2" t="s">
        <v>201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024A-FA50-D641-898A-B8036C2F04C2}">
  <dimension ref="A1:AG52"/>
  <sheetViews>
    <sheetView topLeftCell="B3" zoomScale="125" zoomScaleNormal="125" workbookViewId="0">
      <selection activeCell="A33" sqref="A33:XFD35"/>
    </sheetView>
  </sheetViews>
  <sheetFormatPr baseColWidth="10" defaultRowHeight="16" x14ac:dyDescent="0.2"/>
  <cols>
    <col min="1" max="1" width="17.83203125" style="2" customWidth="1"/>
    <col min="2" max="2" width="22.1640625" style="2" customWidth="1"/>
    <col min="3" max="4" width="32.33203125" style="2" customWidth="1"/>
    <col min="5" max="5" width="45.83203125" style="3" customWidth="1"/>
    <col min="6" max="6" width="33" style="2" customWidth="1"/>
    <col min="7" max="7" width="18.6640625" style="2" customWidth="1"/>
    <col min="8" max="8" width="26" style="3" customWidth="1"/>
    <col min="9" max="9" width="29.1640625" style="2" customWidth="1"/>
    <col min="10" max="10" width="3.33203125" style="2" customWidth="1"/>
    <col min="11" max="11" width="18.6640625" style="2" customWidth="1"/>
    <col min="12" max="12" width="18.83203125" style="2" customWidth="1"/>
    <col min="13" max="13" width="18.33203125" style="2" customWidth="1"/>
    <col min="14" max="14" width="18" style="2" customWidth="1"/>
    <col min="15" max="15" width="17.5" style="2" customWidth="1"/>
    <col min="16" max="16" width="16.6640625" style="2" customWidth="1"/>
    <col min="17" max="17" width="18.6640625" style="2" customWidth="1"/>
    <col min="18" max="18" width="3.33203125" style="2" customWidth="1"/>
    <col min="19" max="19" width="18.6640625" style="2" customWidth="1"/>
    <col min="20" max="20" width="18.83203125" style="2" customWidth="1"/>
    <col min="21" max="21" width="18.33203125" style="2" customWidth="1"/>
    <col min="22" max="22" width="18" style="2" customWidth="1"/>
    <col min="23" max="23" width="17.5" style="2" customWidth="1"/>
    <col min="24" max="24" width="16.6640625" style="2" customWidth="1"/>
    <col min="25" max="25" width="18.6640625" style="2" customWidth="1"/>
    <col min="26" max="26" width="3.1640625" style="2" customWidth="1"/>
    <col min="27" max="27" width="18.6640625" style="2" customWidth="1"/>
    <col min="28" max="28" width="18.83203125" style="2" customWidth="1"/>
    <col min="29" max="29" width="18.33203125" style="2" customWidth="1"/>
    <col min="30" max="30" width="18" style="2" customWidth="1"/>
    <col min="31" max="31" width="17.5" style="2" customWidth="1"/>
    <col min="32" max="32" width="16.6640625" style="2" customWidth="1"/>
    <col min="33" max="33" width="18.6640625" style="2" customWidth="1"/>
    <col min="34" max="16384" width="10.83203125" style="2"/>
  </cols>
  <sheetData>
    <row r="1" spans="1:33" x14ac:dyDescent="0.2">
      <c r="A1" s="2" t="s">
        <v>264</v>
      </c>
    </row>
    <row r="2" spans="1:33" x14ac:dyDescent="0.2">
      <c r="K2" s="2" t="s">
        <v>229</v>
      </c>
      <c r="S2" s="2" t="s">
        <v>230</v>
      </c>
      <c r="AA2" s="2" t="s">
        <v>231</v>
      </c>
    </row>
    <row r="3" spans="1:33" ht="17" x14ac:dyDescent="0.2">
      <c r="A3" s="2" t="s">
        <v>18</v>
      </c>
      <c r="B3" s="2" t="s">
        <v>19</v>
      </c>
      <c r="C3" s="2" t="s">
        <v>20</v>
      </c>
      <c r="E3" s="3" t="s">
        <v>21</v>
      </c>
      <c r="F3" s="2" t="s">
        <v>22</v>
      </c>
      <c r="G3" s="2" t="s">
        <v>143</v>
      </c>
      <c r="H3" s="3" t="s">
        <v>24</v>
      </c>
      <c r="I3" s="2" t="s">
        <v>93</v>
      </c>
      <c r="K3" s="2" t="s">
        <v>94</v>
      </c>
      <c r="L3" s="2" t="s">
        <v>95</v>
      </c>
      <c r="M3" s="2" t="s">
        <v>96</v>
      </c>
      <c r="N3" s="2" t="s">
        <v>25</v>
      </c>
      <c r="O3" s="2" t="s">
        <v>26</v>
      </c>
      <c r="P3" s="2" t="s">
        <v>27</v>
      </c>
      <c r="Q3" s="2" t="s">
        <v>28</v>
      </c>
      <c r="S3" s="2" t="s">
        <v>94</v>
      </c>
      <c r="T3" s="2" t="s">
        <v>95</v>
      </c>
      <c r="U3" s="2" t="s">
        <v>96</v>
      </c>
      <c r="V3" s="2" t="s">
        <v>25</v>
      </c>
      <c r="W3" s="2" t="s">
        <v>26</v>
      </c>
      <c r="X3" s="2" t="s">
        <v>27</v>
      </c>
      <c r="Y3" s="2" t="s">
        <v>28</v>
      </c>
      <c r="AA3" s="2" t="s">
        <v>94</v>
      </c>
      <c r="AB3" s="2" t="s">
        <v>95</v>
      </c>
      <c r="AC3" s="2" t="s">
        <v>96</v>
      </c>
      <c r="AD3" s="2" t="s">
        <v>25</v>
      </c>
      <c r="AE3" s="2" t="s">
        <v>26</v>
      </c>
      <c r="AF3" s="2" t="s">
        <v>27</v>
      </c>
      <c r="AG3" s="2" t="s">
        <v>28</v>
      </c>
    </row>
    <row r="5" spans="1:33" ht="34" x14ac:dyDescent="0.2">
      <c r="A5" s="2" t="s">
        <v>29</v>
      </c>
      <c r="B5" s="2" t="s">
        <v>30</v>
      </c>
      <c r="C5" s="2" t="s">
        <v>31</v>
      </c>
      <c r="E5" s="3" t="s">
        <v>68</v>
      </c>
      <c r="F5" s="2" t="s">
        <v>76</v>
      </c>
      <c r="G5" s="4"/>
      <c r="H5" s="3" t="s">
        <v>80</v>
      </c>
      <c r="I5" s="2" t="s">
        <v>164</v>
      </c>
      <c r="U5" s="2">
        <v>4.3499999999999996</v>
      </c>
      <c r="AC5" s="2">
        <v>4.2</v>
      </c>
    </row>
    <row r="6" spans="1:33" ht="34" x14ac:dyDescent="0.2">
      <c r="C6" s="2" t="s">
        <v>32</v>
      </c>
      <c r="E6" s="3" t="s">
        <v>69</v>
      </c>
      <c r="F6" s="2" t="s">
        <v>76</v>
      </c>
      <c r="H6" s="3" t="s">
        <v>80</v>
      </c>
      <c r="I6" s="2" t="s">
        <v>165</v>
      </c>
    </row>
    <row r="8" spans="1:33" ht="34" x14ac:dyDescent="0.2">
      <c r="B8" s="2" t="s">
        <v>34</v>
      </c>
      <c r="C8" s="2" t="s">
        <v>36</v>
      </c>
      <c r="E8" s="3" t="s">
        <v>225</v>
      </c>
      <c r="F8" s="2" t="s">
        <v>227</v>
      </c>
      <c r="H8" s="3" t="s">
        <v>79</v>
      </c>
      <c r="I8" s="2" t="s">
        <v>185</v>
      </c>
    </row>
    <row r="9" spans="1:33" ht="34" x14ac:dyDescent="0.2">
      <c r="C9" s="2" t="s">
        <v>71</v>
      </c>
      <c r="E9" s="3" t="s">
        <v>226</v>
      </c>
      <c r="F9" s="2" t="s">
        <v>227</v>
      </c>
      <c r="H9" s="3" t="s">
        <v>79</v>
      </c>
      <c r="I9" s="2" t="s">
        <v>185</v>
      </c>
    </row>
    <row r="10" spans="1:33" ht="51" x14ac:dyDescent="0.2">
      <c r="B10" s="2" t="s">
        <v>37</v>
      </c>
      <c r="C10" s="2" t="s">
        <v>40</v>
      </c>
      <c r="E10" s="3" t="s">
        <v>83</v>
      </c>
      <c r="F10" s="2" t="s">
        <v>77</v>
      </c>
      <c r="G10" s="3" t="s">
        <v>163</v>
      </c>
      <c r="H10" s="3" t="s">
        <v>84</v>
      </c>
      <c r="I10" s="2" t="s">
        <v>170</v>
      </c>
    </row>
    <row r="11" spans="1:33" ht="68" x14ac:dyDescent="0.2">
      <c r="B11" s="2" t="s">
        <v>41</v>
      </c>
      <c r="C11" s="2" t="s">
        <v>42</v>
      </c>
      <c r="E11" s="3" t="s">
        <v>85</v>
      </c>
      <c r="F11" s="3" t="s">
        <v>172</v>
      </c>
      <c r="G11" s="3" t="s">
        <v>171</v>
      </c>
      <c r="H11" s="3" t="s">
        <v>80</v>
      </c>
      <c r="I11" s="2" t="s">
        <v>173</v>
      </c>
    </row>
    <row r="12" spans="1:33" ht="68" x14ac:dyDescent="0.2">
      <c r="C12" s="2" t="s">
        <v>43</v>
      </c>
      <c r="E12" s="3" t="s">
        <v>86</v>
      </c>
      <c r="F12" s="3" t="s">
        <v>172</v>
      </c>
      <c r="G12" s="3" t="s">
        <v>171</v>
      </c>
      <c r="H12" s="3" t="s">
        <v>80</v>
      </c>
      <c r="I12" s="2" t="s">
        <v>173</v>
      </c>
    </row>
    <row r="14" spans="1:33" ht="68" x14ac:dyDescent="0.2">
      <c r="B14" s="2" t="s">
        <v>44</v>
      </c>
      <c r="C14" s="2" t="s">
        <v>45</v>
      </c>
      <c r="E14" s="3" t="s">
        <v>89</v>
      </c>
      <c r="F14" s="3" t="s">
        <v>174</v>
      </c>
      <c r="G14" s="3" t="s">
        <v>175</v>
      </c>
      <c r="H14" s="3" t="s">
        <v>90</v>
      </c>
      <c r="I14" s="2" t="s">
        <v>182</v>
      </c>
    </row>
    <row r="15" spans="1:33" ht="68" x14ac:dyDescent="0.2">
      <c r="C15" s="2" t="s">
        <v>46</v>
      </c>
      <c r="E15" s="3" t="s">
        <v>87</v>
      </c>
      <c r="F15" s="3" t="s">
        <v>176</v>
      </c>
      <c r="G15" s="3"/>
      <c r="H15" s="3" t="s">
        <v>90</v>
      </c>
      <c r="I15" s="2" t="s">
        <v>182</v>
      </c>
    </row>
    <row r="16" spans="1:33" ht="115" customHeight="1" x14ac:dyDescent="0.2">
      <c r="C16" s="2" t="s">
        <v>47</v>
      </c>
      <c r="E16" s="3" t="s">
        <v>88</v>
      </c>
      <c r="F16" s="3" t="s">
        <v>177</v>
      </c>
      <c r="G16" s="3" t="s">
        <v>91</v>
      </c>
      <c r="H16" s="3" t="s">
        <v>92</v>
      </c>
      <c r="I16" s="2" t="s">
        <v>182</v>
      </c>
    </row>
    <row r="18" spans="1:10" ht="51" x14ac:dyDescent="0.2">
      <c r="A18" s="2" t="s">
        <v>48</v>
      </c>
      <c r="C18" s="2" t="s">
        <v>49</v>
      </c>
      <c r="E18" s="3" t="s">
        <v>97</v>
      </c>
      <c r="F18" s="2" t="s">
        <v>77</v>
      </c>
      <c r="H18" s="3" t="s">
        <v>79</v>
      </c>
      <c r="I18" s="2" t="s">
        <v>183</v>
      </c>
    </row>
    <row r="19" spans="1:10" ht="51" x14ac:dyDescent="0.2">
      <c r="C19" s="2" t="s">
        <v>67</v>
      </c>
      <c r="E19" s="3" t="s">
        <v>178</v>
      </c>
      <c r="F19" s="3" t="s">
        <v>179</v>
      </c>
      <c r="G19" s="3" t="s">
        <v>180</v>
      </c>
      <c r="H19" s="3" t="s">
        <v>109</v>
      </c>
      <c r="I19" s="2" t="s">
        <v>184</v>
      </c>
    </row>
    <row r="20" spans="1:10" ht="187" x14ac:dyDescent="0.2">
      <c r="C20" s="2" t="s">
        <v>100</v>
      </c>
      <c r="E20" s="3" t="s">
        <v>105</v>
      </c>
      <c r="F20" s="3" t="s">
        <v>145</v>
      </c>
      <c r="G20" s="3" t="s">
        <v>104</v>
      </c>
      <c r="H20" s="3" t="s">
        <v>144</v>
      </c>
      <c r="I20" s="2" t="s">
        <v>193</v>
      </c>
    </row>
    <row r="21" spans="1:10" ht="204" x14ac:dyDescent="0.2">
      <c r="C21" s="2" t="s">
        <v>102</v>
      </c>
      <c r="E21" s="3" t="s">
        <v>107</v>
      </c>
      <c r="F21" s="3" t="s">
        <v>145</v>
      </c>
      <c r="G21" s="3" t="s">
        <v>103</v>
      </c>
      <c r="H21" s="3" t="s">
        <v>144</v>
      </c>
      <c r="I21" s="2" t="s">
        <v>192</v>
      </c>
    </row>
    <row r="22" spans="1:10" ht="51" x14ac:dyDescent="0.2">
      <c r="C22" s="2" t="s">
        <v>98</v>
      </c>
      <c r="E22" s="3" t="s">
        <v>99</v>
      </c>
      <c r="F22" s="2" t="s">
        <v>77</v>
      </c>
      <c r="G22" s="3" t="s">
        <v>180</v>
      </c>
      <c r="H22" s="3" t="s">
        <v>108</v>
      </c>
      <c r="I22" s="2" t="s">
        <v>187</v>
      </c>
    </row>
    <row r="24" spans="1:10" ht="51" x14ac:dyDescent="0.2">
      <c r="A24" s="2" t="s">
        <v>52</v>
      </c>
      <c r="B24" s="2" t="s">
        <v>53</v>
      </c>
      <c r="C24" s="2" t="s">
        <v>50</v>
      </c>
      <c r="E24" s="3" t="s">
        <v>244</v>
      </c>
      <c r="F24" s="2" t="s">
        <v>77</v>
      </c>
      <c r="G24" s="3" t="s">
        <v>186</v>
      </c>
      <c r="H24" s="3" t="s">
        <v>108</v>
      </c>
      <c r="I24" s="2" t="s">
        <v>187</v>
      </c>
    </row>
    <row r="25" spans="1:10" ht="102" x14ac:dyDescent="0.2">
      <c r="B25" s="2" t="s">
        <v>53</v>
      </c>
      <c r="C25" s="2" t="s">
        <v>51</v>
      </c>
      <c r="E25" s="3" t="s">
        <v>241</v>
      </c>
      <c r="F25" s="3" t="s">
        <v>146</v>
      </c>
      <c r="G25" s="3" t="s">
        <v>110</v>
      </c>
      <c r="H25" s="3" t="s">
        <v>144</v>
      </c>
      <c r="I25" s="3" t="s">
        <v>189</v>
      </c>
      <c r="J25" s="3"/>
    </row>
    <row r="27" spans="1:10" ht="119" x14ac:dyDescent="0.2">
      <c r="B27" s="2" t="s">
        <v>54</v>
      </c>
      <c r="C27" s="2" t="s">
        <v>232</v>
      </c>
      <c r="E27" s="3" t="s">
        <v>233</v>
      </c>
      <c r="F27" s="3" t="s">
        <v>151</v>
      </c>
      <c r="G27" s="3" t="s">
        <v>110</v>
      </c>
      <c r="H27" s="3" t="s">
        <v>150</v>
      </c>
      <c r="I27" s="2" t="s">
        <v>200</v>
      </c>
    </row>
    <row r="28" spans="1:10" ht="68" x14ac:dyDescent="0.2">
      <c r="B28" s="2" t="s">
        <v>54</v>
      </c>
      <c r="C28" s="2" t="s">
        <v>56</v>
      </c>
      <c r="E28" s="3" t="s">
        <v>114</v>
      </c>
      <c r="F28" s="2" t="s">
        <v>116</v>
      </c>
      <c r="H28" s="3" t="s">
        <v>80</v>
      </c>
      <c r="I28" s="2" t="s">
        <v>234</v>
      </c>
    </row>
    <row r="29" spans="1:10" ht="51" x14ac:dyDescent="0.2">
      <c r="B29" s="2" t="s">
        <v>54</v>
      </c>
      <c r="C29" s="2" t="s">
        <v>57</v>
      </c>
      <c r="E29" s="3" t="s">
        <v>117</v>
      </c>
      <c r="F29" s="3" t="s">
        <v>148</v>
      </c>
      <c r="G29" s="3" t="s">
        <v>112</v>
      </c>
      <c r="H29" s="3" t="s">
        <v>147</v>
      </c>
      <c r="I29" s="2" t="s">
        <v>195</v>
      </c>
    </row>
    <row r="31" spans="1:10" ht="119" x14ac:dyDescent="0.2">
      <c r="B31" s="2" t="s">
        <v>58</v>
      </c>
      <c r="C31" s="2" t="s">
        <v>196</v>
      </c>
      <c r="E31" s="3" t="s">
        <v>142</v>
      </c>
      <c r="F31" s="3" t="s">
        <v>149</v>
      </c>
      <c r="G31" s="3" t="s">
        <v>141</v>
      </c>
      <c r="H31" s="3" t="s">
        <v>150</v>
      </c>
      <c r="I31" s="2" t="s">
        <v>188</v>
      </c>
    </row>
    <row r="32" spans="1:10" ht="85" x14ac:dyDescent="0.2">
      <c r="B32" s="2" t="s">
        <v>58</v>
      </c>
      <c r="C32" s="2" t="s">
        <v>59</v>
      </c>
      <c r="E32" s="3" t="s">
        <v>235</v>
      </c>
      <c r="F32" s="3" t="s">
        <v>153</v>
      </c>
      <c r="G32" s="3" t="s">
        <v>162</v>
      </c>
      <c r="H32" s="3" t="s">
        <v>147</v>
      </c>
      <c r="I32" s="2" t="s">
        <v>195</v>
      </c>
    </row>
    <row r="33" spans="2:9" ht="102" x14ac:dyDescent="0.2">
      <c r="B33" s="2" t="s">
        <v>58</v>
      </c>
      <c r="C33" s="2" t="s">
        <v>60</v>
      </c>
      <c r="E33" s="3" t="s">
        <v>159</v>
      </c>
      <c r="F33" s="3" t="s">
        <v>155</v>
      </c>
      <c r="G33" s="3" t="s">
        <v>154</v>
      </c>
      <c r="H33" s="3" t="s">
        <v>150</v>
      </c>
      <c r="I33" s="2" t="s">
        <v>197</v>
      </c>
    </row>
    <row r="34" spans="2:9" ht="68" x14ac:dyDescent="0.2">
      <c r="B34" s="2" t="s">
        <v>58</v>
      </c>
      <c r="C34" s="2" t="s">
        <v>61</v>
      </c>
      <c r="E34" s="3" t="s">
        <v>119</v>
      </c>
      <c r="F34" s="2" t="s">
        <v>156</v>
      </c>
      <c r="G34" s="3" t="s">
        <v>157</v>
      </c>
      <c r="H34" s="3" t="s">
        <v>147</v>
      </c>
      <c r="I34" s="2" t="s">
        <v>198</v>
      </c>
    </row>
    <row r="35" spans="2:9" ht="51" x14ac:dyDescent="0.2">
      <c r="B35" s="2" t="s">
        <v>58</v>
      </c>
      <c r="C35" s="2" t="s">
        <v>62</v>
      </c>
      <c r="E35" s="3" t="s">
        <v>120</v>
      </c>
      <c r="F35" s="2" t="s">
        <v>156</v>
      </c>
      <c r="G35" s="3" t="s">
        <v>158</v>
      </c>
      <c r="H35" s="3" t="s">
        <v>147</v>
      </c>
      <c r="I35" s="2" t="s">
        <v>198</v>
      </c>
    </row>
    <row r="37" spans="2:9" ht="119" x14ac:dyDescent="0.2">
      <c r="B37" s="2" t="s">
        <v>63</v>
      </c>
      <c r="C37" s="2" t="s">
        <v>121</v>
      </c>
      <c r="E37" s="3" t="s">
        <v>311</v>
      </c>
      <c r="F37" s="3" t="s">
        <v>155</v>
      </c>
      <c r="G37" s="3" t="s">
        <v>154</v>
      </c>
      <c r="H37" s="3" t="s">
        <v>150</v>
      </c>
      <c r="I37" s="2" t="s">
        <v>197</v>
      </c>
    </row>
    <row r="38" spans="2:9" ht="119" x14ac:dyDescent="0.2">
      <c r="C38" s="2" t="s">
        <v>122</v>
      </c>
      <c r="E38" s="3" t="s">
        <v>312</v>
      </c>
      <c r="F38" s="3" t="s">
        <v>155</v>
      </c>
      <c r="G38" s="3" t="s">
        <v>154</v>
      </c>
      <c r="H38" s="3" t="s">
        <v>150</v>
      </c>
      <c r="I38" s="2" t="s">
        <v>197</v>
      </c>
    </row>
    <row r="39" spans="2:9" ht="119" x14ac:dyDescent="0.2">
      <c r="C39" s="2" t="s">
        <v>123</v>
      </c>
      <c r="E39" s="3" t="s">
        <v>313</v>
      </c>
      <c r="F39" s="3" t="s">
        <v>155</v>
      </c>
      <c r="G39" s="3" t="s">
        <v>154</v>
      </c>
      <c r="H39" s="3" t="s">
        <v>150</v>
      </c>
      <c r="I39" s="2" t="s">
        <v>197</v>
      </c>
    </row>
    <row r="40" spans="2:9" ht="51" x14ac:dyDescent="0.2">
      <c r="B40" s="2" t="s">
        <v>63</v>
      </c>
      <c r="C40" s="2" t="s">
        <v>125</v>
      </c>
      <c r="E40" s="3" t="s">
        <v>124</v>
      </c>
      <c r="F40" s="2" t="s">
        <v>156</v>
      </c>
      <c r="G40" s="3" t="s">
        <v>157</v>
      </c>
      <c r="H40" s="3" t="s">
        <v>147</v>
      </c>
      <c r="I40" s="2" t="s">
        <v>198</v>
      </c>
    </row>
    <row r="41" spans="2:9" ht="51" x14ac:dyDescent="0.2">
      <c r="C41" s="2" t="s">
        <v>126</v>
      </c>
      <c r="E41" s="3" t="s">
        <v>132</v>
      </c>
      <c r="F41" s="2" t="s">
        <v>156</v>
      </c>
      <c r="G41" s="3" t="s">
        <v>157</v>
      </c>
      <c r="H41" s="3" t="s">
        <v>147</v>
      </c>
      <c r="I41" s="2" t="s">
        <v>198</v>
      </c>
    </row>
    <row r="42" spans="2:9" ht="51" x14ac:dyDescent="0.2">
      <c r="C42" s="2" t="s">
        <v>127</v>
      </c>
      <c r="E42" s="3" t="s">
        <v>133</v>
      </c>
      <c r="F42" s="2" t="s">
        <v>156</v>
      </c>
      <c r="G42" s="3" t="s">
        <v>157</v>
      </c>
      <c r="H42" s="3" t="s">
        <v>147</v>
      </c>
      <c r="I42" s="2" t="s">
        <v>198</v>
      </c>
    </row>
    <row r="43" spans="2:9" ht="51" x14ac:dyDescent="0.2">
      <c r="B43" s="2" t="s">
        <v>63</v>
      </c>
      <c r="C43" s="2" t="s">
        <v>128</v>
      </c>
      <c r="E43" s="3" t="s">
        <v>134</v>
      </c>
      <c r="F43" s="2" t="s">
        <v>156</v>
      </c>
      <c r="G43" s="3" t="s">
        <v>158</v>
      </c>
      <c r="H43" s="3" t="s">
        <v>147</v>
      </c>
      <c r="I43" s="2" t="s">
        <v>198</v>
      </c>
    </row>
    <row r="44" spans="2:9" ht="51" x14ac:dyDescent="0.2">
      <c r="C44" s="2" t="s">
        <v>129</v>
      </c>
      <c r="E44" s="3" t="s">
        <v>135</v>
      </c>
      <c r="F44" s="2" t="s">
        <v>156</v>
      </c>
      <c r="G44" s="3" t="s">
        <v>158</v>
      </c>
      <c r="H44" s="3" t="s">
        <v>147</v>
      </c>
      <c r="I44" s="2" t="s">
        <v>198</v>
      </c>
    </row>
    <row r="45" spans="2:9" ht="51" x14ac:dyDescent="0.2">
      <c r="C45" s="2" t="s">
        <v>130</v>
      </c>
      <c r="E45" s="3" t="s">
        <v>136</v>
      </c>
      <c r="F45" s="2" t="s">
        <v>156</v>
      </c>
      <c r="G45" s="3" t="s">
        <v>158</v>
      </c>
      <c r="H45" s="3" t="s">
        <v>147</v>
      </c>
      <c r="I45" s="2" t="s">
        <v>198</v>
      </c>
    </row>
    <row r="46" spans="2:9" ht="68" x14ac:dyDescent="0.2">
      <c r="B46" s="2" t="s">
        <v>63</v>
      </c>
      <c r="C46" s="2" t="s">
        <v>64</v>
      </c>
      <c r="E46" s="3" t="s">
        <v>236</v>
      </c>
      <c r="F46" s="2" t="s">
        <v>76</v>
      </c>
      <c r="H46" s="3" t="s">
        <v>80</v>
      </c>
      <c r="I46" s="2" t="s">
        <v>199</v>
      </c>
    </row>
    <row r="47" spans="2:9" x14ac:dyDescent="0.2">
      <c r="E47" s="2"/>
    </row>
    <row r="50" spans="2:9" ht="68" x14ac:dyDescent="0.2">
      <c r="B50" s="2" t="s">
        <v>65</v>
      </c>
      <c r="C50" s="2" t="s">
        <v>237</v>
      </c>
      <c r="E50" s="3" t="s">
        <v>269</v>
      </c>
      <c r="F50" s="2" t="s">
        <v>156</v>
      </c>
      <c r="G50" s="3" t="s">
        <v>160</v>
      </c>
      <c r="H50" s="3" t="s">
        <v>147</v>
      </c>
      <c r="I50" s="2" t="s">
        <v>200</v>
      </c>
    </row>
    <row r="51" spans="2:9" ht="153" x14ac:dyDescent="0.2">
      <c r="B51" s="2" t="s">
        <v>65</v>
      </c>
      <c r="C51" s="2" t="s">
        <v>240</v>
      </c>
      <c r="E51" s="3" t="s">
        <v>239</v>
      </c>
      <c r="F51" s="3" t="s">
        <v>161</v>
      </c>
      <c r="G51" s="3" t="s">
        <v>162</v>
      </c>
      <c r="H51" s="3" t="s">
        <v>147</v>
      </c>
      <c r="I51" s="2" t="s">
        <v>200</v>
      </c>
    </row>
    <row r="52" spans="2:9" ht="85" x14ac:dyDescent="0.2">
      <c r="B52" s="2" t="s">
        <v>65</v>
      </c>
      <c r="C52" s="2" t="s">
        <v>139</v>
      </c>
      <c r="E52" s="3" t="s">
        <v>238</v>
      </c>
      <c r="F52" s="2" t="s">
        <v>76</v>
      </c>
      <c r="H52" s="3" t="s">
        <v>80</v>
      </c>
      <c r="I52" s="2" t="s">
        <v>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89A17-D4EC-1D4E-B4AD-6090CD8E55CA}">
  <dimension ref="A1:BR167"/>
  <sheetViews>
    <sheetView topLeftCell="A22" zoomScale="125" zoomScaleNormal="125" workbookViewId="0">
      <selection activeCell="D26" sqref="D26"/>
    </sheetView>
  </sheetViews>
  <sheetFormatPr baseColWidth="10" defaultRowHeight="16" x14ac:dyDescent="0.2"/>
  <cols>
    <col min="1" max="1" width="17.83203125" style="2" customWidth="1"/>
    <col min="2" max="2" width="22.1640625" style="2" customWidth="1"/>
    <col min="3" max="4" width="32.33203125" style="2" customWidth="1"/>
    <col min="5" max="5" width="89.1640625" style="3" customWidth="1"/>
    <col min="6" max="6" width="33" style="2" customWidth="1"/>
    <col min="7" max="7" width="18.6640625" style="2" customWidth="1"/>
    <col min="8" max="8" width="26" style="3" customWidth="1"/>
    <col min="9" max="9" width="29.1640625" style="2" customWidth="1"/>
    <col min="10" max="10" width="12.5" style="2" customWidth="1"/>
    <col min="11" max="11" width="13.83203125" style="2" customWidth="1"/>
    <col min="12" max="12" width="18.83203125" style="2" customWidth="1"/>
    <col min="13" max="13" width="18.33203125" style="2" customWidth="1"/>
    <col min="14" max="14" width="18" style="2" customWidth="1"/>
    <col min="15" max="15" width="17.5" style="2" customWidth="1"/>
    <col min="16" max="16" width="24.33203125" style="2" customWidth="1"/>
    <col min="17" max="17" width="18.6640625" style="2" customWidth="1"/>
    <col min="18" max="18" width="27" style="2" customWidth="1"/>
    <col min="19" max="19" width="25.1640625" style="2" customWidth="1"/>
    <col min="20" max="22" width="18.83203125" style="2" customWidth="1"/>
    <col min="23" max="23" width="18.33203125" style="2" customWidth="1"/>
    <col min="24" max="24" width="18" style="2" customWidth="1"/>
    <col min="25" max="26" width="17.5" style="2" customWidth="1"/>
    <col min="27" max="27" width="18.33203125" style="2" customWidth="1"/>
    <col min="28" max="28" width="16.5" style="2" customWidth="1"/>
    <col min="29" max="29" width="10.83203125" style="2"/>
    <col min="30" max="30" width="12.83203125" style="2" customWidth="1"/>
    <col min="31" max="31" width="18.6640625" style="2" customWidth="1"/>
    <col min="32" max="32" width="18.83203125" style="2" customWidth="1"/>
    <col min="33" max="33" width="18.33203125" style="2" customWidth="1"/>
    <col min="34" max="34" width="18" style="2" customWidth="1"/>
    <col min="35" max="35" width="17.5" style="2" customWidth="1"/>
    <col min="36" max="36" width="16.6640625" style="2" customWidth="1"/>
    <col min="37" max="37" width="18.6640625" style="2" customWidth="1"/>
    <col min="38" max="38" width="18.83203125" style="2" customWidth="1"/>
    <col min="39" max="39" width="24.1640625" style="2" customWidth="1"/>
    <col min="40" max="42" width="15.33203125" style="2" customWidth="1"/>
    <col min="43" max="43" width="10.83203125" style="2"/>
    <col min="44" max="44" width="14.1640625" style="2" customWidth="1"/>
    <col min="45" max="45" width="22.1640625" style="2" customWidth="1"/>
    <col min="46" max="46" width="16.5" style="2" customWidth="1"/>
    <col min="47" max="47" width="18.33203125" style="2" customWidth="1"/>
    <col min="48" max="48" width="16.5" style="2" customWidth="1"/>
    <col min="49" max="49" width="10.83203125" style="2"/>
    <col min="50" max="50" width="12" style="2" customWidth="1"/>
    <col min="51" max="51" width="18.6640625" style="2" customWidth="1"/>
    <col min="52" max="52" width="18.83203125" style="2" customWidth="1"/>
    <col min="53" max="53" width="18.33203125" style="2" customWidth="1"/>
    <col min="54" max="54" width="18" style="2" customWidth="1"/>
    <col min="55" max="55" width="17.5" style="2" customWidth="1"/>
    <col min="56" max="56" width="16.6640625" style="2" customWidth="1"/>
    <col min="57" max="57" width="20" style="2" customWidth="1"/>
    <col min="58" max="58" width="21.1640625" style="2" customWidth="1"/>
    <col min="59" max="59" width="24.1640625" style="2" customWidth="1"/>
    <col min="60" max="62" width="15.33203125" style="2" customWidth="1"/>
    <col min="63" max="63" width="10.83203125" style="2"/>
    <col min="64" max="64" width="18" style="2" customWidth="1"/>
    <col min="65" max="65" width="19.1640625" style="2" customWidth="1"/>
    <col min="66" max="66" width="18.5" style="2" customWidth="1"/>
    <col min="67" max="67" width="18.33203125" style="2" customWidth="1"/>
    <col min="68" max="68" width="16.5" style="2" customWidth="1"/>
    <col min="69" max="16384" width="10.83203125" style="2"/>
  </cols>
  <sheetData>
    <row r="1" spans="1:70" ht="107" customHeight="1" x14ac:dyDescent="0.2">
      <c r="A1" s="2" t="e" vm="1">
        <v>#VALUE!</v>
      </c>
      <c r="C1" s="56" t="s">
        <v>632</v>
      </c>
    </row>
    <row r="2" spans="1:70" x14ac:dyDescent="0.2">
      <c r="K2" s="2" t="s">
        <v>202</v>
      </c>
      <c r="AE2" s="2" t="s">
        <v>203</v>
      </c>
      <c r="AY2" s="2" t="s">
        <v>204</v>
      </c>
    </row>
    <row r="3" spans="1:70" ht="51" x14ac:dyDescent="0.2">
      <c r="A3" s="2" t="s">
        <v>18</v>
      </c>
      <c r="B3" s="2" t="s">
        <v>19</v>
      </c>
      <c r="C3" s="2" t="s">
        <v>20</v>
      </c>
      <c r="D3" s="2" t="s">
        <v>349</v>
      </c>
      <c r="E3" s="3" t="s">
        <v>21</v>
      </c>
      <c r="F3" s="2" t="s">
        <v>22</v>
      </c>
      <c r="G3" s="2" t="s">
        <v>143</v>
      </c>
      <c r="H3" s="3" t="s">
        <v>24</v>
      </c>
      <c r="I3" s="2" t="s">
        <v>93</v>
      </c>
      <c r="K3" s="2" t="s">
        <v>94</v>
      </c>
      <c r="L3" s="2" t="s">
        <v>95</v>
      </c>
      <c r="M3" s="2" t="s">
        <v>96</v>
      </c>
      <c r="N3" s="2" t="s">
        <v>25</v>
      </c>
      <c r="O3" s="2" t="s">
        <v>26</v>
      </c>
      <c r="P3" s="2" t="s">
        <v>27</v>
      </c>
      <c r="Q3" s="2" t="s">
        <v>28</v>
      </c>
      <c r="R3" s="2" t="s">
        <v>348</v>
      </c>
      <c r="S3" s="3" t="s">
        <v>609</v>
      </c>
      <c r="T3" s="3" t="s">
        <v>610</v>
      </c>
      <c r="U3" s="3" t="s">
        <v>611</v>
      </c>
      <c r="V3" s="3" t="s">
        <v>612</v>
      </c>
      <c r="W3" s="3" t="s">
        <v>373</v>
      </c>
      <c r="X3" s="3" t="s">
        <v>378</v>
      </c>
      <c r="Y3" s="3" t="s">
        <v>667</v>
      </c>
      <c r="Z3" s="3" t="s">
        <v>668</v>
      </c>
      <c r="AA3" s="3" t="s">
        <v>664</v>
      </c>
      <c r="AB3" s="3" t="s">
        <v>665</v>
      </c>
      <c r="AC3" s="3" t="s">
        <v>666</v>
      </c>
      <c r="AE3" s="2" t="s">
        <v>94</v>
      </c>
      <c r="AF3" s="2" t="s">
        <v>95</v>
      </c>
      <c r="AG3" s="2" t="s">
        <v>96</v>
      </c>
      <c r="AH3" s="2" t="s">
        <v>25</v>
      </c>
      <c r="AI3" s="2" t="s">
        <v>26</v>
      </c>
      <c r="AJ3" s="2" t="s">
        <v>27</v>
      </c>
      <c r="AK3" s="2" t="s">
        <v>28</v>
      </c>
      <c r="AL3" s="3" t="s">
        <v>348</v>
      </c>
      <c r="AM3" s="3" t="s">
        <v>609</v>
      </c>
      <c r="AN3" s="3" t="s">
        <v>610</v>
      </c>
      <c r="AO3" s="3" t="s">
        <v>611</v>
      </c>
      <c r="AP3" s="3" t="s">
        <v>612</v>
      </c>
      <c r="AQ3" s="3" t="s">
        <v>373</v>
      </c>
      <c r="AR3" s="3" t="s">
        <v>378</v>
      </c>
      <c r="AS3" s="3" t="s">
        <v>667</v>
      </c>
      <c r="AT3" s="3" t="s">
        <v>668</v>
      </c>
      <c r="AU3" s="3" t="s">
        <v>664</v>
      </c>
      <c r="AV3" s="3" t="s">
        <v>665</v>
      </c>
      <c r="AW3" s="3" t="s">
        <v>666</v>
      </c>
      <c r="AY3" s="2" t="s">
        <v>94</v>
      </c>
      <c r="AZ3" s="2" t="s">
        <v>95</v>
      </c>
      <c r="BA3" s="2" t="s">
        <v>96</v>
      </c>
      <c r="BB3" s="2" t="s">
        <v>25</v>
      </c>
      <c r="BC3" s="2" t="s">
        <v>26</v>
      </c>
      <c r="BD3" s="2" t="s">
        <v>27</v>
      </c>
      <c r="BE3" s="2" t="s">
        <v>28</v>
      </c>
      <c r="BF3" s="3" t="s">
        <v>348</v>
      </c>
      <c r="BG3" s="3" t="s">
        <v>609</v>
      </c>
      <c r="BH3" s="3" t="s">
        <v>610</v>
      </c>
      <c r="BI3" s="3" t="s">
        <v>611</v>
      </c>
      <c r="BJ3" s="3" t="s">
        <v>612</v>
      </c>
      <c r="BK3" s="3" t="s">
        <v>373</v>
      </c>
      <c r="BL3" s="3" t="s">
        <v>378</v>
      </c>
      <c r="BM3" s="3" t="s">
        <v>667</v>
      </c>
      <c r="BN3" s="3" t="s">
        <v>668</v>
      </c>
      <c r="BO3" s="3" t="s">
        <v>664</v>
      </c>
      <c r="BP3" s="3" t="s">
        <v>665</v>
      </c>
      <c r="BQ3" s="3" t="s">
        <v>666</v>
      </c>
      <c r="BR3" s="3"/>
    </row>
    <row r="5" spans="1:70" ht="68" x14ac:dyDescent="0.2">
      <c r="A5" s="2" t="s">
        <v>29</v>
      </c>
      <c r="B5" s="2" t="s">
        <v>30</v>
      </c>
      <c r="C5" s="2" t="s">
        <v>617</v>
      </c>
      <c r="D5" s="2" t="s">
        <v>350</v>
      </c>
      <c r="E5" s="3" t="s">
        <v>68</v>
      </c>
      <c r="F5" s="3" t="s">
        <v>603</v>
      </c>
      <c r="G5" s="52" t="s">
        <v>619</v>
      </c>
      <c r="H5" s="3" t="s">
        <v>604</v>
      </c>
      <c r="I5" s="2" t="s">
        <v>605</v>
      </c>
      <c r="K5" s="2">
        <v>4.5</v>
      </c>
      <c r="L5" s="2" t="s">
        <v>613</v>
      </c>
      <c r="M5" s="2">
        <v>4.1500000000000004</v>
      </c>
      <c r="N5" s="2">
        <v>4.1500000000000004</v>
      </c>
      <c r="O5" s="2">
        <v>4.05</v>
      </c>
      <c r="P5" s="2">
        <v>3.9</v>
      </c>
      <c r="Q5" s="2">
        <v>3.75</v>
      </c>
      <c r="R5" s="2" t="s">
        <v>614</v>
      </c>
      <c r="S5" s="8">
        <f>K6</f>
        <v>20</v>
      </c>
      <c r="T5" s="8">
        <f>(S5-7)*3</f>
        <v>39</v>
      </c>
      <c r="U5" s="8">
        <f>M6</f>
        <v>21.686746987951807</v>
      </c>
      <c r="V5" s="8">
        <f>(U5-7)*3</f>
        <v>44.060240963855421</v>
      </c>
      <c r="W5" s="8">
        <v>60</v>
      </c>
      <c r="AA5" s="8">
        <f>(O6-7)*3</f>
        <v>45.666666666666664</v>
      </c>
      <c r="AB5" s="8">
        <f>(P6-7)*3</f>
        <v>48.230769230769226</v>
      </c>
      <c r="AC5" s="8">
        <f>(Q6-7)*3</f>
        <v>51</v>
      </c>
      <c r="AE5" s="2">
        <v>4.26</v>
      </c>
      <c r="AF5" s="2" t="s">
        <v>613</v>
      </c>
      <c r="AG5" s="2">
        <v>3.95</v>
      </c>
      <c r="AH5" s="2">
        <v>3.95</v>
      </c>
      <c r="AI5" s="2">
        <v>3.85</v>
      </c>
      <c r="AJ5" s="2">
        <v>3.75</v>
      </c>
      <c r="AK5" s="2">
        <v>3.55</v>
      </c>
      <c r="AL5" s="2" t="s">
        <v>614</v>
      </c>
      <c r="AM5" s="8">
        <f>AE6</f>
        <v>21.126760563380284</v>
      </c>
      <c r="AN5" s="8">
        <f>(AM5-7)*3</f>
        <v>42.380281690140848</v>
      </c>
      <c r="AO5" s="8">
        <f>AG6</f>
        <v>22.784810126582279</v>
      </c>
      <c r="AP5" s="8">
        <f>(AO5-7)*3</f>
        <v>47.354430379746837</v>
      </c>
      <c r="AQ5" s="8">
        <v>60</v>
      </c>
      <c r="AU5" s="8">
        <f>(AI6-7)*3</f>
        <v>49.129870129870127</v>
      </c>
      <c r="AV5" s="8">
        <f>(AJ6-7)*3</f>
        <v>51</v>
      </c>
      <c r="AW5" s="8">
        <f>(AK6-7)*3</f>
        <v>55.056338028169023</v>
      </c>
      <c r="AY5" s="2">
        <v>3.76</v>
      </c>
      <c r="AZ5" s="2" t="s">
        <v>613</v>
      </c>
      <c r="BA5" s="2">
        <v>3.55</v>
      </c>
      <c r="BB5" s="2">
        <v>3.55</v>
      </c>
      <c r="BC5" s="2">
        <v>3.5</v>
      </c>
      <c r="BD5" s="2">
        <v>3.4</v>
      </c>
      <c r="BE5" s="2">
        <v>3.15</v>
      </c>
      <c r="BF5" s="2" t="s">
        <v>614</v>
      </c>
      <c r="BG5" s="8">
        <f>AY6</f>
        <v>23.936170212765958</v>
      </c>
      <c r="BH5" s="8">
        <f>(BG5-7)*3</f>
        <v>50.808510638297875</v>
      </c>
      <c r="BI5" s="8">
        <f>BA6</f>
        <v>25.35211267605634</v>
      </c>
      <c r="BJ5" s="8">
        <f>(BI5-7)*3</f>
        <v>55.056338028169023</v>
      </c>
      <c r="BK5" s="8">
        <v>70</v>
      </c>
      <c r="BO5" s="8">
        <f>(BC6-7)*3</f>
        <v>56.142857142857146</v>
      </c>
      <c r="BP5" s="8">
        <f>(BD6-7)*3</f>
        <v>58.411764705882362</v>
      </c>
      <c r="BQ5" s="8">
        <f>(BE6-7)*3</f>
        <v>64.714285714285722</v>
      </c>
    </row>
    <row r="6" spans="1:70" x14ac:dyDescent="0.2">
      <c r="F6" s="3"/>
      <c r="G6" s="4"/>
      <c r="J6" s="2" t="s">
        <v>607</v>
      </c>
      <c r="K6" s="8">
        <f>$K$9/K5</f>
        <v>20</v>
      </c>
      <c r="L6" s="2" t="s">
        <v>613</v>
      </c>
      <c r="M6" s="8">
        <f t="shared" ref="M6:Q6" si="0">$K$9/M5</f>
        <v>21.686746987951807</v>
      </c>
      <c r="N6" s="8">
        <f t="shared" si="0"/>
        <v>21.686746987951807</v>
      </c>
      <c r="O6" s="8">
        <f t="shared" si="0"/>
        <v>22.222222222222221</v>
      </c>
      <c r="P6" s="8">
        <f t="shared" si="0"/>
        <v>23.076923076923077</v>
      </c>
      <c r="Q6" s="8">
        <f t="shared" si="0"/>
        <v>24</v>
      </c>
      <c r="T6" s="8"/>
      <c r="U6" s="8"/>
      <c r="V6" s="8"/>
      <c r="W6" s="8"/>
      <c r="X6" s="8"/>
      <c r="Y6" s="8"/>
      <c r="Z6" s="8"/>
      <c r="AD6" s="2" t="s">
        <v>607</v>
      </c>
      <c r="AE6" s="8">
        <f>$AE$9/AE5</f>
        <v>21.126760563380284</v>
      </c>
      <c r="AF6" s="2" t="s">
        <v>613</v>
      </c>
      <c r="AG6" s="8">
        <f t="shared" ref="AG6:AK6" si="1">$AE$9/AG5</f>
        <v>22.784810126582279</v>
      </c>
      <c r="AH6" s="8">
        <f t="shared" si="1"/>
        <v>22.784810126582279</v>
      </c>
      <c r="AI6" s="8">
        <f t="shared" si="1"/>
        <v>23.376623376623375</v>
      </c>
      <c r="AJ6" s="8">
        <f t="shared" si="1"/>
        <v>24</v>
      </c>
      <c r="AK6" s="8">
        <f t="shared" si="1"/>
        <v>25.35211267605634</v>
      </c>
      <c r="AN6" s="8"/>
      <c r="AO6" s="8"/>
      <c r="AP6" s="8"/>
      <c r="AQ6" s="8"/>
      <c r="AR6" s="8"/>
      <c r="AS6" s="8"/>
      <c r="AX6" s="2" t="s">
        <v>607</v>
      </c>
      <c r="AY6" s="8">
        <f>$AY$9/AY5</f>
        <v>23.936170212765958</v>
      </c>
      <c r="AZ6" s="2" t="s">
        <v>613</v>
      </c>
      <c r="BA6" s="8">
        <f t="shared" ref="BA6:BE6" si="2">$AY$9/BA5</f>
        <v>25.35211267605634</v>
      </c>
      <c r="BB6" s="8">
        <f t="shared" si="2"/>
        <v>25.35211267605634</v>
      </c>
      <c r="BC6" s="8">
        <f t="shared" si="2"/>
        <v>25.714285714285715</v>
      </c>
      <c r="BD6" s="8">
        <f t="shared" si="2"/>
        <v>26.47058823529412</v>
      </c>
      <c r="BE6" s="8">
        <f t="shared" si="2"/>
        <v>28.571428571428573</v>
      </c>
      <c r="BH6" s="8"/>
      <c r="BI6" s="8"/>
      <c r="BJ6" s="8"/>
      <c r="BK6" s="8"/>
      <c r="BL6" s="8"/>
      <c r="BM6" s="8"/>
    </row>
    <row r="7" spans="1:70" ht="68" x14ac:dyDescent="0.2">
      <c r="C7" s="2" t="s">
        <v>618</v>
      </c>
      <c r="D7" s="2" t="s">
        <v>602</v>
      </c>
      <c r="E7" s="3" t="s">
        <v>69</v>
      </c>
      <c r="F7" s="3" t="s">
        <v>603</v>
      </c>
      <c r="G7" s="52" t="s">
        <v>619</v>
      </c>
      <c r="H7" s="3" t="s">
        <v>604</v>
      </c>
      <c r="I7" s="2" t="s">
        <v>606</v>
      </c>
      <c r="K7" s="2">
        <v>18</v>
      </c>
      <c r="L7" s="2" t="s">
        <v>613</v>
      </c>
      <c r="M7" s="2">
        <v>16.5</v>
      </c>
      <c r="N7" s="2">
        <v>16.5</v>
      </c>
      <c r="O7" s="2">
        <v>15.75</v>
      </c>
      <c r="P7" s="2">
        <v>15</v>
      </c>
      <c r="Q7" s="2">
        <v>14.25</v>
      </c>
      <c r="R7" s="2" t="s">
        <v>615</v>
      </c>
      <c r="S7" s="8">
        <f>K8</f>
        <v>20</v>
      </c>
      <c r="T7" s="8">
        <f>(S7-7)*3</f>
        <v>39</v>
      </c>
      <c r="U7" s="8">
        <f>M8</f>
        <v>21.818181818181817</v>
      </c>
      <c r="V7" s="8">
        <f>(U7-7)*3</f>
        <v>44.454545454545453</v>
      </c>
      <c r="W7" s="8">
        <v>65</v>
      </c>
      <c r="AA7" s="8">
        <f>(O8-7)*3</f>
        <v>47.571428571428569</v>
      </c>
      <c r="AB7" s="8">
        <f>(P8-7)*3</f>
        <v>51</v>
      </c>
      <c r="AC7" s="8">
        <f>(Q8-7)*3</f>
        <v>54.789473684210527</v>
      </c>
      <c r="AE7" s="2">
        <v>17</v>
      </c>
      <c r="AF7" s="2" t="s">
        <v>613</v>
      </c>
      <c r="AG7" s="2">
        <v>15</v>
      </c>
      <c r="AH7" s="2">
        <v>15</v>
      </c>
      <c r="AI7" s="2">
        <v>14.5</v>
      </c>
      <c r="AJ7" s="2">
        <v>13.75</v>
      </c>
      <c r="AK7" s="2">
        <v>13</v>
      </c>
      <c r="AL7" s="2" t="s">
        <v>615</v>
      </c>
      <c r="AM7" s="8">
        <f>AE8</f>
        <v>21.176470588235293</v>
      </c>
      <c r="AN7" s="8">
        <f>(AM7-7)*3</f>
        <v>42.529411764705884</v>
      </c>
      <c r="AO7" s="8">
        <f>AG8</f>
        <v>24</v>
      </c>
      <c r="AP7" s="8">
        <f>(AO7-7)*3</f>
        <v>51</v>
      </c>
      <c r="AQ7" s="8">
        <v>65</v>
      </c>
      <c r="AU7" s="8">
        <f>(AI8-7)*3</f>
        <v>53.482758620689651</v>
      </c>
      <c r="AV7" s="8">
        <f>(AJ8-7)*3</f>
        <v>57.545454545454547</v>
      </c>
      <c r="AW7" s="8">
        <f>(AK8-7)*3</f>
        <v>62.07692307692308</v>
      </c>
      <c r="AY7" s="2">
        <v>16</v>
      </c>
      <c r="AZ7" s="2" t="s">
        <v>613</v>
      </c>
      <c r="BA7" s="2">
        <v>14.5</v>
      </c>
      <c r="BB7" s="2">
        <v>14.5</v>
      </c>
      <c r="BC7" s="2">
        <v>14</v>
      </c>
      <c r="BD7" s="2">
        <v>13</v>
      </c>
      <c r="BE7" s="2">
        <v>12</v>
      </c>
      <c r="BF7" s="2" t="s">
        <v>615</v>
      </c>
      <c r="BG7" s="8">
        <f>AY8</f>
        <v>22.5</v>
      </c>
      <c r="BH7" s="8">
        <f>(BG7-7)*3</f>
        <v>46.5</v>
      </c>
      <c r="BI7" s="8">
        <f>BA8</f>
        <v>24.827586206896552</v>
      </c>
      <c r="BJ7" s="8">
        <f>(BI7-7)*3</f>
        <v>53.482758620689651</v>
      </c>
      <c r="BK7" s="8">
        <v>75</v>
      </c>
      <c r="BO7" s="8">
        <f>(BC8-7)*3</f>
        <v>56.142857142857146</v>
      </c>
      <c r="BP7" s="8">
        <f>(BD8-7)*3</f>
        <v>62.07692307692308</v>
      </c>
      <c r="BQ7" s="8">
        <f>(BE8-7)*3</f>
        <v>69</v>
      </c>
    </row>
    <row r="8" spans="1:70" x14ac:dyDescent="0.2">
      <c r="F8" s="3"/>
      <c r="G8" s="4"/>
      <c r="J8" s="2" t="s">
        <v>607</v>
      </c>
      <c r="K8" s="8">
        <f>($K$9*4)/K7</f>
        <v>20</v>
      </c>
      <c r="L8" s="2" t="s">
        <v>613</v>
      </c>
      <c r="M8" s="8">
        <f t="shared" ref="M8:Q8" si="3">($K$9*4)/M7</f>
        <v>21.818181818181817</v>
      </c>
      <c r="N8" s="8">
        <f t="shared" si="3"/>
        <v>21.818181818181817</v>
      </c>
      <c r="O8" s="8">
        <f t="shared" si="3"/>
        <v>22.857142857142858</v>
      </c>
      <c r="P8" s="8">
        <f t="shared" si="3"/>
        <v>24</v>
      </c>
      <c r="Q8" s="8">
        <f t="shared" si="3"/>
        <v>25.263157894736842</v>
      </c>
      <c r="T8" s="8"/>
      <c r="U8" s="8"/>
      <c r="V8" s="8"/>
      <c r="W8" s="8"/>
      <c r="X8" s="8"/>
      <c r="Y8" s="8"/>
      <c r="Z8" s="8"/>
      <c r="AD8" s="2" t="s">
        <v>607</v>
      </c>
      <c r="AE8" s="8">
        <f>($AE$9*4)/AE7</f>
        <v>21.176470588235293</v>
      </c>
      <c r="AF8" s="2" t="s">
        <v>613</v>
      </c>
      <c r="AG8" s="8">
        <f t="shared" ref="AG8:AK8" si="4">($AE$9*4)/AG7</f>
        <v>24</v>
      </c>
      <c r="AH8" s="8">
        <f t="shared" si="4"/>
        <v>24</v>
      </c>
      <c r="AI8" s="8">
        <f t="shared" si="4"/>
        <v>24.827586206896552</v>
      </c>
      <c r="AJ8" s="8">
        <f t="shared" si="4"/>
        <v>26.181818181818183</v>
      </c>
      <c r="AK8" s="8">
        <f t="shared" si="4"/>
        <v>27.692307692307693</v>
      </c>
      <c r="AN8" s="8"/>
      <c r="AO8" s="8"/>
      <c r="AP8" s="8"/>
      <c r="AQ8" s="8"/>
      <c r="AR8" s="8"/>
      <c r="AS8" s="8"/>
      <c r="AX8" s="2" t="s">
        <v>607</v>
      </c>
      <c r="AY8" s="8">
        <f>($AY$9*4)/AY7</f>
        <v>22.5</v>
      </c>
      <c r="AZ8" s="2" t="s">
        <v>613</v>
      </c>
      <c r="BA8" s="8">
        <f t="shared" ref="BA8:BE8" si="5">($AY$9*4)/BA7</f>
        <v>24.827586206896552</v>
      </c>
      <c r="BB8" s="8">
        <f t="shared" si="5"/>
        <v>24.827586206896552</v>
      </c>
      <c r="BC8" s="8">
        <f t="shared" si="5"/>
        <v>25.714285714285715</v>
      </c>
      <c r="BD8" s="8">
        <f t="shared" si="5"/>
        <v>27.692307692307693</v>
      </c>
      <c r="BE8" s="8">
        <f t="shared" si="5"/>
        <v>30</v>
      </c>
      <c r="BH8" s="8"/>
      <c r="BI8" s="8"/>
      <c r="BJ8" s="8"/>
      <c r="BK8" s="8"/>
    </row>
    <row r="9" spans="1:70" x14ac:dyDescent="0.2">
      <c r="F9" s="3"/>
      <c r="G9" s="4"/>
      <c r="J9" s="2" t="s">
        <v>601</v>
      </c>
      <c r="K9" s="8">
        <v>90</v>
      </c>
      <c r="M9" s="8"/>
      <c r="N9" s="8"/>
      <c r="O9" s="8"/>
      <c r="P9" s="8"/>
      <c r="Q9" s="8"/>
      <c r="T9" s="8"/>
      <c r="U9" s="8"/>
      <c r="V9" s="8"/>
      <c r="W9" s="8"/>
      <c r="X9" s="8"/>
      <c r="Y9" s="8"/>
      <c r="Z9" s="8"/>
      <c r="AD9" s="2" t="s">
        <v>601</v>
      </c>
      <c r="AE9" s="8">
        <v>90</v>
      </c>
      <c r="AN9" s="8"/>
      <c r="AO9" s="8"/>
      <c r="AP9" s="8"/>
      <c r="AQ9" s="8"/>
      <c r="AR9" s="8"/>
      <c r="AS9" s="8"/>
      <c r="AX9" s="2" t="s">
        <v>601</v>
      </c>
      <c r="AY9" s="8">
        <v>90</v>
      </c>
      <c r="BH9" s="8"/>
      <c r="BI9" s="8"/>
      <c r="BJ9" s="8"/>
      <c r="BK9" s="8"/>
    </row>
    <row r="10" spans="1:70" s="13" customFormat="1" x14ac:dyDescent="0.2">
      <c r="B10" s="13" t="s">
        <v>341</v>
      </c>
      <c r="D10" s="13" t="s">
        <v>759</v>
      </c>
      <c r="F10" s="14"/>
      <c r="I10" s="14"/>
      <c r="N10" s="15" t="s">
        <v>669</v>
      </c>
      <c r="O10" s="15"/>
      <c r="P10" s="15"/>
      <c r="Q10" s="15"/>
      <c r="T10" s="17">
        <f>SUM(T7,T5)</f>
        <v>78</v>
      </c>
      <c r="V10" s="17">
        <f>SUM(V7,V5)</f>
        <v>88.514786418400874</v>
      </c>
      <c r="W10" s="17">
        <f>SUM(W7,W5)</f>
        <v>125</v>
      </c>
      <c r="AA10" s="17">
        <f t="shared" ref="AA10:AC10" si="6">SUM(AA7,AA5)</f>
        <v>93.238095238095241</v>
      </c>
      <c r="AB10" s="17">
        <f t="shared" si="6"/>
        <v>99.230769230769226</v>
      </c>
      <c r="AC10" s="17">
        <f t="shared" si="6"/>
        <v>105.78947368421052</v>
      </c>
      <c r="AH10" s="15" t="s">
        <v>669</v>
      </c>
      <c r="AI10" s="15"/>
      <c r="AJ10" s="15"/>
      <c r="AK10" s="15"/>
      <c r="AN10" s="17">
        <f>SUM(AN7,AN5)</f>
        <v>84.909693454846732</v>
      </c>
      <c r="AP10" s="17">
        <f>SUM(AP7,AP5)</f>
        <v>98.354430379746844</v>
      </c>
      <c r="AQ10" s="17">
        <f>SUM(AQ7,AQ5)</f>
        <v>125</v>
      </c>
      <c r="AU10" s="17">
        <f t="shared" ref="AU10:AW10" si="7">SUM(AU7,AU5)</f>
        <v>102.61262875055978</v>
      </c>
      <c r="AV10" s="17">
        <f t="shared" si="7"/>
        <v>108.54545454545455</v>
      </c>
      <c r="AW10" s="17">
        <f t="shared" si="7"/>
        <v>117.1332611050921</v>
      </c>
      <c r="BB10" s="15" t="s">
        <v>669</v>
      </c>
      <c r="BC10" s="15"/>
      <c r="BD10" s="15"/>
      <c r="BE10" s="15"/>
      <c r="BH10" s="17">
        <f>SUM(BH7,BH5)</f>
        <v>97.308510638297875</v>
      </c>
      <c r="BJ10" s="17">
        <f>SUM(BJ7,BJ5)</f>
        <v>108.53909664885867</v>
      </c>
      <c r="BK10" s="17">
        <f>SUM(BK7,BK5)</f>
        <v>145</v>
      </c>
      <c r="BO10" s="17">
        <f t="shared" ref="BO10:BQ10" si="8">SUM(BO7,BO5)</f>
        <v>112.28571428571429</v>
      </c>
      <c r="BP10" s="17">
        <f t="shared" si="8"/>
        <v>120.48868778280544</v>
      </c>
      <c r="BQ10" s="17">
        <f t="shared" si="8"/>
        <v>133.71428571428572</v>
      </c>
    </row>
    <row r="11" spans="1:70" ht="17" x14ac:dyDescent="0.2">
      <c r="B11" s="2" t="s">
        <v>34</v>
      </c>
      <c r="C11" s="2" t="s">
        <v>36</v>
      </c>
      <c r="D11" s="2" t="s">
        <v>568</v>
      </c>
      <c r="E11" s="3" t="s">
        <v>73</v>
      </c>
      <c r="F11" s="2" t="s">
        <v>75</v>
      </c>
      <c r="H11" s="3" t="s">
        <v>79</v>
      </c>
      <c r="I11" s="2" t="s">
        <v>427</v>
      </c>
      <c r="K11" s="2">
        <v>24</v>
      </c>
      <c r="L11" s="2" t="s">
        <v>613</v>
      </c>
      <c r="M11" s="2">
        <v>35</v>
      </c>
      <c r="N11" s="2">
        <v>35</v>
      </c>
      <c r="O11" s="2">
        <v>38</v>
      </c>
      <c r="P11" s="2">
        <v>41</v>
      </c>
      <c r="Q11" s="2">
        <v>44</v>
      </c>
      <c r="R11" s="2" t="s">
        <v>621</v>
      </c>
      <c r="S11" s="2">
        <f>K11</f>
        <v>24</v>
      </c>
      <c r="T11" s="2">
        <f>S11/2</f>
        <v>12</v>
      </c>
      <c r="U11" s="2">
        <f t="shared" ref="U11:U13" si="9">M11</f>
        <v>35</v>
      </c>
      <c r="V11" s="2">
        <f>U11/2</f>
        <v>17.5</v>
      </c>
      <c r="W11" s="2">
        <v>25</v>
      </c>
      <c r="AA11" s="8">
        <f>O11/2</f>
        <v>19</v>
      </c>
      <c r="AB11" s="8">
        <f>P11/2</f>
        <v>20.5</v>
      </c>
      <c r="AC11" s="8">
        <f>Q11/2</f>
        <v>22</v>
      </c>
      <c r="AE11" s="2">
        <v>26</v>
      </c>
      <c r="AF11" s="2" t="s">
        <v>613</v>
      </c>
      <c r="AG11" s="2">
        <v>38</v>
      </c>
      <c r="AH11" s="2">
        <v>38</v>
      </c>
      <c r="AI11" s="2">
        <v>40</v>
      </c>
      <c r="AJ11" s="2">
        <v>44</v>
      </c>
      <c r="AK11" s="2">
        <v>48</v>
      </c>
      <c r="AL11" s="2" t="s">
        <v>621</v>
      </c>
      <c r="AM11" s="2">
        <f>AE11</f>
        <v>26</v>
      </c>
      <c r="AN11" s="2">
        <f>AM11/2</f>
        <v>13</v>
      </c>
      <c r="AO11" s="2">
        <f t="shared" ref="AO11:AO13" si="10">AG11</f>
        <v>38</v>
      </c>
      <c r="AP11" s="2">
        <f>AO11/2</f>
        <v>19</v>
      </c>
      <c r="AQ11" s="2">
        <v>25</v>
      </c>
      <c r="AU11" s="8">
        <f>AI11/2</f>
        <v>20</v>
      </c>
      <c r="AV11" s="8">
        <f>AJ11/2</f>
        <v>22</v>
      </c>
      <c r="AW11" s="8">
        <f>AK11/2</f>
        <v>24</v>
      </c>
      <c r="AY11" s="2">
        <v>28</v>
      </c>
      <c r="AZ11" s="2" t="s">
        <v>613</v>
      </c>
      <c r="BA11" s="2">
        <v>40</v>
      </c>
      <c r="BB11" s="2">
        <v>40</v>
      </c>
      <c r="BC11" s="2">
        <v>44</v>
      </c>
      <c r="BD11" s="2">
        <v>47</v>
      </c>
      <c r="BE11" s="2">
        <v>50</v>
      </c>
      <c r="BF11" s="2" t="s">
        <v>621</v>
      </c>
      <c r="BG11" s="2">
        <f>AY11</f>
        <v>28</v>
      </c>
      <c r="BH11" s="2">
        <f>BG11/2</f>
        <v>14</v>
      </c>
      <c r="BI11" s="2">
        <f t="shared" ref="BI11:BI13" si="11">BA11</f>
        <v>40</v>
      </c>
      <c r="BJ11" s="2">
        <f>BI11/2</f>
        <v>20</v>
      </c>
      <c r="BK11" s="2">
        <v>25</v>
      </c>
      <c r="BO11" s="8">
        <f>BC11/2</f>
        <v>22</v>
      </c>
      <c r="BP11" s="8">
        <f>BD11/2</f>
        <v>23.5</v>
      </c>
      <c r="BQ11" s="8">
        <f>BE11/2</f>
        <v>25</v>
      </c>
    </row>
    <row r="12" spans="1:70" ht="17" x14ac:dyDescent="0.2">
      <c r="C12" s="2" t="s">
        <v>71</v>
      </c>
      <c r="D12" s="2" t="s">
        <v>569</v>
      </c>
      <c r="E12" s="3" t="s">
        <v>74</v>
      </c>
      <c r="F12" s="2" t="s">
        <v>75</v>
      </c>
      <c r="H12" s="3" t="s">
        <v>79</v>
      </c>
      <c r="I12" s="2" t="s">
        <v>427</v>
      </c>
      <c r="K12" s="2">
        <v>30</v>
      </c>
      <c r="L12" s="2" t="s">
        <v>613</v>
      </c>
      <c r="M12" s="2">
        <v>40</v>
      </c>
      <c r="N12" s="2">
        <v>40</v>
      </c>
      <c r="O12" s="2">
        <v>43</v>
      </c>
      <c r="P12" s="2">
        <v>46</v>
      </c>
      <c r="Q12" s="2">
        <v>50</v>
      </c>
      <c r="R12" s="2" t="s">
        <v>622</v>
      </c>
      <c r="S12" s="2">
        <f t="shared" ref="S12:S13" si="12">K12</f>
        <v>30</v>
      </c>
      <c r="T12" s="8">
        <f>S12/3</f>
        <v>10</v>
      </c>
      <c r="U12" s="2">
        <f t="shared" si="9"/>
        <v>40</v>
      </c>
      <c r="V12" s="8">
        <f>U12/3</f>
        <v>13.333333333333334</v>
      </c>
      <c r="W12" s="2">
        <v>25</v>
      </c>
      <c r="AA12" s="8">
        <f>O12/3</f>
        <v>14.333333333333334</v>
      </c>
      <c r="AB12" s="8">
        <f>P12/3</f>
        <v>15.333333333333334</v>
      </c>
      <c r="AC12" s="8">
        <f>Q12/3</f>
        <v>16.666666666666668</v>
      </c>
      <c r="AE12" s="2">
        <v>33</v>
      </c>
      <c r="AF12" s="2" t="s">
        <v>613</v>
      </c>
      <c r="AG12" s="2">
        <v>42</v>
      </c>
      <c r="AH12" s="2">
        <v>42</v>
      </c>
      <c r="AI12" s="2">
        <v>45</v>
      </c>
      <c r="AJ12" s="2">
        <v>48</v>
      </c>
      <c r="AK12" s="2">
        <v>52</v>
      </c>
      <c r="AL12" s="2" t="s">
        <v>622</v>
      </c>
      <c r="AM12" s="2">
        <f t="shared" ref="AM12:AM13" si="13">AE12</f>
        <v>33</v>
      </c>
      <c r="AN12" s="8">
        <f>AM12/3</f>
        <v>11</v>
      </c>
      <c r="AO12" s="2">
        <f t="shared" si="10"/>
        <v>42</v>
      </c>
      <c r="AP12" s="8">
        <f>AO12/3</f>
        <v>14</v>
      </c>
      <c r="AQ12" s="2">
        <v>25</v>
      </c>
      <c r="AU12" s="8">
        <f>AI12/3</f>
        <v>15</v>
      </c>
      <c r="AV12" s="8">
        <f>AJ12/3</f>
        <v>16</v>
      </c>
      <c r="AW12" s="8">
        <f>AK12/3</f>
        <v>17.333333333333332</v>
      </c>
      <c r="AY12" s="2">
        <v>35</v>
      </c>
      <c r="AZ12" s="2" t="s">
        <v>613</v>
      </c>
      <c r="BA12" s="2">
        <v>45</v>
      </c>
      <c r="BB12" s="2">
        <v>45</v>
      </c>
      <c r="BC12" s="2">
        <v>48</v>
      </c>
      <c r="BD12" s="2">
        <v>51</v>
      </c>
      <c r="BE12" s="2">
        <v>55</v>
      </c>
      <c r="BF12" s="2" t="s">
        <v>622</v>
      </c>
      <c r="BG12" s="2">
        <f t="shared" ref="BG12:BG13" si="14">AY12</f>
        <v>35</v>
      </c>
      <c r="BH12" s="8">
        <f>BG12/3</f>
        <v>11.666666666666666</v>
      </c>
      <c r="BI12" s="2">
        <f t="shared" si="11"/>
        <v>45</v>
      </c>
      <c r="BJ12" s="8">
        <f>BI12/3</f>
        <v>15</v>
      </c>
      <c r="BK12" s="2">
        <v>25</v>
      </c>
      <c r="BO12" s="8">
        <f>BC12/3</f>
        <v>16</v>
      </c>
      <c r="BP12" s="8">
        <f>BD12/3</f>
        <v>17</v>
      </c>
      <c r="BQ12" s="8">
        <f>BE12/3</f>
        <v>18.333333333333332</v>
      </c>
    </row>
    <row r="13" spans="1:70" ht="17" x14ac:dyDescent="0.2">
      <c r="C13" s="2" t="s">
        <v>35</v>
      </c>
      <c r="D13" s="2" t="s">
        <v>620</v>
      </c>
      <c r="E13" s="3" t="s">
        <v>72</v>
      </c>
      <c r="F13" s="2" t="s">
        <v>75</v>
      </c>
      <c r="H13" s="3" t="s">
        <v>79</v>
      </c>
      <c r="I13" s="2" t="s">
        <v>427</v>
      </c>
      <c r="K13" s="2">
        <v>6</v>
      </c>
      <c r="L13" s="2" t="s">
        <v>613</v>
      </c>
      <c r="M13" s="2">
        <v>12</v>
      </c>
      <c r="N13" s="2">
        <v>12</v>
      </c>
      <c r="O13" s="2">
        <v>15</v>
      </c>
      <c r="P13" s="2">
        <v>18</v>
      </c>
      <c r="Q13" s="2">
        <v>20</v>
      </c>
      <c r="R13" s="2" t="s">
        <v>568</v>
      </c>
      <c r="S13" s="2">
        <f t="shared" si="12"/>
        <v>6</v>
      </c>
      <c r="T13" s="2">
        <f>S13</f>
        <v>6</v>
      </c>
      <c r="U13" s="2">
        <f t="shared" si="9"/>
        <v>12</v>
      </c>
      <c r="V13" s="2">
        <f>U13</f>
        <v>12</v>
      </c>
      <c r="W13" s="2">
        <v>25</v>
      </c>
      <c r="AA13" s="8">
        <f>O13</f>
        <v>15</v>
      </c>
      <c r="AB13" s="8">
        <f>P13</f>
        <v>18</v>
      </c>
      <c r="AC13" s="8">
        <f>Q13</f>
        <v>20</v>
      </c>
      <c r="AE13" s="2">
        <v>8</v>
      </c>
      <c r="AF13" s="2" t="s">
        <v>613</v>
      </c>
      <c r="AG13" s="2">
        <v>14</v>
      </c>
      <c r="AH13" s="2">
        <v>14</v>
      </c>
      <c r="AI13" s="2">
        <v>17</v>
      </c>
      <c r="AJ13" s="2">
        <v>20</v>
      </c>
      <c r="AK13" s="2">
        <v>22</v>
      </c>
      <c r="AL13" s="2" t="s">
        <v>568</v>
      </c>
      <c r="AM13" s="2">
        <f t="shared" si="13"/>
        <v>8</v>
      </c>
      <c r="AN13" s="2">
        <f>AM13</f>
        <v>8</v>
      </c>
      <c r="AO13" s="2">
        <f t="shared" si="10"/>
        <v>14</v>
      </c>
      <c r="AP13" s="2">
        <f>AO13</f>
        <v>14</v>
      </c>
      <c r="AQ13" s="2">
        <v>25</v>
      </c>
      <c r="AU13" s="8">
        <f>AI13</f>
        <v>17</v>
      </c>
      <c r="AV13" s="8">
        <f>AJ13</f>
        <v>20</v>
      </c>
      <c r="AW13" s="8">
        <f>AK13</f>
        <v>22</v>
      </c>
      <c r="AY13" s="2">
        <v>10</v>
      </c>
      <c r="AZ13" s="2" t="s">
        <v>613</v>
      </c>
      <c r="BA13" s="2">
        <v>16</v>
      </c>
      <c r="BB13" s="2">
        <v>16</v>
      </c>
      <c r="BC13" s="2">
        <v>18</v>
      </c>
      <c r="BD13" s="2">
        <v>21</v>
      </c>
      <c r="BE13" s="2">
        <v>25</v>
      </c>
      <c r="BF13" s="2" t="s">
        <v>568</v>
      </c>
      <c r="BG13" s="2">
        <f t="shared" si="14"/>
        <v>10</v>
      </c>
      <c r="BH13" s="2">
        <f>BG13</f>
        <v>10</v>
      </c>
      <c r="BI13" s="2">
        <f t="shared" si="11"/>
        <v>16</v>
      </c>
      <c r="BJ13" s="2">
        <f>BI13</f>
        <v>16</v>
      </c>
      <c r="BK13" s="2">
        <v>25</v>
      </c>
      <c r="BO13" s="8">
        <f>BC13</f>
        <v>18</v>
      </c>
      <c r="BP13" s="8">
        <f>BD13</f>
        <v>21</v>
      </c>
      <c r="BQ13" s="8">
        <f>BE13</f>
        <v>25</v>
      </c>
    </row>
    <row r="14" spans="1:70" s="13" customFormat="1" x14ac:dyDescent="0.2">
      <c r="B14" s="13" t="s">
        <v>397</v>
      </c>
      <c r="D14" s="13" t="s">
        <v>761</v>
      </c>
      <c r="F14" s="14"/>
      <c r="I14" s="14"/>
      <c r="N14" s="15" t="s">
        <v>669</v>
      </c>
      <c r="O14" s="15"/>
      <c r="P14" s="15"/>
      <c r="Q14" s="15"/>
      <c r="R14" s="59"/>
      <c r="T14" s="75">
        <f>SUM(T11:T13)</f>
        <v>28</v>
      </c>
      <c r="V14" s="75">
        <f>SUM(V11:V13)</f>
        <v>42.833333333333336</v>
      </c>
      <c r="W14" s="75">
        <f>SUM(W11:W13)</f>
        <v>75</v>
      </c>
      <c r="AA14" s="75">
        <f t="shared" ref="AA14" si="15">SUM(AA11:AA13)</f>
        <v>48.333333333333336</v>
      </c>
      <c r="AB14" s="75">
        <f t="shared" ref="AB14" si="16">SUM(AB11:AB13)</f>
        <v>53.833333333333336</v>
      </c>
      <c r="AC14" s="75">
        <f t="shared" ref="AC14" si="17">SUM(AC11:AC13)</f>
        <v>58.666666666666671</v>
      </c>
      <c r="AH14" s="15" t="s">
        <v>669</v>
      </c>
      <c r="AI14" s="15"/>
      <c r="AJ14" s="15"/>
      <c r="AK14" s="15"/>
      <c r="AL14" s="59"/>
      <c r="AN14" s="75">
        <f>SUM(AN11:AN13)</f>
        <v>32</v>
      </c>
      <c r="AP14" s="75">
        <f>SUM(AP11:AP13)</f>
        <v>47</v>
      </c>
      <c r="AQ14" s="75">
        <f>SUM(AQ11:AQ13)</f>
        <v>75</v>
      </c>
      <c r="AU14" s="75">
        <f t="shared" ref="AU14" si="18">SUM(AU11:AU13)</f>
        <v>52</v>
      </c>
      <c r="AV14" s="75">
        <f t="shared" ref="AV14" si="19">SUM(AV11:AV13)</f>
        <v>58</v>
      </c>
      <c r="AW14" s="75">
        <f t="shared" ref="AW14" si="20">SUM(AW11:AW13)</f>
        <v>63.333333333333329</v>
      </c>
      <c r="BB14" s="15" t="s">
        <v>669</v>
      </c>
      <c r="BC14" s="15"/>
      <c r="BD14" s="15"/>
      <c r="BE14" s="15"/>
      <c r="BF14" s="59"/>
      <c r="BH14" s="75">
        <f>SUM(BH11:BH13)</f>
        <v>35.666666666666664</v>
      </c>
      <c r="BJ14" s="75">
        <f>SUM(BJ11:BJ13)</f>
        <v>51</v>
      </c>
      <c r="BK14" s="75">
        <f>SUM(BK11:BK13)</f>
        <v>75</v>
      </c>
      <c r="BO14" s="75">
        <f t="shared" ref="BO14:BQ14" si="21">SUM(BO11:BO13)</f>
        <v>56</v>
      </c>
      <c r="BP14" s="75">
        <f t="shared" si="21"/>
        <v>61.5</v>
      </c>
      <c r="BQ14" s="75">
        <f t="shared" si="21"/>
        <v>68.333333333333329</v>
      </c>
    </row>
    <row r="15" spans="1:70" ht="51" x14ac:dyDescent="0.2">
      <c r="B15" s="2" t="s">
        <v>37</v>
      </c>
      <c r="C15" s="2" t="s">
        <v>40</v>
      </c>
      <c r="D15" s="2" t="s">
        <v>408</v>
      </c>
      <c r="E15" s="3" t="s">
        <v>83</v>
      </c>
      <c r="F15" s="2" t="s">
        <v>77</v>
      </c>
      <c r="G15" s="3" t="s">
        <v>163</v>
      </c>
      <c r="H15" s="3" t="s">
        <v>84</v>
      </c>
      <c r="I15" s="2" t="s">
        <v>170</v>
      </c>
      <c r="K15" s="2">
        <v>13</v>
      </c>
      <c r="L15" s="2" t="s">
        <v>613</v>
      </c>
      <c r="M15" s="2">
        <v>18</v>
      </c>
      <c r="N15" s="2">
        <v>18</v>
      </c>
      <c r="O15" s="2">
        <v>19</v>
      </c>
      <c r="P15" s="2">
        <v>20</v>
      </c>
      <c r="Q15" s="2">
        <v>22</v>
      </c>
      <c r="R15" s="2" t="str">
        <f>$D15</f>
        <v>ASPJUMP</v>
      </c>
      <c r="S15" s="2">
        <f>K15</f>
        <v>13</v>
      </c>
      <c r="T15" s="2">
        <f>S15</f>
        <v>13</v>
      </c>
      <c r="U15" s="2">
        <f t="shared" ref="U15:U17" si="22">M15</f>
        <v>18</v>
      </c>
      <c r="V15" s="2">
        <f t="shared" ref="V15:V17" si="23">U15</f>
        <v>18</v>
      </c>
      <c r="W15" s="2">
        <v>30</v>
      </c>
      <c r="AA15" s="2">
        <f>O15</f>
        <v>19</v>
      </c>
      <c r="AB15" s="2">
        <f>P15</f>
        <v>20</v>
      </c>
      <c r="AC15" s="2">
        <f>Q15</f>
        <v>22</v>
      </c>
      <c r="AE15" s="2">
        <v>14</v>
      </c>
      <c r="AF15" s="2" t="s">
        <v>613</v>
      </c>
      <c r="AG15" s="2">
        <v>20</v>
      </c>
      <c r="AH15" s="2">
        <v>20</v>
      </c>
      <c r="AI15" s="2">
        <v>22</v>
      </c>
      <c r="AJ15" s="2">
        <v>24</v>
      </c>
      <c r="AK15" s="2">
        <v>26</v>
      </c>
      <c r="AL15" s="2" t="str">
        <f>$D15</f>
        <v>ASPJUMP</v>
      </c>
      <c r="AM15" s="2">
        <f>AE15</f>
        <v>14</v>
      </c>
      <c r="AN15" s="2">
        <f>AM15</f>
        <v>14</v>
      </c>
      <c r="AO15" s="2">
        <f t="shared" ref="AO15:AO17" si="24">AG15</f>
        <v>20</v>
      </c>
      <c r="AP15" s="2">
        <f t="shared" ref="AP15:AP17" si="25">AO15</f>
        <v>20</v>
      </c>
      <c r="AQ15" s="2">
        <v>30</v>
      </c>
      <c r="AU15" s="2">
        <f>AI15</f>
        <v>22</v>
      </c>
      <c r="AV15" s="2">
        <f>AJ15</f>
        <v>24</v>
      </c>
      <c r="AW15" s="2">
        <f>AK15</f>
        <v>26</v>
      </c>
      <c r="AY15" s="2">
        <v>18</v>
      </c>
      <c r="AZ15" s="2" t="s">
        <v>613</v>
      </c>
      <c r="BA15" s="2">
        <v>24</v>
      </c>
      <c r="BB15" s="2">
        <v>24</v>
      </c>
      <c r="BC15" s="2">
        <v>26</v>
      </c>
      <c r="BD15" s="2">
        <v>28</v>
      </c>
      <c r="BE15" s="2">
        <v>30</v>
      </c>
      <c r="BF15" s="2" t="str">
        <f>$D15</f>
        <v>ASPJUMP</v>
      </c>
      <c r="BG15" s="2">
        <f>AY15</f>
        <v>18</v>
      </c>
      <c r="BH15" s="2">
        <f>BG15</f>
        <v>18</v>
      </c>
      <c r="BI15" s="2">
        <f t="shared" ref="BI15:BI17" si="26">BA15</f>
        <v>24</v>
      </c>
      <c r="BJ15" s="2">
        <f t="shared" ref="BJ15:BJ17" si="27">BI15</f>
        <v>24</v>
      </c>
      <c r="BK15" s="2">
        <v>35</v>
      </c>
      <c r="BO15" s="2">
        <f>BC15</f>
        <v>26</v>
      </c>
      <c r="BP15" s="2">
        <f>BD15</f>
        <v>28</v>
      </c>
      <c r="BQ15" s="2">
        <f>BE15</f>
        <v>30</v>
      </c>
    </row>
    <row r="16" spans="1:70" ht="44" customHeight="1" x14ac:dyDescent="0.2">
      <c r="B16" s="2" t="s">
        <v>37</v>
      </c>
      <c r="C16" s="2" t="s">
        <v>38</v>
      </c>
      <c r="D16" s="2" t="s">
        <v>623</v>
      </c>
      <c r="E16" s="3" t="s">
        <v>81</v>
      </c>
      <c r="F16" s="2" t="s">
        <v>77</v>
      </c>
      <c r="G16" s="3" t="s">
        <v>163</v>
      </c>
      <c r="H16" s="3" t="s">
        <v>78</v>
      </c>
      <c r="I16" s="2" t="s">
        <v>169</v>
      </c>
      <c r="K16" s="2">
        <v>10</v>
      </c>
      <c r="L16" s="2" t="s">
        <v>613</v>
      </c>
      <c r="M16" s="2">
        <v>14</v>
      </c>
      <c r="N16" s="2">
        <v>14</v>
      </c>
      <c r="O16" s="2">
        <v>15</v>
      </c>
      <c r="P16" s="2">
        <v>17</v>
      </c>
      <c r="Q16" s="2">
        <v>19</v>
      </c>
      <c r="R16" s="2" t="str">
        <f t="shared" ref="R16:R17" si="28">$D16</f>
        <v>ASPSCP</v>
      </c>
      <c r="S16" s="2">
        <f t="shared" ref="S16:S17" si="29">K16</f>
        <v>10</v>
      </c>
      <c r="T16" s="2">
        <f t="shared" ref="T16:T17" si="30">S16</f>
        <v>10</v>
      </c>
      <c r="U16" s="2">
        <f t="shared" si="22"/>
        <v>14</v>
      </c>
      <c r="V16" s="2">
        <f t="shared" si="23"/>
        <v>14</v>
      </c>
      <c r="W16" s="2">
        <v>30</v>
      </c>
      <c r="AA16" s="2">
        <f>O16</f>
        <v>15</v>
      </c>
      <c r="AB16" s="2">
        <f>P16</f>
        <v>17</v>
      </c>
      <c r="AC16" s="2">
        <f>Q16</f>
        <v>19</v>
      </c>
      <c r="AE16" s="2">
        <v>12</v>
      </c>
      <c r="AF16" s="2" t="s">
        <v>613</v>
      </c>
      <c r="AG16" s="2">
        <v>18</v>
      </c>
      <c r="AH16" s="2">
        <v>18</v>
      </c>
      <c r="AI16" s="2">
        <v>19</v>
      </c>
      <c r="AJ16" s="2">
        <v>20</v>
      </c>
      <c r="AK16" s="2">
        <v>22</v>
      </c>
      <c r="AL16" s="2" t="str">
        <f t="shared" ref="AL16:AL17" si="31">$D16</f>
        <v>ASPSCP</v>
      </c>
      <c r="AM16" s="2">
        <f t="shared" ref="AM16:AM17" si="32">AE16</f>
        <v>12</v>
      </c>
      <c r="AN16" s="2">
        <f t="shared" ref="AN16:AN17" si="33">AM16</f>
        <v>12</v>
      </c>
      <c r="AO16" s="2">
        <f t="shared" si="24"/>
        <v>18</v>
      </c>
      <c r="AP16" s="2">
        <f t="shared" si="25"/>
        <v>18</v>
      </c>
      <c r="AQ16" s="2">
        <v>30</v>
      </c>
      <c r="AU16" s="2">
        <f>AI16</f>
        <v>19</v>
      </c>
      <c r="AV16" s="2">
        <f>AJ16</f>
        <v>20</v>
      </c>
      <c r="AW16" s="2">
        <f>AK16</f>
        <v>22</v>
      </c>
      <c r="AY16" s="2">
        <v>16</v>
      </c>
      <c r="AZ16" s="2" t="s">
        <v>613</v>
      </c>
      <c r="BA16" s="2">
        <v>22</v>
      </c>
      <c r="BB16" s="2">
        <v>22</v>
      </c>
      <c r="BC16" s="2">
        <v>24</v>
      </c>
      <c r="BD16" s="2">
        <v>26</v>
      </c>
      <c r="BE16" s="2">
        <v>28</v>
      </c>
      <c r="BF16" s="2" t="str">
        <f t="shared" ref="BF16:BF17" si="34">$D16</f>
        <v>ASPSCP</v>
      </c>
      <c r="BG16" s="2">
        <f t="shared" ref="BG16:BG17" si="35">AY16</f>
        <v>16</v>
      </c>
      <c r="BH16" s="2">
        <f t="shared" ref="BH16:BH17" si="36">BG16</f>
        <v>16</v>
      </c>
      <c r="BI16" s="2">
        <f t="shared" si="26"/>
        <v>22</v>
      </c>
      <c r="BJ16" s="2">
        <f t="shared" si="27"/>
        <v>22</v>
      </c>
      <c r="BK16" s="2">
        <v>35</v>
      </c>
      <c r="BO16" s="2">
        <f>BC16</f>
        <v>24</v>
      </c>
      <c r="BP16" s="2">
        <f>BD16</f>
        <v>26</v>
      </c>
      <c r="BQ16" s="2">
        <f>BE16</f>
        <v>28</v>
      </c>
    </row>
    <row r="17" spans="1:69" ht="39" customHeight="1" x14ac:dyDescent="0.2">
      <c r="C17" s="2" t="s">
        <v>39</v>
      </c>
      <c r="D17" s="2" t="s">
        <v>624</v>
      </c>
      <c r="E17" s="3" t="s">
        <v>82</v>
      </c>
      <c r="F17" s="2" t="s">
        <v>77</v>
      </c>
      <c r="G17" s="3" t="s">
        <v>163</v>
      </c>
      <c r="H17" s="3" t="s">
        <v>78</v>
      </c>
      <c r="I17" s="2" t="s">
        <v>169</v>
      </c>
      <c r="K17" s="2">
        <v>10</v>
      </c>
      <c r="L17" s="2" t="s">
        <v>613</v>
      </c>
      <c r="M17" s="2">
        <v>14</v>
      </c>
      <c r="N17" s="2">
        <v>14</v>
      </c>
      <c r="O17" s="2">
        <v>15</v>
      </c>
      <c r="P17" s="2">
        <v>17</v>
      </c>
      <c r="Q17" s="2">
        <v>19</v>
      </c>
      <c r="R17" s="2" t="str">
        <f t="shared" si="28"/>
        <v>ASPSUP</v>
      </c>
      <c r="S17" s="2">
        <f t="shared" si="29"/>
        <v>10</v>
      </c>
      <c r="T17" s="2">
        <f t="shared" si="30"/>
        <v>10</v>
      </c>
      <c r="U17" s="2">
        <f t="shared" si="22"/>
        <v>14</v>
      </c>
      <c r="V17" s="2">
        <f t="shared" si="23"/>
        <v>14</v>
      </c>
      <c r="W17" s="2">
        <v>30</v>
      </c>
      <c r="AA17" s="2">
        <f>O17</f>
        <v>15</v>
      </c>
      <c r="AB17" s="2">
        <f>P17</f>
        <v>17</v>
      </c>
      <c r="AC17" s="2">
        <f>Q17</f>
        <v>19</v>
      </c>
      <c r="AE17" s="2">
        <v>12</v>
      </c>
      <c r="AF17" s="2" t="s">
        <v>613</v>
      </c>
      <c r="AG17" s="2">
        <v>18</v>
      </c>
      <c r="AH17" s="2">
        <v>18</v>
      </c>
      <c r="AI17" s="2">
        <v>19</v>
      </c>
      <c r="AJ17" s="2">
        <v>20</v>
      </c>
      <c r="AK17" s="2">
        <v>22</v>
      </c>
      <c r="AL17" s="2" t="str">
        <f t="shared" si="31"/>
        <v>ASPSUP</v>
      </c>
      <c r="AM17" s="2">
        <f t="shared" si="32"/>
        <v>12</v>
      </c>
      <c r="AN17" s="2">
        <f t="shared" si="33"/>
        <v>12</v>
      </c>
      <c r="AO17" s="2">
        <f t="shared" si="24"/>
        <v>18</v>
      </c>
      <c r="AP17" s="2">
        <f t="shared" si="25"/>
        <v>18</v>
      </c>
      <c r="AQ17" s="2">
        <v>30</v>
      </c>
      <c r="AU17" s="2">
        <f>AI17</f>
        <v>19</v>
      </c>
      <c r="AV17" s="2">
        <f>AJ17</f>
        <v>20</v>
      </c>
      <c r="AW17" s="2">
        <f>AK17</f>
        <v>22</v>
      </c>
      <c r="AY17" s="2">
        <v>16</v>
      </c>
      <c r="AZ17" s="2" t="s">
        <v>613</v>
      </c>
      <c r="BA17" s="2">
        <v>22</v>
      </c>
      <c r="BB17" s="2">
        <v>22</v>
      </c>
      <c r="BC17" s="2">
        <v>24</v>
      </c>
      <c r="BD17" s="2">
        <v>26</v>
      </c>
      <c r="BE17" s="2">
        <v>28</v>
      </c>
      <c r="BF17" s="2" t="str">
        <f t="shared" si="34"/>
        <v>ASPSUP</v>
      </c>
      <c r="BG17" s="2">
        <f t="shared" si="35"/>
        <v>16</v>
      </c>
      <c r="BH17" s="2">
        <f t="shared" si="36"/>
        <v>16</v>
      </c>
      <c r="BI17" s="2">
        <f t="shared" si="26"/>
        <v>22</v>
      </c>
      <c r="BJ17" s="2">
        <f t="shared" si="27"/>
        <v>22</v>
      </c>
      <c r="BK17" s="2">
        <v>35</v>
      </c>
      <c r="BO17" s="2">
        <f>BC17</f>
        <v>24</v>
      </c>
      <c r="BP17" s="2">
        <f>BD17</f>
        <v>26</v>
      </c>
      <c r="BQ17" s="2">
        <f>BE17</f>
        <v>28</v>
      </c>
    </row>
    <row r="18" spans="1:69" s="13" customFormat="1" x14ac:dyDescent="0.2">
      <c r="B18" s="13" t="s">
        <v>344</v>
      </c>
      <c r="D18" s="13" t="s">
        <v>760</v>
      </c>
      <c r="F18" s="14"/>
      <c r="G18" s="14"/>
      <c r="H18" s="14"/>
      <c r="I18" s="14"/>
      <c r="N18" s="15" t="s">
        <v>669</v>
      </c>
      <c r="O18" s="15"/>
      <c r="P18" s="15"/>
      <c r="Q18" s="15"/>
      <c r="R18" s="59"/>
      <c r="T18" s="75">
        <f>SUM(T15:T17)</f>
        <v>33</v>
      </c>
      <c r="V18" s="75">
        <f>SUM(V15:V17)</f>
        <v>46</v>
      </c>
      <c r="W18" s="75">
        <f>SUM(W15:W17)</f>
        <v>90</v>
      </c>
      <c r="AA18" s="75">
        <f t="shared" ref="AA18" si="37">SUM(AA15:AA17)</f>
        <v>49</v>
      </c>
      <c r="AB18" s="75">
        <f t="shared" ref="AB18" si="38">SUM(AB15:AB17)</f>
        <v>54</v>
      </c>
      <c r="AC18" s="75">
        <f t="shared" ref="AC18" si="39">SUM(AC15:AC17)</f>
        <v>60</v>
      </c>
      <c r="AH18" s="15" t="s">
        <v>669</v>
      </c>
      <c r="AI18" s="15"/>
      <c r="AJ18" s="15"/>
      <c r="AK18" s="15"/>
      <c r="AL18" s="59"/>
      <c r="AN18" s="75">
        <f>SUM(AN15:AN17)</f>
        <v>38</v>
      </c>
      <c r="AP18" s="75">
        <f>SUM(AP15:AP17)</f>
        <v>56</v>
      </c>
      <c r="AQ18" s="75">
        <f>SUM(AQ15:AQ17)</f>
        <v>90</v>
      </c>
      <c r="AU18" s="75">
        <f t="shared" ref="AU18" si="40">SUM(AU15:AU17)</f>
        <v>60</v>
      </c>
      <c r="AV18" s="75">
        <f t="shared" ref="AV18" si="41">SUM(AV15:AV17)</f>
        <v>64</v>
      </c>
      <c r="AW18" s="75">
        <f t="shared" ref="AW18" si="42">SUM(AW15:AW17)</f>
        <v>70</v>
      </c>
      <c r="BB18" s="15" t="s">
        <v>669</v>
      </c>
      <c r="BC18" s="15"/>
      <c r="BD18" s="15"/>
      <c r="BE18" s="15"/>
      <c r="BF18" s="59"/>
      <c r="BH18" s="75">
        <f>SUM(BH15:BH17)</f>
        <v>50</v>
      </c>
      <c r="BJ18" s="75">
        <f>SUM(BJ15:BJ17)</f>
        <v>68</v>
      </c>
      <c r="BK18" s="75">
        <f>SUM(BK15:BK17)</f>
        <v>105</v>
      </c>
      <c r="BO18" s="75">
        <f t="shared" ref="BO18:BQ18" si="43">SUM(BO15:BO17)</f>
        <v>74</v>
      </c>
      <c r="BP18" s="75">
        <f t="shared" si="43"/>
        <v>80</v>
      </c>
      <c r="BQ18" s="75">
        <f t="shared" si="43"/>
        <v>86</v>
      </c>
    </row>
    <row r="19" spans="1:69" ht="68" x14ac:dyDescent="0.2">
      <c r="B19" s="2" t="s">
        <v>41</v>
      </c>
      <c r="C19" s="2" t="s">
        <v>42</v>
      </c>
      <c r="D19" s="2" t="s">
        <v>352</v>
      </c>
      <c r="E19" s="3" t="s">
        <v>85</v>
      </c>
      <c r="F19" s="3" t="s">
        <v>172</v>
      </c>
      <c r="G19" s="3" t="s">
        <v>171</v>
      </c>
      <c r="H19" s="3" t="s">
        <v>80</v>
      </c>
      <c r="I19" s="2" t="s">
        <v>173</v>
      </c>
      <c r="K19" s="2">
        <v>15</v>
      </c>
      <c r="L19" s="2" t="s">
        <v>613</v>
      </c>
      <c r="M19" s="2">
        <v>24</v>
      </c>
      <c r="N19" s="2">
        <v>24</v>
      </c>
      <c r="O19" s="2">
        <v>25</v>
      </c>
      <c r="P19" s="2">
        <v>27</v>
      </c>
      <c r="Q19" s="2">
        <v>30</v>
      </c>
      <c r="R19" s="2" t="s">
        <v>367</v>
      </c>
      <c r="S19" s="2">
        <f>K19</f>
        <v>15</v>
      </c>
      <c r="T19" s="8">
        <f>S19/3</f>
        <v>5</v>
      </c>
      <c r="U19" s="2">
        <f t="shared" ref="U19:U20" si="44">M19</f>
        <v>24</v>
      </c>
      <c r="V19" s="8">
        <f>U19/3</f>
        <v>8</v>
      </c>
      <c r="W19" s="8">
        <f>30/3</f>
        <v>10</v>
      </c>
      <c r="AA19" s="8">
        <f>O19/3</f>
        <v>8.3333333333333339</v>
      </c>
      <c r="AB19" s="8">
        <f>P19/3</f>
        <v>9</v>
      </c>
      <c r="AC19" s="8">
        <f>Q19/3</f>
        <v>10</v>
      </c>
      <c r="AE19" s="2">
        <v>15</v>
      </c>
      <c r="AF19" s="2" t="s">
        <v>613</v>
      </c>
      <c r="AG19" s="2">
        <v>24</v>
      </c>
      <c r="AH19" s="2">
        <v>24</v>
      </c>
      <c r="AI19" s="2">
        <v>25</v>
      </c>
      <c r="AJ19" s="2">
        <v>27</v>
      </c>
      <c r="AK19" s="2">
        <v>30</v>
      </c>
      <c r="AL19" s="2" t="s">
        <v>367</v>
      </c>
      <c r="AM19" s="2">
        <f>AE19</f>
        <v>15</v>
      </c>
      <c r="AN19" s="8">
        <f>AM19/3</f>
        <v>5</v>
      </c>
      <c r="AO19" s="2">
        <f t="shared" ref="AO19:AO20" si="45">AG19</f>
        <v>24</v>
      </c>
      <c r="AP19" s="8">
        <f>AO19/3</f>
        <v>8</v>
      </c>
      <c r="AQ19" s="8">
        <f>30/3</f>
        <v>10</v>
      </c>
      <c r="AU19" s="8">
        <f>AI19/3</f>
        <v>8.3333333333333339</v>
      </c>
      <c r="AV19" s="8">
        <f>AJ19/3</f>
        <v>9</v>
      </c>
      <c r="AW19" s="8">
        <f>AK19/3</f>
        <v>10</v>
      </c>
      <c r="AY19" s="2">
        <v>15</v>
      </c>
      <c r="AZ19" s="2" t="s">
        <v>613</v>
      </c>
      <c r="BA19" s="2">
        <v>24</v>
      </c>
      <c r="BB19" s="2">
        <v>24</v>
      </c>
      <c r="BC19" s="2">
        <v>25</v>
      </c>
      <c r="BD19" s="2">
        <v>27</v>
      </c>
      <c r="BE19" s="2">
        <v>30</v>
      </c>
      <c r="BF19" s="2" t="s">
        <v>367</v>
      </c>
      <c r="BG19" s="2">
        <f>AY19</f>
        <v>15</v>
      </c>
      <c r="BH19" s="8">
        <f>BG19/3</f>
        <v>5</v>
      </c>
      <c r="BI19" s="2">
        <f t="shared" ref="BI19:BI20" si="46">BA19</f>
        <v>24</v>
      </c>
      <c r="BJ19" s="8">
        <f>BI19/3</f>
        <v>8</v>
      </c>
      <c r="BK19" s="8">
        <f>30/3</f>
        <v>10</v>
      </c>
      <c r="BO19" s="8">
        <f>BC19/3</f>
        <v>8.3333333333333339</v>
      </c>
      <c r="BP19" s="8">
        <f>BD19/3</f>
        <v>9</v>
      </c>
      <c r="BQ19" s="8">
        <f>BE19/3</f>
        <v>10</v>
      </c>
    </row>
    <row r="20" spans="1:69" ht="68" x14ac:dyDescent="0.2">
      <c r="C20" s="2" t="s">
        <v>43</v>
      </c>
      <c r="D20" s="2" t="s">
        <v>351</v>
      </c>
      <c r="E20" s="3" t="s">
        <v>86</v>
      </c>
      <c r="F20" s="3" t="s">
        <v>172</v>
      </c>
      <c r="G20" s="3" t="s">
        <v>171</v>
      </c>
      <c r="H20" s="3" t="s">
        <v>80</v>
      </c>
      <c r="I20" s="2" t="s">
        <v>173</v>
      </c>
      <c r="K20" s="9">
        <v>15</v>
      </c>
      <c r="L20" s="2" t="s">
        <v>613</v>
      </c>
      <c r="M20" s="9">
        <v>21.5</v>
      </c>
      <c r="N20" s="8">
        <v>21.5</v>
      </c>
      <c r="O20" s="2">
        <v>23</v>
      </c>
      <c r="P20" s="2">
        <v>25</v>
      </c>
      <c r="Q20" s="2">
        <v>27</v>
      </c>
      <c r="R20" s="2" t="s">
        <v>366</v>
      </c>
      <c r="S20" s="2">
        <f>K20</f>
        <v>15</v>
      </c>
      <c r="T20" s="8">
        <f>S20/2</f>
        <v>7.5</v>
      </c>
      <c r="U20" s="2">
        <f t="shared" si="44"/>
        <v>21.5</v>
      </c>
      <c r="V20" s="8">
        <f>U20/2</f>
        <v>10.75</v>
      </c>
      <c r="W20" s="8">
        <f>30/2</f>
        <v>15</v>
      </c>
      <c r="AA20" s="8">
        <f>O20/2</f>
        <v>11.5</v>
      </c>
      <c r="AB20" s="8">
        <f>P20/2</f>
        <v>12.5</v>
      </c>
      <c r="AC20" s="8">
        <f>Q20/2</f>
        <v>13.5</v>
      </c>
      <c r="AE20" s="9">
        <v>15</v>
      </c>
      <c r="AF20" s="2" t="s">
        <v>613</v>
      </c>
      <c r="AG20" s="9">
        <v>21.5</v>
      </c>
      <c r="AH20" s="8">
        <v>21.5</v>
      </c>
      <c r="AI20" s="2">
        <v>23</v>
      </c>
      <c r="AJ20" s="2">
        <v>25</v>
      </c>
      <c r="AK20" s="2">
        <v>27</v>
      </c>
      <c r="AL20" s="2" t="s">
        <v>366</v>
      </c>
      <c r="AM20" s="2">
        <f>AE20</f>
        <v>15</v>
      </c>
      <c r="AN20" s="8">
        <f>AM20/2</f>
        <v>7.5</v>
      </c>
      <c r="AO20" s="2">
        <f t="shared" si="45"/>
        <v>21.5</v>
      </c>
      <c r="AP20" s="8">
        <f>AO20/2</f>
        <v>10.75</v>
      </c>
      <c r="AQ20" s="8">
        <f>30/2</f>
        <v>15</v>
      </c>
      <c r="AU20" s="8">
        <f>AI20/2</f>
        <v>11.5</v>
      </c>
      <c r="AV20" s="8">
        <f>AJ20/2</f>
        <v>12.5</v>
      </c>
      <c r="AW20" s="8">
        <f>AK20/2</f>
        <v>13.5</v>
      </c>
      <c r="AY20" s="9">
        <v>15</v>
      </c>
      <c r="AZ20" s="2" t="s">
        <v>613</v>
      </c>
      <c r="BA20" s="9">
        <v>21.5</v>
      </c>
      <c r="BB20" s="8">
        <v>21.5</v>
      </c>
      <c r="BC20" s="2">
        <v>23</v>
      </c>
      <c r="BD20" s="2">
        <v>25</v>
      </c>
      <c r="BE20" s="2">
        <v>27</v>
      </c>
      <c r="BF20" s="2" t="s">
        <v>366</v>
      </c>
      <c r="BG20" s="2">
        <f>AY20</f>
        <v>15</v>
      </c>
      <c r="BH20" s="8">
        <f>BG20/2</f>
        <v>7.5</v>
      </c>
      <c r="BI20" s="2">
        <f t="shared" si="46"/>
        <v>21.5</v>
      </c>
      <c r="BJ20" s="8">
        <f>BI20/2</f>
        <v>10.75</v>
      </c>
      <c r="BK20" s="8">
        <f>30/2</f>
        <v>15</v>
      </c>
      <c r="BO20" s="8">
        <f>BC20/2</f>
        <v>11.5</v>
      </c>
      <c r="BP20" s="8">
        <f>BD20/2</f>
        <v>12.5</v>
      </c>
      <c r="BQ20" s="8">
        <f>BE20/2</f>
        <v>13.5</v>
      </c>
    </row>
    <row r="21" spans="1:69" s="13" customFormat="1" x14ac:dyDescent="0.2">
      <c r="B21" s="13" t="s">
        <v>342</v>
      </c>
      <c r="D21" s="13" t="s">
        <v>762</v>
      </c>
      <c r="F21" s="14"/>
      <c r="G21" s="14"/>
      <c r="H21" s="14"/>
      <c r="I21" s="14"/>
      <c r="N21" s="15" t="s">
        <v>669</v>
      </c>
      <c r="O21" s="15"/>
      <c r="P21" s="15"/>
      <c r="Q21" s="15"/>
      <c r="R21" s="59"/>
      <c r="T21" s="17">
        <f>SUM(T19:T20)</f>
        <v>12.5</v>
      </c>
      <c r="V21" s="17">
        <f>SUM(V19:V20)</f>
        <v>18.75</v>
      </c>
      <c r="W21" s="17">
        <f>SUM(W19:W20)</f>
        <v>25</v>
      </c>
      <c r="AA21" s="17">
        <f t="shared" ref="AA21" si="47">SUM(AA19:AA20)</f>
        <v>19.833333333333336</v>
      </c>
      <c r="AB21" s="17">
        <f t="shared" ref="AB21" si="48">SUM(AB19:AB20)</f>
        <v>21.5</v>
      </c>
      <c r="AC21" s="17">
        <f t="shared" ref="AC21" si="49">SUM(AC19:AC20)</f>
        <v>23.5</v>
      </c>
      <c r="AH21" s="15" t="s">
        <v>669</v>
      </c>
      <c r="AI21" s="15"/>
      <c r="AJ21" s="15"/>
      <c r="AK21" s="15"/>
      <c r="AL21" s="33"/>
      <c r="AN21" s="17">
        <f>SUM(AN19:AN20)</f>
        <v>12.5</v>
      </c>
      <c r="AP21" s="17">
        <f>SUM(AP19:AP20)</f>
        <v>18.75</v>
      </c>
      <c r="AQ21" s="17">
        <f>SUM(AQ19:AQ20)</f>
        <v>25</v>
      </c>
      <c r="AU21" s="17">
        <f t="shared" ref="AU21" si="50">SUM(AU19:AU20)</f>
        <v>19.833333333333336</v>
      </c>
      <c r="AV21" s="17">
        <f t="shared" ref="AV21" si="51">SUM(AV19:AV20)</f>
        <v>21.5</v>
      </c>
      <c r="AW21" s="17">
        <f t="shared" ref="AW21" si="52">SUM(AW19:AW20)</f>
        <v>23.5</v>
      </c>
      <c r="BB21" s="15" t="s">
        <v>669</v>
      </c>
      <c r="BC21" s="15"/>
      <c r="BD21" s="15"/>
      <c r="BE21" s="15"/>
      <c r="BF21" s="59"/>
      <c r="BH21" s="17">
        <f>SUM(BH19:BH20)</f>
        <v>12.5</v>
      </c>
      <c r="BJ21" s="17">
        <f>SUM(BJ19:BJ20)</f>
        <v>18.75</v>
      </c>
      <c r="BK21" s="17">
        <f>SUM(BK19:BK20)</f>
        <v>25</v>
      </c>
      <c r="BO21" s="17">
        <f t="shared" ref="BO21:BQ21" si="53">SUM(BO19:BO20)</f>
        <v>19.833333333333336</v>
      </c>
      <c r="BP21" s="17">
        <f t="shared" si="53"/>
        <v>21.5</v>
      </c>
      <c r="BQ21" s="17">
        <f t="shared" si="53"/>
        <v>23.5</v>
      </c>
    </row>
    <row r="22" spans="1:69" ht="85" customHeight="1" x14ac:dyDescent="0.2">
      <c r="B22" s="2" t="s">
        <v>44</v>
      </c>
      <c r="C22" s="2" t="s">
        <v>45</v>
      </c>
      <c r="D22" s="2" t="s">
        <v>45</v>
      </c>
      <c r="E22" s="3" t="s">
        <v>89</v>
      </c>
      <c r="F22" s="3" t="s">
        <v>174</v>
      </c>
      <c r="G22" s="3" t="s">
        <v>175</v>
      </c>
      <c r="H22" s="3" t="s">
        <v>90</v>
      </c>
      <c r="I22" s="2" t="s">
        <v>182</v>
      </c>
      <c r="K22" s="3" t="s">
        <v>430</v>
      </c>
      <c r="L22" s="3" t="s">
        <v>432</v>
      </c>
      <c r="M22" s="3" t="s">
        <v>431</v>
      </c>
      <c r="N22" s="2" t="s">
        <v>181</v>
      </c>
      <c r="O22" s="2" t="s">
        <v>181</v>
      </c>
      <c r="P22" s="2" t="s">
        <v>181</v>
      </c>
      <c r="Q22" s="3" t="s">
        <v>431</v>
      </c>
      <c r="R22" s="3" t="s">
        <v>439</v>
      </c>
      <c r="S22" s="3" t="str">
        <f>K22</f>
        <v>Less than 180 Degrees Both Sides</v>
      </c>
      <c r="T22" s="8">
        <v>0</v>
      </c>
      <c r="U22" s="49" t="str">
        <f>L22</f>
        <v>This could be any combinantion between the low and high options</v>
      </c>
      <c r="V22" s="8">
        <v>4</v>
      </c>
      <c r="W22" s="8">
        <v>6</v>
      </c>
      <c r="AA22" s="2">
        <v>6</v>
      </c>
      <c r="AB22" s="2">
        <v>6</v>
      </c>
      <c r="AC22" s="2">
        <v>6</v>
      </c>
      <c r="AE22" s="3" t="s">
        <v>430</v>
      </c>
      <c r="AF22" s="3" t="s">
        <v>432</v>
      </c>
      <c r="AG22" s="3" t="s">
        <v>431</v>
      </c>
      <c r="AH22" s="2" t="s">
        <v>181</v>
      </c>
      <c r="AI22" s="2" t="s">
        <v>181</v>
      </c>
      <c r="AJ22" s="2" t="s">
        <v>181</v>
      </c>
      <c r="AK22" s="3" t="s">
        <v>431</v>
      </c>
      <c r="AL22" s="3" t="s">
        <v>439</v>
      </c>
      <c r="AM22" s="3" t="str">
        <f>AE22</f>
        <v>Less than 180 Degrees Both Sides</v>
      </c>
      <c r="AN22" s="8">
        <v>0</v>
      </c>
      <c r="AO22" s="49" t="str">
        <f>AF22</f>
        <v>This could be any combinantion between the low and high options</v>
      </c>
      <c r="AP22" s="8">
        <v>4</v>
      </c>
      <c r="AQ22" s="8">
        <v>6</v>
      </c>
      <c r="AU22" s="2">
        <v>6</v>
      </c>
      <c r="AV22" s="2">
        <v>6</v>
      </c>
      <c r="AW22" s="2">
        <v>6</v>
      </c>
      <c r="AY22" s="3" t="s">
        <v>430</v>
      </c>
      <c r="AZ22" s="3" t="s">
        <v>432</v>
      </c>
      <c r="BA22" s="3" t="s">
        <v>431</v>
      </c>
      <c r="BB22" s="2" t="s">
        <v>181</v>
      </c>
      <c r="BC22" s="2" t="s">
        <v>181</v>
      </c>
      <c r="BD22" s="2" t="s">
        <v>181</v>
      </c>
      <c r="BE22" s="3" t="s">
        <v>431</v>
      </c>
      <c r="BF22" s="3" t="s">
        <v>439</v>
      </c>
      <c r="BG22" s="3" t="str">
        <f>AY22</f>
        <v>Less than 180 Degrees Both Sides</v>
      </c>
      <c r="BH22" s="8">
        <v>0</v>
      </c>
      <c r="BI22" s="49" t="str">
        <f>AZ22</f>
        <v>This could be any combinantion between the low and high options</v>
      </c>
      <c r="BJ22" s="8">
        <v>4</v>
      </c>
      <c r="BK22" s="8">
        <v>6</v>
      </c>
      <c r="BO22" s="2">
        <v>6</v>
      </c>
      <c r="BP22" s="2">
        <v>6</v>
      </c>
      <c r="BQ22" s="2">
        <v>6</v>
      </c>
    </row>
    <row r="23" spans="1:69" ht="55" customHeight="1" x14ac:dyDescent="0.2">
      <c r="C23" s="2" t="s">
        <v>46</v>
      </c>
      <c r="D23" s="2" t="s">
        <v>353</v>
      </c>
      <c r="E23" s="3" t="s">
        <v>87</v>
      </c>
      <c r="F23" s="3" t="s">
        <v>176</v>
      </c>
      <c r="G23" s="3"/>
      <c r="H23" s="3" t="s">
        <v>90</v>
      </c>
      <c r="I23" s="2" t="s">
        <v>182</v>
      </c>
      <c r="K23" s="2" t="s">
        <v>330</v>
      </c>
      <c r="L23" s="2" t="s">
        <v>329</v>
      </c>
      <c r="M23" s="2" t="s">
        <v>331</v>
      </c>
      <c r="N23" s="2" t="s">
        <v>181</v>
      </c>
      <c r="O23" s="2" t="s">
        <v>329</v>
      </c>
      <c r="P23" s="2" t="s">
        <v>181</v>
      </c>
      <c r="Q23" s="2" t="s">
        <v>331</v>
      </c>
      <c r="R23" s="3" t="s">
        <v>368</v>
      </c>
      <c r="S23" s="3" t="str">
        <f>K23</f>
        <v>Cannot Touch Toes</v>
      </c>
      <c r="T23" s="8">
        <v>0</v>
      </c>
      <c r="U23" s="8" t="str">
        <f>L23</f>
        <v>Touches Toes</v>
      </c>
      <c r="V23" s="8">
        <v>3</v>
      </c>
      <c r="W23" s="8">
        <v>6</v>
      </c>
      <c r="AA23" s="2">
        <v>6</v>
      </c>
      <c r="AB23" s="2">
        <v>6</v>
      </c>
      <c r="AC23" s="2">
        <v>6</v>
      </c>
      <c r="AE23" s="2" t="s">
        <v>330</v>
      </c>
      <c r="AF23" s="2" t="s">
        <v>329</v>
      </c>
      <c r="AG23" s="2" t="s">
        <v>331</v>
      </c>
      <c r="AH23" s="2" t="s">
        <v>181</v>
      </c>
      <c r="AI23" s="2" t="s">
        <v>329</v>
      </c>
      <c r="AJ23" s="2" t="s">
        <v>181</v>
      </c>
      <c r="AK23" s="2" t="s">
        <v>331</v>
      </c>
      <c r="AL23" s="3" t="s">
        <v>368</v>
      </c>
      <c r="AM23" s="3" t="str">
        <f>AE23</f>
        <v>Cannot Touch Toes</v>
      </c>
      <c r="AN23" s="8">
        <v>0</v>
      </c>
      <c r="AO23" s="8" t="str">
        <f>AF23</f>
        <v>Touches Toes</v>
      </c>
      <c r="AP23" s="8">
        <v>3</v>
      </c>
      <c r="AQ23" s="8">
        <v>6</v>
      </c>
      <c r="AU23" s="2">
        <v>6</v>
      </c>
      <c r="AV23" s="2">
        <v>6</v>
      </c>
      <c r="AW23" s="2">
        <v>6</v>
      </c>
      <c r="AY23" s="2" t="s">
        <v>330</v>
      </c>
      <c r="AZ23" s="2" t="s">
        <v>329</v>
      </c>
      <c r="BA23" s="2" t="s">
        <v>331</v>
      </c>
      <c r="BB23" s="2" t="s">
        <v>181</v>
      </c>
      <c r="BC23" s="2" t="s">
        <v>329</v>
      </c>
      <c r="BD23" s="2" t="s">
        <v>181</v>
      </c>
      <c r="BE23" s="2" t="s">
        <v>331</v>
      </c>
      <c r="BF23" s="3" t="s">
        <v>368</v>
      </c>
      <c r="BG23" s="3" t="str">
        <f>AY23</f>
        <v>Cannot Touch Toes</v>
      </c>
      <c r="BH23" s="8">
        <v>0</v>
      </c>
      <c r="BI23" s="8" t="str">
        <f>AZ23</f>
        <v>Touches Toes</v>
      </c>
      <c r="BJ23" s="8">
        <v>3</v>
      </c>
      <c r="BK23" s="8">
        <v>6</v>
      </c>
      <c r="BO23" s="2">
        <v>6</v>
      </c>
      <c r="BP23" s="2">
        <v>6</v>
      </c>
      <c r="BQ23" s="2">
        <v>6</v>
      </c>
    </row>
    <row r="24" spans="1:69" ht="115" customHeight="1" x14ac:dyDescent="0.2">
      <c r="C24" s="2" t="s">
        <v>47</v>
      </c>
      <c r="D24" s="2" t="s">
        <v>354</v>
      </c>
      <c r="E24" s="3" t="s">
        <v>88</v>
      </c>
      <c r="F24" s="3" t="s">
        <v>177</v>
      </c>
      <c r="G24" s="3" t="s">
        <v>91</v>
      </c>
      <c r="H24" s="3" t="s">
        <v>92</v>
      </c>
      <c r="I24" s="2" t="s">
        <v>182</v>
      </c>
      <c r="K24" s="3" t="s">
        <v>333</v>
      </c>
      <c r="L24" s="3" t="s">
        <v>334</v>
      </c>
      <c r="M24" s="3" t="s">
        <v>332</v>
      </c>
      <c r="N24" s="2" t="s">
        <v>181</v>
      </c>
      <c r="O24" s="2" t="s">
        <v>181</v>
      </c>
      <c r="P24" s="2" t="s">
        <v>181</v>
      </c>
      <c r="Q24" s="3" t="s">
        <v>332</v>
      </c>
      <c r="R24" s="3" t="s">
        <v>369</v>
      </c>
      <c r="S24" s="3" t="str">
        <f>K24</f>
        <v>2 or more of Arms move forward of head, Pelvis not below the hips, Ankles Flare</v>
      </c>
      <c r="T24" s="8">
        <v>3</v>
      </c>
      <c r="U24" s="49" t="str">
        <f>L24</f>
        <v>1 or less of Arms move forward of head, Pelvis not below the hips, Ankles Flare</v>
      </c>
      <c r="V24" s="8">
        <v>3</v>
      </c>
      <c r="W24" s="8">
        <v>9</v>
      </c>
      <c r="AA24" s="2">
        <v>9</v>
      </c>
      <c r="AB24" s="2">
        <v>9</v>
      </c>
      <c r="AC24" s="2">
        <v>9</v>
      </c>
      <c r="AE24" s="3" t="s">
        <v>333</v>
      </c>
      <c r="AF24" s="3" t="s">
        <v>334</v>
      </c>
      <c r="AG24" s="3" t="s">
        <v>332</v>
      </c>
      <c r="AH24" s="2" t="s">
        <v>181</v>
      </c>
      <c r="AI24" s="2" t="s">
        <v>181</v>
      </c>
      <c r="AJ24" s="2" t="s">
        <v>181</v>
      </c>
      <c r="AK24" s="3" t="s">
        <v>332</v>
      </c>
      <c r="AL24" s="3" t="s">
        <v>369</v>
      </c>
      <c r="AM24" s="3" t="str">
        <f>AE24</f>
        <v>2 or more of Arms move forward of head, Pelvis not below the hips, Ankles Flare</v>
      </c>
      <c r="AN24" s="8">
        <v>3</v>
      </c>
      <c r="AO24" s="49" t="str">
        <f>AF24</f>
        <v>1 or less of Arms move forward of head, Pelvis not below the hips, Ankles Flare</v>
      </c>
      <c r="AP24" s="8">
        <v>3</v>
      </c>
      <c r="AQ24" s="8">
        <v>9</v>
      </c>
      <c r="AU24" s="2">
        <v>9</v>
      </c>
      <c r="AV24" s="2">
        <v>9</v>
      </c>
      <c r="AW24" s="2">
        <v>9</v>
      </c>
      <c r="AY24" s="3" t="s">
        <v>333</v>
      </c>
      <c r="AZ24" s="3" t="s">
        <v>334</v>
      </c>
      <c r="BA24" s="3" t="s">
        <v>332</v>
      </c>
      <c r="BB24" s="2" t="s">
        <v>181</v>
      </c>
      <c r="BC24" s="2" t="s">
        <v>181</v>
      </c>
      <c r="BD24" s="2" t="s">
        <v>181</v>
      </c>
      <c r="BE24" s="3" t="s">
        <v>332</v>
      </c>
      <c r="BF24" s="3" t="s">
        <v>369</v>
      </c>
      <c r="BG24" s="3" t="str">
        <f>AY24</f>
        <v>2 or more of Arms move forward of head, Pelvis not below the hips, Ankles Flare</v>
      </c>
      <c r="BH24" s="8">
        <v>3</v>
      </c>
      <c r="BI24" s="49" t="str">
        <f>AZ24</f>
        <v>1 or less of Arms move forward of head, Pelvis not below the hips, Ankles Flare</v>
      </c>
      <c r="BJ24" s="8">
        <v>3</v>
      </c>
      <c r="BK24" s="8">
        <v>9</v>
      </c>
      <c r="BO24" s="2">
        <v>9</v>
      </c>
      <c r="BP24" s="2">
        <v>9</v>
      </c>
      <c r="BQ24" s="2">
        <v>9</v>
      </c>
    </row>
    <row r="25" spans="1:69" s="13" customFormat="1" ht="83" customHeight="1" x14ac:dyDescent="0.2">
      <c r="B25" s="13" t="s">
        <v>343</v>
      </c>
      <c r="D25" s="13" t="s">
        <v>1027</v>
      </c>
      <c r="F25" s="14"/>
      <c r="I25" s="14"/>
      <c r="N25" s="14" t="s">
        <v>434</v>
      </c>
      <c r="O25" s="14" t="s">
        <v>433</v>
      </c>
      <c r="P25" s="14" t="s">
        <v>435</v>
      </c>
      <c r="Q25" s="14" t="s">
        <v>436</v>
      </c>
      <c r="T25" s="17">
        <f>SUM(T22:T24)</f>
        <v>3</v>
      </c>
      <c r="V25" s="17">
        <f>SUM(V22:V24)</f>
        <v>10</v>
      </c>
      <c r="W25" s="17">
        <f>SUM(W22:W24)</f>
        <v>21</v>
      </c>
      <c r="AA25" s="17">
        <f t="shared" ref="AA25" si="54">SUM(AA22:AA24)</f>
        <v>21</v>
      </c>
      <c r="AB25" s="17">
        <f t="shared" ref="AB25" si="55">SUM(AB22:AB24)</f>
        <v>21</v>
      </c>
      <c r="AC25" s="17">
        <f t="shared" ref="AC25" si="56">SUM(AC22:AC24)</f>
        <v>21</v>
      </c>
      <c r="AH25" s="14" t="s">
        <v>434</v>
      </c>
      <c r="AI25" s="14" t="s">
        <v>433</v>
      </c>
      <c r="AJ25" s="14" t="s">
        <v>435</v>
      </c>
      <c r="AK25" s="14" t="s">
        <v>436</v>
      </c>
      <c r="AN25" s="17">
        <f>SUM(AN22:AN24)</f>
        <v>3</v>
      </c>
      <c r="AP25" s="17">
        <f>SUM(AP22:AP24)</f>
        <v>10</v>
      </c>
      <c r="AQ25" s="17">
        <f>SUM(AQ22:AQ24)</f>
        <v>21</v>
      </c>
      <c r="AU25" s="17">
        <f t="shared" ref="AU25" si="57">SUM(AU22:AU24)</f>
        <v>21</v>
      </c>
      <c r="AV25" s="17">
        <f t="shared" ref="AV25" si="58">SUM(AV22:AV24)</f>
        <v>21</v>
      </c>
      <c r="AW25" s="17">
        <f t="shared" ref="AW25" si="59">SUM(AW22:AW24)</f>
        <v>21</v>
      </c>
      <c r="BB25" s="14" t="s">
        <v>434</v>
      </c>
      <c r="BC25" s="14" t="s">
        <v>433</v>
      </c>
      <c r="BD25" s="14" t="s">
        <v>435</v>
      </c>
      <c r="BE25" s="14" t="s">
        <v>436</v>
      </c>
      <c r="BH25" s="17">
        <f>SUM(BH22:BH24)</f>
        <v>3</v>
      </c>
      <c r="BJ25" s="17">
        <f>SUM(BJ22:BJ24)</f>
        <v>10</v>
      </c>
      <c r="BK25" s="17">
        <f>SUM(BK22:BK24)</f>
        <v>21</v>
      </c>
      <c r="BO25" s="17">
        <f t="shared" ref="BO25:BQ25" si="60">SUM(BO22:BO24)</f>
        <v>21</v>
      </c>
      <c r="BP25" s="17">
        <f t="shared" si="60"/>
        <v>21</v>
      </c>
      <c r="BQ25" s="17">
        <f t="shared" si="60"/>
        <v>21</v>
      </c>
    </row>
    <row r="26" spans="1:69" s="23" customFormat="1" x14ac:dyDescent="0.2">
      <c r="B26" s="23" t="s">
        <v>376</v>
      </c>
      <c r="D26" s="23" t="s">
        <v>758</v>
      </c>
      <c r="F26" s="24"/>
      <c r="I26" s="24"/>
      <c r="S26" s="26"/>
      <c r="T26" s="26">
        <f>SUM(T25,T21,T18,T14,T10)</f>
        <v>154.5</v>
      </c>
      <c r="U26" s="26"/>
      <c r="V26" s="26">
        <f t="shared" ref="V26:W26" si="61">SUM(V25,V21,V18,V14,V10)</f>
        <v>206.0981197517342</v>
      </c>
      <c r="W26" s="26">
        <f t="shared" si="61"/>
        <v>336</v>
      </c>
      <c r="X26" s="26">
        <v>50</v>
      </c>
      <c r="Y26" s="26">
        <f>(T26/W26)*X26</f>
        <v>22.991071428571427</v>
      </c>
      <c r="Z26" s="26">
        <f>(V26/W26)*X26</f>
        <v>30.669363058293779</v>
      </c>
      <c r="AA26" s="26">
        <f t="shared" ref="AA26:AC26" si="62">SUM(AA25,AA21,AA18,AA14,AA10)</f>
        <v>231.40476190476193</v>
      </c>
      <c r="AB26" s="26">
        <f t="shared" si="62"/>
        <v>249.56410256410257</v>
      </c>
      <c r="AC26" s="26">
        <f t="shared" si="62"/>
        <v>268.95614035087721</v>
      </c>
      <c r="AM26" s="26"/>
      <c r="AN26" s="26">
        <f>SUM(AN25,AN21,AN18,AN14,AN10)</f>
        <v>170.40969345484672</v>
      </c>
      <c r="AO26" s="26"/>
      <c r="AP26" s="26">
        <f t="shared" ref="AP26:AQ26" si="63">SUM(AP25,AP21,AP18,AP14,AP10)</f>
        <v>230.10443037974684</v>
      </c>
      <c r="AQ26" s="26">
        <f t="shared" si="63"/>
        <v>336</v>
      </c>
      <c r="AR26" s="26">
        <v>50</v>
      </c>
      <c r="AS26" s="26">
        <f>(AN26/AQ26)*AR26</f>
        <v>25.358585335542667</v>
      </c>
      <c r="AT26" s="26">
        <f>(AP26/AQ26)*AR26</f>
        <v>34.241730711271849</v>
      </c>
      <c r="AU26" s="26">
        <f t="shared" ref="AU26:AW26" si="64">SUM(AU25,AU21,AU18,AU14,AU10)</f>
        <v>255.44596208389311</v>
      </c>
      <c r="AV26" s="26">
        <f t="shared" si="64"/>
        <v>273.04545454545456</v>
      </c>
      <c r="AW26" s="26">
        <f t="shared" si="64"/>
        <v>294.96659443842543</v>
      </c>
      <c r="BG26" s="26"/>
      <c r="BH26" s="26">
        <f>SUM(BH25,BH21,BH18,BH14,BH10)</f>
        <v>198.47517730496452</v>
      </c>
      <c r="BI26" s="26"/>
      <c r="BJ26" s="26">
        <f t="shared" ref="BJ26:BK26" si="65">SUM(BJ25,BJ21,BJ18,BJ14,BJ10)</f>
        <v>256.28909664885867</v>
      </c>
      <c r="BK26" s="26">
        <f t="shared" si="65"/>
        <v>371</v>
      </c>
      <c r="BL26" s="26">
        <v>50</v>
      </c>
      <c r="BM26" s="26">
        <f>(BH26/BK26)*BL26</f>
        <v>26.748676186652897</v>
      </c>
      <c r="BN26" s="26">
        <f>(BJ26/BK26)*BL26</f>
        <v>34.540309521409526</v>
      </c>
      <c r="BO26" s="26">
        <f t="shared" ref="BO26:BQ26" si="66">SUM(BO25,BO21,BO18,BO14,BO10)</f>
        <v>283.11904761904765</v>
      </c>
      <c r="BP26" s="26">
        <f t="shared" si="66"/>
        <v>304.48868778280541</v>
      </c>
      <c r="BQ26" s="26">
        <f t="shared" si="66"/>
        <v>332.54761904761904</v>
      </c>
    </row>
    <row r="27" spans="1:69" ht="34" x14ac:dyDescent="0.2">
      <c r="A27" s="2" t="s">
        <v>48</v>
      </c>
      <c r="B27" s="2" t="s">
        <v>255</v>
      </c>
      <c r="C27" s="2" t="s">
        <v>49</v>
      </c>
      <c r="D27" s="2" t="s">
        <v>384</v>
      </c>
      <c r="E27" s="3" t="s">
        <v>97</v>
      </c>
      <c r="F27" s="2" t="s">
        <v>77</v>
      </c>
      <c r="H27" s="3" t="s">
        <v>79</v>
      </c>
      <c r="I27" s="2" t="s">
        <v>183</v>
      </c>
      <c r="K27" s="2">
        <v>5</v>
      </c>
      <c r="L27" s="2" t="s">
        <v>613</v>
      </c>
      <c r="M27" s="2">
        <v>7</v>
      </c>
      <c r="N27" s="2">
        <v>7</v>
      </c>
      <c r="O27" s="2">
        <v>8</v>
      </c>
      <c r="P27" s="2">
        <v>9</v>
      </c>
      <c r="Q27" s="2">
        <v>10</v>
      </c>
      <c r="R27" s="3" t="str">
        <f>$D27</f>
        <v>HC10LD</v>
      </c>
      <c r="S27" s="2">
        <f>K27</f>
        <v>5</v>
      </c>
      <c r="T27" s="2">
        <f>S27</f>
        <v>5</v>
      </c>
      <c r="U27" s="2">
        <f t="shared" ref="U27:U32" si="67">M27</f>
        <v>7</v>
      </c>
      <c r="V27" s="2">
        <f>U27</f>
        <v>7</v>
      </c>
      <c r="W27" s="2">
        <v>10</v>
      </c>
      <c r="AA27" s="8">
        <f>O27</f>
        <v>8</v>
      </c>
      <c r="AB27" s="8">
        <f t="shared" ref="AB27" si="68">P27</f>
        <v>9</v>
      </c>
      <c r="AC27" s="8">
        <f t="shared" ref="AC27" si="69">Q27</f>
        <v>10</v>
      </c>
      <c r="AE27" s="2">
        <v>5</v>
      </c>
      <c r="AF27" s="2" t="s">
        <v>613</v>
      </c>
      <c r="AG27" s="2">
        <v>7</v>
      </c>
      <c r="AH27" s="2">
        <v>7</v>
      </c>
      <c r="AI27" s="2">
        <v>8</v>
      </c>
      <c r="AJ27" s="2">
        <v>9</v>
      </c>
      <c r="AK27" s="2">
        <v>10</v>
      </c>
      <c r="AL27" s="3" t="str">
        <f>$D27</f>
        <v>HC10LD</v>
      </c>
      <c r="AM27" s="2">
        <f>AE27</f>
        <v>5</v>
      </c>
      <c r="AN27" s="2">
        <f>AM27</f>
        <v>5</v>
      </c>
      <c r="AO27" s="2">
        <f t="shared" ref="AO27:AO32" si="70">AG27</f>
        <v>7</v>
      </c>
      <c r="AP27" s="2">
        <f>AO27</f>
        <v>7</v>
      </c>
      <c r="AQ27" s="2">
        <v>10</v>
      </c>
      <c r="AU27" s="8">
        <f>AI27</f>
        <v>8</v>
      </c>
      <c r="AV27" s="8">
        <f t="shared" ref="AV27" si="71">AJ27</f>
        <v>9</v>
      </c>
      <c r="AW27" s="8">
        <f t="shared" ref="AW27" si="72">AK27</f>
        <v>10</v>
      </c>
      <c r="AY27" s="2">
        <v>5</v>
      </c>
      <c r="AZ27" s="2" t="s">
        <v>613</v>
      </c>
      <c r="BA27" s="2">
        <v>7</v>
      </c>
      <c r="BB27" s="2">
        <v>7</v>
      </c>
      <c r="BC27" s="2">
        <v>8</v>
      </c>
      <c r="BD27" s="2">
        <v>9</v>
      </c>
      <c r="BE27" s="2">
        <v>10</v>
      </c>
      <c r="BF27" s="3" t="str">
        <f>$D27</f>
        <v>HC10LD</v>
      </c>
      <c r="BG27" s="2">
        <f>AY27</f>
        <v>5</v>
      </c>
      <c r="BH27" s="2">
        <f>BG27</f>
        <v>5</v>
      </c>
      <c r="BI27" s="2">
        <f t="shared" ref="BI27:BI32" si="73">BA27</f>
        <v>7</v>
      </c>
      <c r="BJ27" s="2">
        <f>BI27</f>
        <v>7</v>
      </c>
      <c r="BK27" s="2">
        <v>10</v>
      </c>
      <c r="BO27" s="8">
        <f>BC27</f>
        <v>8</v>
      </c>
      <c r="BP27" s="8">
        <f t="shared" ref="BP27:BQ27" si="74">BD27</f>
        <v>9</v>
      </c>
      <c r="BQ27" s="8">
        <f t="shared" si="74"/>
        <v>10</v>
      </c>
    </row>
    <row r="28" spans="1:69" ht="51" x14ac:dyDescent="0.2">
      <c r="B28" s="2" t="s">
        <v>37</v>
      </c>
      <c r="C28" s="2" t="s">
        <v>67</v>
      </c>
      <c r="D28" s="2" t="s">
        <v>385</v>
      </c>
      <c r="E28" s="3" t="s">
        <v>245</v>
      </c>
      <c r="F28" s="3" t="s">
        <v>179</v>
      </c>
      <c r="G28" s="3" t="s">
        <v>180</v>
      </c>
      <c r="H28" s="3" t="s">
        <v>109</v>
      </c>
      <c r="I28" s="2" t="s">
        <v>184</v>
      </c>
      <c r="K28" s="2">
        <v>50</v>
      </c>
      <c r="L28" s="2" t="s">
        <v>613</v>
      </c>
      <c r="M28" s="2">
        <v>65</v>
      </c>
      <c r="N28" s="2">
        <v>65</v>
      </c>
      <c r="O28" s="2">
        <v>70</v>
      </c>
      <c r="P28" s="2">
        <v>75</v>
      </c>
      <c r="Q28" s="2">
        <v>80</v>
      </c>
      <c r="R28" s="3" t="s">
        <v>448</v>
      </c>
      <c r="S28" s="2">
        <f t="shared" ref="S28:S32" si="75">K28</f>
        <v>50</v>
      </c>
      <c r="T28" s="8">
        <f>S28/5</f>
        <v>10</v>
      </c>
      <c r="U28" s="2">
        <f t="shared" si="67"/>
        <v>65</v>
      </c>
      <c r="V28" s="8">
        <f>U28/5</f>
        <v>13</v>
      </c>
      <c r="W28" s="2">
        <v>24</v>
      </c>
      <c r="AA28" s="8">
        <f>O28/5</f>
        <v>14</v>
      </c>
      <c r="AB28" s="8">
        <f t="shared" ref="AB28" si="76">P28/5</f>
        <v>15</v>
      </c>
      <c r="AC28" s="8">
        <f t="shared" ref="AC28" si="77">Q28/5</f>
        <v>16</v>
      </c>
      <c r="AE28" s="2">
        <v>60</v>
      </c>
      <c r="AF28" s="2" t="s">
        <v>613</v>
      </c>
      <c r="AG28" s="2">
        <v>75</v>
      </c>
      <c r="AH28" s="2">
        <v>75</v>
      </c>
      <c r="AI28" s="2">
        <v>82</v>
      </c>
      <c r="AJ28" s="2">
        <v>88</v>
      </c>
      <c r="AK28" s="2">
        <v>95</v>
      </c>
      <c r="AL28" s="3" t="s">
        <v>448</v>
      </c>
      <c r="AM28" s="2">
        <f t="shared" ref="AM28:AM32" si="78">AE28</f>
        <v>60</v>
      </c>
      <c r="AN28" s="8">
        <f>AM28/5</f>
        <v>12</v>
      </c>
      <c r="AO28" s="2">
        <f t="shared" si="70"/>
        <v>75</v>
      </c>
      <c r="AP28" s="8">
        <f>AO28/5</f>
        <v>15</v>
      </c>
      <c r="AQ28" s="2">
        <v>24</v>
      </c>
      <c r="AU28" s="8">
        <f>AI28/5</f>
        <v>16.399999999999999</v>
      </c>
      <c r="AV28" s="8">
        <f t="shared" ref="AV28" si="79">AJ28/5</f>
        <v>17.600000000000001</v>
      </c>
      <c r="AW28" s="8">
        <f t="shared" ref="AW28" si="80">AK28/5</f>
        <v>19</v>
      </c>
      <c r="AY28" s="2">
        <v>70</v>
      </c>
      <c r="AZ28" s="2" t="s">
        <v>613</v>
      </c>
      <c r="BA28" s="2">
        <v>80</v>
      </c>
      <c r="BB28" s="2">
        <v>80</v>
      </c>
      <c r="BC28" s="2">
        <v>90</v>
      </c>
      <c r="BD28" s="2">
        <v>100</v>
      </c>
      <c r="BE28" s="2">
        <v>110</v>
      </c>
      <c r="BF28" s="3" t="s">
        <v>448</v>
      </c>
      <c r="BG28" s="2">
        <f t="shared" ref="BG28:BG32" si="81">AY28</f>
        <v>70</v>
      </c>
      <c r="BH28" s="8">
        <f>BG28/5</f>
        <v>14</v>
      </c>
      <c r="BI28" s="2">
        <f t="shared" si="73"/>
        <v>80</v>
      </c>
      <c r="BJ28" s="8">
        <f>BI28/5</f>
        <v>16</v>
      </c>
      <c r="BK28" s="2">
        <v>24</v>
      </c>
      <c r="BO28" s="8">
        <f>BC28/5</f>
        <v>18</v>
      </c>
      <c r="BP28" s="8">
        <f t="shared" ref="BP28:BQ28" si="82">BD28/5</f>
        <v>20</v>
      </c>
      <c r="BQ28" s="8">
        <f t="shared" si="82"/>
        <v>22</v>
      </c>
    </row>
    <row r="29" spans="1:69" ht="89" customHeight="1" x14ac:dyDescent="0.2">
      <c r="B29" s="2" t="s">
        <v>256</v>
      </c>
      <c r="C29" s="2" t="s">
        <v>100</v>
      </c>
      <c r="D29" s="2" t="s">
        <v>409</v>
      </c>
      <c r="E29" s="3" t="s">
        <v>105</v>
      </c>
      <c r="F29" s="3" t="s">
        <v>145</v>
      </c>
      <c r="G29" s="3" t="s">
        <v>104</v>
      </c>
      <c r="H29" s="3" t="s">
        <v>144</v>
      </c>
      <c r="I29" s="2" t="s">
        <v>193</v>
      </c>
      <c r="K29" s="2">
        <v>20</v>
      </c>
      <c r="L29" s="2" t="s">
        <v>613</v>
      </c>
      <c r="M29" s="2">
        <v>30</v>
      </c>
      <c r="N29" s="2">
        <v>33</v>
      </c>
      <c r="O29" s="2">
        <v>36</v>
      </c>
      <c r="P29" s="2">
        <v>38</v>
      </c>
      <c r="Q29" s="2">
        <v>40</v>
      </c>
      <c r="R29" s="3" t="str">
        <f>$D29</f>
        <v>H10FAST</v>
      </c>
      <c r="S29" s="2">
        <f t="shared" si="75"/>
        <v>20</v>
      </c>
      <c r="T29" s="2">
        <f>S29</f>
        <v>20</v>
      </c>
      <c r="U29" s="2">
        <f t="shared" si="67"/>
        <v>30</v>
      </c>
      <c r="V29" s="2">
        <f>U29</f>
        <v>30</v>
      </c>
      <c r="W29" s="2">
        <v>50</v>
      </c>
      <c r="AA29" s="8">
        <f>O29</f>
        <v>36</v>
      </c>
      <c r="AB29" s="8">
        <f t="shared" ref="AB29:AB31" si="83">P29</f>
        <v>38</v>
      </c>
      <c r="AC29" s="8">
        <f t="shared" ref="AC29:AC31" si="84">Q29</f>
        <v>40</v>
      </c>
      <c r="AE29" s="2">
        <v>24</v>
      </c>
      <c r="AF29" s="2" t="s">
        <v>613</v>
      </c>
      <c r="AG29" s="2">
        <v>34</v>
      </c>
      <c r="AH29" s="2">
        <v>34</v>
      </c>
      <c r="AI29" s="2">
        <v>36</v>
      </c>
      <c r="AJ29" s="2">
        <v>39</v>
      </c>
      <c r="AK29" s="2">
        <v>42</v>
      </c>
      <c r="AL29" s="3" t="str">
        <f>$D29</f>
        <v>H10FAST</v>
      </c>
      <c r="AM29" s="2">
        <f t="shared" si="78"/>
        <v>24</v>
      </c>
      <c r="AN29" s="2">
        <f>AM29</f>
        <v>24</v>
      </c>
      <c r="AO29" s="2">
        <f t="shared" si="70"/>
        <v>34</v>
      </c>
      <c r="AP29" s="2">
        <f>AO29</f>
        <v>34</v>
      </c>
      <c r="AQ29" s="2">
        <v>50</v>
      </c>
      <c r="AU29" s="8">
        <f>AI29</f>
        <v>36</v>
      </c>
      <c r="AV29" s="8">
        <f t="shared" ref="AV29:AV31" si="85">AJ29</f>
        <v>39</v>
      </c>
      <c r="AW29" s="8">
        <f t="shared" ref="AW29:AW31" si="86">AK29</f>
        <v>42</v>
      </c>
      <c r="AY29" s="2">
        <v>25</v>
      </c>
      <c r="AZ29" s="2" t="s">
        <v>613</v>
      </c>
      <c r="BA29" s="2">
        <v>35</v>
      </c>
      <c r="BB29" s="2">
        <v>35</v>
      </c>
      <c r="BC29" s="2">
        <v>38</v>
      </c>
      <c r="BD29" s="2">
        <v>41</v>
      </c>
      <c r="BE29" s="2">
        <v>44</v>
      </c>
      <c r="BF29" s="3" t="str">
        <f>$D29</f>
        <v>H10FAST</v>
      </c>
      <c r="BG29" s="2">
        <f t="shared" si="81"/>
        <v>25</v>
      </c>
      <c r="BH29" s="2">
        <f>BG29</f>
        <v>25</v>
      </c>
      <c r="BI29" s="2">
        <f t="shared" si="73"/>
        <v>35</v>
      </c>
      <c r="BJ29" s="2">
        <f>BI29</f>
        <v>35</v>
      </c>
      <c r="BK29" s="2">
        <v>50</v>
      </c>
      <c r="BO29" s="8">
        <f>BC29</f>
        <v>38</v>
      </c>
      <c r="BP29" s="8">
        <f t="shared" ref="BP29:BP31" si="87">BD29</f>
        <v>41</v>
      </c>
      <c r="BQ29" s="8">
        <f t="shared" ref="BQ29:BQ31" si="88">BE29</f>
        <v>44</v>
      </c>
    </row>
    <row r="30" spans="1:69" ht="93" customHeight="1" x14ac:dyDescent="0.2">
      <c r="B30" s="2" t="s">
        <v>255</v>
      </c>
      <c r="C30" s="2" t="s">
        <v>101</v>
      </c>
      <c r="D30" s="2" t="s">
        <v>625</v>
      </c>
      <c r="E30" s="3" t="s">
        <v>106</v>
      </c>
      <c r="F30" s="3" t="s">
        <v>145</v>
      </c>
      <c r="G30" s="3" t="s">
        <v>103</v>
      </c>
      <c r="H30" s="3" t="s">
        <v>144</v>
      </c>
      <c r="I30" s="2" t="s">
        <v>192</v>
      </c>
      <c r="K30" s="2">
        <f>K29/2-2</f>
        <v>8</v>
      </c>
      <c r="L30" s="2" t="s">
        <v>613</v>
      </c>
      <c r="M30" s="2">
        <f t="shared" ref="M30:Q30" si="89">M29/2-2</f>
        <v>13</v>
      </c>
      <c r="N30" s="2">
        <f t="shared" si="89"/>
        <v>14.5</v>
      </c>
      <c r="O30" s="2">
        <f t="shared" si="89"/>
        <v>16</v>
      </c>
      <c r="P30" s="2">
        <f t="shared" si="89"/>
        <v>17</v>
      </c>
      <c r="Q30" s="2">
        <f t="shared" si="89"/>
        <v>18</v>
      </c>
      <c r="R30" s="3" t="s">
        <v>625</v>
      </c>
      <c r="S30" s="2">
        <f t="shared" si="75"/>
        <v>8</v>
      </c>
      <c r="T30" s="2">
        <f>S30</f>
        <v>8</v>
      </c>
      <c r="U30" s="2">
        <f t="shared" si="67"/>
        <v>13</v>
      </c>
      <c r="V30" s="2">
        <f>U30</f>
        <v>13</v>
      </c>
      <c r="W30" s="2">
        <v>25</v>
      </c>
      <c r="AA30" s="8">
        <f>O30</f>
        <v>16</v>
      </c>
      <c r="AB30" s="8">
        <f t="shared" si="83"/>
        <v>17</v>
      </c>
      <c r="AC30" s="8">
        <f t="shared" si="84"/>
        <v>18</v>
      </c>
      <c r="AE30" s="2">
        <f>AE29/2-2</f>
        <v>10</v>
      </c>
      <c r="AF30" s="2" t="s">
        <v>613</v>
      </c>
      <c r="AG30" s="2">
        <f t="shared" ref="AG30" si="90">AG29/2-2</f>
        <v>15</v>
      </c>
      <c r="AH30" s="2">
        <f t="shared" ref="AH30" si="91">AH29/2-2</f>
        <v>15</v>
      </c>
      <c r="AI30" s="2">
        <f t="shared" ref="AI30" si="92">AI29/2-2</f>
        <v>16</v>
      </c>
      <c r="AJ30" s="2">
        <v>17</v>
      </c>
      <c r="AK30" s="2">
        <f t="shared" ref="AK30" si="93">AK29/2-2</f>
        <v>19</v>
      </c>
      <c r="AL30" s="3" t="s">
        <v>625</v>
      </c>
      <c r="AM30" s="2">
        <f t="shared" si="78"/>
        <v>10</v>
      </c>
      <c r="AN30" s="2">
        <f>AM30</f>
        <v>10</v>
      </c>
      <c r="AO30" s="2">
        <f t="shared" si="70"/>
        <v>15</v>
      </c>
      <c r="AP30" s="2">
        <f>AO30</f>
        <v>15</v>
      </c>
      <c r="AQ30" s="2">
        <v>25</v>
      </c>
      <c r="AU30" s="8">
        <f>AI30</f>
        <v>16</v>
      </c>
      <c r="AV30" s="8">
        <f t="shared" si="85"/>
        <v>17</v>
      </c>
      <c r="AW30" s="8">
        <f t="shared" si="86"/>
        <v>19</v>
      </c>
      <c r="AY30" s="2">
        <v>10</v>
      </c>
      <c r="AZ30" s="2" t="s">
        <v>613</v>
      </c>
      <c r="BA30" s="2">
        <v>16</v>
      </c>
      <c r="BB30" s="2">
        <v>16</v>
      </c>
      <c r="BC30" s="2">
        <f t="shared" ref="BC30" si="94">BC29/2-2</f>
        <v>17</v>
      </c>
      <c r="BD30" s="2">
        <v>17</v>
      </c>
      <c r="BE30" s="2">
        <f t="shared" ref="BE30" si="95">BE29/2-2</f>
        <v>20</v>
      </c>
      <c r="BF30" s="3" t="s">
        <v>625</v>
      </c>
      <c r="BG30" s="2">
        <f t="shared" si="81"/>
        <v>10</v>
      </c>
      <c r="BH30" s="2">
        <f>BG30</f>
        <v>10</v>
      </c>
      <c r="BI30" s="2">
        <f t="shared" si="73"/>
        <v>16</v>
      </c>
      <c r="BJ30" s="2">
        <f>BI30</f>
        <v>16</v>
      </c>
      <c r="BK30" s="2">
        <v>25</v>
      </c>
      <c r="BO30" s="8">
        <f>BC30</f>
        <v>17</v>
      </c>
      <c r="BP30" s="8">
        <f t="shared" si="87"/>
        <v>17</v>
      </c>
      <c r="BQ30" s="8">
        <f t="shared" si="88"/>
        <v>20</v>
      </c>
    </row>
    <row r="31" spans="1:69" ht="98" customHeight="1" x14ac:dyDescent="0.2">
      <c r="B31" s="2" t="s">
        <v>255</v>
      </c>
      <c r="C31" s="2" t="s">
        <v>102</v>
      </c>
      <c r="D31" s="2" t="s">
        <v>560</v>
      </c>
      <c r="E31" s="3" t="s">
        <v>107</v>
      </c>
      <c r="F31" s="3" t="s">
        <v>145</v>
      </c>
      <c r="G31" s="3" t="s">
        <v>103</v>
      </c>
      <c r="H31" s="3" t="s">
        <v>144</v>
      </c>
      <c r="I31" s="2" t="s">
        <v>192</v>
      </c>
      <c r="K31" s="2">
        <f>K29/2-2</f>
        <v>8</v>
      </c>
      <c r="L31" s="2" t="s">
        <v>613</v>
      </c>
      <c r="M31" s="2">
        <f t="shared" ref="M31:Q31" si="96">M29/2-2</f>
        <v>13</v>
      </c>
      <c r="N31" s="2">
        <f t="shared" si="96"/>
        <v>14.5</v>
      </c>
      <c r="O31" s="2">
        <f t="shared" si="96"/>
        <v>16</v>
      </c>
      <c r="P31" s="2">
        <f t="shared" si="96"/>
        <v>17</v>
      </c>
      <c r="Q31" s="2">
        <f t="shared" si="96"/>
        <v>18</v>
      </c>
      <c r="R31" s="3" t="s">
        <v>560</v>
      </c>
      <c r="S31" s="2">
        <f t="shared" si="75"/>
        <v>8</v>
      </c>
      <c r="T31" s="2">
        <f>S31</f>
        <v>8</v>
      </c>
      <c r="U31" s="2">
        <f t="shared" si="67"/>
        <v>13</v>
      </c>
      <c r="V31" s="2">
        <f>U31</f>
        <v>13</v>
      </c>
      <c r="W31" s="2">
        <v>25</v>
      </c>
      <c r="AA31" s="8">
        <f>O31</f>
        <v>16</v>
      </c>
      <c r="AB31" s="8">
        <f t="shared" si="83"/>
        <v>17</v>
      </c>
      <c r="AC31" s="8">
        <f t="shared" si="84"/>
        <v>18</v>
      </c>
      <c r="AE31" s="2">
        <f>AE29/2-2</f>
        <v>10</v>
      </c>
      <c r="AF31" s="2" t="s">
        <v>613</v>
      </c>
      <c r="AG31" s="2">
        <f t="shared" ref="AG31:AK31" si="97">AG29/2-2</f>
        <v>15</v>
      </c>
      <c r="AH31" s="2">
        <f t="shared" si="97"/>
        <v>15</v>
      </c>
      <c r="AI31" s="2">
        <f t="shared" si="97"/>
        <v>16</v>
      </c>
      <c r="AJ31" s="2">
        <v>17</v>
      </c>
      <c r="AK31" s="2">
        <f t="shared" si="97"/>
        <v>19</v>
      </c>
      <c r="AL31" s="3" t="s">
        <v>560</v>
      </c>
      <c r="AM31" s="2">
        <f t="shared" si="78"/>
        <v>10</v>
      </c>
      <c r="AN31" s="2">
        <f>AM31</f>
        <v>10</v>
      </c>
      <c r="AO31" s="2">
        <f t="shared" si="70"/>
        <v>15</v>
      </c>
      <c r="AP31" s="2">
        <f>AO31</f>
        <v>15</v>
      </c>
      <c r="AQ31" s="2">
        <v>25</v>
      </c>
      <c r="AU31" s="8">
        <f>AI31</f>
        <v>16</v>
      </c>
      <c r="AV31" s="8">
        <f t="shared" si="85"/>
        <v>17</v>
      </c>
      <c r="AW31" s="8">
        <f t="shared" si="86"/>
        <v>19</v>
      </c>
      <c r="AY31" s="2">
        <v>10</v>
      </c>
      <c r="AZ31" s="2" t="s">
        <v>613</v>
      </c>
      <c r="BA31" s="2">
        <v>16</v>
      </c>
      <c r="BB31" s="2">
        <v>16</v>
      </c>
      <c r="BC31" s="2">
        <f t="shared" ref="BC31" si="98">BC29/2-2</f>
        <v>17</v>
      </c>
      <c r="BD31" s="2">
        <v>17</v>
      </c>
      <c r="BE31" s="2">
        <f t="shared" ref="BE31:BI31" si="99">BE29/2-2</f>
        <v>20</v>
      </c>
      <c r="BF31" s="3" t="s">
        <v>560</v>
      </c>
      <c r="BG31" s="2">
        <f t="shared" si="81"/>
        <v>10</v>
      </c>
      <c r="BH31" s="2">
        <f>BG31</f>
        <v>10</v>
      </c>
      <c r="BI31" s="2">
        <f t="shared" si="73"/>
        <v>16</v>
      </c>
      <c r="BJ31" s="2">
        <f>BI31</f>
        <v>16</v>
      </c>
      <c r="BK31" s="2">
        <v>25</v>
      </c>
      <c r="BO31" s="8">
        <f>BC31</f>
        <v>17</v>
      </c>
      <c r="BP31" s="8">
        <f t="shared" si="87"/>
        <v>17</v>
      </c>
      <c r="BQ31" s="8">
        <f t="shared" si="88"/>
        <v>20</v>
      </c>
    </row>
    <row r="32" spans="1:69" ht="51" x14ac:dyDescent="0.2">
      <c r="B32" s="2" t="s">
        <v>37</v>
      </c>
      <c r="C32" s="2" t="s">
        <v>98</v>
      </c>
      <c r="D32" s="2" t="s">
        <v>386</v>
      </c>
      <c r="E32" s="3" t="s">
        <v>99</v>
      </c>
      <c r="F32" s="2" t="s">
        <v>77</v>
      </c>
      <c r="G32" s="3" t="s">
        <v>180</v>
      </c>
      <c r="H32" s="3" t="s">
        <v>108</v>
      </c>
      <c r="I32" s="2" t="s">
        <v>187</v>
      </c>
      <c r="K32" s="2">
        <v>45</v>
      </c>
      <c r="L32" s="2" t="s">
        <v>613</v>
      </c>
      <c r="M32" s="2">
        <v>55</v>
      </c>
      <c r="N32" s="2">
        <v>58</v>
      </c>
      <c r="O32" s="2">
        <v>61</v>
      </c>
      <c r="P32" s="2">
        <v>64</v>
      </c>
      <c r="Q32" s="2">
        <v>68</v>
      </c>
      <c r="R32" s="2" t="s">
        <v>449</v>
      </c>
      <c r="S32" s="2">
        <f t="shared" si="75"/>
        <v>45</v>
      </c>
      <c r="T32" s="8">
        <f>S32/4</f>
        <v>11.25</v>
      </c>
      <c r="U32" s="2">
        <f t="shared" si="67"/>
        <v>55</v>
      </c>
      <c r="V32" s="8">
        <f>U32/4</f>
        <v>13.75</v>
      </c>
      <c r="W32" s="8">
        <v>25</v>
      </c>
      <c r="AA32" s="8">
        <f>O32/4</f>
        <v>15.25</v>
      </c>
      <c r="AB32" s="8">
        <f t="shared" ref="AB32" si="100">P32/4</f>
        <v>16</v>
      </c>
      <c r="AC32" s="8">
        <f t="shared" ref="AC32" si="101">Q32/4</f>
        <v>17</v>
      </c>
      <c r="AE32" s="2">
        <v>55</v>
      </c>
      <c r="AF32" s="2" t="s">
        <v>613</v>
      </c>
      <c r="AG32" s="2">
        <v>65</v>
      </c>
      <c r="AH32" s="2">
        <v>65</v>
      </c>
      <c r="AI32" s="2">
        <v>68</v>
      </c>
      <c r="AJ32" s="2">
        <v>72</v>
      </c>
      <c r="AK32" s="2">
        <v>75</v>
      </c>
      <c r="AL32" s="2" t="s">
        <v>449</v>
      </c>
      <c r="AM32" s="2">
        <f t="shared" si="78"/>
        <v>55</v>
      </c>
      <c r="AN32" s="8">
        <f>AM32/4</f>
        <v>13.75</v>
      </c>
      <c r="AO32" s="2">
        <f t="shared" si="70"/>
        <v>65</v>
      </c>
      <c r="AP32" s="8">
        <f>AO32/4</f>
        <v>16.25</v>
      </c>
      <c r="AQ32" s="8">
        <v>25</v>
      </c>
      <c r="AU32" s="8">
        <f>AI32/4</f>
        <v>17</v>
      </c>
      <c r="AV32" s="8">
        <f t="shared" ref="AV32" si="102">AJ32/4</f>
        <v>18</v>
      </c>
      <c r="AW32" s="8">
        <f t="shared" ref="AW32" si="103">AK32/4</f>
        <v>18.75</v>
      </c>
      <c r="AY32" s="2">
        <v>65</v>
      </c>
      <c r="AZ32" s="2" t="s">
        <v>613</v>
      </c>
      <c r="BA32" s="2">
        <v>75</v>
      </c>
      <c r="BB32" s="2">
        <v>75</v>
      </c>
      <c r="BC32" s="2">
        <v>80</v>
      </c>
      <c r="BD32" s="2">
        <v>85</v>
      </c>
      <c r="BE32" s="2">
        <v>90</v>
      </c>
      <c r="BF32" s="2" t="s">
        <v>449</v>
      </c>
      <c r="BG32" s="2">
        <f t="shared" si="81"/>
        <v>65</v>
      </c>
      <c r="BH32" s="8">
        <f>BG32/4</f>
        <v>16.25</v>
      </c>
      <c r="BI32" s="2">
        <f t="shared" si="73"/>
        <v>75</v>
      </c>
      <c r="BJ32" s="8">
        <f>BI32/4</f>
        <v>18.75</v>
      </c>
      <c r="BK32" s="8">
        <v>25</v>
      </c>
      <c r="BO32" s="8">
        <f>BC32/4</f>
        <v>20</v>
      </c>
      <c r="BP32" s="8">
        <f t="shared" ref="BP32:BQ32" si="104">BD32/4</f>
        <v>21.25</v>
      </c>
      <c r="BQ32" s="8">
        <f t="shared" si="104"/>
        <v>22.5</v>
      </c>
    </row>
    <row r="33" spans="1:69" s="13" customFormat="1" x14ac:dyDescent="0.2">
      <c r="B33" s="13" t="s">
        <v>398</v>
      </c>
      <c r="D33" s="13" t="s">
        <v>763</v>
      </c>
      <c r="F33" s="14"/>
      <c r="H33" s="14"/>
      <c r="I33" s="14"/>
      <c r="N33" s="15" t="s">
        <v>498</v>
      </c>
      <c r="O33" s="15"/>
      <c r="P33" s="15"/>
      <c r="Q33" s="15"/>
      <c r="R33" s="33"/>
      <c r="T33" s="13">
        <f>SUM(T27+T29+T30+T31)</f>
        <v>41</v>
      </c>
      <c r="V33" s="13">
        <f>SUM(V27+V29+V30+V31)</f>
        <v>63</v>
      </c>
      <c r="W33" s="13">
        <f>SUM(W27+W29+W30+W31)</f>
        <v>110</v>
      </c>
      <c r="AA33" s="13">
        <f t="shared" ref="AA33:AC33" si="105">SUM(AA27+AA29+AA30+AA31)</f>
        <v>76</v>
      </c>
      <c r="AB33" s="13">
        <f t="shared" si="105"/>
        <v>81</v>
      </c>
      <c r="AC33" s="13">
        <f t="shared" si="105"/>
        <v>86</v>
      </c>
      <c r="AH33" s="15" t="s">
        <v>498</v>
      </c>
      <c r="AI33" s="15"/>
      <c r="AJ33" s="15"/>
      <c r="AK33" s="15"/>
      <c r="AL33" s="33"/>
      <c r="AN33" s="13">
        <f>SUM(AN27+AN29+AN30+AN31)</f>
        <v>49</v>
      </c>
      <c r="AP33" s="13">
        <f>SUM(AP27+AP29+AP30+AP31)</f>
        <v>71</v>
      </c>
      <c r="AQ33" s="13">
        <f>SUM(AQ27+AQ29+AQ30+AQ31)</f>
        <v>110</v>
      </c>
      <c r="AU33" s="13">
        <f t="shared" ref="AU33:AW33" si="106">SUM(AU27+AU29+AU30+AU31)</f>
        <v>76</v>
      </c>
      <c r="AV33" s="13">
        <f t="shared" si="106"/>
        <v>82</v>
      </c>
      <c r="AW33" s="13">
        <f t="shared" si="106"/>
        <v>90</v>
      </c>
      <c r="BB33" s="15" t="s">
        <v>741</v>
      </c>
      <c r="BC33" s="15"/>
      <c r="BD33" s="15"/>
      <c r="BE33" s="15"/>
      <c r="BF33" s="33"/>
      <c r="BH33" s="13">
        <f>SUM(BH27+BH29+BH30+BH31)</f>
        <v>50</v>
      </c>
      <c r="BJ33" s="13">
        <f>SUM(BJ27+BJ29+BJ30+BJ31)</f>
        <v>74</v>
      </c>
      <c r="BK33" s="13">
        <f>SUM(BK27+BK29+BK30+BK31)</f>
        <v>110</v>
      </c>
      <c r="BO33" s="13">
        <f t="shared" ref="BO33:BQ33" si="107">SUM(BO27+BO29+BO30+BO31)</f>
        <v>80</v>
      </c>
      <c r="BP33" s="13">
        <f t="shared" si="107"/>
        <v>84</v>
      </c>
      <c r="BQ33" s="13">
        <f t="shared" si="107"/>
        <v>94</v>
      </c>
    </row>
    <row r="34" spans="1:69" s="30" customFormat="1" x14ac:dyDescent="0.2">
      <c r="B34" s="30" t="s">
        <v>399</v>
      </c>
      <c r="D34" s="30" t="s">
        <v>764</v>
      </c>
      <c r="F34" s="31"/>
      <c r="H34" s="31"/>
      <c r="I34" s="31"/>
      <c r="N34" s="35" t="s">
        <v>499</v>
      </c>
      <c r="O34" s="35"/>
      <c r="P34" s="35"/>
      <c r="Q34" s="35"/>
      <c r="R34" s="69"/>
      <c r="T34" s="36">
        <f>SUM(T32+T29+T28)</f>
        <v>41.25</v>
      </c>
      <c r="V34" s="36">
        <f>SUM(V32+V29+V28)</f>
        <v>56.75</v>
      </c>
      <c r="W34" s="36">
        <f>SUM(W32+W29+W28)</f>
        <v>99</v>
      </c>
      <c r="AA34" s="36">
        <f t="shared" ref="AA34:AC34" si="108">SUM(AA32+AA29+AA28)</f>
        <v>65.25</v>
      </c>
      <c r="AB34" s="36">
        <f t="shared" si="108"/>
        <v>69</v>
      </c>
      <c r="AC34" s="36">
        <f t="shared" si="108"/>
        <v>73</v>
      </c>
      <c r="AH34" s="35" t="s">
        <v>499</v>
      </c>
      <c r="AI34" s="35"/>
      <c r="AJ34" s="35"/>
      <c r="AK34" s="35"/>
      <c r="AL34" s="69"/>
      <c r="AN34" s="36">
        <f>SUM(AN32+AN29+AN28)</f>
        <v>49.75</v>
      </c>
      <c r="AP34" s="36">
        <f>SUM(AP32+AP29+AP28)</f>
        <v>65.25</v>
      </c>
      <c r="AQ34" s="36">
        <f>SUM(AQ32+AQ29+AQ28)</f>
        <v>99</v>
      </c>
      <c r="AU34" s="36">
        <f t="shared" ref="AU34:AW34" si="109">SUM(AU32+AU29+AU28)</f>
        <v>69.400000000000006</v>
      </c>
      <c r="AV34" s="36">
        <f t="shared" si="109"/>
        <v>74.599999999999994</v>
      </c>
      <c r="AW34" s="36">
        <f t="shared" si="109"/>
        <v>79.75</v>
      </c>
      <c r="BB34" s="35" t="s">
        <v>742</v>
      </c>
      <c r="BC34" s="35"/>
      <c r="BD34" s="35"/>
      <c r="BE34" s="35"/>
      <c r="BF34" s="69"/>
      <c r="BH34" s="36">
        <f>SUM(BH32+BH29+BH28)</f>
        <v>55.25</v>
      </c>
      <c r="BJ34" s="36">
        <f>SUM(BJ32+BJ29+BJ28)</f>
        <v>69.75</v>
      </c>
      <c r="BK34" s="36">
        <f>SUM(BK32+BK29+BK28)</f>
        <v>99</v>
      </c>
      <c r="BO34" s="36">
        <f t="shared" ref="BO34:BQ34" si="110">SUM(BO32+BO29+BO28)</f>
        <v>76</v>
      </c>
      <c r="BP34" s="36">
        <f t="shared" si="110"/>
        <v>82.25</v>
      </c>
      <c r="BQ34" s="36">
        <f t="shared" si="110"/>
        <v>88.5</v>
      </c>
    </row>
    <row r="35" spans="1:69" s="23" customFormat="1" x14ac:dyDescent="0.2">
      <c r="B35" s="23" t="s">
        <v>400</v>
      </c>
      <c r="D35" s="23" t="s">
        <v>656</v>
      </c>
      <c r="F35" s="24"/>
      <c r="I35" s="24"/>
      <c r="T35" s="23">
        <f>SUM(T27:T32)</f>
        <v>62.25</v>
      </c>
      <c r="V35" s="23">
        <f>SUM(V27:V32)</f>
        <v>89.75</v>
      </c>
      <c r="W35" s="23">
        <f>SUM(W27:W32)</f>
        <v>159</v>
      </c>
      <c r="X35" s="26">
        <v>50</v>
      </c>
      <c r="Y35" s="26">
        <f>(T35/W35)*X35</f>
        <v>19.575471698113208</v>
      </c>
      <c r="Z35" s="26">
        <f>(V35/W35)*X35</f>
        <v>28.223270440251575</v>
      </c>
      <c r="AA35" s="23">
        <f t="shared" ref="AA35:AC35" si="111">SUM(AA27:AA32)</f>
        <v>105.25</v>
      </c>
      <c r="AB35" s="23">
        <f t="shared" si="111"/>
        <v>112</v>
      </c>
      <c r="AC35" s="23">
        <f t="shared" si="111"/>
        <v>119</v>
      </c>
      <c r="AD35" s="26"/>
      <c r="AN35" s="23">
        <f>SUM(AN27:AN32)</f>
        <v>74.75</v>
      </c>
      <c r="AP35" s="23">
        <f>SUM(AP27:AP32)</f>
        <v>102.25</v>
      </c>
      <c r="AQ35" s="23">
        <f>SUM(AQ27:AQ32)</f>
        <v>159</v>
      </c>
      <c r="AR35" s="26">
        <v>50</v>
      </c>
      <c r="AS35" s="26">
        <f>(AN35/AQ35)*AR35</f>
        <v>23.5062893081761</v>
      </c>
      <c r="AT35" s="26">
        <f>(AP35/AQ35)*AR35</f>
        <v>32.154088050314463</v>
      </c>
      <c r="AU35" s="23">
        <f t="shared" ref="AU35:AW35" si="112">SUM(AU27:AU32)</f>
        <v>109.4</v>
      </c>
      <c r="AV35" s="23">
        <f t="shared" si="112"/>
        <v>117.6</v>
      </c>
      <c r="AW35" s="23">
        <f t="shared" si="112"/>
        <v>127.75</v>
      </c>
      <c r="BH35" s="23">
        <f>SUM(BH27:BH32)</f>
        <v>80.25</v>
      </c>
      <c r="BJ35" s="23">
        <f>SUM(BJ27:BJ32)</f>
        <v>108.75</v>
      </c>
      <c r="BK35" s="23">
        <f>SUM(BK27:BK32)</f>
        <v>159</v>
      </c>
      <c r="BL35" s="26">
        <v>50</v>
      </c>
      <c r="BM35" s="26">
        <f>(BH35/BK35)*BL35</f>
        <v>25.235849056603776</v>
      </c>
      <c r="BN35" s="26">
        <f>(BJ35/BK35)*BL35</f>
        <v>34.198113207547173</v>
      </c>
      <c r="BO35" s="23">
        <f t="shared" ref="BO35:BQ35" si="113">SUM(BO27:BO32)</f>
        <v>118</v>
      </c>
      <c r="BP35" s="23">
        <f t="shared" si="113"/>
        <v>125.25</v>
      </c>
      <c r="BQ35" s="23">
        <f t="shared" si="113"/>
        <v>138.5</v>
      </c>
    </row>
    <row r="36" spans="1:69" ht="47" customHeight="1" x14ac:dyDescent="0.2">
      <c r="A36" s="2" t="s">
        <v>52</v>
      </c>
      <c r="B36" s="2" t="s">
        <v>53</v>
      </c>
      <c r="C36" s="2" t="s">
        <v>50</v>
      </c>
      <c r="D36" s="2" t="s">
        <v>357</v>
      </c>
      <c r="E36" s="3" t="s">
        <v>557</v>
      </c>
      <c r="F36" s="2" t="s">
        <v>77</v>
      </c>
      <c r="G36" s="3" t="s">
        <v>186</v>
      </c>
      <c r="H36" s="3" t="s">
        <v>108</v>
      </c>
      <c r="I36" s="2" t="s">
        <v>187</v>
      </c>
      <c r="K36" s="2">
        <v>55</v>
      </c>
      <c r="L36" s="2" t="s">
        <v>613</v>
      </c>
      <c r="M36" s="2">
        <v>70</v>
      </c>
      <c r="N36" s="2">
        <v>70</v>
      </c>
      <c r="O36" s="2">
        <v>77</v>
      </c>
      <c r="P36" s="2">
        <v>84</v>
      </c>
      <c r="Q36" s="2">
        <v>90</v>
      </c>
      <c r="R36" s="2" t="s">
        <v>455</v>
      </c>
      <c r="S36" s="2">
        <f>K36</f>
        <v>55</v>
      </c>
      <c r="T36" s="8">
        <f>S36/2</f>
        <v>27.5</v>
      </c>
      <c r="U36" s="2">
        <f t="shared" ref="U36:U38" si="114">M36</f>
        <v>70</v>
      </c>
      <c r="V36" s="8">
        <f>U36/2</f>
        <v>35</v>
      </c>
      <c r="W36" s="8">
        <f>95/2</f>
        <v>47.5</v>
      </c>
      <c r="AA36" s="2">
        <f>O36/2</f>
        <v>38.5</v>
      </c>
      <c r="AB36" s="2">
        <f t="shared" ref="AB36" si="115">P36/2</f>
        <v>42</v>
      </c>
      <c r="AC36" s="2">
        <f t="shared" ref="AC36" si="116">Q36/2</f>
        <v>45</v>
      </c>
      <c r="AE36" s="2">
        <v>70</v>
      </c>
      <c r="AF36" s="2" t="s">
        <v>613</v>
      </c>
      <c r="AG36" s="2">
        <v>80</v>
      </c>
      <c r="AH36" s="2">
        <v>80</v>
      </c>
      <c r="AI36" s="2">
        <v>87</v>
      </c>
      <c r="AJ36" s="2">
        <v>94</v>
      </c>
      <c r="AK36" s="2">
        <v>98</v>
      </c>
      <c r="AL36" s="2" t="s">
        <v>455</v>
      </c>
      <c r="AM36" s="2">
        <f>AE36</f>
        <v>70</v>
      </c>
      <c r="AN36" s="8">
        <f>AM36/2</f>
        <v>35</v>
      </c>
      <c r="AO36" s="2">
        <f t="shared" ref="AO36:AO39" si="117">AG36</f>
        <v>80</v>
      </c>
      <c r="AP36" s="8">
        <f>AO36/2</f>
        <v>40</v>
      </c>
      <c r="AQ36" s="8">
        <f>100/2</f>
        <v>50</v>
      </c>
      <c r="AU36" s="2">
        <f>AI36/2</f>
        <v>43.5</v>
      </c>
      <c r="AV36" s="2">
        <f t="shared" ref="AV36" si="118">AJ36/2</f>
        <v>47</v>
      </c>
      <c r="AW36" s="2">
        <f t="shared" ref="AW36" si="119">AK36/2</f>
        <v>49</v>
      </c>
      <c r="AY36" s="2">
        <v>80</v>
      </c>
      <c r="AZ36" s="2" t="s">
        <v>613</v>
      </c>
      <c r="BA36" s="2">
        <v>88</v>
      </c>
      <c r="BB36" s="2">
        <v>88</v>
      </c>
      <c r="BC36" s="2">
        <v>92</v>
      </c>
      <c r="BD36" s="2">
        <v>97</v>
      </c>
      <c r="BE36" s="2">
        <v>102</v>
      </c>
      <c r="BF36" s="2" t="s">
        <v>455</v>
      </c>
      <c r="BG36" s="2">
        <f>AY36</f>
        <v>80</v>
      </c>
      <c r="BH36" s="8">
        <f>BG36/2</f>
        <v>40</v>
      </c>
      <c r="BI36" s="2">
        <f t="shared" ref="BI36:BI39" si="120">BA36</f>
        <v>88</v>
      </c>
      <c r="BJ36" s="8">
        <f>BI36/2</f>
        <v>44</v>
      </c>
      <c r="BK36" s="8">
        <v>52.5</v>
      </c>
      <c r="BO36" s="2">
        <f>BC36/2</f>
        <v>46</v>
      </c>
      <c r="BP36" s="2">
        <f t="shared" ref="BP36:BQ36" si="121">BD36/2</f>
        <v>48.5</v>
      </c>
      <c r="BQ36" s="2">
        <f t="shared" si="121"/>
        <v>51</v>
      </c>
    </row>
    <row r="37" spans="1:69" ht="61" customHeight="1" x14ac:dyDescent="0.2">
      <c r="B37" s="2" t="s">
        <v>53</v>
      </c>
      <c r="C37" s="2" t="s">
        <v>555</v>
      </c>
      <c r="D37" s="2" t="s">
        <v>559</v>
      </c>
      <c r="E37" s="3" t="s">
        <v>558</v>
      </c>
      <c r="F37" s="3" t="s">
        <v>387</v>
      </c>
      <c r="G37" s="3" t="s">
        <v>115</v>
      </c>
      <c r="H37" s="3" t="s">
        <v>147</v>
      </c>
      <c r="I37" s="3" t="s">
        <v>556</v>
      </c>
      <c r="J37" s="3"/>
      <c r="K37" s="2">
        <v>20</v>
      </c>
      <c r="L37" s="2" t="s">
        <v>613</v>
      </c>
      <c r="M37" s="2">
        <v>36</v>
      </c>
      <c r="N37" s="2">
        <v>36</v>
      </c>
      <c r="O37" s="2">
        <v>39</v>
      </c>
      <c r="P37" s="2">
        <v>42</v>
      </c>
      <c r="Q37" s="2">
        <v>45</v>
      </c>
      <c r="R37" s="2" t="str">
        <f>$D37</f>
        <v>TPITCH2060</v>
      </c>
      <c r="S37" s="2">
        <f t="shared" ref="S37:U39" si="122">K37</f>
        <v>20</v>
      </c>
      <c r="T37" s="2">
        <f>S37</f>
        <v>20</v>
      </c>
      <c r="U37" s="2">
        <f t="shared" si="114"/>
        <v>36</v>
      </c>
      <c r="V37" s="2">
        <f>U37</f>
        <v>36</v>
      </c>
      <c r="W37" s="2">
        <v>60</v>
      </c>
      <c r="AA37" s="2">
        <f>O37</f>
        <v>39</v>
      </c>
      <c r="AB37" s="2">
        <f t="shared" ref="AB37" si="123">P37</f>
        <v>42</v>
      </c>
      <c r="AC37" s="2">
        <f t="shared" ref="AC37" si="124">Q37</f>
        <v>45</v>
      </c>
      <c r="AE37" s="2">
        <v>24</v>
      </c>
      <c r="AF37" s="2" t="s">
        <v>613</v>
      </c>
      <c r="AG37" s="2">
        <v>36</v>
      </c>
      <c r="AH37" s="2">
        <v>36</v>
      </c>
      <c r="AI37" s="2">
        <v>39</v>
      </c>
      <c r="AJ37" s="2">
        <v>42</v>
      </c>
      <c r="AK37" s="2">
        <v>45</v>
      </c>
      <c r="AL37" s="2" t="str">
        <f>$D37</f>
        <v>TPITCH2060</v>
      </c>
      <c r="AM37" s="2">
        <f t="shared" ref="AM37:AM39" si="125">AE37</f>
        <v>24</v>
      </c>
      <c r="AN37" s="2">
        <f>AM37</f>
        <v>24</v>
      </c>
      <c r="AO37" s="2">
        <f t="shared" si="117"/>
        <v>36</v>
      </c>
      <c r="AP37" s="2">
        <f>AO37</f>
        <v>36</v>
      </c>
      <c r="AQ37" s="2">
        <v>60</v>
      </c>
      <c r="AU37" s="2">
        <f>AI37</f>
        <v>39</v>
      </c>
      <c r="AV37" s="2">
        <f t="shared" ref="AV37" si="126">AJ37</f>
        <v>42</v>
      </c>
      <c r="AW37" s="2">
        <f t="shared" ref="AW37" si="127">AK37</f>
        <v>45</v>
      </c>
      <c r="AY37" s="2">
        <v>32</v>
      </c>
      <c r="AZ37" s="2" t="s">
        <v>613</v>
      </c>
      <c r="BA37" s="2">
        <v>42</v>
      </c>
      <c r="BB37" s="2">
        <v>42</v>
      </c>
      <c r="BC37" s="2">
        <v>46</v>
      </c>
      <c r="BD37" s="2">
        <v>50</v>
      </c>
      <c r="BE37" s="2">
        <v>55</v>
      </c>
      <c r="BF37" s="2" t="str">
        <f>$D37</f>
        <v>TPITCH2060</v>
      </c>
      <c r="BG37" s="2">
        <f t="shared" ref="BG37:BG39" si="128">AY37</f>
        <v>32</v>
      </c>
      <c r="BH37" s="2">
        <f>BG37</f>
        <v>32</v>
      </c>
      <c r="BI37" s="2">
        <f t="shared" si="120"/>
        <v>42</v>
      </c>
      <c r="BJ37" s="2">
        <f>BI37</f>
        <v>42</v>
      </c>
      <c r="BK37" s="2">
        <v>60</v>
      </c>
      <c r="BO37" s="2">
        <f>BC37</f>
        <v>46</v>
      </c>
      <c r="BP37" s="2">
        <f t="shared" ref="BP37:BQ37" si="129">BD37</f>
        <v>50</v>
      </c>
      <c r="BQ37" s="2">
        <f t="shared" si="129"/>
        <v>55</v>
      </c>
    </row>
    <row r="38" spans="1:69" s="53" customFormat="1" ht="92" customHeight="1" x14ac:dyDescent="0.2">
      <c r="B38" s="53" t="s">
        <v>53</v>
      </c>
      <c r="C38" s="53" t="s">
        <v>111</v>
      </c>
      <c r="D38" s="54" t="s">
        <v>584</v>
      </c>
      <c r="E38" s="54" t="s">
        <v>585</v>
      </c>
      <c r="F38" s="54" t="s">
        <v>387</v>
      </c>
      <c r="G38" s="54" t="s">
        <v>112</v>
      </c>
      <c r="H38" s="54" t="s">
        <v>289</v>
      </c>
      <c r="I38" s="54" t="s">
        <v>195</v>
      </c>
      <c r="J38" s="54"/>
      <c r="K38" s="53">
        <f>K37/4</f>
        <v>5</v>
      </c>
      <c r="L38" s="53" t="s">
        <v>613</v>
      </c>
      <c r="M38" s="53">
        <v>8</v>
      </c>
      <c r="N38" s="53">
        <v>8</v>
      </c>
      <c r="O38" s="53">
        <v>9</v>
      </c>
      <c r="P38" s="53">
        <v>10</v>
      </c>
      <c r="Q38" s="53">
        <v>11</v>
      </c>
      <c r="R38" s="54" t="str">
        <f t="shared" ref="R38:R39" si="130">$D38</f>
        <v xml:space="preserve">TPITCH5AP1, TPITCH5AP2, TPITCH5AP3, TPITCH5AP4, TPITCH5AP5,  </v>
      </c>
      <c r="S38" s="53">
        <f t="shared" si="122"/>
        <v>5</v>
      </c>
      <c r="T38" s="53">
        <f>S38</f>
        <v>5</v>
      </c>
      <c r="U38" s="53">
        <f t="shared" si="114"/>
        <v>8</v>
      </c>
      <c r="V38" s="53">
        <f>U38</f>
        <v>8</v>
      </c>
      <c r="W38" s="53">
        <v>15</v>
      </c>
      <c r="AE38" s="53">
        <f>AE37/4</f>
        <v>6</v>
      </c>
      <c r="AF38" s="53" t="s">
        <v>613</v>
      </c>
      <c r="AG38" s="53">
        <v>8</v>
      </c>
      <c r="AH38" s="53">
        <v>8</v>
      </c>
      <c r="AI38" s="53">
        <v>9</v>
      </c>
      <c r="AJ38" s="53">
        <v>10</v>
      </c>
      <c r="AK38" s="53">
        <v>11</v>
      </c>
      <c r="AL38" s="54" t="str">
        <f t="shared" ref="AL38:AL39" si="131">$D38</f>
        <v xml:space="preserve">TPITCH5AP1, TPITCH5AP2, TPITCH5AP3, TPITCH5AP4, TPITCH5AP5,  </v>
      </c>
      <c r="AM38" s="53">
        <f t="shared" si="125"/>
        <v>6</v>
      </c>
      <c r="AN38" s="53">
        <f>AM38</f>
        <v>6</v>
      </c>
      <c r="AO38" s="53">
        <f t="shared" si="117"/>
        <v>8</v>
      </c>
      <c r="AP38" s="53">
        <f>AO38</f>
        <v>8</v>
      </c>
      <c r="AQ38" s="53">
        <v>15</v>
      </c>
      <c r="AY38" s="53">
        <f>AY37/4</f>
        <v>8</v>
      </c>
      <c r="AZ38" s="53" t="s">
        <v>613</v>
      </c>
      <c r="BA38" s="53">
        <v>9</v>
      </c>
      <c r="BB38" s="53">
        <v>9</v>
      </c>
      <c r="BC38" s="53">
        <v>11</v>
      </c>
      <c r="BD38" s="53">
        <v>12</v>
      </c>
      <c r="BE38" s="53">
        <v>14</v>
      </c>
      <c r="BF38" s="54" t="str">
        <f t="shared" ref="BF38:BF39" si="132">$D38</f>
        <v xml:space="preserve">TPITCH5AP1, TPITCH5AP2, TPITCH5AP3, TPITCH5AP4, TPITCH5AP5,  </v>
      </c>
      <c r="BG38" s="53">
        <f t="shared" si="128"/>
        <v>8</v>
      </c>
      <c r="BH38" s="53">
        <f>BG38</f>
        <v>8</v>
      </c>
      <c r="BI38" s="53">
        <f t="shared" si="120"/>
        <v>9</v>
      </c>
      <c r="BJ38" s="53">
        <f>BI38</f>
        <v>9</v>
      </c>
      <c r="BK38" s="53">
        <v>15</v>
      </c>
    </row>
    <row r="39" spans="1:69" ht="32" customHeight="1" x14ac:dyDescent="0.2">
      <c r="C39" s="2" t="s">
        <v>626</v>
      </c>
      <c r="D39" s="3" t="s">
        <v>627</v>
      </c>
      <c r="E39" s="3" t="s">
        <v>629</v>
      </c>
      <c r="F39" s="3" t="s">
        <v>630</v>
      </c>
      <c r="G39" s="3" t="s">
        <v>631</v>
      </c>
      <c r="I39" s="3" t="s">
        <v>195</v>
      </c>
      <c r="J39" s="3"/>
      <c r="K39" s="2">
        <v>5</v>
      </c>
      <c r="L39" s="2" t="s">
        <v>613</v>
      </c>
      <c r="M39" s="2">
        <v>8</v>
      </c>
      <c r="N39" s="2">
        <v>8</v>
      </c>
      <c r="O39" s="2">
        <v>9</v>
      </c>
      <c r="P39" s="2">
        <v>10</v>
      </c>
      <c r="Q39" s="2">
        <v>11</v>
      </c>
      <c r="R39" s="2" t="str">
        <f t="shared" si="130"/>
        <v>TPITCH5AVG</v>
      </c>
      <c r="S39" s="2">
        <f t="shared" si="122"/>
        <v>5</v>
      </c>
      <c r="T39" s="2">
        <f>S39</f>
        <v>5</v>
      </c>
      <c r="U39" s="2">
        <f t="shared" si="122"/>
        <v>8</v>
      </c>
      <c r="V39" s="2">
        <f>U39</f>
        <v>8</v>
      </c>
      <c r="W39" s="2">
        <v>15</v>
      </c>
      <c r="AA39" s="2">
        <f t="shared" ref="AA39" si="133">O39</f>
        <v>9</v>
      </c>
      <c r="AB39" s="2">
        <f t="shared" ref="AB39" si="134">P39</f>
        <v>10</v>
      </c>
      <c r="AC39" s="2">
        <f t="shared" ref="AC39" si="135">Q39</f>
        <v>11</v>
      </c>
      <c r="AE39" s="2">
        <v>6</v>
      </c>
      <c r="AF39" s="2" t="s">
        <v>613</v>
      </c>
      <c r="AG39" s="2">
        <v>8</v>
      </c>
      <c r="AH39" s="2">
        <v>8</v>
      </c>
      <c r="AI39" s="2">
        <v>9</v>
      </c>
      <c r="AJ39" s="2">
        <v>10</v>
      </c>
      <c r="AK39" s="2">
        <v>11</v>
      </c>
      <c r="AL39" s="2" t="str">
        <f t="shared" si="131"/>
        <v>TPITCH5AVG</v>
      </c>
      <c r="AM39" s="2">
        <f t="shared" si="125"/>
        <v>6</v>
      </c>
      <c r="AN39" s="2">
        <f>AM39</f>
        <v>6</v>
      </c>
      <c r="AO39" s="2">
        <f t="shared" si="117"/>
        <v>8</v>
      </c>
      <c r="AP39" s="2">
        <f>AO39</f>
        <v>8</v>
      </c>
      <c r="AQ39" s="2">
        <v>15</v>
      </c>
      <c r="AU39" s="2">
        <f t="shared" ref="AU39" si="136">AI39</f>
        <v>9</v>
      </c>
      <c r="AV39" s="2">
        <f t="shared" ref="AV39" si="137">AJ39</f>
        <v>10</v>
      </c>
      <c r="AW39" s="2">
        <f t="shared" ref="AW39" si="138">AK39</f>
        <v>11</v>
      </c>
      <c r="AY39" s="2">
        <v>7</v>
      </c>
      <c r="AZ39" s="2" t="s">
        <v>613</v>
      </c>
      <c r="BA39" s="2">
        <v>9</v>
      </c>
      <c r="BB39" s="2">
        <v>9</v>
      </c>
      <c r="BC39" s="2">
        <v>11</v>
      </c>
      <c r="BD39" s="2">
        <v>12</v>
      </c>
      <c r="BE39" s="2">
        <v>14</v>
      </c>
      <c r="BF39" s="2" t="str">
        <f t="shared" si="132"/>
        <v>TPITCH5AVG</v>
      </c>
      <c r="BG39" s="2">
        <f t="shared" si="128"/>
        <v>7</v>
      </c>
      <c r="BH39" s="2">
        <f>BG39</f>
        <v>7</v>
      </c>
      <c r="BI39" s="2">
        <f t="shared" si="120"/>
        <v>9</v>
      </c>
      <c r="BJ39" s="2">
        <f>BI39</f>
        <v>9</v>
      </c>
      <c r="BK39" s="2">
        <v>15</v>
      </c>
      <c r="BO39" s="2">
        <f t="shared" ref="BO39:BQ39" si="139">BC39</f>
        <v>11</v>
      </c>
      <c r="BP39" s="2">
        <f t="shared" si="139"/>
        <v>12</v>
      </c>
      <c r="BQ39" s="2">
        <f t="shared" si="139"/>
        <v>14</v>
      </c>
    </row>
    <row r="40" spans="1:69" s="89" customFormat="1" ht="15" customHeight="1" x14ac:dyDescent="0.2">
      <c r="B40" s="89" t="s">
        <v>1151</v>
      </c>
      <c r="D40" s="90" t="s">
        <v>1135</v>
      </c>
      <c r="E40" s="90" t="s">
        <v>1152</v>
      </c>
      <c r="F40" s="90"/>
      <c r="G40" s="90"/>
      <c r="H40" s="90"/>
      <c r="I40" s="90"/>
      <c r="J40" s="90"/>
      <c r="T40" s="89">
        <v>1</v>
      </c>
      <c r="V40" s="89">
        <v>2</v>
      </c>
      <c r="AA40" s="89">
        <v>2</v>
      </c>
      <c r="AB40" s="89">
        <v>3</v>
      </c>
      <c r="AC40" s="89">
        <v>4</v>
      </c>
      <c r="AN40" s="89">
        <v>1</v>
      </c>
      <c r="AP40" s="89">
        <v>2</v>
      </c>
      <c r="AU40" s="89">
        <v>2</v>
      </c>
      <c r="AV40" s="89">
        <v>3</v>
      </c>
      <c r="AW40" s="89">
        <v>4</v>
      </c>
      <c r="BH40" s="89">
        <v>1</v>
      </c>
      <c r="BJ40" s="89">
        <v>2</v>
      </c>
      <c r="BO40" s="89">
        <v>2</v>
      </c>
      <c r="BP40" s="89">
        <v>3</v>
      </c>
      <c r="BQ40" s="89">
        <v>4</v>
      </c>
    </row>
    <row r="41" spans="1:69" s="30" customFormat="1" x14ac:dyDescent="0.2">
      <c r="B41" s="30" t="s">
        <v>457</v>
      </c>
      <c r="D41" s="30" t="s">
        <v>1134</v>
      </c>
      <c r="E41" s="31"/>
      <c r="F41" s="31"/>
      <c r="G41" s="31"/>
      <c r="H41" s="31"/>
      <c r="N41" s="35" t="s">
        <v>459</v>
      </c>
      <c r="O41" s="35"/>
      <c r="P41" s="35"/>
      <c r="Q41" s="35"/>
      <c r="T41" s="36">
        <f>T36</f>
        <v>27.5</v>
      </c>
      <c r="V41" s="36">
        <f>V36</f>
        <v>35</v>
      </c>
      <c r="W41" s="36">
        <f>W36</f>
        <v>47.5</v>
      </c>
      <c r="AA41" s="36">
        <f t="shared" ref="AA41:AC41" si="140">AA36</f>
        <v>38.5</v>
      </c>
      <c r="AB41" s="36">
        <f t="shared" si="140"/>
        <v>42</v>
      </c>
      <c r="AC41" s="36">
        <f t="shared" si="140"/>
        <v>45</v>
      </c>
      <c r="AH41" s="35" t="s">
        <v>459</v>
      </c>
      <c r="AI41" s="35"/>
      <c r="AJ41" s="35"/>
      <c r="AK41" s="35"/>
      <c r="AN41" s="36">
        <f>AN36</f>
        <v>35</v>
      </c>
      <c r="AP41" s="36">
        <f>AP36</f>
        <v>40</v>
      </c>
      <c r="AQ41" s="36">
        <f>AQ36</f>
        <v>50</v>
      </c>
      <c r="AU41" s="36">
        <f t="shared" ref="AU41:AW41" si="141">AU36</f>
        <v>43.5</v>
      </c>
      <c r="AV41" s="36">
        <f t="shared" si="141"/>
        <v>47</v>
      </c>
      <c r="AW41" s="36">
        <f t="shared" si="141"/>
        <v>49</v>
      </c>
      <c r="BB41" s="35" t="s">
        <v>459</v>
      </c>
      <c r="BC41" s="35"/>
      <c r="BD41" s="35"/>
      <c r="BE41" s="35"/>
      <c r="BH41" s="36">
        <f>BH36</f>
        <v>40</v>
      </c>
      <c r="BJ41" s="36">
        <f t="shared" ref="BJ41:BK41" si="142">BJ36</f>
        <v>44</v>
      </c>
      <c r="BK41" s="36">
        <f t="shared" si="142"/>
        <v>52.5</v>
      </c>
      <c r="BO41" s="36">
        <f t="shared" ref="BO41:BQ41" si="143">BO36</f>
        <v>46</v>
      </c>
      <c r="BP41" s="36">
        <f t="shared" si="143"/>
        <v>48.5</v>
      </c>
      <c r="BQ41" s="36">
        <f t="shared" si="143"/>
        <v>51</v>
      </c>
    </row>
    <row r="42" spans="1:69" s="39" customFormat="1" x14ac:dyDescent="0.2">
      <c r="B42" s="39" t="s">
        <v>458</v>
      </c>
      <c r="D42" s="39" t="s">
        <v>1133</v>
      </c>
      <c r="E42" s="40"/>
      <c r="F42" s="40"/>
      <c r="G42" s="40"/>
      <c r="H42" s="40"/>
      <c r="N42" s="41" t="s">
        <v>628</v>
      </c>
      <c r="O42" s="41"/>
      <c r="P42" s="41"/>
      <c r="Q42" s="41"/>
      <c r="T42" s="39">
        <f>SUM(T37+T39)</f>
        <v>25</v>
      </c>
      <c r="V42" s="39">
        <f>SUM(V37+V39)</f>
        <v>44</v>
      </c>
      <c r="W42" s="39">
        <f>SUM(W37+W39)</f>
        <v>75</v>
      </c>
      <c r="AA42" s="39">
        <f t="shared" ref="AA42:AC42" si="144">SUM(AA37+AA39)</f>
        <v>48</v>
      </c>
      <c r="AB42" s="39">
        <f t="shared" si="144"/>
        <v>52</v>
      </c>
      <c r="AC42" s="39">
        <f t="shared" si="144"/>
        <v>56</v>
      </c>
      <c r="AH42" s="41" t="s">
        <v>743</v>
      </c>
      <c r="AI42" s="41"/>
      <c r="AJ42" s="41"/>
      <c r="AK42" s="41"/>
      <c r="AN42" s="39">
        <f>SUM(AN37+AN39)</f>
        <v>30</v>
      </c>
      <c r="AP42" s="39">
        <f>SUM(AP37+AP39)</f>
        <v>44</v>
      </c>
      <c r="AQ42" s="39">
        <f>SUM(AQ37+AQ39)</f>
        <v>75</v>
      </c>
      <c r="AU42" s="39">
        <f t="shared" ref="AU42:AW42" si="145">SUM(AU37+AU39)</f>
        <v>48</v>
      </c>
      <c r="AV42" s="39">
        <f t="shared" si="145"/>
        <v>52</v>
      </c>
      <c r="AW42" s="39">
        <f t="shared" si="145"/>
        <v>56</v>
      </c>
      <c r="BB42" s="41" t="s">
        <v>743</v>
      </c>
      <c r="BC42" s="41"/>
      <c r="BD42" s="41"/>
      <c r="BE42" s="41"/>
      <c r="BH42" s="39">
        <f>SUM(BH37+BH39)</f>
        <v>39</v>
      </c>
      <c r="BJ42" s="39">
        <f t="shared" ref="BJ42:BK42" si="146">SUM(BJ37+BJ39)</f>
        <v>51</v>
      </c>
      <c r="BK42" s="39">
        <f t="shared" si="146"/>
        <v>75</v>
      </c>
      <c r="BO42" s="39">
        <f t="shared" ref="BO42:BQ42" si="147">SUM(BO37+BO39)</f>
        <v>57</v>
      </c>
      <c r="BP42" s="39">
        <f t="shared" si="147"/>
        <v>62</v>
      </c>
      <c r="BQ42" s="39">
        <f t="shared" si="147"/>
        <v>69</v>
      </c>
    </row>
    <row r="43" spans="1:69" s="23" customFormat="1" x14ac:dyDescent="0.2">
      <c r="B43" s="23" t="s">
        <v>486</v>
      </c>
      <c r="D43" s="23" t="s">
        <v>650</v>
      </c>
      <c r="E43" s="24"/>
      <c r="F43" s="24"/>
      <c r="G43" s="24"/>
      <c r="H43" s="24"/>
      <c r="I43" s="24"/>
      <c r="J43" s="24"/>
      <c r="T43" s="26">
        <f>SUM(T39,T36:T37)</f>
        <v>52.5</v>
      </c>
      <c r="U43" s="26"/>
      <c r="V43" s="26">
        <f>SUM(V39,V36:V37)</f>
        <v>79</v>
      </c>
      <c r="W43" s="26">
        <f>SUM(W39,W36:W37)</f>
        <v>122.5</v>
      </c>
      <c r="X43" s="26">
        <v>50</v>
      </c>
      <c r="Y43" s="26">
        <f>(T43/W43)*X43</f>
        <v>21.428571428571427</v>
      </c>
      <c r="Z43" s="26">
        <f>(V43/W43)*X43</f>
        <v>32.244897959183675</v>
      </c>
      <c r="AA43" s="26">
        <f t="shared" ref="AA43:AC43" si="148">SUM(AA39,AA36:AA37)</f>
        <v>86.5</v>
      </c>
      <c r="AB43" s="26">
        <f t="shared" si="148"/>
        <v>94</v>
      </c>
      <c r="AC43" s="26">
        <f t="shared" si="148"/>
        <v>101</v>
      </c>
      <c r="AL43" s="2" t="str">
        <f>$D44</f>
        <v>C20PCS</v>
      </c>
      <c r="AN43" s="26">
        <f>SUM(AN39,AN36:AN37)</f>
        <v>65</v>
      </c>
      <c r="AO43" s="26"/>
      <c r="AP43" s="26">
        <f>SUM(AP39,AP36:AP37)</f>
        <v>84</v>
      </c>
      <c r="AQ43" s="26">
        <f>SUM(AQ39,AQ36:AQ37)</f>
        <v>125</v>
      </c>
      <c r="AR43" s="26">
        <v>50</v>
      </c>
      <c r="AS43" s="26">
        <f>(AN43/AQ43)*AR43</f>
        <v>26</v>
      </c>
      <c r="AT43" s="26">
        <f>(AP43/AQ43)*AR43</f>
        <v>33.6</v>
      </c>
      <c r="AU43" s="26">
        <f t="shared" ref="AU43:AW43" si="149">SUM(AU39,AU36:AU37)</f>
        <v>91.5</v>
      </c>
      <c r="AV43" s="26">
        <f t="shared" si="149"/>
        <v>99</v>
      </c>
      <c r="AW43" s="26">
        <f t="shared" si="149"/>
        <v>105</v>
      </c>
      <c r="BH43" s="26">
        <f>SUM(BH39,BH36:BH37)</f>
        <v>79</v>
      </c>
      <c r="BI43" s="26"/>
      <c r="BJ43" s="26">
        <f t="shared" ref="BJ43:BK43" si="150">SUM(BJ39,BJ36:BJ37)</f>
        <v>95</v>
      </c>
      <c r="BK43" s="26">
        <f t="shared" si="150"/>
        <v>127.5</v>
      </c>
      <c r="BL43" s="26">
        <v>50</v>
      </c>
      <c r="BM43" s="26">
        <f>(BH43/BK43)*BL43</f>
        <v>30.980392156862745</v>
      </c>
      <c r="BN43" s="26">
        <f>(BJ43/BK43)*BL43</f>
        <v>37.254901960784316</v>
      </c>
      <c r="BO43" s="26">
        <f t="shared" ref="BO43:BQ43" si="151">SUM(BO39,BO36:BO37)</f>
        <v>103</v>
      </c>
      <c r="BP43" s="26">
        <f t="shared" si="151"/>
        <v>110.5</v>
      </c>
      <c r="BQ43" s="26">
        <f t="shared" si="151"/>
        <v>120</v>
      </c>
    </row>
    <row r="44" spans="1:69" ht="73" customHeight="1" x14ac:dyDescent="0.2">
      <c r="B44" s="2" t="s">
        <v>54</v>
      </c>
      <c r="C44" s="2" t="s">
        <v>586</v>
      </c>
      <c r="D44" s="2" t="s">
        <v>587</v>
      </c>
      <c r="E44" s="3" t="s">
        <v>233</v>
      </c>
      <c r="F44" s="3" t="s">
        <v>151</v>
      </c>
      <c r="G44" s="3" t="s">
        <v>115</v>
      </c>
      <c r="H44" s="3" t="s">
        <v>150</v>
      </c>
      <c r="I44" s="2" t="s">
        <v>191</v>
      </c>
      <c r="K44" s="2">
        <v>10</v>
      </c>
      <c r="L44" s="2" t="s">
        <v>613</v>
      </c>
      <c r="M44" s="2">
        <v>20</v>
      </c>
      <c r="N44" s="2">
        <v>20</v>
      </c>
      <c r="O44" s="2">
        <v>24</v>
      </c>
      <c r="P44" s="2">
        <v>27</v>
      </c>
      <c r="Q44" s="2">
        <v>30</v>
      </c>
      <c r="R44" s="2" t="str">
        <f>$D44</f>
        <v>C20PCS</v>
      </c>
      <c r="S44" s="2">
        <f>K44</f>
        <v>10</v>
      </c>
      <c r="T44" s="2">
        <f>S44</f>
        <v>10</v>
      </c>
      <c r="U44" s="2">
        <f t="shared" ref="U44:U46" si="152">M44</f>
        <v>20</v>
      </c>
      <c r="V44" s="2">
        <f>U44</f>
        <v>20</v>
      </c>
      <c r="W44" s="2">
        <v>40</v>
      </c>
      <c r="AA44" s="2">
        <f>O44</f>
        <v>24</v>
      </c>
      <c r="AB44" s="2">
        <f t="shared" ref="AB44" si="153">P44</f>
        <v>27</v>
      </c>
      <c r="AC44" s="2">
        <f t="shared" ref="AC44" si="154">Q44</f>
        <v>30</v>
      </c>
      <c r="AE44" s="2">
        <v>12</v>
      </c>
      <c r="AF44" s="2" t="s">
        <v>613</v>
      </c>
      <c r="AG44" s="2">
        <v>22</v>
      </c>
      <c r="AH44" s="2">
        <v>22</v>
      </c>
      <c r="AI44" s="2">
        <v>26</v>
      </c>
      <c r="AJ44" s="2">
        <v>30</v>
      </c>
      <c r="AK44" s="2">
        <v>34</v>
      </c>
      <c r="AM44" s="2">
        <f>AE44</f>
        <v>12</v>
      </c>
      <c r="AN44" s="2">
        <f>AM44</f>
        <v>12</v>
      </c>
      <c r="AO44" s="2">
        <f t="shared" ref="AO44:AO46" si="155">AG44</f>
        <v>22</v>
      </c>
      <c r="AP44" s="2">
        <f>AO44</f>
        <v>22</v>
      </c>
      <c r="AQ44" s="2">
        <v>40</v>
      </c>
      <c r="AU44" s="2">
        <f>AI44</f>
        <v>26</v>
      </c>
      <c r="AV44" s="2">
        <f t="shared" ref="AV44" si="156">AJ44</f>
        <v>30</v>
      </c>
      <c r="AW44" s="2">
        <f t="shared" ref="AW44" si="157">AK44</f>
        <v>34</v>
      </c>
      <c r="AY44" s="2">
        <v>15</v>
      </c>
      <c r="AZ44" s="2" t="s">
        <v>613</v>
      </c>
      <c r="BA44" s="2">
        <v>25</v>
      </c>
      <c r="BB44" s="2">
        <v>25</v>
      </c>
      <c r="BC44" s="2">
        <v>30</v>
      </c>
      <c r="BD44" s="2">
        <v>35</v>
      </c>
      <c r="BE44" s="2">
        <v>38</v>
      </c>
      <c r="BF44" s="2" t="str">
        <f>$D44</f>
        <v>C20PCS</v>
      </c>
      <c r="BG44" s="2">
        <f>AY44</f>
        <v>15</v>
      </c>
      <c r="BH44" s="2">
        <f>BG44</f>
        <v>15</v>
      </c>
      <c r="BI44" s="2">
        <f t="shared" ref="BI44:BI46" si="158">BA44</f>
        <v>25</v>
      </c>
      <c r="BJ44" s="2">
        <f>BI44</f>
        <v>25</v>
      </c>
      <c r="BK44" s="2">
        <v>40</v>
      </c>
      <c r="BO44" s="2">
        <f>BC44</f>
        <v>30</v>
      </c>
      <c r="BP44" s="2">
        <f t="shared" ref="BP44:BQ44" si="159">BD44</f>
        <v>35</v>
      </c>
      <c r="BQ44" s="2">
        <f t="shared" si="159"/>
        <v>38</v>
      </c>
    </row>
    <row r="45" spans="1:69" ht="41" customHeight="1" x14ac:dyDescent="0.2">
      <c r="B45" s="2" t="s">
        <v>54</v>
      </c>
      <c r="C45" s="2" t="s">
        <v>56</v>
      </c>
      <c r="D45" s="2" t="s">
        <v>475</v>
      </c>
      <c r="E45" s="3" t="s">
        <v>114</v>
      </c>
      <c r="F45" s="2" t="s">
        <v>116</v>
      </c>
      <c r="H45" s="3" t="s">
        <v>80</v>
      </c>
      <c r="I45" s="2" t="s">
        <v>194</v>
      </c>
      <c r="K45" s="2">
        <v>2.4</v>
      </c>
      <c r="L45" s="2" t="s">
        <v>613</v>
      </c>
      <c r="M45" s="2">
        <v>1.5</v>
      </c>
      <c r="N45" s="2">
        <v>1.5</v>
      </c>
      <c r="O45" s="2">
        <v>1.45</v>
      </c>
      <c r="P45" s="2">
        <v>1.4</v>
      </c>
      <c r="Q45" s="2">
        <v>1.25</v>
      </c>
      <c r="R45" s="2" t="s">
        <v>800</v>
      </c>
      <c r="S45" s="2">
        <f t="shared" ref="S45:S46" si="160">K45</f>
        <v>2.4</v>
      </c>
      <c r="T45" s="2">
        <f>(5-K45)*4</f>
        <v>10.4</v>
      </c>
      <c r="U45" s="2">
        <f t="shared" si="152"/>
        <v>1.5</v>
      </c>
      <c r="V45" s="2">
        <f>(5-M45)*4</f>
        <v>14</v>
      </c>
      <c r="W45" s="2">
        <v>15</v>
      </c>
      <c r="AA45" s="2">
        <f>(5-O45)*4</f>
        <v>14.2</v>
      </c>
      <c r="AB45" s="2">
        <f>(5-P45)*4</f>
        <v>14.4</v>
      </c>
      <c r="AC45" s="2">
        <f>(5-Q45)*4</f>
        <v>15</v>
      </c>
      <c r="AE45" s="2">
        <v>2.4</v>
      </c>
      <c r="AF45" s="2" t="s">
        <v>613</v>
      </c>
      <c r="AG45" s="2">
        <v>1.5</v>
      </c>
      <c r="AH45" s="2">
        <v>1.5</v>
      </c>
      <c r="AI45" s="2">
        <v>1.45</v>
      </c>
      <c r="AJ45" s="2">
        <v>1.4</v>
      </c>
      <c r="AK45" s="2">
        <v>1.25</v>
      </c>
      <c r="AL45" s="2" t="s">
        <v>801</v>
      </c>
      <c r="AM45" s="2">
        <f t="shared" ref="AM45:AM46" si="161">AE45</f>
        <v>2.4</v>
      </c>
      <c r="AN45" s="2">
        <f>(5-AE45)*4</f>
        <v>10.4</v>
      </c>
      <c r="AO45" s="2">
        <f t="shared" si="155"/>
        <v>1.5</v>
      </c>
      <c r="AP45" s="2">
        <f>(5-AG45)*4</f>
        <v>14</v>
      </c>
      <c r="AQ45" s="2">
        <v>15</v>
      </c>
      <c r="AU45" s="2">
        <f>(5-AI45)*4</f>
        <v>14.2</v>
      </c>
      <c r="AV45" s="2">
        <f t="shared" ref="AV45" si="162">(5-AJ45)*2.5</f>
        <v>9</v>
      </c>
      <c r="AW45" s="2">
        <f>(5-AK45)*4</f>
        <v>15</v>
      </c>
      <c r="AY45" s="2">
        <v>2.4</v>
      </c>
      <c r="AZ45" s="2" t="s">
        <v>613</v>
      </c>
      <c r="BA45" s="2">
        <v>1.5</v>
      </c>
      <c r="BB45" s="2">
        <v>1.5</v>
      </c>
      <c r="BC45" s="2">
        <v>1.45</v>
      </c>
      <c r="BD45" s="2">
        <v>1.4</v>
      </c>
      <c r="BE45" s="2">
        <v>1.25</v>
      </c>
      <c r="BF45" s="2" t="s">
        <v>801</v>
      </c>
      <c r="BG45" s="2">
        <f t="shared" ref="BG45:BG46" si="163">AY45</f>
        <v>2.4</v>
      </c>
      <c r="BH45" s="2">
        <f>(5-AY45)*4</f>
        <v>10.4</v>
      </c>
      <c r="BI45" s="2">
        <f t="shared" si="158"/>
        <v>1.5</v>
      </c>
      <c r="BJ45" s="2">
        <f>(5-BI45)*4</f>
        <v>14</v>
      </c>
      <c r="BK45" s="2">
        <v>15</v>
      </c>
      <c r="BO45" s="2">
        <f>(5-BC45)*4</f>
        <v>14.2</v>
      </c>
      <c r="BP45" s="2">
        <f>(5-BD45)*4</f>
        <v>14.4</v>
      </c>
      <c r="BQ45" s="2">
        <f>(5-BE45)*4</f>
        <v>15</v>
      </c>
    </row>
    <row r="46" spans="1:69" ht="34" x14ac:dyDescent="0.2">
      <c r="B46" s="2" t="s">
        <v>54</v>
      </c>
      <c r="C46" s="2" t="s">
        <v>57</v>
      </c>
      <c r="D46" s="2" t="s">
        <v>561</v>
      </c>
      <c r="E46" s="3" t="s">
        <v>117</v>
      </c>
      <c r="F46" s="3" t="s">
        <v>148</v>
      </c>
      <c r="G46" s="3" t="s">
        <v>112</v>
      </c>
      <c r="H46" s="3" t="s">
        <v>147</v>
      </c>
      <c r="I46" s="2" t="s">
        <v>195</v>
      </c>
      <c r="K46" s="2">
        <v>5</v>
      </c>
      <c r="L46" s="2" t="s">
        <v>613</v>
      </c>
      <c r="M46" s="2">
        <v>10</v>
      </c>
      <c r="N46" s="2">
        <v>10</v>
      </c>
      <c r="O46" s="2">
        <v>11</v>
      </c>
      <c r="P46" s="2">
        <v>13</v>
      </c>
      <c r="Q46" s="2">
        <v>15</v>
      </c>
      <c r="R46" s="2" t="str">
        <f>$D46</f>
        <v>CTTT2B</v>
      </c>
      <c r="S46" s="2">
        <f t="shared" si="160"/>
        <v>5</v>
      </c>
      <c r="T46" s="2">
        <f>S46</f>
        <v>5</v>
      </c>
      <c r="U46" s="2">
        <f t="shared" si="152"/>
        <v>10</v>
      </c>
      <c r="V46" s="2">
        <f>U46</f>
        <v>10</v>
      </c>
      <c r="W46" s="2">
        <v>15</v>
      </c>
      <c r="AA46" s="2">
        <f t="shared" ref="AA46" si="164">O46</f>
        <v>11</v>
      </c>
      <c r="AB46" s="2">
        <f t="shared" ref="AB46" si="165">P46</f>
        <v>13</v>
      </c>
      <c r="AC46" s="2">
        <f t="shared" ref="AC46" si="166">Q46</f>
        <v>15</v>
      </c>
      <c r="AE46" s="2">
        <v>5</v>
      </c>
      <c r="AF46" s="2" t="s">
        <v>613</v>
      </c>
      <c r="AG46" s="2">
        <v>10</v>
      </c>
      <c r="AH46" s="2">
        <v>10</v>
      </c>
      <c r="AI46" s="2">
        <v>11</v>
      </c>
      <c r="AJ46" s="2">
        <v>13</v>
      </c>
      <c r="AK46" s="2">
        <v>15</v>
      </c>
      <c r="AL46" s="2" t="str">
        <f>$D46</f>
        <v>CTTT2B</v>
      </c>
      <c r="AM46" s="2">
        <f t="shared" si="161"/>
        <v>5</v>
      </c>
      <c r="AN46" s="2">
        <f>AM46</f>
        <v>5</v>
      </c>
      <c r="AO46" s="2">
        <f t="shared" si="155"/>
        <v>10</v>
      </c>
      <c r="AP46" s="2">
        <f>AO46</f>
        <v>10</v>
      </c>
      <c r="AQ46" s="2">
        <v>15</v>
      </c>
      <c r="AU46" s="2">
        <f t="shared" ref="AU46" si="167">AI46</f>
        <v>11</v>
      </c>
      <c r="AV46" s="2">
        <f t="shared" ref="AV46" si="168">AJ46</f>
        <v>13</v>
      </c>
      <c r="AW46" s="2">
        <f t="shared" ref="AW46" si="169">AK46</f>
        <v>15</v>
      </c>
      <c r="AY46" s="2">
        <v>5</v>
      </c>
      <c r="AZ46" s="2" t="s">
        <v>613</v>
      </c>
      <c r="BA46" s="2">
        <v>10</v>
      </c>
      <c r="BB46" s="2">
        <v>10</v>
      </c>
      <c r="BC46" s="2">
        <v>11</v>
      </c>
      <c r="BD46" s="2">
        <v>13</v>
      </c>
      <c r="BE46" s="2">
        <v>15</v>
      </c>
      <c r="BF46" s="2" t="str">
        <f>$D46</f>
        <v>CTTT2B</v>
      </c>
      <c r="BG46" s="2">
        <f t="shared" si="163"/>
        <v>5</v>
      </c>
      <c r="BH46" s="2">
        <f>BG46</f>
        <v>5</v>
      </c>
      <c r="BI46" s="2">
        <f t="shared" si="158"/>
        <v>10</v>
      </c>
      <c r="BJ46" s="2">
        <f>BI46</f>
        <v>10</v>
      </c>
      <c r="BK46" s="2">
        <v>15</v>
      </c>
      <c r="BO46" s="2">
        <f t="shared" ref="BO46:BQ46" si="170">BC46</f>
        <v>11</v>
      </c>
      <c r="BP46" s="2">
        <f t="shared" si="170"/>
        <v>13</v>
      </c>
      <c r="BQ46" s="2">
        <f t="shared" si="170"/>
        <v>15</v>
      </c>
    </row>
    <row r="47" spans="1:69" s="44" customFormat="1" x14ac:dyDescent="0.2">
      <c r="B47" s="44" t="s">
        <v>487</v>
      </c>
      <c r="E47" s="45"/>
      <c r="F47" s="45"/>
      <c r="G47" s="45"/>
      <c r="H47" s="45"/>
      <c r="N47" s="46" t="s">
        <v>501</v>
      </c>
      <c r="O47" s="46"/>
      <c r="P47" s="46"/>
      <c r="Q47" s="46"/>
      <c r="AH47" s="46" t="s">
        <v>501</v>
      </c>
      <c r="AI47" s="46"/>
      <c r="AJ47" s="46"/>
      <c r="AK47" s="46"/>
      <c r="BB47" s="46" t="s">
        <v>471</v>
      </c>
      <c r="BC47" s="46"/>
      <c r="BD47" s="46"/>
      <c r="BE47" s="46"/>
    </row>
    <row r="48" spans="1:69" s="23" customFormat="1" x14ac:dyDescent="0.2">
      <c r="B48" s="23" t="s">
        <v>488</v>
      </c>
      <c r="D48" s="23" t="s">
        <v>651</v>
      </c>
      <c r="E48" s="24"/>
      <c r="F48" s="24"/>
      <c r="G48" s="24"/>
      <c r="H48" s="24"/>
      <c r="I48" s="24"/>
      <c r="J48" s="24"/>
      <c r="T48" s="26">
        <f>SUM(T44:T46)</f>
        <v>25.4</v>
      </c>
      <c r="U48" s="26"/>
      <c r="V48" s="26">
        <f t="shared" ref="V48:W48" si="171">SUM(V44:V46)</f>
        <v>44</v>
      </c>
      <c r="W48" s="26">
        <f t="shared" si="171"/>
        <v>70</v>
      </c>
      <c r="X48" s="26">
        <v>50</v>
      </c>
      <c r="Y48" s="26">
        <f>(T48/W48)*X48</f>
        <v>18.142857142857142</v>
      </c>
      <c r="Z48" s="26">
        <f>(V48/W48)*X48</f>
        <v>31.428571428571427</v>
      </c>
      <c r="AA48" s="26">
        <f>SUM(AA44:AA46)</f>
        <v>49.2</v>
      </c>
      <c r="AB48" s="26">
        <f t="shared" ref="AB48:AC48" si="172">SUM(AB44:AB46)</f>
        <v>54.4</v>
      </c>
      <c r="AC48" s="26">
        <f t="shared" si="172"/>
        <v>60</v>
      </c>
      <c r="AN48" s="26">
        <f>SUM(AN44:AN46)</f>
        <v>27.4</v>
      </c>
      <c r="AO48" s="26"/>
      <c r="AP48" s="26">
        <f>SUM(AP44:AP46)</f>
        <v>46</v>
      </c>
      <c r="AQ48" s="26">
        <f>SUM(AQ44:AQ46)</f>
        <v>70</v>
      </c>
      <c r="AR48" s="26">
        <v>50</v>
      </c>
      <c r="AS48" s="26">
        <f>(AN48/AQ48)*AR48</f>
        <v>19.571428571428569</v>
      </c>
      <c r="AT48" s="26">
        <f>(AP48/AQ48)*AR48</f>
        <v>32.857142857142854</v>
      </c>
      <c r="AU48" s="26">
        <f>SUM(AU44:AU46)</f>
        <v>51.2</v>
      </c>
      <c r="AV48" s="26">
        <f>SUM(AV44:AV46)</f>
        <v>52</v>
      </c>
      <c r="AW48" s="26">
        <f>SUM(AW44:AW46)</f>
        <v>64</v>
      </c>
      <c r="BH48" s="26">
        <f>SUM(BH44:BH46)</f>
        <v>30.4</v>
      </c>
      <c r="BI48" s="26"/>
      <c r="BJ48" s="26">
        <f>SUM(BJ44:BJ46)</f>
        <v>49</v>
      </c>
      <c r="BK48" s="26">
        <f>SUM(BK44:BK46)</f>
        <v>70</v>
      </c>
      <c r="BL48" s="26">
        <v>50</v>
      </c>
      <c r="BM48" s="26">
        <f>(BH48/BK48)*BL48</f>
        <v>21.714285714285715</v>
      </c>
      <c r="BN48" s="26">
        <f>(BJ48/BK48)*BL48</f>
        <v>35</v>
      </c>
      <c r="BO48" s="26">
        <f>SUM(BO44:BO46)</f>
        <v>55.2</v>
      </c>
      <c r="BP48" s="26">
        <f>SUM(BP44:BP46)</f>
        <v>62.4</v>
      </c>
      <c r="BQ48" s="26">
        <f>SUM(BQ44:BQ46)</f>
        <v>68</v>
      </c>
    </row>
    <row r="49" spans="2:70" ht="76" customHeight="1" x14ac:dyDescent="0.2">
      <c r="B49" s="2" t="s">
        <v>58</v>
      </c>
      <c r="C49" s="2" t="s">
        <v>196</v>
      </c>
      <c r="D49" s="2" t="s">
        <v>502</v>
      </c>
      <c r="E49" s="3" t="s">
        <v>250</v>
      </c>
      <c r="F49" s="3" t="s">
        <v>149</v>
      </c>
      <c r="G49" s="3" t="s">
        <v>141</v>
      </c>
      <c r="H49" s="3" t="s">
        <v>150</v>
      </c>
      <c r="I49" s="2" t="s">
        <v>188</v>
      </c>
      <c r="K49" s="2">
        <v>8</v>
      </c>
      <c r="L49" s="2" t="s">
        <v>613</v>
      </c>
      <c r="M49" s="2">
        <v>18</v>
      </c>
      <c r="N49" s="2">
        <v>18</v>
      </c>
      <c r="O49" s="2">
        <v>19</v>
      </c>
      <c r="P49" s="2">
        <v>22</v>
      </c>
      <c r="Q49" s="2">
        <v>25</v>
      </c>
      <c r="R49" s="2" t="str">
        <f>$D49</f>
        <v>C101B</v>
      </c>
      <c r="S49" s="2">
        <f>K49</f>
        <v>8</v>
      </c>
      <c r="T49" s="2">
        <f>S49</f>
        <v>8</v>
      </c>
      <c r="U49" s="2">
        <f t="shared" ref="U49:U53" si="173">M49</f>
        <v>18</v>
      </c>
      <c r="V49" s="2">
        <f>U49</f>
        <v>18</v>
      </c>
      <c r="W49" s="2">
        <v>30</v>
      </c>
      <c r="AA49" s="2">
        <f>O49</f>
        <v>19</v>
      </c>
      <c r="AB49" s="2">
        <f t="shared" ref="AB49:AB53" si="174">P49</f>
        <v>22</v>
      </c>
      <c r="AC49" s="2">
        <f t="shared" ref="AC49:AC53" si="175">Q49</f>
        <v>25</v>
      </c>
      <c r="AE49" s="2">
        <v>12</v>
      </c>
      <c r="AF49" s="2" t="s">
        <v>613</v>
      </c>
      <c r="AG49" s="2">
        <v>20</v>
      </c>
      <c r="AH49" s="2">
        <v>20</v>
      </c>
      <c r="AI49" s="2">
        <v>22</v>
      </c>
      <c r="AJ49" s="2">
        <v>25</v>
      </c>
      <c r="AK49" s="2">
        <v>27</v>
      </c>
      <c r="AL49" s="2" t="str">
        <f>$D49</f>
        <v>C101B</v>
      </c>
      <c r="AM49" s="2">
        <f>AE49</f>
        <v>12</v>
      </c>
      <c r="AN49" s="2">
        <f>AM49</f>
        <v>12</v>
      </c>
      <c r="AO49" s="2">
        <f t="shared" ref="AO49:AO53" si="176">AG49</f>
        <v>20</v>
      </c>
      <c r="AP49" s="2">
        <f>AO49</f>
        <v>20</v>
      </c>
      <c r="AQ49" s="2">
        <v>30</v>
      </c>
      <c r="AU49" s="2">
        <f>AI49</f>
        <v>22</v>
      </c>
      <c r="AV49" s="2">
        <f t="shared" ref="AV49:AV53" si="177">AJ49</f>
        <v>25</v>
      </c>
      <c r="AW49" s="2">
        <f t="shared" ref="AW49:AW53" si="178">AK49</f>
        <v>27</v>
      </c>
      <c r="AY49" s="2">
        <v>16</v>
      </c>
      <c r="AZ49" s="2" t="s">
        <v>613</v>
      </c>
      <c r="BA49" s="2">
        <v>24</v>
      </c>
      <c r="BB49" s="2">
        <v>24</v>
      </c>
      <c r="BC49" s="2">
        <v>25</v>
      </c>
      <c r="BD49" s="2">
        <v>28</v>
      </c>
      <c r="BE49" s="2">
        <v>29</v>
      </c>
      <c r="BF49" s="2" t="str">
        <f>$D49</f>
        <v>C101B</v>
      </c>
      <c r="BG49" s="2">
        <f>AY49</f>
        <v>16</v>
      </c>
      <c r="BH49" s="2">
        <f>BG49</f>
        <v>16</v>
      </c>
      <c r="BI49" s="2">
        <f t="shared" ref="BI49:BI53" si="179">BA49</f>
        <v>24</v>
      </c>
      <c r="BJ49" s="2">
        <f>BI49</f>
        <v>24</v>
      </c>
      <c r="BK49" s="2">
        <v>30</v>
      </c>
      <c r="BO49" s="2">
        <f>BC49</f>
        <v>25</v>
      </c>
      <c r="BP49" s="2">
        <f t="shared" ref="BP49:BP53" si="180">BD49</f>
        <v>28</v>
      </c>
      <c r="BQ49" s="2">
        <f t="shared" ref="BQ49:BQ53" si="181">BE49</f>
        <v>29</v>
      </c>
    </row>
    <row r="50" spans="2:70" ht="59" customHeight="1" x14ac:dyDescent="0.2">
      <c r="B50" s="2" t="s">
        <v>58</v>
      </c>
      <c r="C50" s="2" t="s">
        <v>59</v>
      </c>
      <c r="D50" s="2" t="s">
        <v>463</v>
      </c>
      <c r="E50" s="3" t="s">
        <v>235</v>
      </c>
      <c r="F50" s="3" t="s">
        <v>153</v>
      </c>
      <c r="G50" s="3" t="s">
        <v>141</v>
      </c>
      <c r="H50" s="3" t="s">
        <v>147</v>
      </c>
      <c r="I50" s="2" t="s">
        <v>195</v>
      </c>
      <c r="K50" s="2">
        <v>2</v>
      </c>
      <c r="L50" s="2" t="s">
        <v>613</v>
      </c>
      <c r="M50" s="2">
        <v>8</v>
      </c>
      <c r="N50" s="2">
        <v>8</v>
      </c>
      <c r="O50" s="2">
        <v>9</v>
      </c>
      <c r="P50" s="2">
        <v>10</v>
      </c>
      <c r="Q50" s="2">
        <v>12</v>
      </c>
      <c r="R50" s="2" t="str">
        <f t="shared" ref="R50:R53" si="182">$D50</f>
        <v>C1BST</v>
      </c>
      <c r="S50" s="2">
        <f t="shared" ref="S50:S53" si="183">K50</f>
        <v>2</v>
      </c>
      <c r="T50" s="2">
        <f t="shared" ref="T50" si="184">S50</f>
        <v>2</v>
      </c>
      <c r="U50" s="2">
        <f t="shared" si="173"/>
        <v>8</v>
      </c>
      <c r="V50" s="2">
        <f t="shared" ref="V50" si="185">U50</f>
        <v>8</v>
      </c>
      <c r="W50" s="2">
        <v>15</v>
      </c>
      <c r="AA50" s="2">
        <f t="shared" ref="AA50:AA53" si="186">O50</f>
        <v>9</v>
      </c>
      <c r="AB50" s="2">
        <f t="shared" si="174"/>
        <v>10</v>
      </c>
      <c r="AC50" s="2">
        <f t="shared" si="175"/>
        <v>12</v>
      </c>
      <c r="AE50" s="2">
        <v>6</v>
      </c>
      <c r="AF50" s="2" t="s">
        <v>613</v>
      </c>
      <c r="AG50" s="2">
        <v>9</v>
      </c>
      <c r="AH50" s="2">
        <v>9</v>
      </c>
      <c r="AI50" s="2">
        <v>11</v>
      </c>
      <c r="AJ50" s="2">
        <v>12</v>
      </c>
      <c r="AK50" s="2">
        <v>14</v>
      </c>
      <c r="AL50" s="2" t="str">
        <f t="shared" ref="AL50:AL53" si="187">$D50</f>
        <v>C1BST</v>
      </c>
      <c r="AM50" s="2">
        <f t="shared" ref="AM50:AM53" si="188">AE50</f>
        <v>6</v>
      </c>
      <c r="AN50" s="2">
        <f t="shared" ref="AN50" si="189">AM50</f>
        <v>6</v>
      </c>
      <c r="AO50" s="2">
        <f t="shared" si="176"/>
        <v>9</v>
      </c>
      <c r="AP50" s="2">
        <f t="shared" ref="AP50" si="190">AO50</f>
        <v>9</v>
      </c>
      <c r="AQ50" s="2">
        <v>15</v>
      </c>
      <c r="AU50" s="2">
        <f t="shared" ref="AU50:AU53" si="191">AI50</f>
        <v>11</v>
      </c>
      <c r="AV50" s="2">
        <f t="shared" si="177"/>
        <v>12</v>
      </c>
      <c r="AW50" s="2">
        <f t="shared" si="178"/>
        <v>14</v>
      </c>
      <c r="AY50" s="2">
        <v>8</v>
      </c>
      <c r="AZ50" s="2" t="s">
        <v>613</v>
      </c>
      <c r="BA50" s="2">
        <v>10</v>
      </c>
      <c r="BB50" s="2">
        <v>10</v>
      </c>
      <c r="BC50" s="2">
        <v>12</v>
      </c>
      <c r="BD50" s="2">
        <v>14</v>
      </c>
      <c r="BE50" s="2">
        <v>15</v>
      </c>
      <c r="BF50" s="2" t="str">
        <f t="shared" ref="BF50:BF53" si="192">$D50</f>
        <v>C1BST</v>
      </c>
      <c r="BG50" s="2">
        <f t="shared" ref="BG50:BG53" si="193">AY50</f>
        <v>8</v>
      </c>
      <c r="BH50" s="2">
        <f t="shared" ref="BH50:BJ50" si="194">BG50</f>
        <v>8</v>
      </c>
      <c r="BI50" s="2">
        <f t="shared" si="179"/>
        <v>10</v>
      </c>
      <c r="BJ50" s="2">
        <f t="shared" ref="BJ50:BK50" si="195">BI50</f>
        <v>10</v>
      </c>
      <c r="BK50" s="2">
        <v>15</v>
      </c>
      <c r="BO50" s="2">
        <f t="shared" ref="BO50:BO53" si="196">BC50</f>
        <v>12</v>
      </c>
      <c r="BP50" s="2">
        <f t="shared" si="180"/>
        <v>14</v>
      </c>
      <c r="BQ50" s="2">
        <f t="shared" si="181"/>
        <v>15</v>
      </c>
    </row>
    <row r="51" spans="2:70" ht="66" customHeight="1" x14ac:dyDescent="0.2">
      <c r="B51" s="2" t="s">
        <v>58</v>
      </c>
      <c r="C51" s="2" t="s">
        <v>60</v>
      </c>
      <c r="D51" s="2" t="s">
        <v>565</v>
      </c>
      <c r="E51" s="3" t="s">
        <v>159</v>
      </c>
      <c r="F51" s="3" t="s">
        <v>155</v>
      </c>
      <c r="G51" s="3" t="s">
        <v>154</v>
      </c>
      <c r="H51" s="3" t="s">
        <v>150</v>
      </c>
      <c r="I51" s="2" t="s">
        <v>197</v>
      </c>
      <c r="K51" s="2">
        <v>4</v>
      </c>
      <c r="L51" s="2" t="s">
        <v>613</v>
      </c>
      <c r="M51" s="2">
        <v>9</v>
      </c>
      <c r="N51" s="2">
        <v>9</v>
      </c>
      <c r="O51" s="2">
        <v>10</v>
      </c>
      <c r="P51" s="2">
        <v>11</v>
      </c>
      <c r="Q51" s="2">
        <v>12</v>
      </c>
      <c r="R51" s="2" t="str">
        <f t="shared" si="182"/>
        <v>RLC1B</v>
      </c>
      <c r="S51" s="2">
        <f t="shared" si="183"/>
        <v>4</v>
      </c>
      <c r="T51" s="2">
        <f t="shared" ref="T51" si="197">S51</f>
        <v>4</v>
      </c>
      <c r="U51" s="2">
        <f t="shared" si="173"/>
        <v>9</v>
      </c>
      <c r="V51" s="2">
        <f>U51</f>
        <v>9</v>
      </c>
      <c r="W51" s="2">
        <v>12</v>
      </c>
      <c r="AA51" s="2">
        <f t="shared" si="186"/>
        <v>10</v>
      </c>
      <c r="AB51" s="2">
        <f t="shared" si="174"/>
        <v>11</v>
      </c>
      <c r="AC51" s="2">
        <f t="shared" si="175"/>
        <v>12</v>
      </c>
      <c r="AE51" s="2">
        <v>5</v>
      </c>
      <c r="AF51" s="2" t="s">
        <v>613</v>
      </c>
      <c r="AG51" s="2">
        <v>9</v>
      </c>
      <c r="AH51" s="2">
        <v>9</v>
      </c>
      <c r="AI51" s="2">
        <v>10</v>
      </c>
      <c r="AJ51" s="2">
        <v>11</v>
      </c>
      <c r="AK51" s="2">
        <v>12</v>
      </c>
      <c r="AL51" s="2" t="str">
        <f t="shared" si="187"/>
        <v>RLC1B</v>
      </c>
      <c r="AM51" s="2">
        <f t="shared" si="188"/>
        <v>5</v>
      </c>
      <c r="AN51" s="2">
        <f t="shared" ref="AN51" si="198">AM51</f>
        <v>5</v>
      </c>
      <c r="AO51" s="2">
        <f t="shared" si="176"/>
        <v>9</v>
      </c>
      <c r="AP51" s="2">
        <f>AO51</f>
        <v>9</v>
      </c>
      <c r="AQ51" s="2">
        <v>12</v>
      </c>
      <c r="AU51" s="2">
        <f t="shared" si="191"/>
        <v>10</v>
      </c>
      <c r="AV51" s="2">
        <f t="shared" si="177"/>
        <v>11</v>
      </c>
      <c r="AW51" s="2">
        <f t="shared" si="178"/>
        <v>12</v>
      </c>
      <c r="AY51" s="2">
        <v>7</v>
      </c>
      <c r="AZ51" s="2" t="s">
        <v>613</v>
      </c>
      <c r="BA51" s="2">
        <v>9</v>
      </c>
      <c r="BB51" s="2">
        <v>9</v>
      </c>
      <c r="BC51" s="2">
        <v>10</v>
      </c>
      <c r="BD51" s="2">
        <v>11</v>
      </c>
      <c r="BE51" s="2">
        <v>12</v>
      </c>
      <c r="BF51" s="2" t="str">
        <f t="shared" si="192"/>
        <v>RLC1B</v>
      </c>
      <c r="BG51" s="2">
        <f t="shared" si="193"/>
        <v>7</v>
      </c>
      <c r="BH51" s="2">
        <f t="shared" ref="BH51:BJ51" si="199">BG51</f>
        <v>7</v>
      </c>
      <c r="BI51" s="2">
        <f t="shared" si="179"/>
        <v>9</v>
      </c>
      <c r="BJ51" s="2">
        <f>BI51</f>
        <v>9</v>
      </c>
      <c r="BK51" s="2">
        <v>12</v>
      </c>
      <c r="BO51" s="2">
        <f t="shared" si="196"/>
        <v>10</v>
      </c>
      <c r="BP51" s="2">
        <f t="shared" si="180"/>
        <v>11</v>
      </c>
      <c r="BQ51" s="2">
        <f t="shared" si="181"/>
        <v>12</v>
      </c>
    </row>
    <row r="52" spans="2:70" ht="44" customHeight="1" x14ac:dyDescent="0.2">
      <c r="B52" s="2" t="s">
        <v>58</v>
      </c>
      <c r="C52" s="2" t="s">
        <v>61</v>
      </c>
      <c r="D52" s="2" t="s">
        <v>566</v>
      </c>
      <c r="E52" s="3" t="s">
        <v>119</v>
      </c>
      <c r="F52" s="2" t="s">
        <v>156</v>
      </c>
      <c r="G52" s="3" t="s">
        <v>157</v>
      </c>
      <c r="H52" s="3" t="s">
        <v>147</v>
      </c>
      <c r="I52" s="2" t="s">
        <v>198</v>
      </c>
      <c r="K52" s="2">
        <v>0</v>
      </c>
      <c r="L52" s="2" t="s">
        <v>613</v>
      </c>
      <c r="M52" s="2">
        <v>4</v>
      </c>
      <c r="N52" s="2">
        <v>4</v>
      </c>
      <c r="O52" s="2">
        <v>4</v>
      </c>
      <c r="P52" s="2">
        <v>4</v>
      </c>
      <c r="Q52" s="2">
        <v>6</v>
      </c>
      <c r="R52" s="2" t="str">
        <f t="shared" si="182"/>
        <v>FBFLY</v>
      </c>
      <c r="S52" s="2">
        <f t="shared" si="183"/>
        <v>0</v>
      </c>
      <c r="T52" s="2">
        <f t="shared" ref="T52" si="200">S52</f>
        <v>0</v>
      </c>
      <c r="U52" s="2">
        <f t="shared" si="173"/>
        <v>4</v>
      </c>
      <c r="V52" s="2">
        <f t="shared" ref="V52:V53" si="201">U52</f>
        <v>4</v>
      </c>
      <c r="W52" s="2">
        <v>6</v>
      </c>
      <c r="AA52" s="2">
        <f t="shared" si="186"/>
        <v>4</v>
      </c>
      <c r="AB52" s="2">
        <f t="shared" si="174"/>
        <v>4</v>
      </c>
      <c r="AC52" s="2">
        <f t="shared" si="175"/>
        <v>6</v>
      </c>
      <c r="AE52" s="2">
        <v>0</v>
      </c>
      <c r="AF52" s="2" t="s">
        <v>613</v>
      </c>
      <c r="AG52" s="2">
        <v>4</v>
      </c>
      <c r="AH52" s="2">
        <v>4</v>
      </c>
      <c r="AI52" s="2">
        <v>4</v>
      </c>
      <c r="AJ52" s="2">
        <v>4</v>
      </c>
      <c r="AK52" s="2">
        <v>6</v>
      </c>
      <c r="AL52" s="2" t="str">
        <f t="shared" si="187"/>
        <v>FBFLY</v>
      </c>
      <c r="AM52" s="2">
        <f t="shared" si="188"/>
        <v>0</v>
      </c>
      <c r="AN52" s="2">
        <f t="shared" ref="AN52" si="202">AM52</f>
        <v>0</v>
      </c>
      <c r="AO52" s="2">
        <f t="shared" si="176"/>
        <v>4</v>
      </c>
      <c r="AP52" s="2">
        <f t="shared" ref="AP52:AP53" si="203">AO52</f>
        <v>4</v>
      </c>
      <c r="AQ52" s="2">
        <v>6</v>
      </c>
      <c r="AU52" s="2">
        <f t="shared" si="191"/>
        <v>4</v>
      </c>
      <c r="AV52" s="2">
        <f t="shared" si="177"/>
        <v>4</v>
      </c>
      <c r="AW52" s="2">
        <f t="shared" si="178"/>
        <v>6</v>
      </c>
      <c r="AY52" s="2">
        <v>0</v>
      </c>
      <c r="AZ52" s="2" t="s">
        <v>613</v>
      </c>
      <c r="BA52" s="2">
        <v>4</v>
      </c>
      <c r="BB52" s="2">
        <v>4</v>
      </c>
      <c r="BC52" s="2">
        <v>4</v>
      </c>
      <c r="BD52" s="2">
        <v>4</v>
      </c>
      <c r="BE52" s="2">
        <v>6</v>
      </c>
      <c r="BF52" s="2" t="str">
        <f t="shared" si="192"/>
        <v>FBFLY</v>
      </c>
      <c r="BG52" s="2">
        <f t="shared" si="193"/>
        <v>0</v>
      </c>
      <c r="BH52" s="2">
        <f t="shared" ref="BH52:BJ52" si="204">BG52</f>
        <v>0</v>
      </c>
      <c r="BI52" s="2">
        <f t="shared" si="179"/>
        <v>4</v>
      </c>
      <c r="BJ52" s="2">
        <f t="shared" ref="BJ52:BJ53" si="205">BI52</f>
        <v>4</v>
      </c>
      <c r="BK52" s="2">
        <v>6</v>
      </c>
      <c r="BO52" s="2">
        <f t="shared" si="196"/>
        <v>4</v>
      </c>
      <c r="BP52" s="2">
        <f t="shared" si="180"/>
        <v>4</v>
      </c>
      <c r="BQ52" s="2">
        <f t="shared" si="181"/>
        <v>6</v>
      </c>
    </row>
    <row r="53" spans="2:70" ht="35" customHeight="1" x14ac:dyDescent="0.2">
      <c r="B53" s="2" t="s">
        <v>58</v>
      </c>
      <c r="C53" s="2" t="s">
        <v>62</v>
      </c>
      <c r="D53" s="2" t="s">
        <v>567</v>
      </c>
      <c r="E53" s="3" t="s">
        <v>120</v>
      </c>
      <c r="F53" s="2" t="s">
        <v>156</v>
      </c>
      <c r="G53" s="3" t="s">
        <v>158</v>
      </c>
      <c r="H53" s="3" t="s">
        <v>147</v>
      </c>
      <c r="I53" s="2" t="s">
        <v>198</v>
      </c>
      <c r="K53" s="2">
        <v>0</v>
      </c>
      <c r="L53" s="2" t="s">
        <v>613</v>
      </c>
      <c r="M53" s="2">
        <v>4</v>
      </c>
      <c r="N53" s="2">
        <v>4</v>
      </c>
      <c r="O53" s="2">
        <v>4</v>
      </c>
      <c r="P53" s="2">
        <v>4</v>
      </c>
      <c r="Q53" s="2">
        <v>6</v>
      </c>
      <c r="R53" s="2" t="str">
        <f t="shared" si="182"/>
        <v>FBLD</v>
      </c>
      <c r="S53" s="2">
        <f t="shared" si="183"/>
        <v>0</v>
      </c>
      <c r="T53" s="2">
        <f t="shared" ref="T53" si="206">S53</f>
        <v>0</v>
      </c>
      <c r="U53" s="2">
        <f t="shared" si="173"/>
        <v>4</v>
      </c>
      <c r="V53" s="2">
        <f t="shared" si="201"/>
        <v>4</v>
      </c>
      <c r="W53" s="2">
        <v>6</v>
      </c>
      <c r="AA53" s="2">
        <f t="shared" si="186"/>
        <v>4</v>
      </c>
      <c r="AB53" s="2">
        <f t="shared" si="174"/>
        <v>4</v>
      </c>
      <c r="AC53" s="2">
        <f t="shared" si="175"/>
        <v>6</v>
      </c>
      <c r="AE53" s="2">
        <v>0</v>
      </c>
      <c r="AF53" s="2" t="s">
        <v>613</v>
      </c>
      <c r="AG53" s="2">
        <v>4</v>
      </c>
      <c r="AH53" s="2">
        <v>4</v>
      </c>
      <c r="AI53" s="2">
        <v>4</v>
      </c>
      <c r="AJ53" s="2">
        <v>4</v>
      </c>
      <c r="AK53" s="2">
        <v>6</v>
      </c>
      <c r="AL53" s="2" t="str">
        <f t="shared" si="187"/>
        <v>FBLD</v>
      </c>
      <c r="AM53" s="2">
        <f t="shared" si="188"/>
        <v>0</v>
      </c>
      <c r="AN53" s="2">
        <f t="shared" ref="AN53" si="207">AM53</f>
        <v>0</v>
      </c>
      <c r="AO53" s="2">
        <f t="shared" si="176"/>
        <v>4</v>
      </c>
      <c r="AP53" s="2">
        <f t="shared" si="203"/>
        <v>4</v>
      </c>
      <c r="AQ53" s="2">
        <v>6</v>
      </c>
      <c r="AU53" s="2">
        <f t="shared" si="191"/>
        <v>4</v>
      </c>
      <c r="AV53" s="2">
        <f t="shared" si="177"/>
        <v>4</v>
      </c>
      <c r="AW53" s="2">
        <f t="shared" si="178"/>
        <v>6</v>
      </c>
      <c r="AY53" s="2">
        <v>0</v>
      </c>
      <c r="AZ53" s="2" t="s">
        <v>613</v>
      </c>
      <c r="BA53" s="2">
        <v>4</v>
      </c>
      <c r="BB53" s="2">
        <v>4</v>
      </c>
      <c r="BC53" s="2">
        <v>4</v>
      </c>
      <c r="BD53" s="2">
        <v>4</v>
      </c>
      <c r="BE53" s="2">
        <v>6</v>
      </c>
      <c r="BF53" s="2" t="str">
        <f t="shared" si="192"/>
        <v>FBLD</v>
      </c>
      <c r="BG53" s="2">
        <f t="shared" si="193"/>
        <v>0</v>
      </c>
      <c r="BH53" s="2">
        <f t="shared" ref="BH53:BJ53" si="208">BG53</f>
        <v>0</v>
      </c>
      <c r="BI53" s="2">
        <f t="shared" si="179"/>
        <v>4</v>
      </c>
      <c r="BJ53" s="2">
        <f t="shared" si="205"/>
        <v>4</v>
      </c>
      <c r="BK53" s="2">
        <v>6</v>
      </c>
      <c r="BO53" s="2">
        <f t="shared" si="196"/>
        <v>4</v>
      </c>
      <c r="BP53" s="2">
        <f t="shared" si="180"/>
        <v>4</v>
      </c>
      <c r="BQ53" s="2">
        <f t="shared" si="181"/>
        <v>6</v>
      </c>
    </row>
    <row r="54" spans="2:70" s="30" customFormat="1" x14ac:dyDescent="0.2">
      <c r="B54" s="30" t="s">
        <v>461</v>
      </c>
      <c r="E54" s="31"/>
      <c r="F54" s="31"/>
      <c r="G54" s="31"/>
      <c r="H54" s="31"/>
      <c r="I54" s="31"/>
      <c r="N54" s="35" t="s">
        <v>503</v>
      </c>
      <c r="O54" s="35"/>
      <c r="P54" s="35"/>
      <c r="Q54" s="35"/>
      <c r="AH54" s="35" t="s">
        <v>503</v>
      </c>
      <c r="AI54" s="35"/>
      <c r="AJ54" s="35"/>
      <c r="AK54" s="35"/>
      <c r="BB54" s="35" t="s">
        <v>471</v>
      </c>
      <c r="BC54" s="35"/>
      <c r="BD54" s="35"/>
      <c r="BE54" s="35"/>
    </row>
    <row r="55" spans="2:70" s="23" customFormat="1" x14ac:dyDescent="0.2">
      <c r="B55" s="23" t="s">
        <v>505</v>
      </c>
      <c r="D55" s="23" t="s">
        <v>652</v>
      </c>
      <c r="E55" s="24"/>
      <c r="F55" s="24"/>
      <c r="G55" s="24"/>
      <c r="H55" s="24"/>
      <c r="I55" s="24"/>
      <c r="J55" s="24"/>
      <c r="T55" s="26">
        <f>SUM(T49:T53)</f>
        <v>14</v>
      </c>
      <c r="U55" s="26"/>
      <c r="V55" s="26">
        <f t="shared" ref="V55:W55" si="209">SUM(V49:V53)</f>
        <v>43</v>
      </c>
      <c r="W55" s="26">
        <f t="shared" si="209"/>
        <v>69</v>
      </c>
      <c r="X55" s="26">
        <v>50</v>
      </c>
      <c r="Y55" s="26">
        <f>(T55/W55)*X55</f>
        <v>10.144927536231885</v>
      </c>
      <c r="Z55" s="26">
        <f>(V55/W55)*X55</f>
        <v>31.159420289855071</v>
      </c>
      <c r="AA55" s="26">
        <f t="shared" ref="AA55:AC55" si="210">SUM(AA49:AA53)</f>
        <v>46</v>
      </c>
      <c r="AB55" s="26">
        <f t="shared" si="210"/>
        <v>51</v>
      </c>
      <c r="AC55" s="26">
        <f t="shared" si="210"/>
        <v>61</v>
      </c>
      <c r="AN55" s="26">
        <f>SUM(AN49:AN50)</f>
        <v>18</v>
      </c>
      <c r="AO55" s="26"/>
      <c r="AP55" s="26">
        <f>SUM(AP49:AP50)</f>
        <v>29</v>
      </c>
      <c r="AQ55" s="26">
        <f>SUM(AQ49:AQ53)</f>
        <v>69</v>
      </c>
      <c r="AR55" s="26">
        <v>50</v>
      </c>
      <c r="AS55" s="26">
        <f>(AN55/AQ55)*AR55</f>
        <v>13.043478260869565</v>
      </c>
      <c r="AT55" s="26">
        <f>(AP55/AQ55)*AR55</f>
        <v>21.014492753623188</v>
      </c>
      <c r="AU55" s="26">
        <f t="shared" ref="AU55:AW55" si="211">SUM(AU49:AU53)</f>
        <v>51</v>
      </c>
      <c r="AV55" s="26">
        <f t="shared" si="211"/>
        <v>56</v>
      </c>
      <c r="AW55" s="26">
        <f t="shared" si="211"/>
        <v>65</v>
      </c>
      <c r="BH55" s="26">
        <f>SUM(BH49:BH53)</f>
        <v>31</v>
      </c>
      <c r="BI55" s="26"/>
      <c r="BJ55" s="26">
        <f>SUM(BJ49:BJ53)</f>
        <v>51</v>
      </c>
      <c r="BK55" s="26">
        <f>SUM(BK49:BK53)</f>
        <v>69</v>
      </c>
      <c r="BL55" s="26">
        <v>50</v>
      </c>
      <c r="BM55" s="26">
        <f>(BH55/BK55)*BL55</f>
        <v>22.463768115942027</v>
      </c>
      <c r="BN55" s="26">
        <f>(BJ55/BK55)*BL55</f>
        <v>36.95652173913043</v>
      </c>
      <c r="BO55" s="26">
        <f t="shared" ref="BO55:BQ55" si="212">SUM(BO49:BO53)</f>
        <v>55</v>
      </c>
      <c r="BP55" s="26">
        <f t="shared" si="212"/>
        <v>61</v>
      </c>
      <c r="BQ55" s="26">
        <f t="shared" si="212"/>
        <v>68</v>
      </c>
    </row>
    <row r="56" spans="2:70" ht="73" customHeight="1" x14ac:dyDescent="0.2">
      <c r="B56" s="2" t="s">
        <v>63</v>
      </c>
      <c r="C56" s="2" t="s">
        <v>121</v>
      </c>
      <c r="D56" s="2" t="s">
        <v>393</v>
      </c>
      <c r="E56" s="3" t="s">
        <v>311</v>
      </c>
      <c r="F56" s="3" t="s">
        <v>155</v>
      </c>
      <c r="G56" s="3" t="s">
        <v>154</v>
      </c>
      <c r="H56" s="3" t="s">
        <v>150</v>
      </c>
      <c r="I56" s="2" t="s">
        <v>197</v>
      </c>
      <c r="K56" s="2">
        <v>6</v>
      </c>
      <c r="L56" s="2" t="s">
        <v>613</v>
      </c>
      <c r="M56" s="2">
        <v>10</v>
      </c>
      <c r="N56" s="38">
        <v>28</v>
      </c>
      <c r="O56" s="38">
        <v>30</v>
      </c>
      <c r="P56" s="38">
        <v>32</v>
      </c>
      <c r="Q56" s="38">
        <v>34</v>
      </c>
      <c r="R56" s="2" t="str">
        <f>$D56</f>
        <v>RLCG2B</v>
      </c>
      <c r="S56" s="2">
        <f>K56</f>
        <v>6</v>
      </c>
      <c r="T56" s="2">
        <f>S56</f>
        <v>6</v>
      </c>
      <c r="U56" s="2">
        <f t="shared" ref="U56:U65" si="213">M56</f>
        <v>10</v>
      </c>
      <c r="V56" s="2">
        <f>U56</f>
        <v>10</v>
      </c>
      <c r="W56" s="2">
        <v>12</v>
      </c>
      <c r="AA56" s="74">
        <v>10</v>
      </c>
      <c r="AB56" s="74">
        <v>11</v>
      </c>
      <c r="AC56" s="74">
        <v>12</v>
      </c>
      <c r="AE56" s="2">
        <v>7</v>
      </c>
      <c r="AF56" s="2" t="s">
        <v>613</v>
      </c>
      <c r="AG56" s="2">
        <v>10</v>
      </c>
      <c r="AH56" s="38">
        <v>30</v>
      </c>
      <c r="AI56" s="38">
        <v>32</v>
      </c>
      <c r="AJ56" s="38">
        <v>34</v>
      </c>
      <c r="AK56" s="38">
        <v>36</v>
      </c>
      <c r="AL56" s="2" t="str">
        <f>$D56</f>
        <v>RLCG2B</v>
      </c>
      <c r="AM56" s="2">
        <f>AE56</f>
        <v>7</v>
      </c>
      <c r="AN56" s="2">
        <f>AM56</f>
        <v>7</v>
      </c>
      <c r="AO56" s="2">
        <f t="shared" ref="AO56:AO65" si="214">AG56</f>
        <v>10</v>
      </c>
      <c r="AP56" s="2">
        <f>AO56</f>
        <v>10</v>
      </c>
      <c r="AQ56" s="2">
        <v>12</v>
      </c>
      <c r="AU56" s="74">
        <v>11</v>
      </c>
      <c r="AV56" s="74">
        <v>12</v>
      </c>
      <c r="AW56" s="74">
        <v>12</v>
      </c>
      <c r="AY56" s="2">
        <v>8</v>
      </c>
      <c r="AZ56" s="2" t="s">
        <v>613</v>
      </c>
      <c r="BA56" s="2">
        <v>10</v>
      </c>
      <c r="BB56" s="38">
        <v>30</v>
      </c>
      <c r="BC56" s="38">
        <v>33</v>
      </c>
      <c r="BD56" s="38">
        <v>34</v>
      </c>
      <c r="BE56" s="38">
        <v>36</v>
      </c>
      <c r="BF56" s="2" t="str">
        <f>$D56</f>
        <v>RLCG2B</v>
      </c>
      <c r="BG56" s="2">
        <f>AY56</f>
        <v>8</v>
      </c>
      <c r="BH56" s="2">
        <f>BG56</f>
        <v>8</v>
      </c>
      <c r="BI56" s="2">
        <f t="shared" ref="BI56:BI65" si="215">BA56</f>
        <v>10</v>
      </c>
      <c r="BJ56" s="2">
        <f>BI56</f>
        <v>10</v>
      </c>
      <c r="BK56" s="2">
        <v>12</v>
      </c>
      <c r="BO56" s="74">
        <v>11</v>
      </c>
      <c r="BP56" s="74">
        <v>12</v>
      </c>
      <c r="BQ56" s="74">
        <v>12</v>
      </c>
      <c r="BR56" s="10"/>
    </row>
    <row r="57" spans="2:70" ht="71" customHeight="1" x14ac:dyDescent="0.2">
      <c r="B57" s="2" t="s">
        <v>63</v>
      </c>
      <c r="C57" s="2" t="s">
        <v>122</v>
      </c>
      <c r="D57" s="2" t="s">
        <v>394</v>
      </c>
      <c r="E57" s="3" t="s">
        <v>312</v>
      </c>
      <c r="F57" s="3" t="s">
        <v>155</v>
      </c>
      <c r="G57" s="3" t="s">
        <v>154</v>
      </c>
      <c r="H57" s="3" t="s">
        <v>150</v>
      </c>
      <c r="I57" s="2" t="s">
        <v>197</v>
      </c>
      <c r="K57" s="2">
        <v>5</v>
      </c>
      <c r="L57" s="2" t="s">
        <v>613</v>
      </c>
      <c r="M57" s="2">
        <v>9</v>
      </c>
      <c r="N57" s="38"/>
      <c r="O57" s="38"/>
      <c r="P57" s="38"/>
      <c r="Q57" s="38"/>
      <c r="R57" s="2" t="str">
        <f t="shared" ref="R57:R64" si="216">$D57</f>
        <v>RLCGSS</v>
      </c>
      <c r="S57" s="2">
        <f t="shared" ref="S57:S65" si="217">K57</f>
        <v>5</v>
      </c>
      <c r="T57" s="2">
        <f t="shared" ref="T57" si="218">S57</f>
        <v>5</v>
      </c>
      <c r="U57" s="2">
        <f t="shared" si="213"/>
        <v>9</v>
      </c>
      <c r="V57" s="2">
        <f t="shared" ref="V57" si="219">U57</f>
        <v>9</v>
      </c>
      <c r="W57" s="2">
        <v>12</v>
      </c>
      <c r="AA57" s="74">
        <v>10</v>
      </c>
      <c r="AB57" s="74">
        <v>10</v>
      </c>
      <c r="AC57" s="74">
        <v>11</v>
      </c>
      <c r="AE57" s="2">
        <v>6</v>
      </c>
      <c r="AF57" s="2" t="s">
        <v>613</v>
      </c>
      <c r="AG57" s="2">
        <v>9</v>
      </c>
      <c r="AH57" s="38"/>
      <c r="AI57" s="38"/>
      <c r="AJ57" s="38"/>
      <c r="AK57" s="38"/>
      <c r="AL57" s="2" t="str">
        <f t="shared" ref="AL57:AL64" si="220">$D57</f>
        <v>RLCGSS</v>
      </c>
      <c r="AM57" s="2">
        <f t="shared" ref="AM57:AM65" si="221">AE57</f>
        <v>6</v>
      </c>
      <c r="AN57" s="2">
        <f t="shared" ref="AN57" si="222">AM57</f>
        <v>6</v>
      </c>
      <c r="AO57" s="2">
        <f t="shared" si="214"/>
        <v>9</v>
      </c>
      <c r="AP57" s="2">
        <f t="shared" ref="AP57" si="223">AO57</f>
        <v>9</v>
      </c>
      <c r="AQ57" s="2">
        <v>12</v>
      </c>
      <c r="AU57" s="74">
        <v>10</v>
      </c>
      <c r="AV57" s="74">
        <v>11</v>
      </c>
      <c r="AW57" s="74">
        <v>12</v>
      </c>
      <c r="AY57" s="2">
        <v>7</v>
      </c>
      <c r="AZ57" s="2" t="s">
        <v>613</v>
      </c>
      <c r="BA57" s="2">
        <v>10</v>
      </c>
      <c r="BB57" s="38"/>
      <c r="BC57" s="38"/>
      <c r="BD57" s="38"/>
      <c r="BE57" s="38"/>
      <c r="BF57" s="2" t="str">
        <f t="shared" ref="BF57:BF64" si="224">$D57</f>
        <v>RLCGSS</v>
      </c>
      <c r="BG57" s="2">
        <f t="shared" ref="BG57:BG65" si="225">AY57</f>
        <v>7</v>
      </c>
      <c r="BH57" s="2">
        <f t="shared" ref="BH57:BJ57" si="226">BG57</f>
        <v>7</v>
      </c>
      <c r="BI57" s="2">
        <f t="shared" si="215"/>
        <v>10</v>
      </c>
      <c r="BJ57" s="2">
        <f t="shared" ref="BJ57:BK57" si="227">BI57</f>
        <v>10</v>
      </c>
      <c r="BK57" s="2">
        <v>12</v>
      </c>
      <c r="BO57" s="74">
        <v>11</v>
      </c>
      <c r="BP57" s="74">
        <v>11</v>
      </c>
      <c r="BQ57" s="74">
        <v>12</v>
      </c>
      <c r="BR57" s="10"/>
    </row>
    <row r="58" spans="2:70" ht="78" customHeight="1" x14ac:dyDescent="0.2">
      <c r="B58" s="2" t="s">
        <v>63</v>
      </c>
      <c r="C58" s="2" t="s">
        <v>123</v>
      </c>
      <c r="D58" s="2" t="s">
        <v>395</v>
      </c>
      <c r="E58" s="3" t="s">
        <v>313</v>
      </c>
      <c r="F58" s="3" t="s">
        <v>155</v>
      </c>
      <c r="G58" s="3" t="s">
        <v>154</v>
      </c>
      <c r="H58" s="3" t="s">
        <v>150</v>
      </c>
      <c r="I58" s="2" t="s">
        <v>197</v>
      </c>
      <c r="K58" s="2">
        <v>5</v>
      </c>
      <c r="L58" s="2" t="s">
        <v>613</v>
      </c>
      <c r="M58" s="2">
        <v>9</v>
      </c>
      <c r="N58" s="38"/>
      <c r="O58" s="38"/>
      <c r="P58" s="38"/>
      <c r="Q58" s="38"/>
      <c r="R58" s="2" t="str">
        <f t="shared" si="216"/>
        <v>RLCG3B</v>
      </c>
      <c r="S58" s="2">
        <f t="shared" si="217"/>
        <v>5</v>
      </c>
      <c r="T58" s="2">
        <f t="shared" ref="T58" si="228">S58</f>
        <v>5</v>
      </c>
      <c r="U58" s="2">
        <f t="shared" si="213"/>
        <v>9</v>
      </c>
      <c r="V58" s="2">
        <f t="shared" ref="V58" si="229">U58</f>
        <v>9</v>
      </c>
      <c r="W58" s="2">
        <v>12</v>
      </c>
      <c r="AA58" s="74">
        <v>10</v>
      </c>
      <c r="AB58" s="74">
        <v>11</v>
      </c>
      <c r="AC58" s="74">
        <v>11</v>
      </c>
      <c r="AE58" s="2">
        <v>6</v>
      </c>
      <c r="AF58" s="2" t="s">
        <v>613</v>
      </c>
      <c r="AG58" s="2">
        <v>9</v>
      </c>
      <c r="AH58" s="38"/>
      <c r="AI58" s="38"/>
      <c r="AJ58" s="38"/>
      <c r="AK58" s="38"/>
      <c r="AL58" s="2" t="str">
        <f t="shared" si="220"/>
        <v>RLCG3B</v>
      </c>
      <c r="AM58" s="2">
        <f t="shared" si="221"/>
        <v>6</v>
      </c>
      <c r="AN58" s="2">
        <f t="shared" ref="AN58" si="230">AM58</f>
        <v>6</v>
      </c>
      <c r="AO58" s="2">
        <f t="shared" si="214"/>
        <v>9</v>
      </c>
      <c r="AP58" s="2">
        <f t="shared" ref="AP58" si="231">AO58</f>
        <v>9</v>
      </c>
      <c r="AQ58" s="2">
        <v>12</v>
      </c>
      <c r="AU58" s="74">
        <v>11</v>
      </c>
      <c r="AV58" s="74">
        <v>11</v>
      </c>
      <c r="AW58" s="74">
        <v>12</v>
      </c>
      <c r="AY58" s="2">
        <v>7</v>
      </c>
      <c r="AZ58" s="2" t="s">
        <v>613</v>
      </c>
      <c r="BA58" s="2">
        <v>10</v>
      </c>
      <c r="BB58" s="38"/>
      <c r="BC58" s="38"/>
      <c r="BD58" s="38"/>
      <c r="BE58" s="38"/>
      <c r="BF58" s="2" t="str">
        <f t="shared" si="224"/>
        <v>RLCG3B</v>
      </c>
      <c r="BG58" s="2">
        <f t="shared" si="225"/>
        <v>7</v>
      </c>
      <c r="BH58" s="2">
        <f t="shared" ref="BH58:BJ58" si="232">BG58</f>
        <v>7</v>
      </c>
      <c r="BI58" s="2">
        <f t="shared" si="215"/>
        <v>10</v>
      </c>
      <c r="BJ58" s="2">
        <f t="shared" ref="BJ58:BK58" si="233">BI58</f>
        <v>10</v>
      </c>
      <c r="BK58" s="2">
        <v>12</v>
      </c>
      <c r="BO58" s="74">
        <v>11</v>
      </c>
      <c r="BP58" s="74">
        <v>11</v>
      </c>
      <c r="BQ58" s="74">
        <v>12</v>
      </c>
      <c r="BR58" s="10"/>
    </row>
    <row r="59" spans="2:70" ht="51" customHeight="1" x14ac:dyDescent="0.2">
      <c r="B59" s="2" t="s">
        <v>63</v>
      </c>
      <c r="C59" s="2" t="s">
        <v>125</v>
      </c>
      <c r="D59" s="2" t="s">
        <v>464</v>
      </c>
      <c r="E59" s="3" t="s">
        <v>124</v>
      </c>
      <c r="F59" s="2" t="s">
        <v>156</v>
      </c>
      <c r="G59" s="3" t="s">
        <v>157</v>
      </c>
      <c r="H59" s="3" t="s">
        <v>147</v>
      </c>
      <c r="I59" s="2" t="s">
        <v>198</v>
      </c>
      <c r="K59" s="2">
        <v>0</v>
      </c>
      <c r="L59" s="2" t="s">
        <v>613</v>
      </c>
      <c r="M59" s="2">
        <v>4</v>
      </c>
      <c r="N59" s="38">
        <v>13</v>
      </c>
      <c r="O59" s="38">
        <v>14</v>
      </c>
      <c r="P59" s="38">
        <v>15</v>
      </c>
      <c r="Q59" s="38">
        <v>16</v>
      </c>
      <c r="R59" s="2" t="str">
        <f t="shared" si="216"/>
        <v>CIFF2B</v>
      </c>
      <c r="S59" s="2">
        <f t="shared" si="217"/>
        <v>0</v>
      </c>
      <c r="T59" s="2">
        <f t="shared" ref="T59" si="234">S59</f>
        <v>0</v>
      </c>
      <c r="U59" s="2">
        <f t="shared" si="213"/>
        <v>4</v>
      </c>
      <c r="V59" s="2">
        <f t="shared" ref="V59" si="235">U59</f>
        <v>4</v>
      </c>
      <c r="W59" s="2">
        <v>6</v>
      </c>
      <c r="AA59" s="74">
        <v>5</v>
      </c>
      <c r="AB59" s="74">
        <v>5</v>
      </c>
      <c r="AC59" s="74">
        <v>6</v>
      </c>
      <c r="AE59" s="2">
        <v>0</v>
      </c>
      <c r="AF59" s="2" t="s">
        <v>613</v>
      </c>
      <c r="AG59" s="2">
        <v>4</v>
      </c>
      <c r="AH59" s="38">
        <v>13</v>
      </c>
      <c r="AI59" s="38">
        <v>14</v>
      </c>
      <c r="AJ59" s="38">
        <v>15</v>
      </c>
      <c r="AK59" s="38">
        <v>17</v>
      </c>
      <c r="AL59" s="2" t="str">
        <f t="shared" si="220"/>
        <v>CIFF2B</v>
      </c>
      <c r="AM59" s="2">
        <f t="shared" si="221"/>
        <v>0</v>
      </c>
      <c r="AN59" s="2">
        <f t="shared" ref="AN59" si="236">AM59</f>
        <v>0</v>
      </c>
      <c r="AO59" s="2">
        <f t="shared" si="214"/>
        <v>4</v>
      </c>
      <c r="AP59" s="2">
        <f t="shared" ref="AP59" si="237">AO59</f>
        <v>4</v>
      </c>
      <c r="AQ59" s="2">
        <v>6</v>
      </c>
      <c r="AU59" s="74">
        <v>5</v>
      </c>
      <c r="AV59" s="74">
        <v>5</v>
      </c>
      <c r="AW59" s="74">
        <v>6</v>
      </c>
      <c r="AY59" s="2">
        <v>0</v>
      </c>
      <c r="AZ59" s="2" t="s">
        <v>613</v>
      </c>
      <c r="BA59" s="2">
        <v>4</v>
      </c>
      <c r="BB59" s="38">
        <v>12</v>
      </c>
      <c r="BC59" s="38">
        <v>16</v>
      </c>
      <c r="BD59" s="38">
        <v>17</v>
      </c>
      <c r="BE59" s="38">
        <v>18</v>
      </c>
      <c r="BF59" s="2" t="str">
        <f t="shared" si="224"/>
        <v>CIFF2B</v>
      </c>
      <c r="BG59" s="2">
        <f t="shared" si="225"/>
        <v>0</v>
      </c>
      <c r="BH59" s="2">
        <f t="shared" ref="BH59:BJ59" si="238">BG59</f>
        <v>0</v>
      </c>
      <c r="BI59" s="2">
        <f t="shared" si="215"/>
        <v>4</v>
      </c>
      <c r="BJ59" s="2">
        <f t="shared" ref="BJ59:BK59" si="239">BI59</f>
        <v>4</v>
      </c>
      <c r="BK59" s="2">
        <v>6</v>
      </c>
      <c r="BO59" s="74">
        <v>6</v>
      </c>
      <c r="BP59" s="74">
        <v>6</v>
      </c>
      <c r="BQ59" s="74">
        <v>6</v>
      </c>
      <c r="BR59" s="10"/>
    </row>
    <row r="60" spans="2:70" ht="51" customHeight="1" x14ac:dyDescent="0.2">
      <c r="B60" s="2" t="s">
        <v>63</v>
      </c>
      <c r="C60" s="2" t="s">
        <v>126</v>
      </c>
      <c r="D60" s="2" t="s">
        <v>465</v>
      </c>
      <c r="E60" s="3" t="s">
        <v>132</v>
      </c>
      <c r="F60" s="2" t="s">
        <v>156</v>
      </c>
      <c r="G60" s="3" t="s">
        <v>157</v>
      </c>
      <c r="H60" s="3" t="s">
        <v>147</v>
      </c>
      <c r="I60" s="2" t="s">
        <v>198</v>
      </c>
      <c r="K60" s="2">
        <v>0</v>
      </c>
      <c r="L60" s="2" t="s">
        <v>613</v>
      </c>
      <c r="M60" s="2">
        <v>4</v>
      </c>
      <c r="N60" s="38"/>
      <c r="O60" s="38"/>
      <c r="P60" s="38"/>
      <c r="Q60" s="38"/>
      <c r="R60" s="2" t="str">
        <f t="shared" si="216"/>
        <v>CIFFSS</v>
      </c>
      <c r="S60" s="2">
        <f t="shared" si="217"/>
        <v>0</v>
      </c>
      <c r="T60" s="2">
        <f t="shared" ref="T60" si="240">S60</f>
        <v>0</v>
      </c>
      <c r="U60" s="2">
        <f t="shared" si="213"/>
        <v>4</v>
      </c>
      <c r="V60" s="2">
        <f t="shared" ref="V60" si="241">U60</f>
        <v>4</v>
      </c>
      <c r="W60" s="2">
        <v>6</v>
      </c>
      <c r="AA60" s="74">
        <v>5</v>
      </c>
      <c r="AB60" s="74">
        <v>5</v>
      </c>
      <c r="AC60" s="74">
        <v>5</v>
      </c>
      <c r="AE60" s="2">
        <v>0</v>
      </c>
      <c r="AF60" s="2" t="s">
        <v>613</v>
      </c>
      <c r="AG60" s="2">
        <v>4</v>
      </c>
      <c r="AH60" s="38"/>
      <c r="AI60" s="38"/>
      <c r="AJ60" s="38"/>
      <c r="AK60" s="38"/>
      <c r="AL60" s="2" t="str">
        <f t="shared" si="220"/>
        <v>CIFFSS</v>
      </c>
      <c r="AM60" s="2">
        <f t="shared" si="221"/>
        <v>0</v>
      </c>
      <c r="AN60" s="2">
        <f t="shared" ref="AN60" si="242">AM60</f>
        <v>0</v>
      </c>
      <c r="AO60" s="2">
        <f t="shared" si="214"/>
        <v>4</v>
      </c>
      <c r="AP60" s="2">
        <f t="shared" ref="AP60" si="243">AO60</f>
        <v>4</v>
      </c>
      <c r="AQ60" s="2">
        <v>6</v>
      </c>
      <c r="AU60" s="74">
        <v>5</v>
      </c>
      <c r="AV60" s="74">
        <v>5</v>
      </c>
      <c r="AW60" s="74">
        <v>6</v>
      </c>
      <c r="AY60" s="2">
        <v>0</v>
      </c>
      <c r="AZ60" s="2" t="s">
        <v>613</v>
      </c>
      <c r="BA60" s="2">
        <v>4</v>
      </c>
      <c r="BB60" s="38"/>
      <c r="BC60" s="38"/>
      <c r="BD60" s="38"/>
      <c r="BE60" s="38"/>
      <c r="BF60" s="2" t="str">
        <f t="shared" si="224"/>
        <v>CIFFSS</v>
      </c>
      <c r="BG60" s="2">
        <f t="shared" si="225"/>
        <v>0</v>
      </c>
      <c r="BH60" s="2">
        <f t="shared" ref="BH60:BJ60" si="244">BG60</f>
        <v>0</v>
      </c>
      <c r="BI60" s="2">
        <f t="shared" si="215"/>
        <v>4</v>
      </c>
      <c r="BJ60" s="2">
        <f t="shared" ref="BJ60:BK60" si="245">BI60</f>
        <v>4</v>
      </c>
      <c r="BK60" s="2">
        <v>6</v>
      </c>
      <c r="BO60" s="74">
        <v>5</v>
      </c>
      <c r="BP60" s="74">
        <v>5</v>
      </c>
      <c r="BQ60" s="74">
        <v>6</v>
      </c>
      <c r="BR60" s="10"/>
    </row>
    <row r="61" spans="2:70" ht="34" x14ac:dyDescent="0.2">
      <c r="B61" s="2" t="s">
        <v>63</v>
      </c>
      <c r="C61" s="2" t="s">
        <v>127</v>
      </c>
      <c r="D61" s="2" t="s">
        <v>466</v>
      </c>
      <c r="E61" s="3" t="s">
        <v>133</v>
      </c>
      <c r="F61" s="2" t="s">
        <v>156</v>
      </c>
      <c r="G61" s="3" t="s">
        <v>157</v>
      </c>
      <c r="H61" s="3" t="s">
        <v>147</v>
      </c>
      <c r="I61" s="2" t="s">
        <v>198</v>
      </c>
      <c r="K61" s="2">
        <v>0</v>
      </c>
      <c r="L61" s="2" t="s">
        <v>613</v>
      </c>
      <c r="M61" s="2">
        <v>4</v>
      </c>
      <c r="N61" s="38"/>
      <c r="O61" s="38"/>
      <c r="P61" s="38"/>
      <c r="Q61" s="38"/>
      <c r="R61" s="2" t="str">
        <f t="shared" si="216"/>
        <v>CIFF3B</v>
      </c>
      <c r="S61" s="2">
        <f t="shared" si="217"/>
        <v>0</v>
      </c>
      <c r="T61" s="2">
        <f t="shared" ref="T61" si="246">S61</f>
        <v>0</v>
      </c>
      <c r="U61" s="2">
        <f t="shared" si="213"/>
        <v>4</v>
      </c>
      <c r="V61" s="2">
        <f t="shared" ref="V61" si="247">U61</f>
        <v>4</v>
      </c>
      <c r="W61" s="2">
        <v>6</v>
      </c>
      <c r="AA61" s="74">
        <v>4</v>
      </c>
      <c r="AB61" s="74">
        <v>5</v>
      </c>
      <c r="AC61" s="74">
        <v>5</v>
      </c>
      <c r="AE61" s="2">
        <v>0</v>
      </c>
      <c r="AF61" s="2" t="s">
        <v>613</v>
      </c>
      <c r="AG61" s="2">
        <v>4</v>
      </c>
      <c r="AH61" s="38"/>
      <c r="AI61" s="38"/>
      <c r="AJ61" s="38"/>
      <c r="AK61" s="38"/>
      <c r="AL61" s="2" t="str">
        <f t="shared" si="220"/>
        <v>CIFF3B</v>
      </c>
      <c r="AM61" s="2">
        <f t="shared" si="221"/>
        <v>0</v>
      </c>
      <c r="AN61" s="2">
        <f t="shared" ref="AN61" si="248">AM61</f>
        <v>0</v>
      </c>
      <c r="AO61" s="2">
        <f t="shared" si="214"/>
        <v>4</v>
      </c>
      <c r="AP61" s="2">
        <f t="shared" ref="AP61" si="249">AO61</f>
        <v>4</v>
      </c>
      <c r="AQ61" s="2">
        <v>6</v>
      </c>
      <c r="AU61" s="74">
        <v>4</v>
      </c>
      <c r="AV61" s="74">
        <v>5</v>
      </c>
      <c r="AW61" s="74">
        <v>5</v>
      </c>
      <c r="AY61" s="2">
        <v>0</v>
      </c>
      <c r="AZ61" s="2" t="s">
        <v>613</v>
      </c>
      <c r="BA61" s="2">
        <v>4</v>
      </c>
      <c r="BB61" s="38"/>
      <c r="BC61" s="38"/>
      <c r="BD61" s="38"/>
      <c r="BE61" s="38"/>
      <c r="BF61" s="2" t="str">
        <f t="shared" si="224"/>
        <v>CIFF3B</v>
      </c>
      <c r="BG61" s="2">
        <f t="shared" si="225"/>
        <v>0</v>
      </c>
      <c r="BH61" s="2">
        <f t="shared" ref="BH61:BJ61" si="250">BG61</f>
        <v>0</v>
      </c>
      <c r="BI61" s="2">
        <f t="shared" si="215"/>
        <v>4</v>
      </c>
      <c r="BJ61" s="2">
        <f t="shared" ref="BJ61:BK61" si="251">BI61</f>
        <v>4</v>
      </c>
      <c r="BK61" s="2">
        <v>6</v>
      </c>
      <c r="BO61" s="74">
        <v>5</v>
      </c>
      <c r="BP61" s="74">
        <v>6</v>
      </c>
      <c r="BQ61" s="74">
        <v>6</v>
      </c>
      <c r="BR61" s="10"/>
    </row>
    <row r="62" spans="2:70" ht="51" x14ac:dyDescent="0.2">
      <c r="B62" s="2" t="s">
        <v>63</v>
      </c>
      <c r="C62" s="2" t="s">
        <v>128</v>
      </c>
      <c r="D62" s="2" t="s">
        <v>467</v>
      </c>
      <c r="E62" s="3" t="s">
        <v>134</v>
      </c>
      <c r="F62" s="2" t="s">
        <v>156</v>
      </c>
      <c r="G62" s="3" t="s">
        <v>158</v>
      </c>
      <c r="H62" s="3" t="s">
        <v>147</v>
      </c>
      <c r="I62" s="2" t="s">
        <v>198</v>
      </c>
      <c r="K62" s="2">
        <v>0</v>
      </c>
      <c r="L62" s="2" t="s">
        <v>613</v>
      </c>
      <c r="M62" s="2">
        <v>4</v>
      </c>
      <c r="N62" s="38">
        <v>13</v>
      </c>
      <c r="O62" s="38">
        <v>14</v>
      </c>
      <c r="P62" s="38">
        <v>15</v>
      </c>
      <c r="Q62" s="38">
        <v>16</v>
      </c>
      <c r="R62" s="2" t="str">
        <f t="shared" si="216"/>
        <v>CLD2B</v>
      </c>
      <c r="S62" s="2">
        <f t="shared" si="217"/>
        <v>0</v>
      </c>
      <c r="T62" s="2">
        <f t="shared" ref="T62" si="252">S62</f>
        <v>0</v>
      </c>
      <c r="U62" s="2">
        <f t="shared" si="213"/>
        <v>4</v>
      </c>
      <c r="V62" s="2">
        <f t="shared" ref="V62" si="253">U62</f>
        <v>4</v>
      </c>
      <c r="W62" s="2">
        <v>6</v>
      </c>
      <c r="AA62" s="74">
        <v>5</v>
      </c>
      <c r="AB62" s="74">
        <v>5</v>
      </c>
      <c r="AC62" s="74">
        <v>6</v>
      </c>
      <c r="AE62" s="2">
        <v>0</v>
      </c>
      <c r="AF62" s="2" t="s">
        <v>613</v>
      </c>
      <c r="AG62" s="2">
        <v>4</v>
      </c>
      <c r="AH62" s="38">
        <v>13</v>
      </c>
      <c r="AI62" s="38">
        <v>14</v>
      </c>
      <c r="AJ62" s="38">
        <v>15</v>
      </c>
      <c r="AK62" s="38">
        <v>17</v>
      </c>
      <c r="AL62" s="2" t="str">
        <f t="shared" si="220"/>
        <v>CLD2B</v>
      </c>
      <c r="AM62" s="2">
        <f t="shared" si="221"/>
        <v>0</v>
      </c>
      <c r="AN62" s="2">
        <f t="shared" ref="AN62" si="254">AM62</f>
        <v>0</v>
      </c>
      <c r="AO62" s="2">
        <f t="shared" si="214"/>
        <v>4</v>
      </c>
      <c r="AP62" s="2">
        <f t="shared" ref="AP62" si="255">AO62</f>
        <v>4</v>
      </c>
      <c r="AQ62" s="2">
        <v>6</v>
      </c>
      <c r="AU62" s="74">
        <v>5</v>
      </c>
      <c r="AV62" s="74">
        <v>5</v>
      </c>
      <c r="AW62" s="74">
        <v>6</v>
      </c>
      <c r="AY62" s="2">
        <v>0</v>
      </c>
      <c r="AZ62" s="2" t="s">
        <v>613</v>
      </c>
      <c r="BA62" s="2">
        <v>4</v>
      </c>
      <c r="BB62" s="38">
        <v>12</v>
      </c>
      <c r="BC62" s="38">
        <v>16</v>
      </c>
      <c r="BD62" s="38">
        <v>17</v>
      </c>
      <c r="BE62" s="38">
        <v>18</v>
      </c>
      <c r="BF62" s="2" t="str">
        <f t="shared" si="224"/>
        <v>CLD2B</v>
      </c>
      <c r="BG62" s="2">
        <f t="shared" si="225"/>
        <v>0</v>
      </c>
      <c r="BH62" s="2">
        <f t="shared" ref="BH62:BJ62" si="256">BG62</f>
        <v>0</v>
      </c>
      <c r="BI62" s="2">
        <f t="shared" si="215"/>
        <v>4</v>
      </c>
      <c r="BJ62" s="2">
        <f t="shared" ref="BJ62:BK62" si="257">BI62</f>
        <v>4</v>
      </c>
      <c r="BK62" s="2">
        <v>6</v>
      </c>
      <c r="BO62" s="74">
        <v>6</v>
      </c>
      <c r="BP62" s="74">
        <v>6</v>
      </c>
      <c r="BQ62" s="74">
        <v>6</v>
      </c>
      <c r="BR62" s="10"/>
    </row>
    <row r="63" spans="2:70" ht="51" x14ac:dyDescent="0.2">
      <c r="B63" s="2" t="s">
        <v>63</v>
      </c>
      <c r="C63" s="2" t="s">
        <v>129</v>
      </c>
      <c r="D63" s="2" t="s">
        <v>468</v>
      </c>
      <c r="E63" s="3" t="s">
        <v>135</v>
      </c>
      <c r="F63" s="2" t="s">
        <v>156</v>
      </c>
      <c r="G63" s="3" t="s">
        <v>158</v>
      </c>
      <c r="H63" s="3" t="s">
        <v>147</v>
      </c>
      <c r="I63" s="2" t="s">
        <v>198</v>
      </c>
      <c r="K63" s="2">
        <v>0</v>
      </c>
      <c r="L63" s="2" t="s">
        <v>613</v>
      </c>
      <c r="M63" s="2">
        <v>4</v>
      </c>
      <c r="N63" s="38"/>
      <c r="O63" s="38"/>
      <c r="P63" s="38"/>
      <c r="Q63" s="38"/>
      <c r="R63" s="2" t="str">
        <f t="shared" si="216"/>
        <v>CLDSS</v>
      </c>
      <c r="S63" s="2">
        <f t="shared" si="217"/>
        <v>0</v>
      </c>
      <c r="T63" s="2">
        <f t="shared" ref="T63" si="258">S63</f>
        <v>0</v>
      </c>
      <c r="U63" s="2">
        <f t="shared" si="213"/>
        <v>4</v>
      </c>
      <c r="V63" s="2">
        <f t="shared" ref="V63" si="259">U63</f>
        <v>4</v>
      </c>
      <c r="W63" s="2">
        <v>6</v>
      </c>
      <c r="AA63" s="74">
        <v>5</v>
      </c>
      <c r="AB63" s="74">
        <v>5</v>
      </c>
      <c r="AC63" s="74">
        <v>5</v>
      </c>
      <c r="AE63" s="2">
        <v>0</v>
      </c>
      <c r="AF63" s="2" t="s">
        <v>613</v>
      </c>
      <c r="AG63" s="2">
        <v>4</v>
      </c>
      <c r="AH63" s="38"/>
      <c r="AI63" s="38"/>
      <c r="AJ63" s="38"/>
      <c r="AK63" s="38"/>
      <c r="AL63" s="2" t="str">
        <f t="shared" si="220"/>
        <v>CLDSS</v>
      </c>
      <c r="AM63" s="2">
        <f t="shared" si="221"/>
        <v>0</v>
      </c>
      <c r="AN63" s="2">
        <f t="shared" ref="AN63" si="260">AM63</f>
        <v>0</v>
      </c>
      <c r="AO63" s="2">
        <f t="shared" si="214"/>
        <v>4</v>
      </c>
      <c r="AP63" s="2">
        <f t="shared" ref="AP63" si="261">AO63</f>
        <v>4</v>
      </c>
      <c r="AQ63" s="2">
        <v>6</v>
      </c>
      <c r="AU63" s="74">
        <v>5</v>
      </c>
      <c r="AV63" s="74">
        <v>5</v>
      </c>
      <c r="AW63" s="74">
        <v>6</v>
      </c>
      <c r="AY63" s="2">
        <v>0</v>
      </c>
      <c r="AZ63" s="2" t="s">
        <v>613</v>
      </c>
      <c r="BA63" s="2">
        <v>4</v>
      </c>
      <c r="BB63" s="38"/>
      <c r="BC63" s="38"/>
      <c r="BD63" s="38"/>
      <c r="BE63" s="38"/>
      <c r="BF63" s="2" t="str">
        <f t="shared" si="224"/>
        <v>CLDSS</v>
      </c>
      <c r="BG63" s="2">
        <f t="shared" si="225"/>
        <v>0</v>
      </c>
      <c r="BH63" s="2">
        <f t="shared" ref="BH63:BJ63" si="262">BG63</f>
        <v>0</v>
      </c>
      <c r="BI63" s="2">
        <f t="shared" si="215"/>
        <v>4</v>
      </c>
      <c r="BJ63" s="2">
        <f t="shared" ref="BJ63:BK63" si="263">BI63</f>
        <v>4</v>
      </c>
      <c r="BK63" s="2">
        <v>6</v>
      </c>
      <c r="BO63" s="74">
        <v>5</v>
      </c>
      <c r="BP63" s="74">
        <v>5</v>
      </c>
      <c r="BQ63" s="74">
        <v>6</v>
      </c>
      <c r="BR63" s="10"/>
    </row>
    <row r="64" spans="2:70" ht="51" x14ac:dyDescent="0.2">
      <c r="B64" s="2" t="s">
        <v>63</v>
      </c>
      <c r="C64" s="2" t="s">
        <v>130</v>
      </c>
      <c r="D64" s="2" t="s">
        <v>469</v>
      </c>
      <c r="E64" s="3" t="s">
        <v>136</v>
      </c>
      <c r="F64" s="2" t="s">
        <v>156</v>
      </c>
      <c r="G64" s="3" t="s">
        <v>158</v>
      </c>
      <c r="H64" s="3" t="s">
        <v>147</v>
      </c>
      <c r="I64" s="2" t="s">
        <v>198</v>
      </c>
      <c r="K64" s="2">
        <v>0</v>
      </c>
      <c r="L64" s="2" t="s">
        <v>613</v>
      </c>
      <c r="M64" s="2">
        <v>4</v>
      </c>
      <c r="N64" s="38"/>
      <c r="O64" s="38"/>
      <c r="P64" s="38"/>
      <c r="Q64" s="38"/>
      <c r="R64" s="2" t="str">
        <f t="shared" si="216"/>
        <v>CLD3B</v>
      </c>
      <c r="S64" s="2">
        <f t="shared" si="217"/>
        <v>0</v>
      </c>
      <c r="T64" s="2">
        <f t="shared" ref="T64" si="264">S64</f>
        <v>0</v>
      </c>
      <c r="U64" s="2">
        <f t="shared" si="213"/>
        <v>4</v>
      </c>
      <c r="V64" s="2">
        <f t="shared" ref="V64" si="265">U64</f>
        <v>4</v>
      </c>
      <c r="W64" s="2">
        <v>6</v>
      </c>
      <c r="AA64" s="74">
        <v>4</v>
      </c>
      <c r="AB64" s="74">
        <v>5</v>
      </c>
      <c r="AC64" s="74">
        <v>5</v>
      </c>
      <c r="AE64" s="2">
        <v>0</v>
      </c>
      <c r="AF64" s="2" t="s">
        <v>613</v>
      </c>
      <c r="AG64" s="2">
        <v>4</v>
      </c>
      <c r="AH64" s="38"/>
      <c r="AI64" s="38"/>
      <c r="AJ64" s="38"/>
      <c r="AK64" s="38"/>
      <c r="AL64" s="2" t="str">
        <f t="shared" si="220"/>
        <v>CLD3B</v>
      </c>
      <c r="AM64" s="2">
        <f t="shared" si="221"/>
        <v>0</v>
      </c>
      <c r="AN64" s="2">
        <f t="shared" ref="AN64" si="266">AM64</f>
        <v>0</v>
      </c>
      <c r="AO64" s="2">
        <f t="shared" si="214"/>
        <v>4</v>
      </c>
      <c r="AP64" s="2">
        <f t="shared" ref="AP64" si="267">AO64</f>
        <v>4</v>
      </c>
      <c r="AQ64" s="2">
        <v>6</v>
      </c>
      <c r="AU64" s="74">
        <v>4</v>
      </c>
      <c r="AV64" s="74">
        <v>5</v>
      </c>
      <c r="AW64" s="74">
        <v>5</v>
      </c>
      <c r="AY64" s="2">
        <v>0</v>
      </c>
      <c r="AZ64" s="2" t="s">
        <v>613</v>
      </c>
      <c r="BA64" s="2">
        <v>4</v>
      </c>
      <c r="BB64" s="38"/>
      <c r="BC64" s="38"/>
      <c r="BD64" s="38"/>
      <c r="BE64" s="38"/>
      <c r="BF64" s="2" t="str">
        <f t="shared" si="224"/>
        <v>CLD3B</v>
      </c>
      <c r="BG64" s="2">
        <f t="shared" si="225"/>
        <v>0</v>
      </c>
      <c r="BH64" s="2">
        <f t="shared" ref="BH64:BJ64" si="268">BG64</f>
        <v>0</v>
      </c>
      <c r="BI64" s="2">
        <f t="shared" si="215"/>
        <v>4</v>
      </c>
      <c r="BJ64" s="2">
        <f t="shared" ref="BJ64:BK64" si="269">BI64</f>
        <v>4</v>
      </c>
      <c r="BK64" s="2">
        <v>6</v>
      </c>
      <c r="BO64" s="74">
        <v>5</v>
      </c>
      <c r="BP64" s="74">
        <v>6</v>
      </c>
      <c r="BQ64" s="74">
        <v>6</v>
      </c>
      <c r="BR64" s="10"/>
    </row>
    <row r="65" spans="2:69" ht="34" x14ac:dyDescent="0.2">
      <c r="B65" s="2" t="s">
        <v>63</v>
      </c>
      <c r="C65" s="2" t="s">
        <v>64</v>
      </c>
      <c r="D65" s="2" t="s">
        <v>470</v>
      </c>
      <c r="E65" s="3" t="s">
        <v>263</v>
      </c>
      <c r="F65" s="2" t="s">
        <v>76</v>
      </c>
      <c r="H65" s="3" t="s">
        <v>80</v>
      </c>
      <c r="I65" s="2" t="s">
        <v>199</v>
      </c>
      <c r="K65" s="2">
        <v>3.75</v>
      </c>
      <c r="L65" s="2" t="s">
        <v>613</v>
      </c>
      <c r="M65" s="2">
        <v>3.25</v>
      </c>
      <c r="N65" s="2">
        <v>3.25</v>
      </c>
      <c r="O65" s="2">
        <v>3.1</v>
      </c>
      <c r="P65" s="2">
        <v>3</v>
      </c>
      <c r="Q65" s="2">
        <v>2.9</v>
      </c>
      <c r="R65" s="2" t="s">
        <v>472</v>
      </c>
      <c r="S65" s="2">
        <f t="shared" si="217"/>
        <v>3.75</v>
      </c>
      <c r="T65" s="2">
        <f>(10-S65)*2</f>
        <v>12.5</v>
      </c>
      <c r="U65" s="2">
        <f t="shared" si="213"/>
        <v>3.25</v>
      </c>
      <c r="V65" s="2">
        <f>(10-U65)*2</f>
        <v>13.5</v>
      </c>
      <c r="W65" s="2">
        <f>(10-2.75)*2</f>
        <v>14.5</v>
      </c>
      <c r="AA65" s="2">
        <f>(10-O65)*2</f>
        <v>13.8</v>
      </c>
      <c r="AB65" s="2">
        <f t="shared" ref="AB65" si="270">(10-P65)*2</f>
        <v>14</v>
      </c>
      <c r="AC65" s="2">
        <f t="shared" ref="AC65" si="271">(10-Q65)*2</f>
        <v>14.2</v>
      </c>
      <c r="AE65" s="2">
        <v>3.75</v>
      </c>
      <c r="AF65" s="2" t="s">
        <v>613</v>
      </c>
      <c r="AG65" s="2">
        <v>3.25</v>
      </c>
      <c r="AH65" s="2">
        <v>3.25</v>
      </c>
      <c r="AI65" s="2">
        <v>3.1</v>
      </c>
      <c r="AJ65" s="2">
        <v>3</v>
      </c>
      <c r="AK65" s="2">
        <v>2.9</v>
      </c>
      <c r="AL65" s="2" t="s">
        <v>472</v>
      </c>
      <c r="AM65" s="2">
        <f t="shared" si="221"/>
        <v>3.75</v>
      </c>
      <c r="AN65" s="2">
        <f>(10-AM65)*2</f>
        <v>12.5</v>
      </c>
      <c r="AO65" s="2">
        <f t="shared" si="214"/>
        <v>3.25</v>
      </c>
      <c r="AP65" s="2">
        <f>(10-AO65)*2</f>
        <v>13.5</v>
      </c>
      <c r="AQ65" s="2">
        <f>(10-2.75)*2</f>
        <v>14.5</v>
      </c>
      <c r="AU65" s="2">
        <f>(10-AI65)*2</f>
        <v>13.8</v>
      </c>
      <c r="AV65" s="2">
        <f t="shared" ref="AV65" si="272">(10-AJ65)*2</f>
        <v>14</v>
      </c>
      <c r="AW65" s="2">
        <f t="shared" ref="AW65" si="273">(10-AK65)*2</f>
        <v>14.2</v>
      </c>
      <c r="AY65" s="2">
        <v>3.75</v>
      </c>
      <c r="AZ65" s="2" t="s">
        <v>613</v>
      </c>
      <c r="BA65" s="2">
        <v>3.25</v>
      </c>
      <c r="BB65" s="2">
        <v>3.25</v>
      </c>
      <c r="BC65" s="2">
        <v>3.1</v>
      </c>
      <c r="BD65" s="2">
        <v>3</v>
      </c>
      <c r="BE65" s="2">
        <v>2.9</v>
      </c>
      <c r="BF65" s="2" t="s">
        <v>472</v>
      </c>
      <c r="BG65" s="2">
        <f t="shared" si="225"/>
        <v>3.75</v>
      </c>
      <c r="BH65" s="2">
        <f>(10-BG65)*2</f>
        <v>12.5</v>
      </c>
      <c r="BI65" s="2">
        <f t="shared" si="215"/>
        <v>3.25</v>
      </c>
      <c r="BJ65" s="2">
        <f>(10-BI65)*2</f>
        <v>13.5</v>
      </c>
      <c r="BK65" s="2">
        <f>(10-1)*2</f>
        <v>18</v>
      </c>
      <c r="BO65" s="2">
        <f>(10-BC65)*2</f>
        <v>13.8</v>
      </c>
      <c r="BP65" s="2">
        <f t="shared" ref="BP65:BQ65" si="274">(10-BD65)*2</f>
        <v>14</v>
      </c>
      <c r="BQ65" s="2">
        <f t="shared" si="274"/>
        <v>14.2</v>
      </c>
    </row>
    <row r="66" spans="2:69" s="13" customFormat="1" x14ac:dyDescent="0.2">
      <c r="B66" s="13" t="s">
        <v>489</v>
      </c>
      <c r="E66" s="14"/>
      <c r="H66" s="14"/>
      <c r="N66" s="15" t="s">
        <v>471</v>
      </c>
      <c r="O66" s="15"/>
      <c r="P66" s="15"/>
      <c r="Q66" s="15"/>
      <c r="AH66" s="15" t="s">
        <v>471</v>
      </c>
      <c r="AI66" s="15"/>
      <c r="AJ66" s="15"/>
      <c r="AK66" s="15"/>
      <c r="BB66" s="15" t="s">
        <v>471</v>
      </c>
      <c r="BC66" s="15"/>
      <c r="BD66" s="15"/>
      <c r="BE66" s="15"/>
    </row>
    <row r="67" spans="2:69" s="23" customFormat="1" x14ac:dyDescent="0.2">
      <c r="B67" s="23" t="s">
        <v>490</v>
      </c>
      <c r="D67" s="23" t="s">
        <v>653</v>
      </c>
      <c r="E67" s="24"/>
      <c r="F67" s="24"/>
      <c r="G67" s="24"/>
      <c r="H67" s="24"/>
      <c r="I67" s="24"/>
      <c r="J67" s="24"/>
      <c r="T67" s="26">
        <f>SUM(T56:T65)</f>
        <v>28.5</v>
      </c>
      <c r="U67" s="26"/>
      <c r="V67" s="26">
        <f>SUM(V56:V65)</f>
        <v>65.5</v>
      </c>
      <c r="W67" s="26">
        <f>SUM(W56:W65)</f>
        <v>86.5</v>
      </c>
      <c r="X67" s="26">
        <v>50</v>
      </c>
      <c r="Y67" s="26">
        <f>(T67/W67)*X67</f>
        <v>16.473988439306357</v>
      </c>
      <c r="Z67" s="26">
        <f>(V67/W67)*X67</f>
        <v>37.861271676300575</v>
      </c>
      <c r="AA67" s="26">
        <f t="shared" ref="AA67:AC67" si="275">SUM(AA56:AA65)</f>
        <v>71.8</v>
      </c>
      <c r="AB67" s="26">
        <f t="shared" si="275"/>
        <v>76</v>
      </c>
      <c r="AC67" s="26">
        <f t="shared" si="275"/>
        <v>80.2</v>
      </c>
      <c r="AN67" s="26">
        <f>SUM(AN56:AN65)</f>
        <v>31.5</v>
      </c>
      <c r="AO67" s="26"/>
      <c r="AP67" s="26">
        <f>SUM(AP56:AP65)</f>
        <v>65.5</v>
      </c>
      <c r="AQ67" s="26">
        <f>SUM(AQ56:AQ65)</f>
        <v>86.5</v>
      </c>
      <c r="AR67" s="26">
        <v>50</v>
      </c>
      <c r="AS67" s="26">
        <f>(AN67/AQ67)*AR67</f>
        <v>18.20809248554913</v>
      </c>
      <c r="AT67" s="26">
        <f>(AP67/AQ67)*AR67</f>
        <v>37.861271676300575</v>
      </c>
      <c r="AU67" s="26">
        <f t="shared" ref="AU67:AW67" si="276">SUM(AU56:AU65)</f>
        <v>73.8</v>
      </c>
      <c r="AV67" s="26">
        <f t="shared" si="276"/>
        <v>78</v>
      </c>
      <c r="AW67" s="26">
        <f t="shared" si="276"/>
        <v>84.2</v>
      </c>
      <c r="BH67" s="26">
        <f>SUM(BH56:BH65)</f>
        <v>34.5</v>
      </c>
      <c r="BI67" s="26"/>
      <c r="BJ67" s="26">
        <f>SUM(BJ56:BJ65)</f>
        <v>67.5</v>
      </c>
      <c r="BK67" s="26">
        <f>SUM(BK56:BK65)</f>
        <v>90</v>
      </c>
      <c r="BL67" s="26">
        <v>50</v>
      </c>
      <c r="BM67" s="26">
        <f>(BH67/BK67)*BL67</f>
        <v>19.166666666666668</v>
      </c>
      <c r="BN67" s="26">
        <f>(BJ67/BK67)*BL67</f>
        <v>37.5</v>
      </c>
      <c r="BO67" s="26">
        <f t="shared" ref="BO67:BQ67" si="277">SUM(BO56:BO65)</f>
        <v>78.8</v>
      </c>
      <c r="BP67" s="26">
        <f t="shared" si="277"/>
        <v>82</v>
      </c>
      <c r="BQ67" s="26">
        <f t="shared" si="277"/>
        <v>86.2</v>
      </c>
    </row>
    <row r="68" spans="2:69" ht="51" x14ac:dyDescent="0.2">
      <c r="B68" s="2" t="s">
        <v>65</v>
      </c>
      <c r="C68" s="2" t="s">
        <v>588</v>
      </c>
      <c r="D68" s="2" t="s">
        <v>590</v>
      </c>
      <c r="E68" s="3" t="s">
        <v>268</v>
      </c>
      <c r="F68" s="2" t="s">
        <v>156</v>
      </c>
      <c r="G68" s="3" t="s">
        <v>160</v>
      </c>
      <c r="H68" s="3" t="s">
        <v>147</v>
      </c>
      <c r="I68" s="2" t="s">
        <v>200</v>
      </c>
      <c r="K68" s="2">
        <v>8</v>
      </c>
      <c r="L68" s="2" t="s">
        <v>613</v>
      </c>
      <c r="M68" s="2">
        <v>12</v>
      </c>
      <c r="N68" s="2">
        <v>12</v>
      </c>
      <c r="O68" s="2">
        <v>14</v>
      </c>
      <c r="P68" s="2">
        <v>16</v>
      </c>
      <c r="Q68" s="2">
        <v>18</v>
      </c>
      <c r="R68" s="2" t="str">
        <f t="shared" ref="R68:R69" si="278">$D68</f>
        <v>C30X30M</v>
      </c>
      <c r="S68" s="2">
        <f>K68</f>
        <v>8</v>
      </c>
      <c r="T68" s="2">
        <f>S68</f>
        <v>8</v>
      </c>
      <c r="U68" s="2">
        <f t="shared" ref="U68:U70" si="279">M68</f>
        <v>12</v>
      </c>
      <c r="V68" s="2">
        <f>U68</f>
        <v>12</v>
      </c>
      <c r="W68" s="2">
        <v>20</v>
      </c>
      <c r="AA68" s="2">
        <f>O68</f>
        <v>14</v>
      </c>
      <c r="AB68" s="2">
        <f t="shared" ref="AB68:AB69" si="280">P68</f>
        <v>16</v>
      </c>
      <c r="AC68" s="2">
        <f t="shared" ref="AC68:AC69" si="281">Q68</f>
        <v>18</v>
      </c>
      <c r="AE68" s="2">
        <v>8</v>
      </c>
      <c r="AF68" s="2" t="s">
        <v>613</v>
      </c>
      <c r="AG68" s="2">
        <v>14</v>
      </c>
      <c r="AH68" s="2">
        <v>14</v>
      </c>
      <c r="AI68" s="2">
        <v>15</v>
      </c>
      <c r="AJ68" s="2">
        <v>16</v>
      </c>
      <c r="AK68" s="2">
        <v>18</v>
      </c>
      <c r="AL68" s="2" t="str">
        <f t="shared" ref="AL68:AL69" si="282">$D68</f>
        <v>C30X30M</v>
      </c>
      <c r="AM68" s="2">
        <f>AE68</f>
        <v>8</v>
      </c>
      <c r="AN68" s="2">
        <f>AM68</f>
        <v>8</v>
      </c>
      <c r="AO68" s="2">
        <f t="shared" ref="AO68:AO70" si="283">AG68</f>
        <v>14</v>
      </c>
      <c r="AP68" s="2">
        <f>AO68</f>
        <v>14</v>
      </c>
      <c r="AQ68" s="2">
        <v>20</v>
      </c>
      <c r="AU68" s="2">
        <f>AI68</f>
        <v>15</v>
      </c>
      <c r="AV68" s="2">
        <f t="shared" ref="AV68:AV69" si="284">AJ68</f>
        <v>16</v>
      </c>
      <c r="AW68" s="2">
        <f t="shared" ref="AW68:AW69" si="285">AK68</f>
        <v>18</v>
      </c>
      <c r="AY68" s="2">
        <v>10</v>
      </c>
      <c r="AZ68" s="2" t="s">
        <v>613</v>
      </c>
      <c r="BA68" s="2">
        <v>14</v>
      </c>
      <c r="BB68" s="2">
        <v>14</v>
      </c>
      <c r="BC68" s="2">
        <v>16</v>
      </c>
      <c r="BD68" s="2">
        <v>18</v>
      </c>
      <c r="BE68" s="2">
        <v>20</v>
      </c>
      <c r="BF68" s="2" t="str">
        <f t="shared" ref="BF68:BF69" si="286">$D68</f>
        <v>C30X30M</v>
      </c>
      <c r="BG68" s="2">
        <f>AY68</f>
        <v>10</v>
      </c>
      <c r="BH68" s="2">
        <f>BG68</f>
        <v>10</v>
      </c>
      <c r="BI68" s="2">
        <f t="shared" ref="BI68:BI70" si="287">BA68</f>
        <v>14</v>
      </c>
      <c r="BJ68" s="2">
        <f>BI68</f>
        <v>14</v>
      </c>
      <c r="BK68" s="2">
        <v>20</v>
      </c>
      <c r="BO68" s="2">
        <f>BC68</f>
        <v>16</v>
      </c>
      <c r="BP68" s="2">
        <f t="shared" ref="BP68:BP69" si="288">BD68</f>
        <v>18</v>
      </c>
      <c r="BQ68" s="2">
        <f t="shared" ref="BQ68:BQ69" si="289">BE68</f>
        <v>20</v>
      </c>
    </row>
    <row r="69" spans="2:69" ht="79" customHeight="1" x14ac:dyDescent="0.2">
      <c r="B69" s="2" t="s">
        <v>65</v>
      </c>
      <c r="C69" s="2" t="s">
        <v>66</v>
      </c>
      <c r="D69" s="2" t="s">
        <v>589</v>
      </c>
      <c r="E69" s="3" t="s">
        <v>138</v>
      </c>
      <c r="F69" s="3" t="s">
        <v>161</v>
      </c>
      <c r="G69" s="3" t="s">
        <v>162</v>
      </c>
      <c r="H69" s="3" t="s">
        <v>147</v>
      </c>
      <c r="I69" s="2" t="s">
        <v>200</v>
      </c>
      <c r="K69" s="2">
        <v>8</v>
      </c>
      <c r="L69" s="2" t="s">
        <v>613</v>
      </c>
      <c r="M69" s="2">
        <v>12</v>
      </c>
      <c r="N69" s="2">
        <v>12</v>
      </c>
      <c r="O69" s="2">
        <v>13</v>
      </c>
      <c r="P69" s="2">
        <v>14</v>
      </c>
      <c r="Q69" s="2">
        <v>15</v>
      </c>
      <c r="R69" s="2" t="str">
        <f t="shared" si="278"/>
        <v>T120FT</v>
      </c>
      <c r="S69" s="2">
        <f>K69</f>
        <v>8</v>
      </c>
      <c r="T69" s="2">
        <f>S69</f>
        <v>8</v>
      </c>
      <c r="U69" s="2">
        <f t="shared" si="279"/>
        <v>12</v>
      </c>
      <c r="V69" s="2">
        <f>U69</f>
        <v>12</v>
      </c>
      <c r="W69" s="2">
        <v>20</v>
      </c>
      <c r="AA69" s="2">
        <f t="shared" ref="AA69" si="290">O69</f>
        <v>13</v>
      </c>
      <c r="AB69" s="2">
        <f t="shared" si="280"/>
        <v>14</v>
      </c>
      <c r="AC69" s="2">
        <f t="shared" si="281"/>
        <v>15</v>
      </c>
      <c r="AE69" s="2">
        <v>8</v>
      </c>
      <c r="AF69" s="2" t="s">
        <v>613</v>
      </c>
      <c r="AG69" s="2">
        <v>14</v>
      </c>
      <c r="AH69" s="2">
        <v>14</v>
      </c>
      <c r="AI69" s="2">
        <v>15</v>
      </c>
      <c r="AJ69" s="2">
        <v>16</v>
      </c>
      <c r="AK69" s="2">
        <v>18</v>
      </c>
      <c r="AL69" s="2" t="str">
        <f t="shared" si="282"/>
        <v>T120FT</v>
      </c>
      <c r="AM69" s="2">
        <f>AE69</f>
        <v>8</v>
      </c>
      <c r="AN69" s="2">
        <f>AM69</f>
        <v>8</v>
      </c>
      <c r="AO69" s="2">
        <f t="shared" si="283"/>
        <v>14</v>
      </c>
      <c r="AP69" s="2">
        <f>AO69</f>
        <v>14</v>
      </c>
      <c r="AQ69" s="2">
        <v>20</v>
      </c>
      <c r="AU69" s="2">
        <f t="shared" ref="AU69" si="291">AI69</f>
        <v>15</v>
      </c>
      <c r="AV69" s="2">
        <f t="shared" si="284"/>
        <v>16</v>
      </c>
      <c r="AW69" s="2">
        <f t="shared" si="285"/>
        <v>18</v>
      </c>
      <c r="AY69" s="2">
        <v>10</v>
      </c>
      <c r="AZ69" s="2" t="s">
        <v>613</v>
      </c>
      <c r="BA69" s="2">
        <v>14</v>
      </c>
      <c r="BB69" s="2">
        <v>14</v>
      </c>
      <c r="BC69" s="2">
        <v>16</v>
      </c>
      <c r="BD69" s="2">
        <v>18</v>
      </c>
      <c r="BE69" s="2">
        <v>20</v>
      </c>
      <c r="BF69" s="2" t="str">
        <f t="shared" si="286"/>
        <v>T120FT</v>
      </c>
      <c r="BG69" s="2">
        <f>AY69</f>
        <v>10</v>
      </c>
      <c r="BH69" s="2">
        <f>BG69</f>
        <v>10</v>
      </c>
      <c r="BI69" s="2">
        <f t="shared" si="287"/>
        <v>14</v>
      </c>
      <c r="BJ69" s="2">
        <f>BI69</f>
        <v>14</v>
      </c>
      <c r="BK69" s="2">
        <v>20</v>
      </c>
      <c r="BO69" s="2">
        <f t="shared" ref="BO69" si="292">BC69</f>
        <v>16</v>
      </c>
      <c r="BP69" s="2">
        <f t="shared" si="288"/>
        <v>18</v>
      </c>
      <c r="BQ69" s="2">
        <f t="shared" si="289"/>
        <v>20</v>
      </c>
    </row>
    <row r="70" spans="2:69" ht="57" customHeight="1" x14ac:dyDescent="0.2">
      <c r="B70" s="2" t="s">
        <v>65</v>
      </c>
      <c r="C70" s="2" t="s">
        <v>139</v>
      </c>
      <c r="D70" s="2" t="s">
        <v>496</v>
      </c>
      <c r="E70" s="3" t="s">
        <v>140</v>
      </c>
      <c r="F70" s="2" t="s">
        <v>76</v>
      </c>
      <c r="H70" s="3" t="s">
        <v>80</v>
      </c>
      <c r="I70" s="2" t="s">
        <v>201</v>
      </c>
      <c r="K70" s="2">
        <v>7</v>
      </c>
      <c r="L70" s="2" t="s">
        <v>613</v>
      </c>
      <c r="M70" s="2">
        <v>5.75</v>
      </c>
      <c r="N70" s="2">
        <v>5.75</v>
      </c>
      <c r="O70" s="2">
        <v>5.5</v>
      </c>
      <c r="P70" s="2">
        <v>5.3</v>
      </c>
      <c r="Q70" s="2">
        <v>5.0999999999999996</v>
      </c>
      <c r="R70" s="2" t="s">
        <v>507</v>
      </c>
      <c r="S70" s="2">
        <f>K70</f>
        <v>7</v>
      </c>
      <c r="T70" s="2">
        <f>(12-S70)*2</f>
        <v>10</v>
      </c>
      <c r="U70" s="2">
        <f t="shared" si="279"/>
        <v>5.75</v>
      </c>
      <c r="V70" s="2">
        <f>(12-U70)*2</f>
        <v>12.5</v>
      </c>
      <c r="W70" s="2">
        <v>15</v>
      </c>
      <c r="AA70" s="2">
        <f>(12-O70)*2</f>
        <v>13</v>
      </c>
      <c r="AB70" s="2">
        <f t="shared" ref="AB70" si="293">(12-P70)*2</f>
        <v>13.4</v>
      </c>
      <c r="AC70" s="2">
        <f t="shared" ref="AC70" si="294">(12-Q70)*2</f>
        <v>13.8</v>
      </c>
      <c r="AE70" s="2">
        <v>7</v>
      </c>
      <c r="AF70" s="2" t="s">
        <v>613</v>
      </c>
      <c r="AG70" s="2">
        <v>5.75</v>
      </c>
      <c r="AH70" s="2">
        <v>5.75</v>
      </c>
      <c r="AI70" s="2">
        <v>5.5</v>
      </c>
      <c r="AJ70" s="2">
        <v>5.3</v>
      </c>
      <c r="AK70" s="2">
        <v>5.0999999999999996</v>
      </c>
      <c r="AL70" s="2" t="s">
        <v>507</v>
      </c>
      <c r="AM70" s="2">
        <f>AE70</f>
        <v>7</v>
      </c>
      <c r="AN70" s="2">
        <f>(12-AM70)*2</f>
        <v>10</v>
      </c>
      <c r="AO70" s="2">
        <f t="shared" si="283"/>
        <v>5.75</v>
      </c>
      <c r="AP70" s="2">
        <f>(12-AO70)*2</f>
        <v>12.5</v>
      </c>
      <c r="AQ70" s="2">
        <v>15</v>
      </c>
      <c r="AU70" s="2">
        <f>(12-AI70)*2</f>
        <v>13</v>
      </c>
      <c r="AV70" s="2">
        <f t="shared" ref="AV70" si="295">(12-AJ70)*2</f>
        <v>13.4</v>
      </c>
      <c r="AW70" s="2">
        <f t="shared" ref="AW70" si="296">(12-AK70)*2</f>
        <v>13.8</v>
      </c>
      <c r="AY70" s="2">
        <v>6</v>
      </c>
      <c r="AZ70" s="2" t="s">
        <v>613</v>
      </c>
      <c r="BA70" s="2">
        <v>5.5</v>
      </c>
      <c r="BB70" s="2">
        <v>5.5</v>
      </c>
      <c r="BC70" s="2">
        <v>5.25</v>
      </c>
      <c r="BD70" s="2">
        <v>5.15</v>
      </c>
      <c r="BE70" s="2">
        <v>5</v>
      </c>
      <c r="BF70" s="2" t="s">
        <v>507</v>
      </c>
      <c r="BG70" s="2">
        <f>AY70</f>
        <v>6</v>
      </c>
      <c r="BH70" s="2">
        <f>(12-BG70)*2</f>
        <v>12</v>
      </c>
      <c r="BI70" s="2">
        <f t="shared" si="287"/>
        <v>5.5</v>
      </c>
      <c r="BJ70" s="2">
        <f>(12-BI70)*2</f>
        <v>13</v>
      </c>
      <c r="BK70" s="2">
        <v>16</v>
      </c>
      <c r="BO70" s="2">
        <f>(12-BC70)*2</f>
        <v>13.5</v>
      </c>
      <c r="BP70" s="2">
        <f t="shared" ref="BP70:BQ70" si="297">(12-BD70)*2</f>
        <v>13.7</v>
      </c>
      <c r="BQ70" s="2">
        <f t="shared" si="297"/>
        <v>14</v>
      </c>
    </row>
    <row r="71" spans="2:69" s="13" customFormat="1" x14ac:dyDescent="0.2">
      <c r="B71" s="13" t="s">
        <v>491</v>
      </c>
      <c r="E71" s="14"/>
      <c r="H71" s="14"/>
      <c r="N71" s="15" t="s">
        <v>471</v>
      </c>
      <c r="O71" s="15"/>
      <c r="P71" s="15"/>
      <c r="Q71" s="15"/>
      <c r="AH71" s="15" t="s">
        <v>471</v>
      </c>
      <c r="AI71" s="15"/>
      <c r="AJ71" s="15"/>
      <c r="AK71" s="15"/>
      <c r="BB71" s="15" t="s">
        <v>471</v>
      </c>
      <c r="BC71" s="15"/>
      <c r="BD71" s="15"/>
      <c r="BE71" s="15"/>
    </row>
    <row r="72" spans="2:69" s="23" customFormat="1" x14ac:dyDescent="0.2">
      <c r="B72" s="23" t="s">
        <v>492</v>
      </c>
      <c r="D72" s="23" t="s">
        <v>654</v>
      </c>
      <c r="E72" s="24"/>
      <c r="F72" s="24"/>
      <c r="G72" s="24"/>
      <c r="H72" s="24"/>
      <c r="I72" s="24"/>
      <c r="J72" s="24"/>
      <c r="T72" s="26">
        <f>SUM(T68:T70)</f>
        <v>26</v>
      </c>
      <c r="U72" s="26"/>
      <c r="V72" s="26">
        <f>SUM(V68:V70)</f>
        <v>36.5</v>
      </c>
      <c r="W72" s="26">
        <f>SUM(W68:W70)</f>
        <v>55</v>
      </c>
      <c r="X72" s="26">
        <v>50</v>
      </c>
      <c r="Y72" s="26">
        <f>(T72/W72)*X72</f>
        <v>23.636363636363637</v>
      </c>
      <c r="Z72" s="26">
        <f>(V72/W72)*X72</f>
        <v>33.181818181818187</v>
      </c>
      <c r="AA72" s="26">
        <f t="shared" ref="AA72:AC72" si="298">SUM(AA68:AA70)</f>
        <v>40</v>
      </c>
      <c r="AB72" s="26">
        <f t="shared" si="298"/>
        <v>43.4</v>
      </c>
      <c r="AC72" s="26">
        <f t="shared" si="298"/>
        <v>46.8</v>
      </c>
      <c r="AN72" s="26">
        <f>SUM(AN68:AN70)</f>
        <v>26</v>
      </c>
      <c r="AO72" s="26"/>
      <c r="AP72" s="26">
        <f>SUM(AP68:AP70)</f>
        <v>40.5</v>
      </c>
      <c r="AQ72" s="26">
        <f>SUM(AQ68:AQ70)</f>
        <v>55</v>
      </c>
      <c r="AR72" s="26">
        <v>50</v>
      </c>
      <c r="AS72" s="26">
        <f>(AN72/AQ72)*AR72</f>
        <v>23.636363636363637</v>
      </c>
      <c r="AT72" s="26">
        <f>(AP72/AQ72)*AR72</f>
        <v>36.818181818181813</v>
      </c>
      <c r="AU72" s="26">
        <f t="shared" ref="AU72:AW72" si="299">SUM(AU68:AU70)</f>
        <v>43</v>
      </c>
      <c r="AV72" s="26">
        <f t="shared" si="299"/>
        <v>45.4</v>
      </c>
      <c r="AW72" s="26">
        <f t="shared" si="299"/>
        <v>49.8</v>
      </c>
      <c r="BH72" s="26">
        <f>SUM(BH68:BH70)</f>
        <v>32</v>
      </c>
      <c r="BI72" s="26"/>
      <c r="BJ72" s="26">
        <f>SUM(BJ68:BJ70)</f>
        <v>41</v>
      </c>
      <c r="BK72" s="26">
        <f>SUM(BK68:BK70)</f>
        <v>56</v>
      </c>
      <c r="BL72" s="26">
        <v>50</v>
      </c>
      <c r="BM72" s="26">
        <f>(BH72/BK72)*BL72</f>
        <v>28.571428571428569</v>
      </c>
      <c r="BN72" s="26">
        <f>(BJ72/BK72)*BL72</f>
        <v>36.607142857142854</v>
      </c>
      <c r="BO72" s="26">
        <f t="shared" ref="BO72:BQ72" si="300">SUM(BO68:BO70)</f>
        <v>45.5</v>
      </c>
      <c r="BP72" s="26">
        <f t="shared" si="300"/>
        <v>49.7</v>
      </c>
      <c r="BQ72" s="26">
        <f t="shared" si="300"/>
        <v>54</v>
      </c>
    </row>
    <row r="74" spans="2:69" x14ac:dyDescent="0.2">
      <c r="S74" s="2" t="s">
        <v>381</v>
      </c>
      <c r="T74" s="8">
        <f>SUM(T72,T67,T55,T48,T43,T35,T26)</f>
        <v>363.15</v>
      </c>
      <c r="V74" s="8">
        <f>SUM(V72,V67,V55,V48,V43,V35,V26)</f>
        <v>563.8481197517342</v>
      </c>
      <c r="W74" s="8">
        <f>SUM(W72,W67,W55,W48,W43,W35,W26)</f>
        <v>898</v>
      </c>
      <c r="X74" s="8">
        <f>SUM(X72,X67,X55,X48,X43,X35,X26)</f>
        <v>350</v>
      </c>
      <c r="Y74" s="8">
        <f>SUM(Y72,Y67,Y55,Y48,Y43,Y35,Y26)</f>
        <v>132.39325131001507</v>
      </c>
      <c r="Z74" s="8">
        <f>SUM(Z72,Z67,Z55,Z48,Z43,Z35,Z26)</f>
        <v>224.7686130342743</v>
      </c>
      <c r="AA74" s="8">
        <f t="shared" ref="AA74:AC74" si="301">SUM(AA72,AA67,AA55,AA48,AA43,AA35,AA26)</f>
        <v>630.15476190476193</v>
      </c>
      <c r="AB74" s="8">
        <f t="shared" si="301"/>
        <v>680.36410256410261</v>
      </c>
      <c r="AC74" s="8">
        <f t="shared" si="301"/>
        <v>736.95614035087715</v>
      </c>
      <c r="AM74" s="2" t="s">
        <v>381</v>
      </c>
      <c r="AN74" s="8">
        <f>SUM(AN72,AN67,AN55,AN48,AN43,AN35,AN26)</f>
        <v>413.05969345484675</v>
      </c>
      <c r="AP74" s="8">
        <f>SUM(AP72,AP67,AP55,AP48,AP43,AP35,AP26)</f>
        <v>597.35443037974687</v>
      </c>
      <c r="AQ74" s="8">
        <f>SUM(AQ72,AQ67,AQ55,AQ48,AQ43,AQ35,AQ26)</f>
        <v>900.5</v>
      </c>
      <c r="AR74" s="8">
        <f>SUM(AR72,AR67,AR55,AR48,AR43,AR35,AR26)</f>
        <v>350</v>
      </c>
      <c r="AS74" s="8">
        <f>SUM(AS72,AS67,AS55,AS48,AS43,AS35,AS26)</f>
        <v>149.32423759792968</v>
      </c>
      <c r="AT74" s="8">
        <f>SUM(AT72,AT67,AT55,AT48,AT43,AT35,AT26)</f>
        <v>228.54690786683474</v>
      </c>
      <c r="AU74" s="8">
        <f t="shared" ref="AU74:AW74" si="302">SUM(AU72,AU67,AU55,AU48,AU43,AU35,AU26)</f>
        <v>675.34596208389303</v>
      </c>
      <c r="AV74" s="8">
        <f t="shared" si="302"/>
        <v>721.0454545454545</v>
      </c>
      <c r="AW74" s="8">
        <f t="shared" si="302"/>
        <v>790.71659443842543</v>
      </c>
      <c r="BG74" s="2" t="s">
        <v>381</v>
      </c>
      <c r="BH74" s="8">
        <f>SUM(BH72,BH67,BH55,BH48,BH43,BH35,BH26)</f>
        <v>485.6251773049645</v>
      </c>
      <c r="BJ74" s="8">
        <f>SUM(BJ72,BJ67,BJ55,BJ48,BJ43,BJ35,BJ26)</f>
        <v>668.53909664885873</v>
      </c>
      <c r="BK74" s="8">
        <f>SUM(BK72,BK67,BK55,BK48,BK43,BK35,BK26)</f>
        <v>942.5</v>
      </c>
      <c r="BL74" s="8">
        <f>SUM(BL72,BL67,BL55,BL48,BL43,BL35,BL26)</f>
        <v>350</v>
      </c>
      <c r="BM74" s="8">
        <f>SUM(BM72,BM67,BM55,BM48,BM43,BM35,BM26)</f>
        <v>174.88106646844241</v>
      </c>
      <c r="BN74" s="8">
        <f>SUM(BN72,BN67,BN55,BN48,BN43,BN35,BN26)</f>
        <v>252.0569892860143</v>
      </c>
      <c r="BO74" s="8">
        <f t="shared" ref="BO74:BQ74" si="303">SUM(BO72,BO67,BO55,BO48,BO43,BO35,BO26)</f>
        <v>738.61904761904771</v>
      </c>
      <c r="BP74" s="8">
        <f t="shared" si="303"/>
        <v>795.33868778280544</v>
      </c>
      <c r="BQ74" s="8">
        <f t="shared" si="303"/>
        <v>867.24761904761908</v>
      </c>
    </row>
    <row r="76" spans="2:69" x14ac:dyDescent="0.2">
      <c r="X76" s="2" t="s">
        <v>681</v>
      </c>
      <c r="AR76" s="2" t="s">
        <v>681</v>
      </c>
      <c r="BL76" s="2" t="s">
        <v>681</v>
      </c>
    </row>
    <row r="77" spans="2:69" x14ac:dyDescent="0.2">
      <c r="T77" s="47" t="s">
        <v>510</v>
      </c>
      <c r="U77" s="51" t="s">
        <v>616</v>
      </c>
      <c r="V77" s="50" t="s">
        <v>511</v>
      </c>
      <c r="W77" s="12"/>
      <c r="X77" s="64" t="s">
        <v>327</v>
      </c>
      <c r="Y77" s="60" t="s">
        <v>670</v>
      </c>
      <c r="Z77" s="61" t="s">
        <v>671</v>
      </c>
      <c r="AA77" s="62" t="s">
        <v>672</v>
      </c>
      <c r="AN77" s="47" t="s">
        <v>510</v>
      </c>
      <c r="AO77" s="51" t="s">
        <v>616</v>
      </c>
      <c r="AP77" s="50" t="s">
        <v>511</v>
      </c>
      <c r="AQ77" s="12"/>
      <c r="AR77" s="64" t="s">
        <v>327</v>
      </c>
      <c r="AS77" s="60" t="s">
        <v>670</v>
      </c>
      <c r="AT77" s="61" t="s">
        <v>671</v>
      </c>
      <c r="AU77" s="62" t="s">
        <v>672</v>
      </c>
      <c r="BH77" s="47" t="s">
        <v>510</v>
      </c>
      <c r="BI77" s="51" t="s">
        <v>616</v>
      </c>
      <c r="BJ77" s="50" t="s">
        <v>511</v>
      </c>
      <c r="BK77" s="12"/>
      <c r="BL77" s="64" t="s">
        <v>327</v>
      </c>
      <c r="BM77" s="60" t="s">
        <v>670</v>
      </c>
      <c r="BN77" s="61" t="s">
        <v>671</v>
      </c>
      <c r="BO77" s="62" t="s">
        <v>672</v>
      </c>
    </row>
    <row r="78" spans="2:69" x14ac:dyDescent="0.2">
      <c r="S78" s="11" t="s">
        <v>812</v>
      </c>
      <c r="T78" s="48">
        <f>(T74/W74)*X74</f>
        <v>141.53953229398664</v>
      </c>
      <c r="U78" s="8" t="s">
        <v>613</v>
      </c>
      <c r="V78" s="48">
        <f>(V74/W74)*X74</f>
        <v>219.76263019276948</v>
      </c>
      <c r="W78" s="8"/>
      <c r="X78" s="63">
        <f>V26/W26</f>
        <v>0.61338726116587561</v>
      </c>
      <c r="Y78" s="63">
        <f>AA74/W74</f>
        <v>0.70173136069572595</v>
      </c>
      <c r="Z78" s="63">
        <f>AB74/W74</f>
        <v>0.75764376677516998</v>
      </c>
      <c r="AA78" s="63">
        <f>AC74/W74</f>
        <v>0.82066385339741332</v>
      </c>
      <c r="AM78" s="11" t="s">
        <v>804</v>
      </c>
      <c r="AN78" s="48">
        <f>(AN74/AQ74)*AR74</f>
        <v>160.54513349161172</v>
      </c>
      <c r="AO78" s="8" t="s">
        <v>613</v>
      </c>
      <c r="AP78" s="48">
        <f>(AP74/AQ74)*AR74</f>
        <v>232.17551430639801</v>
      </c>
      <c r="AQ78" s="48"/>
      <c r="AR78" s="63">
        <f>AP26/AQ26</f>
        <v>0.68483461422543701</v>
      </c>
      <c r="AS78" s="63">
        <f>AU74/AQ74</f>
        <v>0.74996775356345702</v>
      </c>
      <c r="AT78" s="63">
        <f>AV74/AQ74</f>
        <v>0.8007167735096663</v>
      </c>
      <c r="AU78" s="63">
        <f>AW74/AQ74</f>
        <v>0.87808616817148855</v>
      </c>
      <c r="BG78" s="11" t="s">
        <v>673</v>
      </c>
      <c r="BH78" s="48">
        <f>(BH74/BK74)*BL74</f>
        <v>180.33826212916455</v>
      </c>
      <c r="BI78" s="8" t="s">
        <v>613</v>
      </c>
      <c r="BJ78" s="48">
        <f>(BJ74/BK74)*BL74</f>
        <v>248.2638555194701</v>
      </c>
      <c r="BK78" s="48"/>
      <c r="BL78" s="63">
        <f>BJ26/BK26</f>
        <v>0.69080619042819047</v>
      </c>
      <c r="BM78" s="63">
        <f>BO74/BK74</f>
        <v>0.7836806871289631</v>
      </c>
      <c r="BN78" s="63">
        <f>BP74/BK74</f>
        <v>0.84386067669263176</v>
      </c>
      <c r="BO78" s="63">
        <f>BQ74/BK74</f>
        <v>0.92015662498421125</v>
      </c>
    </row>
    <row r="79" spans="2:69" x14ac:dyDescent="0.2">
      <c r="T79" s="11"/>
      <c r="V79" s="11"/>
      <c r="X79" s="63"/>
      <c r="Y79" s="63"/>
      <c r="Z79" s="63"/>
      <c r="AA79" s="63"/>
      <c r="AN79" s="11"/>
      <c r="AP79" s="11"/>
      <c r="AQ79" s="11"/>
      <c r="AR79" s="63"/>
      <c r="AS79" s="63"/>
      <c r="AT79" s="63"/>
      <c r="AU79" s="63"/>
      <c r="BH79" s="11"/>
      <c r="BJ79" s="11"/>
      <c r="BK79" s="11"/>
      <c r="BL79" s="63"/>
      <c r="BM79" s="63"/>
      <c r="BN79" s="63"/>
      <c r="BO79" s="63"/>
    </row>
    <row r="80" spans="2:69" x14ac:dyDescent="0.2">
      <c r="S80" s="11" t="s">
        <v>813</v>
      </c>
      <c r="T80" s="48">
        <f>Y26</f>
        <v>22.991071428571427</v>
      </c>
      <c r="U80" s="8" t="s">
        <v>613</v>
      </c>
      <c r="V80" s="48">
        <f>Z26</f>
        <v>30.669363058293779</v>
      </c>
      <c r="W80" s="8"/>
      <c r="X80" s="63">
        <f>V35/W35</f>
        <v>0.56446540880503149</v>
      </c>
      <c r="Y80" s="63">
        <f>AA26/$W$26</f>
        <v>0.68870464852607716</v>
      </c>
      <c r="Z80" s="63">
        <f t="shared" ref="Z80:AA80" si="304">AB26/$W$26</f>
        <v>0.74275030525030528</v>
      </c>
      <c r="AA80" s="63">
        <f t="shared" si="304"/>
        <v>0.8004647034252298</v>
      </c>
      <c r="AM80" s="11" t="s">
        <v>805</v>
      </c>
      <c r="AN80" s="48">
        <f>AS26</f>
        <v>25.358585335542667</v>
      </c>
      <c r="AO80" s="8" t="s">
        <v>613</v>
      </c>
      <c r="AP80" s="48">
        <f>AT26</f>
        <v>34.241730711271849</v>
      </c>
      <c r="AQ80" s="48"/>
      <c r="AR80" s="63">
        <f>AP35/AQ35</f>
        <v>0.64308176100628933</v>
      </c>
      <c r="AS80" s="63">
        <f>AU26/$AQ$26</f>
        <v>0.76025583953539611</v>
      </c>
      <c r="AT80" s="63">
        <f t="shared" ref="AT80:AU80" si="305">AV26/$AQ$26</f>
        <v>0.8126352813852814</v>
      </c>
      <c r="AU80" s="63">
        <f t="shared" si="305"/>
        <v>0.87787676916198043</v>
      </c>
      <c r="BG80" s="11" t="s">
        <v>674</v>
      </c>
      <c r="BH80" s="48">
        <f>BM26</f>
        <v>26.748676186652897</v>
      </c>
      <c r="BI80" s="8" t="s">
        <v>613</v>
      </c>
      <c r="BJ80" s="48">
        <f>BN26</f>
        <v>34.540309521409526</v>
      </c>
      <c r="BK80" s="48"/>
      <c r="BL80" s="63">
        <f>BJ35/BK35</f>
        <v>0.68396226415094341</v>
      </c>
      <c r="BM80" s="63">
        <f>BO26/$BK$26</f>
        <v>0.76312411757155696</v>
      </c>
      <c r="BN80" s="63">
        <f>BP26/$BK$26</f>
        <v>0.8207242258296642</v>
      </c>
      <c r="BO80" s="63">
        <f>BQ26/$BK$26</f>
        <v>0.89635476832242333</v>
      </c>
    </row>
    <row r="81" spans="17:67" x14ac:dyDescent="0.2">
      <c r="T81" s="11"/>
      <c r="V81" s="11"/>
      <c r="X81" s="63"/>
      <c r="Y81" s="63"/>
      <c r="Z81" s="63"/>
      <c r="AA81" s="63"/>
      <c r="AN81" s="11"/>
      <c r="AP81" s="11"/>
      <c r="AQ81" s="11"/>
      <c r="AR81" s="63"/>
      <c r="AS81" s="63"/>
      <c r="AT81" s="63"/>
      <c r="AU81" s="63"/>
      <c r="BH81" s="11"/>
      <c r="BJ81" s="11"/>
      <c r="BK81" s="11"/>
      <c r="BL81" s="63"/>
      <c r="BM81" s="63"/>
      <c r="BN81" s="63"/>
      <c r="BO81" s="63"/>
    </row>
    <row r="82" spans="17:67" x14ac:dyDescent="0.2">
      <c r="S82" s="11" t="s">
        <v>814</v>
      </c>
      <c r="T82" s="48">
        <f>Y35</f>
        <v>19.575471698113208</v>
      </c>
      <c r="U82" s="8" t="s">
        <v>613</v>
      </c>
      <c r="V82" s="48">
        <f>Z35</f>
        <v>28.223270440251575</v>
      </c>
      <c r="W82" s="8"/>
      <c r="X82" s="63">
        <f>V43/W43</f>
        <v>0.64489795918367343</v>
      </c>
      <c r="Y82" s="63">
        <f>AA35/$W$35</f>
        <v>0.66194968553459121</v>
      </c>
      <c r="Z82" s="63">
        <f t="shared" ref="Z82:AA82" si="306">AB35/$W$35</f>
        <v>0.70440251572327039</v>
      </c>
      <c r="AA82" s="63">
        <f t="shared" si="306"/>
        <v>0.74842767295597479</v>
      </c>
      <c r="AM82" s="11" t="s">
        <v>806</v>
      </c>
      <c r="AN82" s="48">
        <f>AS35</f>
        <v>23.5062893081761</v>
      </c>
      <c r="AO82" s="8" t="s">
        <v>613</v>
      </c>
      <c r="AP82" s="48">
        <f>AT35</f>
        <v>32.154088050314463</v>
      </c>
      <c r="AQ82" s="48"/>
      <c r="AR82" s="63">
        <f>AP43/AQ43</f>
        <v>0.67200000000000004</v>
      </c>
      <c r="AS82" s="63">
        <f>AU35/$AQ$35</f>
        <v>0.68805031446540887</v>
      </c>
      <c r="AT82" s="63">
        <f t="shared" ref="AT82:AU82" si="307">AV35/$AQ$35</f>
        <v>0.73962264150943391</v>
      </c>
      <c r="AU82" s="63">
        <f t="shared" si="307"/>
        <v>0.80345911949685533</v>
      </c>
      <c r="BG82" s="11" t="s">
        <v>675</v>
      </c>
      <c r="BH82" s="48">
        <f>BM35</f>
        <v>25.235849056603776</v>
      </c>
      <c r="BI82" s="8" t="s">
        <v>613</v>
      </c>
      <c r="BJ82" s="48">
        <f>BN35</f>
        <v>34.198113207547173</v>
      </c>
      <c r="BK82" s="48"/>
      <c r="BL82" s="63">
        <f>BJ43/BK43</f>
        <v>0.74509803921568629</v>
      </c>
      <c r="BM82" s="63">
        <f>BO35/$BK$35</f>
        <v>0.74213836477987416</v>
      </c>
      <c r="BN82" s="63">
        <f>BP35/$BK$35</f>
        <v>0.78773584905660377</v>
      </c>
      <c r="BO82" s="63">
        <f>BQ35/$BK$35</f>
        <v>0.87106918238993714</v>
      </c>
    </row>
    <row r="83" spans="17:67" x14ac:dyDescent="0.2">
      <c r="S83" s="11"/>
      <c r="T83" s="11"/>
      <c r="V83" s="11"/>
      <c r="X83" s="63"/>
      <c r="Y83" s="63"/>
      <c r="Z83" s="63"/>
      <c r="AA83" s="63"/>
      <c r="AM83" s="11"/>
      <c r="AN83" s="11"/>
      <c r="AP83" s="11"/>
      <c r="AQ83" s="11"/>
      <c r="AR83" s="63"/>
      <c r="AS83" s="63"/>
      <c r="AT83" s="63"/>
      <c r="AU83" s="63"/>
      <c r="BG83" s="11"/>
      <c r="BH83" s="11"/>
      <c r="BJ83" s="11"/>
      <c r="BK83" s="11"/>
      <c r="BL83" s="63"/>
      <c r="BM83" s="63"/>
      <c r="BN83" s="63"/>
      <c r="BO83" s="63"/>
    </row>
    <row r="84" spans="17:67" x14ac:dyDescent="0.2">
      <c r="S84" s="11" t="s">
        <v>815</v>
      </c>
      <c r="T84" s="48">
        <f>Y43</f>
        <v>21.428571428571427</v>
      </c>
      <c r="U84" s="8" t="s">
        <v>613</v>
      </c>
      <c r="V84" s="48">
        <f>Z43</f>
        <v>32.244897959183675</v>
      </c>
      <c r="W84" s="8"/>
      <c r="X84" s="63">
        <f>V48/W48</f>
        <v>0.62857142857142856</v>
      </c>
      <c r="Y84" s="63">
        <f>AA43/$W$43</f>
        <v>0.70612244897959187</v>
      </c>
      <c r="Z84" s="63">
        <f t="shared" ref="Z84:AA84" si="308">AB43/$W$43</f>
        <v>0.76734693877551019</v>
      </c>
      <c r="AA84" s="63">
        <f t="shared" si="308"/>
        <v>0.82448979591836735</v>
      </c>
      <c r="AM84" s="11" t="s">
        <v>807</v>
      </c>
      <c r="AN84" s="48">
        <f>AS43</f>
        <v>26</v>
      </c>
      <c r="AO84" s="8" t="s">
        <v>613</v>
      </c>
      <c r="AP84" s="48">
        <f>AT43</f>
        <v>33.6</v>
      </c>
      <c r="AQ84" s="48"/>
      <c r="AR84" s="63">
        <f>AP48/AQ48</f>
        <v>0.65714285714285714</v>
      </c>
      <c r="AS84" s="63">
        <f>AU43/$AQ$43</f>
        <v>0.73199999999999998</v>
      </c>
      <c r="AT84" s="63">
        <f t="shared" ref="AT84:AU84" si="309">AV43/$AQ$43</f>
        <v>0.79200000000000004</v>
      </c>
      <c r="AU84" s="63">
        <f t="shared" si="309"/>
        <v>0.84</v>
      </c>
      <c r="BG84" s="11" t="s">
        <v>676</v>
      </c>
      <c r="BH84" s="48">
        <f>BM43</f>
        <v>30.980392156862745</v>
      </c>
      <c r="BI84" s="8" t="s">
        <v>613</v>
      </c>
      <c r="BJ84" s="48">
        <f>BN43</f>
        <v>37.254901960784316</v>
      </c>
      <c r="BK84" s="48"/>
      <c r="BL84" s="63">
        <f>BJ48/BK48</f>
        <v>0.7</v>
      </c>
      <c r="BM84" s="63">
        <f>BO43/$BK$43</f>
        <v>0.80784313725490198</v>
      </c>
      <c r="BN84" s="63">
        <f>BP43/$BK$43</f>
        <v>0.8666666666666667</v>
      </c>
      <c r="BO84" s="63">
        <f>BQ43/$BK$43</f>
        <v>0.94117647058823528</v>
      </c>
    </row>
    <row r="85" spans="17:67" x14ac:dyDescent="0.2">
      <c r="S85" s="11"/>
      <c r="T85" s="11"/>
      <c r="V85" s="11"/>
      <c r="X85" s="63"/>
      <c r="Y85" s="63"/>
      <c r="Z85" s="63"/>
      <c r="AA85" s="63"/>
      <c r="AM85" s="11"/>
      <c r="AN85" s="11"/>
      <c r="AP85" s="11"/>
      <c r="AQ85" s="11"/>
      <c r="AR85" s="63"/>
      <c r="AS85" s="63"/>
      <c r="AT85" s="63"/>
      <c r="AU85" s="63"/>
      <c r="BG85" s="11"/>
      <c r="BH85" s="11"/>
      <c r="BJ85" s="11"/>
      <c r="BK85" s="11"/>
      <c r="BL85" s="63"/>
      <c r="BM85" s="63"/>
      <c r="BN85" s="63"/>
      <c r="BO85" s="63"/>
    </row>
    <row r="86" spans="17:67" x14ac:dyDescent="0.2">
      <c r="S86" s="11" t="s">
        <v>816</v>
      </c>
      <c r="T86" s="48">
        <f>Y48</f>
        <v>18.142857142857142</v>
      </c>
      <c r="U86" s="8" t="s">
        <v>613</v>
      </c>
      <c r="V86" s="48">
        <f>Z48</f>
        <v>31.428571428571427</v>
      </c>
      <c r="W86" s="8"/>
      <c r="X86" s="63">
        <f>V48/W48</f>
        <v>0.62857142857142856</v>
      </c>
      <c r="Y86" s="63">
        <f>AA48/$W$48</f>
        <v>0.70285714285714285</v>
      </c>
      <c r="Z86" s="63">
        <f t="shared" ref="Z86:AA86" si="310">AB48/$W$48</f>
        <v>0.77714285714285714</v>
      </c>
      <c r="AA86" s="63">
        <f t="shared" si="310"/>
        <v>0.8571428571428571</v>
      </c>
      <c r="AM86" s="11" t="s">
        <v>808</v>
      </c>
      <c r="AN86" s="48">
        <f>AS48</f>
        <v>19.571428571428569</v>
      </c>
      <c r="AO86" s="8" t="s">
        <v>613</v>
      </c>
      <c r="AP86" s="48">
        <f>AT48</f>
        <v>32.857142857142854</v>
      </c>
      <c r="AQ86" s="48"/>
      <c r="AR86" s="63">
        <f>AP48/AQ48</f>
        <v>0.65714285714285714</v>
      </c>
      <c r="AS86" s="63">
        <f>AU48/$AQ$48</f>
        <v>0.73142857142857143</v>
      </c>
      <c r="AT86" s="63">
        <f t="shared" ref="AT86:AU86" si="311">AV48/$AQ$48</f>
        <v>0.74285714285714288</v>
      </c>
      <c r="AU86" s="63">
        <f t="shared" si="311"/>
        <v>0.91428571428571426</v>
      </c>
      <c r="BG86" s="11" t="s">
        <v>677</v>
      </c>
      <c r="BH86" s="48">
        <f>BM48</f>
        <v>21.714285714285715</v>
      </c>
      <c r="BI86" s="8" t="s">
        <v>613</v>
      </c>
      <c r="BJ86" s="48">
        <f>BN48</f>
        <v>35</v>
      </c>
      <c r="BK86" s="48"/>
      <c r="BL86" s="63">
        <f>BJ48/BK48</f>
        <v>0.7</v>
      </c>
      <c r="BM86" s="63">
        <f>BO48/$BK$48</f>
        <v>0.78857142857142859</v>
      </c>
      <c r="BN86" s="63">
        <f>BP48/$BK$48</f>
        <v>0.89142857142857146</v>
      </c>
      <c r="BO86" s="63">
        <f>BQ48/$BK$48</f>
        <v>0.97142857142857142</v>
      </c>
    </row>
    <row r="87" spans="17:67" x14ac:dyDescent="0.2">
      <c r="S87" s="11"/>
      <c r="T87" s="11"/>
      <c r="V87" s="11"/>
      <c r="X87" s="63"/>
      <c r="Y87" s="63"/>
      <c r="Z87" s="63"/>
      <c r="AA87" s="63"/>
      <c r="AM87" s="11"/>
      <c r="AN87" s="11"/>
      <c r="AP87" s="11"/>
      <c r="AQ87" s="11"/>
      <c r="AR87" s="63"/>
      <c r="AS87" s="63"/>
      <c r="AT87" s="63"/>
      <c r="AU87" s="63"/>
      <c r="BG87" s="11"/>
      <c r="BH87" s="11"/>
      <c r="BJ87" s="11"/>
      <c r="BK87" s="11"/>
      <c r="BL87" s="63"/>
      <c r="BM87" s="63"/>
      <c r="BN87" s="63"/>
      <c r="BO87" s="63"/>
    </row>
    <row r="88" spans="17:67" x14ac:dyDescent="0.2">
      <c r="S88" s="11" t="s">
        <v>817</v>
      </c>
      <c r="T88" s="48">
        <f>Y55</f>
        <v>10.144927536231885</v>
      </c>
      <c r="U88" s="8" t="s">
        <v>613</v>
      </c>
      <c r="V88" s="48">
        <f>Z55</f>
        <v>31.159420289855071</v>
      </c>
      <c r="W88" s="8"/>
      <c r="X88" s="63">
        <f>V55/W55</f>
        <v>0.62318840579710144</v>
      </c>
      <c r="Y88" s="63">
        <f>AA55/$W$55</f>
        <v>0.66666666666666663</v>
      </c>
      <c r="Z88" s="63">
        <f t="shared" ref="Z88:AA88" si="312">AB55/$W$55</f>
        <v>0.73913043478260865</v>
      </c>
      <c r="AA88" s="63">
        <f t="shared" si="312"/>
        <v>0.88405797101449279</v>
      </c>
      <c r="AM88" s="11" t="s">
        <v>809</v>
      </c>
      <c r="AN88" s="48">
        <f>AS55</f>
        <v>13.043478260869565</v>
      </c>
      <c r="AO88" s="8" t="s">
        <v>613</v>
      </c>
      <c r="AP88" s="48">
        <f>AT55</f>
        <v>21.014492753623188</v>
      </c>
      <c r="AQ88" s="48"/>
      <c r="AR88" s="63">
        <f>AP55/AQ55</f>
        <v>0.42028985507246375</v>
      </c>
      <c r="AS88" s="63">
        <f>AU55/$AQ$55</f>
        <v>0.73913043478260865</v>
      </c>
      <c r="AT88" s="63">
        <f t="shared" ref="AT88:AU88" si="313">AV55/$AQ$55</f>
        <v>0.81159420289855078</v>
      </c>
      <c r="AU88" s="63">
        <f t="shared" si="313"/>
        <v>0.94202898550724634</v>
      </c>
      <c r="BG88" s="11" t="s">
        <v>678</v>
      </c>
      <c r="BH88" s="48">
        <f>BM55</f>
        <v>22.463768115942027</v>
      </c>
      <c r="BI88" s="8" t="s">
        <v>613</v>
      </c>
      <c r="BJ88" s="48">
        <f>BN55</f>
        <v>36.95652173913043</v>
      </c>
      <c r="BK88" s="48"/>
      <c r="BL88" s="63">
        <f>BJ55/BK55</f>
        <v>0.73913043478260865</v>
      </c>
      <c r="BM88" s="63">
        <f>BO55/$BK$55</f>
        <v>0.79710144927536231</v>
      </c>
      <c r="BN88" s="63">
        <f>BP55/$BK$55</f>
        <v>0.88405797101449279</v>
      </c>
      <c r="BO88" s="63">
        <f>BQ55/$BK$55</f>
        <v>0.98550724637681164</v>
      </c>
    </row>
    <row r="89" spans="17:67" x14ac:dyDescent="0.2">
      <c r="S89" s="11"/>
      <c r="T89" s="11"/>
      <c r="V89" s="11"/>
      <c r="X89" s="63"/>
      <c r="Y89" s="63"/>
      <c r="Z89" s="63"/>
      <c r="AA89" s="63"/>
      <c r="AM89" s="11"/>
      <c r="AN89" s="11"/>
      <c r="AP89" s="11"/>
      <c r="AQ89" s="11"/>
      <c r="AR89" s="63"/>
      <c r="AS89" s="63"/>
      <c r="AT89" s="63"/>
      <c r="AU89" s="63"/>
      <c r="BG89" s="11"/>
      <c r="BH89" s="11"/>
      <c r="BJ89" s="11"/>
      <c r="BK89" s="11"/>
      <c r="BL89" s="63"/>
      <c r="BM89" s="63"/>
      <c r="BN89" s="63"/>
      <c r="BO89" s="63"/>
    </row>
    <row r="90" spans="17:67" x14ac:dyDescent="0.2">
      <c r="S90" s="11" t="s">
        <v>818</v>
      </c>
      <c r="T90" s="48">
        <f>Y67</f>
        <v>16.473988439306357</v>
      </c>
      <c r="U90" s="8" t="s">
        <v>613</v>
      </c>
      <c r="V90" s="48">
        <f>Z67</f>
        <v>37.861271676300575</v>
      </c>
      <c r="W90" s="8"/>
      <c r="X90" s="63">
        <f>V67/W67</f>
        <v>0.75722543352601157</v>
      </c>
      <c r="Y90" s="63">
        <f>AA67/$W$67</f>
        <v>0.83005780346820801</v>
      </c>
      <c r="Z90" s="63">
        <f t="shared" ref="Z90:AA90" si="314">AB67/$W$67</f>
        <v>0.87861271676300579</v>
      </c>
      <c r="AA90" s="63">
        <f t="shared" si="314"/>
        <v>0.92716763005780345</v>
      </c>
      <c r="AM90" s="11" t="s">
        <v>810</v>
      </c>
      <c r="AN90" s="48">
        <f>AS67</f>
        <v>18.20809248554913</v>
      </c>
      <c r="AO90" s="8" t="s">
        <v>613</v>
      </c>
      <c r="AP90" s="48">
        <f>AT67</f>
        <v>37.861271676300575</v>
      </c>
      <c r="AQ90" s="48"/>
      <c r="AR90" s="63">
        <f>AP67/AQ67</f>
        <v>0.75722543352601157</v>
      </c>
      <c r="AS90" s="63">
        <f>AU67/$AQ$67</f>
        <v>0.8531791907514451</v>
      </c>
      <c r="AT90" s="63">
        <f t="shared" ref="AT90:AU90" si="315">AV67/$AQ$67</f>
        <v>0.90173410404624277</v>
      </c>
      <c r="AU90" s="63">
        <f t="shared" si="315"/>
        <v>0.97341040462427753</v>
      </c>
      <c r="BG90" s="11" t="s">
        <v>679</v>
      </c>
      <c r="BH90" s="48">
        <f>BM67</f>
        <v>19.166666666666668</v>
      </c>
      <c r="BI90" s="8" t="s">
        <v>613</v>
      </c>
      <c r="BJ90" s="48">
        <f>BN67</f>
        <v>37.5</v>
      </c>
      <c r="BK90" s="48"/>
      <c r="BL90" s="63">
        <f>BJ67/BK67</f>
        <v>0.75</v>
      </c>
      <c r="BM90" s="63">
        <f>BO67/$BK$67</f>
        <v>0.87555555555555553</v>
      </c>
      <c r="BN90" s="63">
        <f>BP67/$BK$67</f>
        <v>0.91111111111111109</v>
      </c>
      <c r="BO90" s="63">
        <f>BQ67/$BK$67</f>
        <v>0.95777777777777784</v>
      </c>
    </row>
    <row r="91" spans="17:67" x14ac:dyDescent="0.2">
      <c r="X91" s="63"/>
      <c r="Y91" s="63"/>
      <c r="Z91" s="63"/>
      <c r="AA91" s="63"/>
      <c r="AQ91" s="11"/>
      <c r="AR91" s="63"/>
      <c r="AS91" s="63"/>
      <c r="AT91" s="63"/>
      <c r="AU91" s="63"/>
      <c r="BK91" s="11"/>
      <c r="BL91" s="63"/>
      <c r="BM91" s="63"/>
      <c r="BN91" s="63"/>
      <c r="BO91" s="63"/>
    </row>
    <row r="92" spans="17:67" x14ac:dyDescent="0.2">
      <c r="S92" s="2" t="s">
        <v>819</v>
      </c>
      <c r="T92" s="48">
        <f>Y72</f>
        <v>23.636363636363637</v>
      </c>
      <c r="U92" s="8" t="s">
        <v>613</v>
      </c>
      <c r="V92" s="48">
        <f>Z72</f>
        <v>33.181818181818187</v>
      </c>
      <c r="W92" s="8"/>
      <c r="X92" s="63">
        <f>V72/W72</f>
        <v>0.66363636363636369</v>
      </c>
      <c r="Y92" s="63">
        <f>AA72/$W$72</f>
        <v>0.72727272727272729</v>
      </c>
      <c r="Z92" s="63">
        <f t="shared" ref="Z92:AA92" si="316">AB72/$W$72</f>
        <v>0.78909090909090907</v>
      </c>
      <c r="AA92" s="63">
        <f t="shared" si="316"/>
        <v>0.85090909090909084</v>
      </c>
      <c r="AM92" s="2" t="s">
        <v>811</v>
      </c>
      <c r="AN92" s="48">
        <f>AS72</f>
        <v>23.636363636363637</v>
      </c>
      <c r="AO92" s="8" t="s">
        <v>613</v>
      </c>
      <c r="AP92" s="48">
        <f>AT72</f>
        <v>36.818181818181813</v>
      </c>
      <c r="AQ92" s="48"/>
      <c r="AR92" s="63">
        <f>AP72/AQ72</f>
        <v>0.73636363636363633</v>
      </c>
      <c r="AS92" s="63">
        <f>AU72/$AQ$72</f>
        <v>0.78181818181818186</v>
      </c>
      <c r="AT92" s="63">
        <f t="shared" ref="AT92:AU92" si="317">AV72/$AQ$72</f>
        <v>0.82545454545454544</v>
      </c>
      <c r="AU92" s="63">
        <f t="shared" si="317"/>
        <v>0.9054545454545454</v>
      </c>
      <c r="BG92" s="2" t="s">
        <v>680</v>
      </c>
      <c r="BH92" s="48">
        <f>BM72</f>
        <v>28.571428571428569</v>
      </c>
      <c r="BI92" s="8" t="s">
        <v>613</v>
      </c>
      <c r="BJ92" s="48">
        <f>BN72</f>
        <v>36.607142857142854</v>
      </c>
      <c r="BK92" s="48"/>
      <c r="BL92" s="63">
        <f>BJ72/BK72</f>
        <v>0.7321428571428571</v>
      </c>
      <c r="BM92" s="63">
        <f>BO72/$BK$72</f>
        <v>0.8125</v>
      </c>
      <c r="BN92" s="63">
        <f>BP72/$BK$72</f>
        <v>0.88750000000000007</v>
      </c>
      <c r="BO92" s="63">
        <f>BQ72/$BK$72</f>
        <v>0.9642857142857143</v>
      </c>
    </row>
    <row r="93" spans="17:67" x14ac:dyDescent="0.2">
      <c r="T93" s="48"/>
      <c r="U93" s="8"/>
      <c r="V93" s="48"/>
      <c r="W93" s="8"/>
      <c r="X93" s="63"/>
      <c r="Y93" s="63"/>
      <c r="Z93" s="63"/>
      <c r="AA93" s="63"/>
      <c r="AN93" s="48"/>
      <c r="AO93" s="8"/>
      <c r="AP93" s="48"/>
      <c r="AQ93" s="48"/>
      <c r="AR93" s="63"/>
      <c r="AS93" s="63"/>
      <c r="AT93" s="63"/>
      <c r="AU93" s="63"/>
      <c r="BH93" s="48"/>
      <c r="BI93" s="8"/>
      <c r="BJ93" s="48"/>
      <c r="BK93" s="48"/>
      <c r="BL93" s="63"/>
      <c r="BM93" s="63"/>
      <c r="BN93" s="63"/>
      <c r="BO93" s="63"/>
    </row>
    <row r="94" spans="17:67" x14ac:dyDescent="0.2">
      <c r="Q94" s="2" t="s">
        <v>828</v>
      </c>
      <c r="R94" s="2" t="s">
        <v>839</v>
      </c>
      <c r="S94" s="2" t="s">
        <v>838</v>
      </c>
      <c r="W94" s="11"/>
      <c r="X94" s="63"/>
      <c r="Y94" s="63"/>
      <c r="Z94" s="63"/>
      <c r="AK94" s="2" t="s">
        <v>828</v>
      </c>
      <c r="AL94" s="2" t="s">
        <v>839</v>
      </c>
      <c r="AM94" s="2" t="s">
        <v>838</v>
      </c>
      <c r="AQ94" s="11"/>
      <c r="AR94" s="63"/>
      <c r="AS94" s="63"/>
      <c r="AT94" s="63"/>
      <c r="BE94" s="2" t="s">
        <v>828</v>
      </c>
      <c r="BF94" s="2" t="s">
        <v>839</v>
      </c>
      <c r="BG94" s="2" t="s">
        <v>838</v>
      </c>
      <c r="BK94" s="11"/>
      <c r="BL94" s="63"/>
      <c r="BM94" s="63"/>
      <c r="BN94" s="63"/>
    </row>
    <row r="95" spans="17:67" x14ac:dyDescent="0.2">
      <c r="Q95" s="2" t="s">
        <v>53</v>
      </c>
      <c r="R95" s="2" t="s">
        <v>840</v>
      </c>
      <c r="S95" s="2" t="s">
        <v>650</v>
      </c>
      <c r="T95" s="63">
        <f>T43/W43</f>
        <v>0.42857142857142855</v>
      </c>
      <c r="U95" s="8" t="s">
        <v>613</v>
      </c>
      <c r="V95" s="63">
        <f>V43/W43</f>
        <v>0.64489795918367343</v>
      </c>
      <c r="W95" s="63"/>
      <c r="X95" s="63">
        <f>X84</f>
        <v>0.62857142857142856</v>
      </c>
      <c r="Y95" s="63">
        <f t="shared" ref="Y95:AA95" si="318">Y84</f>
        <v>0.70612244897959187</v>
      </c>
      <c r="Z95" s="63">
        <f t="shared" si="318"/>
        <v>0.76734693877551019</v>
      </c>
      <c r="AA95" s="63">
        <f t="shared" si="318"/>
        <v>0.82448979591836735</v>
      </c>
      <c r="AK95" s="2" t="s">
        <v>53</v>
      </c>
      <c r="AL95" s="2" t="s">
        <v>840</v>
      </c>
      <c r="AM95" s="2" t="s">
        <v>650</v>
      </c>
      <c r="AN95" s="63">
        <f>AN43/AQ43</f>
        <v>0.52</v>
      </c>
      <c r="AO95" s="8" t="s">
        <v>613</v>
      </c>
      <c r="AP95" s="63">
        <f>AP43/AQ43</f>
        <v>0.67200000000000004</v>
      </c>
      <c r="AQ95" s="63"/>
      <c r="AR95" s="63">
        <f>AR84</f>
        <v>0.65714285714285714</v>
      </c>
      <c r="AS95" s="63">
        <f t="shared" ref="AS95:AU95" si="319">AS84</f>
        <v>0.73199999999999998</v>
      </c>
      <c r="AT95" s="63">
        <f t="shared" si="319"/>
        <v>0.79200000000000004</v>
      </c>
      <c r="AU95" s="63">
        <f t="shared" si="319"/>
        <v>0.84</v>
      </c>
      <c r="BE95" s="2" t="s">
        <v>53</v>
      </c>
      <c r="BF95" s="2" t="s">
        <v>840</v>
      </c>
      <c r="BG95" s="2" t="s">
        <v>650</v>
      </c>
      <c r="BH95" s="63">
        <f>BH43/BK43</f>
        <v>0.61960784313725492</v>
      </c>
      <c r="BI95" s="8" t="s">
        <v>613</v>
      </c>
      <c r="BJ95" s="63">
        <f>BJ43/BK43</f>
        <v>0.74509803921568629</v>
      </c>
      <c r="BK95" s="63"/>
      <c r="BL95" s="63">
        <f>BL84</f>
        <v>0.7</v>
      </c>
      <c r="BM95" s="63">
        <f t="shared" ref="BM95:BO95" si="320">BM84</f>
        <v>0.80784313725490198</v>
      </c>
      <c r="BN95" s="63">
        <f t="shared" si="320"/>
        <v>0.8666666666666667</v>
      </c>
      <c r="BO95" s="63">
        <f t="shared" si="320"/>
        <v>0.94117647058823528</v>
      </c>
    </row>
    <row r="96" spans="17:67" x14ac:dyDescent="0.2">
      <c r="Q96" s="2" t="s">
        <v>54</v>
      </c>
      <c r="R96" s="2" t="s">
        <v>841</v>
      </c>
      <c r="S96" s="2" t="s">
        <v>651</v>
      </c>
      <c r="T96" s="63">
        <f>T48/W48</f>
        <v>0.36285714285714282</v>
      </c>
      <c r="U96" s="8" t="s">
        <v>613</v>
      </c>
      <c r="V96" s="63">
        <f>V48/W48</f>
        <v>0.62857142857142856</v>
      </c>
      <c r="W96" s="63"/>
      <c r="X96" s="63">
        <f>X86</f>
        <v>0.62857142857142856</v>
      </c>
      <c r="Y96" s="63">
        <f t="shared" ref="Y96:AA96" si="321">Y86</f>
        <v>0.70285714285714285</v>
      </c>
      <c r="Z96" s="63">
        <f t="shared" si="321"/>
        <v>0.77714285714285714</v>
      </c>
      <c r="AA96" s="63">
        <f t="shared" si="321"/>
        <v>0.8571428571428571</v>
      </c>
      <c r="AK96" s="2" t="s">
        <v>54</v>
      </c>
      <c r="AL96" s="2" t="s">
        <v>841</v>
      </c>
      <c r="AM96" s="2" t="s">
        <v>651</v>
      </c>
      <c r="AN96" s="63">
        <f>AN48/AQ48</f>
        <v>0.3914285714285714</v>
      </c>
      <c r="AO96" s="8" t="s">
        <v>613</v>
      </c>
      <c r="AP96" s="63">
        <f>AP48/AQ48</f>
        <v>0.65714285714285714</v>
      </c>
      <c r="AQ96" s="63"/>
      <c r="AR96" s="63">
        <f>AR86</f>
        <v>0.65714285714285714</v>
      </c>
      <c r="AS96" s="63">
        <f t="shared" ref="AS96:AU96" si="322">AS86</f>
        <v>0.73142857142857143</v>
      </c>
      <c r="AT96" s="63">
        <f t="shared" si="322"/>
        <v>0.74285714285714288</v>
      </c>
      <c r="AU96" s="63">
        <f t="shared" si="322"/>
        <v>0.91428571428571426</v>
      </c>
      <c r="BE96" s="2" t="s">
        <v>54</v>
      </c>
      <c r="BF96" s="2" t="s">
        <v>841</v>
      </c>
      <c r="BG96" s="2" t="s">
        <v>651</v>
      </c>
      <c r="BH96" s="63">
        <f>BH48/BK48</f>
        <v>0.43428571428571427</v>
      </c>
      <c r="BI96" s="8" t="s">
        <v>613</v>
      </c>
      <c r="BJ96" s="63">
        <f>BJ48/BK48</f>
        <v>0.7</v>
      </c>
      <c r="BK96" s="63"/>
      <c r="BL96" s="63">
        <f>BL86</f>
        <v>0.7</v>
      </c>
      <c r="BM96" s="63">
        <f t="shared" ref="BM96:BO96" si="323">BM86</f>
        <v>0.78857142857142859</v>
      </c>
      <c r="BN96" s="63">
        <f t="shared" si="323"/>
        <v>0.89142857142857146</v>
      </c>
      <c r="BO96" s="63">
        <f t="shared" si="323"/>
        <v>0.97142857142857142</v>
      </c>
    </row>
    <row r="97" spans="17:67" x14ac:dyDescent="0.2">
      <c r="Q97" s="2" t="s">
        <v>643</v>
      </c>
      <c r="R97" s="2" t="s">
        <v>842</v>
      </c>
      <c r="S97" s="2" t="s">
        <v>652</v>
      </c>
      <c r="T97" s="63">
        <f>T55/W55</f>
        <v>0.20289855072463769</v>
      </c>
      <c r="U97" s="8" t="s">
        <v>613</v>
      </c>
      <c r="V97" s="63">
        <f>V55/W55</f>
        <v>0.62318840579710144</v>
      </c>
      <c r="W97" s="63"/>
      <c r="X97" s="63">
        <f>X88</f>
        <v>0.62318840579710144</v>
      </c>
      <c r="Y97" s="63">
        <f t="shared" ref="Y97:AA97" si="324">Y88</f>
        <v>0.66666666666666663</v>
      </c>
      <c r="Z97" s="63">
        <f t="shared" si="324"/>
        <v>0.73913043478260865</v>
      </c>
      <c r="AA97" s="63">
        <f t="shared" si="324"/>
        <v>0.88405797101449279</v>
      </c>
      <c r="AK97" s="2" t="s">
        <v>643</v>
      </c>
      <c r="AL97" s="2" t="s">
        <v>842</v>
      </c>
      <c r="AM97" s="2" t="s">
        <v>652</v>
      </c>
      <c r="AN97" s="63">
        <f>AN55/AQ55</f>
        <v>0.2608695652173913</v>
      </c>
      <c r="AO97" s="8" t="s">
        <v>613</v>
      </c>
      <c r="AP97" s="63">
        <f>AP55/AQ55</f>
        <v>0.42028985507246375</v>
      </c>
      <c r="AQ97" s="63"/>
      <c r="AR97" s="63">
        <f>AR88</f>
        <v>0.42028985507246375</v>
      </c>
      <c r="AS97" s="63">
        <f t="shared" ref="AS97:AU97" si="325">AS88</f>
        <v>0.73913043478260865</v>
      </c>
      <c r="AT97" s="63">
        <f t="shared" si="325"/>
        <v>0.81159420289855078</v>
      </c>
      <c r="AU97" s="63">
        <f t="shared" si="325"/>
        <v>0.94202898550724634</v>
      </c>
      <c r="BE97" s="2" t="s">
        <v>643</v>
      </c>
      <c r="BF97" s="2" t="s">
        <v>842</v>
      </c>
      <c r="BG97" s="2" t="s">
        <v>652</v>
      </c>
      <c r="BH97" s="63">
        <f>BH55/BK55</f>
        <v>0.44927536231884058</v>
      </c>
      <c r="BI97" s="8" t="s">
        <v>613</v>
      </c>
      <c r="BJ97" s="63">
        <f>BJ55/BK55</f>
        <v>0.73913043478260865</v>
      </c>
      <c r="BK97" s="63"/>
      <c r="BL97" s="63">
        <f>BL88</f>
        <v>0.73913043478260865</v>
      </c>
      <c r="BM97" s="63">
        <f t="shared" ref="BM97:BO97" si="326">BM88</f>
        <v>0.79710144927536231</v>
      </c>
      <c r="BN97" s="63">
        <f t="shared" si="326"/>
        <v>0.88405797101449279</v>
      </c>
      <c r="BO97" s="63">
        <f t="shared" si="326"/>
        <v>0.98550724637681164</v>
      </c>
    </row>
    <row r="98" spans="17:67" x14ac:dyDescent="0.2">
      <c r="T98" s="63"/>
      <c r="U98" s="63"/>
      <c r="V98" s="63"/>
      <c r="W98" s="63"/>
      <c r="X98" s="63"/>
      <c r="Y98" s="63"/>
      <c r="Z98" s="63"/>
      <c r="AA98" s="63"/>
      <c r="AN98" s="63"/>
      <c r="AO98" s="63"/>
      <c r="AP98" s="63"/>
      <c r="AQ98" s="63"/>
      <c r="AR98" s="63"/>
      <c r="AS98" s="63"/>
      <c r="AT98" s="63"/>
      <c r="AU98" s="63"/>
      <c r="BH98" s="63"/>
      <c r="BI98" s="63"/>
      <c r="BJ98" s="63"/>
      <c r="BK98" s="63"/>
      <c r="BL98" s="63"/>
      <c r="BM98" s="63"/>
      <c r="BN98" s="63"/>
      <c r="BO98" s="63"/>
    </row>
    <row r="99" spans="17:67" ht="34" x14ac:dyDescent="0.2">
      <c r="Q99" s="2" t="s">
        <v>645</v>
      </c>
      <c r="R99" s="3" t="s">
        <v>843</v>
      </c>
      <c r="S99" s="2" t="s">
        <v>829</v>
      </c>
      <c r="T99" s="63">
        <f>(T67+T56+T65)/(W67+W65+W56)</f>
        <v>0.41592920353982299</v>
      </c>
      <c r="U99" s="8" t="s">
        <v>613</v>
      </c>
      <c r="V99" s="63">
        <f>(V67+V65+V56)/(W56+W65+W67)</f>
        <v>0.78761061946902655</v>
      </c>
      <c r="W99" s="63"/>
      <c r="X99" s="63">
        <f>V99</f>
        <v>0.78761061946902655</v>
      </c>
      <c r="Y99" s="63">
        <f>(AA67+AA65+AA56)/(W67+W65+W56)</f>
        <v>0.84601769911504421</v>
      </c>
      <c r="Z99" s="63">
        <f>(AB67+AB65+AB56)/(W67+W65+W56)</f>
        <v>0.89380530973451322</v>
      </c>
      <c r="AA99" s="63">
        <f>(AC67+AC65+AC56)/(W67+W65+W56)</f>
        <v>0.94159292035398234</v>
      </c>
      <c r="AK99" s="2" t="s">
        <v>645</v>
      </c>
      <c r="AL99" s="3" t="s">
        <v>843</v>
      </c>
      <c r="AM99" s="2" t="s">
        <v>829</v>
      </c>
      <c r="AN99" s="63">
        <f>(AN67+AN56+AN65)/(AQ67+AQ65+AQ56)</f>
        <v>0.45132743362831856</v>
      </c>
      <c r="AO99" s="8" t="s">
        <v>613</v>
      </c>
      <c r="AP99" s="63">
        <f>(AP67+AP65+AP56)/(AQ56+AQ65+AQ67)</f>
        <v>0.78761061946902655</v>
      </c>
      <c r="AQ99" s="63"/>
      <c r="AR99" s="63">
        <f>AP99</f>
        <v>0.78761061946902655</v>
      </c>
      <c r="AS99" s="63">
        <f>(AU67+AU65+AU56)/(AQ67+AQ65+AQ56)</f>
        <v>0.87256637168141593</v>
      </c>
      <c r="AT99" s="63">
        <f>(AV67+AV65+AV56)/(AQ67+AQ65+AQ56)</f>
        <v>0.92035398230088494</v>
      </c>
      <c r="AU99" s="63">
        <f>(AW67+AW65+AW56)/(AQ67+AQ65+AQ56)</f>
        <v>0.97699115044247797</v>
      </c>
      <c r="BE99" s="2" t="s">
        <v>645</v>
      </c>
      <c r="BF99" s="3" t="s">
        <v>843</v>
      </c>
      <c r="BG99" s="2" t="s">
        <v>829</v>
      </c>
      <c r="BH99" s="63">
        <f>(BH67+BH56+BH65)/(BK67+BK65+BK56)</f>
        <v>0.45833333333333331</v>
      </c>
      <c r="BI99" s="8" t="s">
        <v>613</v>
      </c>
      <c r="BJ99" s="63">
        <f>(BJ67+BJ65+BJ56)/(BK56+BK65+BK67)</f>
        <v>0.7583333333333333</v>
      </c>
      <c r="BK99" s="63"/>
      <c r="BL99" s="63">
        <f>BJ99</f>
        <v>0.7583333333333333</v>
      </c>
      <c r="BM99" s="63">
        <f>(BO67+BO65+BO56)/(BK67+BK65+BK56)</f>
        <v>0.86333333333333329</v>
      </c>
      <c r="BN99" s="63">
        <f>(BP67+BP65+BP56)/(BK67+BK65+BK56)</f>
        <v>0.9</v>
      </c>
      <c r="BO99" s="63">
        <f>(BQ67+BQ65+BQ56)/(BK67+BK65+BK56)</f>
        <v>0.93666666666666676</v>
      </c>
    </row>
    <row r="100" spans="17:67" ht="34" x14ac:dyDescent="0.2">
      <c r="Q100" s="2" t="s">
        <v>646</v>
      </c>
      <c r="R100" s="3" t="s">
        <v>844</v>
      </c>
      <c r="S100" s="2" t="s">
        <v>830</v>
      </c>
      <c r="T100" s="63">
        <f>(T67+T65+T58)/(W67+W65+W58)</f>
        <v>0.40707964601769914</v>
      </c>
      <c r="U100" s="8" t="s">
        <v>613</v>
      </c>
      <c r="V100" s="63">
        <f>(V67+V65+V58)/(W67+W65+W58)</f>
        <v>0.77876106194690264</v>
      </c>
      <c r="W100" s="63"/>
      <c r="X100" s="63">
        <f>V100</f>
        <v>0.77876106194690264</v>
      </c>
      <c r="Y100" s="63">
        <f>(AA67+AA65+AA58)/(W67+W65+W58)</f>
        <v>0.84601769911504421</v>
      </c>
      <c r="Z100" s="63">
        <f>(AB67+AB65+AB58)/(W67+W65+W58)</f>
        <v>0.89380530973451322</v>
      </c>
      <c r="AA100" s="63">
        <f>(AC67+AC65+AC58)/(W67+W65+W58)</f>
        <v>0.93274336283185844</v>
      </c>
      <c r="AK100" s="2" t="s">
        <v>646</v>
      </c>
      <c r="AL100" s="3" t="s">
        <v>844</v>
      </c>
      <c r="AM100" s="2" t="s">
        <v>830</v>
      </c>
      <c r="AN100" s="63">
        <f>(AN67+AN65+AN58)/(AQ67+AQ65+AQ58)</f>
        <v>0.44247787610619471</v>
      </c>
      <c r="AO100" s="8" t="s">
        <v>613</v>
      </c>
      <c r="AP100" s="63">
        <f>(AP67+AP65+AP58)/(AQ67+AQ65+AQ58)</f>
        <v>0.77876106194690264</v>
      </c>
      <c r="AQ100" s="63"/>
      <c r="AR100" s="63">
        <f>AP100</f>
        <v>0.77876106194690264</v>
      </c>
      <c r="AS100" s="63">
        <f>(AU67+AU65+AU58)/(AQ67+AQ65+AQ58)</f>
        <v>0.87256637168141593</v>
      </c>
      <c r="AT100" s="63">
        <f>(AV67+AV65+AV58)/(AQ67+AQ65+AQ58)</f>
        <v>0.91150442477876104</v>
      </c>
      <c r="AU100" s="63">
        <f>(AW67+AW65+AW58)/(AQ67+AQ65+AQ58)</f>
        <v>0.97699115044247797</v>
      </c>
      <c r="BE100" s="2" t="s">
        <v>646</v>
      </c>
      <c r="BF100" s="3" t="s">
        <v>844</v>
      </c>
      <c r="BG100" s="2" t="s">
        <v>830</v>
      </c>
      <c r="BH100" s="63">
        <f>(BH67+BH65+BH58)/(BK67+BK65+BK58)</f>
        <v>0.45</v>
      </c>
      <c r="BI100" s="8" t="s">
        <v>613</v>
      </c>
      <c r="BJ100" s="63">
        <f>(BJ67+BJ65+BJ58)/(BK67+BK65+BK58)</f>
        <v>0.7583333333333333</v>
      </c>
      <c r="BK100" s="63"/>
      <c r="BL100" s="63">
        <f>BJ100</f>
        <v>0.7583333333333333</v>
      </c>
      <c r="BM100" s="63">
        <f>(BO67+BO65+BO58)/(BK67+BK65+BK58)</f>
        <v>0.86333333333333329</v>
      </c>
      <c r="BN100" s="63">
        <f>(BP67+BP65+BP58)/(BK67+BK65+BK58)</f>
        <v>0.89166666666666672</v>
      </c>
      <c r="BO100" s="63">
        <f>(BQ67+BQ65+BQ58)/(BK67+BK65+BK58)</f>
        <v>0.93666666666666676</v>
      </c>
    </row>
    <row r="101" spans="17:67" ht="34" x14ac:dyDescent="0.2">
      <c r="Q101" s="2" t="s">
        <v>642</v>
      </c>
      <c r="R101" s="3" t="s">
        <v>845</v>
      </c>
      <c r="S101" s="2" t="s">
        <v>831</v>
      </c>
      <c r="T101" s="63">
        <f>(T67+T65+T57)/(W67+W65+W57)</f>
        <v>0.40707964601769914</v>
      </c>
      <c r="U101" s="8" t="s">
        <v>613</v>
      </c>
      <c r="V101" s="63">
        <f>(V67+V65+V57)/(W67+W65+W57)</f>
        <v>0.77876106194690264</v>
      </c>
      <c r="W101" s="63"/>
      <c r="X101" s="63">
        <f>V101</f>
        <v>0.77876106194690264</v>
      </c>
      <c r="Y101" s="63">
        <f>(AA67+AA65+AA57)/(W67+W65+W57)</f>
        <v>0.84601769911504421</v>
      </c>
      <c r="Z101" s="63">
        <f>(AB67+AB65+AB57)/(W67+W65+W57)</f>
        <v>0.88495575221238942</v>
      </c>
      <c r="AA101" s="63">
        <f>(AC67+AC65+AC57)/(W67+W65+W57)</f>
        <v>0.93274336283185844</v>
      </c>
      <c r="AK101" s="2" t="s">
        <v>642</v>
      </c>
      <c r="AL101" s="3" t="s">
        <v>845</v>
      </c>
      <c r="AM101" s="2" t="s">
        <v>831</v>
      </c>
      <c r="AN101" s="63">
        <f>(AN67+AN65+AN57)/(AQ67+AQ65+AQ57)</f>
        <v>0.44247787610619471</v>
      </c>
      <c r="AO101" s="8" t="s">
        <v>613</v>
      </c>
      <c r="AP101" s="63">
        <f>(AP67+AP65+AP57)/(AQ67+AQ65+AQ57)</f>
        <v>0.77876106194690264</v>
      </c>
      <c r="AQ101" s="63"/>
      <c r="AR101" s="63">
        <f>AP101</f>
        <v>0.77876106194690264</v>
      </c>
      <c r="AS101" s="63">
        <f>(AU67+AU65+AU57)/(AQ67+AQ65+AQ57)</f>
        <v>0.86371681415929202</v>
      </c>
      <c r="AT101" s="63">
        <f>(AV67+AV65+AV57)/(AQ67+AQ65+AQ57)</f>
        <v>0.91150442477876104</v>
      </c>
      <c r="AU101" s="63">
        <f>(AW67+AW65+AW57)/(AQ67+AQ65+AQ57)</f>
        <v>0.97699115044247797</v>
      </c>
      <c r="BE101" s="2" t="s">
        <v>642</v>
      </c>
      <c r="BF101" s="3" t="s">
        <v>845</v>
      </c>
      <c r="BG101" s="2" t="s">
        <v>831</v>
      </c>
      <c r="BH101" s="63">
        <f>(BH67+BH65+BH57)/(BK67+BK65+BK57)</f>
        <v>0.45</v>
      </c>
      <c r="BI101" s="8" t="s">
        <v>613</v>
      </c>
      <c r="BJ101" s="63">
        <f>(BJ67+BJ65+BJ57)/(BK67+BK65+BK57)</f>
        <v>0.7583333333333333</v>
      </c>
      <c r="BK101" s="63"/>
      <c r="BL101" s="63">
        <f>BJ101</f>
        <v>0.7583333333333333</v>
      </c>
      <c r="BM101" s="63">
        <f>(BO67+BO65+BO57)/(BK67+BK65+BK57)</f>
        <v>0.86333333333333329</v>
      </c>
      <c r="BN101" s="63">
        <f>(BP67+BP65+BP57)/(BK67+BK65+BK57)</f>
        <v>0.89166666666666672</v>
      </c>
      <c r="BO101" s="63">
        <f>(BQ67+BQ65+BQ57)/(BK67+BK65+BK57)</f>
        <v>0.93666666666666676</v>
      </c>
    </row>
    <row r="102" spans="17:67" x14ac:dyDescent="0.2">
      <c r="T102" s="63"/>
      <c r="U102" s="63"/>
      <c r="V102" s="63"/>
      <c r="W102" s="63"/>
      <c r="X102" s="63"/>
      <c r="Y102" s="63"/>
      <c r="Z102" s="63"/>
      <c r="AA102" s="63"/>
      <c r="AN102" s="63"/>
      <c r="AO102" s="63"/>
      <c r="AP102" s="63"/>
      <c r="AQ102" s="63"/>
      <c r="AR102" s="63"/>
      <c r="AS102" s="63"/>
      <c r="AT102" s="63"/>
      <c r="AU102" s="63"/>
      <c r="BH102" s="63"/>
      <c r="BI102" s="63"/>
      <c r="BJ102" s="63"/>
      <c r="BK102" s="63"/>
      <c r="BL102" s="63"/>
      <c r="BM102" s="63"/>
      <c r="BN102" s="63"/>
      <c r="BO102" s="63"/>
    </row>
    <row r="103" spans="17:67" x14ac:dyDescent="0.2">
      <c r="Q103" s="2" t="s">
        <v>648</v>
      </c>
      <c r="R103" s="2" t="s">
        <v>846</v>
      </c>
      <c r="S103" s="2" t="s">
        <v>832</v>
      </c>
      <c r="T103" s="63">
        <f>(T72+T69)/(W72+W69)</f>
        <v>0.45333333333333331</v>
      </c>
      <c r="U103" s="8" t="s">
        <v>613</v>
      </c>
      <c r="V103" s="63">
        <f>(V72+V69)/(W72+W69)</f>
        <v>0.64666666666666661</v>
      </c>
      <c r="W103" s="63"/>
      <c r="X103" s="63">
        <f>V103</f>
        <v>0.64666666666666661</v>
      </c>
      <c r="Y103" s="63">
        <f>(AA72+AA69)/(W72+W69)</f>
        <v>0.70666666666666667</v>
      </c>
      <c r="Z103" s="63">
        <f>(AB72+AB69)/(W72+W69)</f>
        <v>0.76533333333333331</v>
      </c>
      <c r="AA103" s="63">
        <f>(AC72+AC69)/(W72+W69)</f>
        <v>0.82399999999999995</v>
      </c>
      <c r="AK103" s="2" t="s">
        <v>648</v>
      </c>
      <c r="AL103" s="2" t="s">
        <v>846</v>
      </c>
      <c r="AM103" s="2" t="s">
        <v>832</v>
      </c>
      <c r="AN103" s="63">
        <f>(AN72+AN69)/(AQ72+AQ69)</f>
        <v>0.45333333333333331</v>
      </c>
      <c r="AO103" s="8" t="s">
        <v>613</v>
      </c>
      <c r="AP103" s="63">
        <f>(AP72+AP69)/(AQ72+AQ69)</f>
        <v>0.72666666666666668</v>
      </c>
      <c r="AQ103" s="63"/>
      <c r="AR103" s="63">
        <f>AP103</f>
        <v>0.72666666666666668</v>
      </c>
      <c r="AS103" s="63">
        <f>(AU72+AU69)/(AQ72+AQ69)</f>
        <v>0.77333333333333332</v>
      </c>
      <c r="AT103" s="63">
        <f>(AV72+AV69)/(AQ72+AQ69)</f>
        <v>0.81866666666666665</v>
      </c>
      <c r="AU103" s="63">
        <f>(AW72+AW69)/(AQ72+AQ69)</f>
        <v>0.90399999999999991</v>
      </c>
      <c r="BE103" s="2" t="s">
        <v>648</v>
      </c>
      <c r="BF103" s="2" t="s">
        <v>846</v>
      </c>
      <c r="BG103" s="2" t="s">
        <v>832</v>
      </c>
      <c r="BH103" s="63">
        <f>(BH72+BH69)/(BK72+BK69)</f>
        <v>0.55263157894736847</v>
      </c>
      <c r="BI103" s="8" t="s">
        <v>613</v>
      </c>
      <c r="BJ103" s="63">
        <f>(BJ72+BJ69)/(BK72+BK69)</f>
        <v>0.72368421052631582</v>
      </c>
      <c r="BK103" s="63"/>
      <c r="BL103" s="63">
        <f>BJ103</f>
        <v>0.72368421052631582</v>
      </c>
      <c r="BM103" s="63">
        <f>(BO72+BO69)/(BK72+BK69)</f>
        <v>0.80921052631578949</v>
      </c>
      <c r="BN103" s="63">
        <f>(BP72+BP69)/(BK72+BK69)</f>
        <v>0.89078947368421058</v>
      </c>
      <c r="BO103" s="63">
        <f>(BQ72+BQ69)/(BK72+BK69)</f>
        <v>0.97368421052631582</v>
      </c>
    </row>
    <row r="104" spans="17:67" x14ac:dyDescent="0.2">
      <c r="Q104" s="2" t="s">
        <v>647</v>
      </c>
      <c r="R104" s="2" t="s">
        <v>847</v>
      </c>
      <c r="S104" s="2" t="s">
        <v>833</v>
      </c>
      <c r="T104" s="63">
        <f>(T72+T70)/(W72+W70)</f>
        <v>0.51428571428571423</v>
      </c>
      <c r="U104" s="8" t="s">
        <v>613</v>
      </c>
      <c r="V104" s="63">
        <f>(V72+V70)/(W72+W70)</f>
        <v>0.7</v>
      </c>
      <c r="W104" s="63"/>
      <c r="X104" s="63">
        <f>V104</f>
        <v>0.7</v>
      </c>
      <c r="Y104" s="63">
        <f>(AA72+AA70)/(W72+W70)</f>
        <v>0.75714285714285712</v>
      </c>
      <c r="Z104" s="63">
        <f>(AB72+AB70)/(W72+W70)</f>
        <v>0.81142857142857139</v>
      </c>
      <c r="AA104" s="63">
        <f>(AC72+AC70)/(W72+W70)</f>
        <v>0.86571428571428566</v>
      </c>
      <c r="AK104" s="2" t="s">
        <v>647</v>
      </c>
      <c r="AL104" s="2" t="s">
        <v>847</v>
      </c>
      <c r="AM104" s="2" t="s">
        <v>833</v>
      </c>
      <c r="AN104" s="63">
        <f>(AN72+AN70)/(AQ72+AQ70)</f>
        <v>0.51428571428571423</v>
      </c>
      <c r="AO104" s="8" t="s">
        <v>613</v>
      </c>
      <c r="AP104" s="63">
        <f>(AP72+AP70)/(AQ72+AQ70)</f>
        <v>0.75714285714285712</v>
      </c>
      <c r="AQ104" s="63"/>
      <c r="AR104" s="63">
        <f>AP104</f>
        <v>0.75714285714285712</v>
      </c>
      <c r="AS104" s="63">
        <f>(AU72+AU70)/(AQ72+AQ70)</f>
        <v>0.8</v>
      </c>
      <c r="AT104" s="63">
        <f>(AV72+AV70)/(AQ72+AQ70)</f>
        <v>0.84</v>
      </c>
      <c r="AU104" s="63">
        <f>(AW72+AW70)/(AQ72+AQ70)</f>
        <v>0.90857142857142847</v>
      </c>
      <c r="BE104" s="2" t="s">
        <v>647</v>
      </c>
      <c r="BF104" s="2" t="s">
        <v>847</v>
      </c>
      <c r="BG104" s="2" t="s">
        <v>833</v>
      </c>
      <c r="BH104" s="63">
        <f>(BH72+BH70)/(BK72+BK70)</f>
        <v>0.61111111111111116</v>
      </c>
      <c r="BI104" s="8" t="s">
        <v>613</v>
      </c>
      <c r="BJ104" s="63">
        <f>(BJ72+BJ70)/(BK72+BK70)</f>
        <v>0.75</v>
      </c>
      <c r="BK104" s="63"/>
      <c r="BL104" s="63">
        <f>BJ104</f>
        <v>0.75</v>
      </c>
      <c r="BM104" s="63">
        <f>(BO72+BO70)/(BK72+BK70)</f>
        <v>0.81944444444444442</v>
      </c>
      <c r="BN104" s="63">
        <f>(BP72+BP70)/(BK72+BK70)</f>
        <v>0.88055555555555565</v>
      </c>
      <c r="BO104" s="63">
        <f>(BQ72+BQ70)/(BK72+BK70)</f>
        <v>0.94444444444444442</v>
      </c>
    </row>
    <row r="105" spans="17:67" x14ac:dyDescent="0.2">
      <c r="Q105" s="2" t="s">
        <v>649</v>
      </c>
      <c r="R105" s="2" t="s">
        <v>848</v>
      </c>
      <c r="S105" s="2" t="s">
        <v>835</v>
      </c>
      <c r="T105" s="63">
        <f>(T72+T10)/(W10+W72)</f>
        <v>0.57777777777777772</v>
      </c>
      <c r="U105" s="8" t="s">
        <v>613</v>
      </c>
      <c r="V105" s="63">
        <f>(V72+V10)/(W10+W72)</f>
        <v>0.69452659121333815</v>
      </c>
      <c r="W105" s="63"/>
      <c r="X105" s="63">
        <f>V105</f>
        <v>0.69452659121333815</v>
      </c>
      <c r="Y105" s="63">
        <f>(AA72+AA10)/(W10+W72)</f>
        <v>0.74021164021164021</v>
      </c>
      <c r="Z105" s="63">
        <f>(AB72+AB10)/(W10+W72)</f>
        <v>0.79239316239316238</v>
      </c>
      <c r="AA105" s="63">
        <f>(AC72+AC10)/(W10+W72)</f>
        <v>0.84771929824561409</v>
      </c>
      <c r="AK105" s="2" t="s">
        <v>649</v>
      </c>
      <c r="AL105" s="2" t="s">
        <v>848</v>
      </c>
      <c r="AM105" s="2" t="s">
        <v>835</v>
      </c>
      <c r="AN105" s="63">
        <f>(AN72+AN10)/(AQ10+AQ72)</f>
        <v>0.61616496363803741</v>
      </c>
      <c r="AO105" s="8" t="s">
        <v>613</v>
      </c>
      <c r="AP105" s="63">
        <f>(AP72+AP10)/(AQ10+AQ72)</f>
        <v>0.77141350210970472</v>
      </c>
      <c r="AQ105" s="63"/>
      <c r="AR105" s="63">
        <f>AP105</f>
        <v>0.77141350210970472</v>
      </c>
      <c r="AS105" s="63">
        <f>(AU72+AU10)/(AQ10+AQ72)</f>
        <v>0.80895904861422108</v>
      </c>
      <c r="AT105" s="63">
        <f>(AV72+AV10)/(AQ10+AQ72)</f>
        <v>0.85525252525252526</v>
      </c>
      <c r="AU105" s="63">
        <f>(AW72+AW10)/(AQ10+AQ72)</f>
        <v>0.92740700613940052</v>
      </c>
      <c r="BE105" s="2" t="s">
        <v>649</v>
      </c>
      <c r="BF105" s="2" t="s">
        <v>848</v>
      </c>
      <c r="BG105" s="2" t="s">
        <v>835</v>
      </c>
      <c r="BH105" s="63">
        <f>(BH72+BH10)/(BK10+BK72)</f>
        <v>0.64332592357362139</v>
      </c>
      <c r="BI105" s="8" t="s">
        <v>613</v>
      </c>
      <c r="BJ105" s="63">
        <f>(BJ72+BJ10)/(BK10+BK72)</f>
        <v>0.74397560521820238</v>
      </c>
      <c r="BK105" s="63"/>
      <c r="BL105" s="63">
        <f>BJ105</f>
        <v>0.74397560521820238</v>
      </c>
      <c r="BM105" s="63">
        <f>(BO72+BO10)/(BK10+BK72)</f>
        <v>0.78500355366027008</v>
      </c>
      <c r="BN105" s="63">
        <f>(BP72+BP10)/(BK10+BK72)</f>
        <v>0.84670988946669379</v>
      </c>
      <c r="BO105" s="63">
        <f>(BQ72+BQ10)/(BK10+BK72)</f>
        <v>0.93390191897654584</v>
      </c>
    </row>
    <row r="106" spans="17:67" x14ac:dyDescent="0.2">
      <c r="BH106" s="63"/>
      <c r="BI106" s="63"/>
      <c r="BJ106" s="63"/>
      <c r="BK106" s="63"/>
      <c r="BL106" s="63"/>
      <c r="BM106" s="63"/>
      <c r="BN106" s="63"/>
      <c r="BO106" s="63"/>
    </row>
    <row r="107" spans="17:67" x14ac:dyDescent="0.2">
      <c r="BH107" s="63"/>
      <c r="BI107" s="63"/>
      <c r="BJ107" s="63"/>
      <c r="BK107" s="63"/>
      <c r="BL107" s="63"/>
      <c r="BM107" s="63"/>
      <c r="BN107" s="63"/>
      <c r="BO107" s="63"/>
    </row>
    <row r="108" spans="17:67" ht="34" x14ac:dyDescent="0.2">
      <c r="Q108" s="2" t="s">
        <v>859</v>
      </c>
      <c r="R108" s="3" t="s">
        <v>868</v>
      </c>
      <c r="S108" s="2" t="s">
        <v>861</v>
      </c>
      <c r="T108" s="63">
        <f>(T96+T97+T99+T100+T101)/5</f>
        <v>0.3591688378314003</v>
      </c>
      <c r="U108" s="63"/>
      <c r="V108" s="63">
        <f>(V96+V97+V99+V100+V101)/5</f>
        <v>0.71937851554627241</v>
      </c>
      <c r="W108" s="63"/>
      <c r="X108" s="63">
        <f t="shared" ref="X108:AA108" si="327">(X96+X97+X99+X100+X101)/5</f>
        <v>0.71937851554627241</v>
      </c>
      <c r="Y108" s="63">
        <f t="shared" si="327"/>
        <v>0.78151538137378851</v>
      </c>
      <c r="Z108" s="63">
        <f t="shared" si="327"/>
        <v>0.83776793272137628</v>
      </c>
      <c r="AA108" s="63">
        <f t="shared" si="327"/>
        <v>0.90965609483500975</v>
      </c>
      <c r="AK108" s="2" t="s">
        <v>859</v>
      </c>
      <c r="AL108" s="3" t="s">
        <v>868</v>
      </c>
      <c r="AM108" s="2" t="s">
        <v>861</v>
      </c>
      <c r="AN108" s="63">
        <f>(AN96+AN97+AN99+AN100+AN101)/5</f>
        <v>0.3977162644973341</v>
      </c>
      <c r="AO108" s="63"/>
      <c r="AP108" s="63">
        <f>(AP96+AP97+AP99+AP100+AP101)/5</f>
        <v>0.68451309111563052</v>
      </c>
      <c r="AQ108" s="63"/>
      <c r="AR108" s="63">
        <f t="shared" ref="AR108:AU108" si="328">(AR96+AR97+AR99+AR100+AR101)/5</f>
        <v>0.68451309111563052</v>
      </c>
      <c r="AS108" s="63">
        <f t="shared" si="328"/>
        <v>0.81588171274666066</v>
      </c>
      <c r="AT108" s="63">
        <f t="shared" si="328"/>
        <v>0.8595628355228202</v>
      </c>
      <c r="AU108" s="63">
        <f t="shared" si="328"/>
        <v>0.95745763022407893</v>
      </c>
      <c r="BE108" s="2" t="s">
        <v>859</v>
      </c>
      <c r="BF108" s="3" t="s">
        <v>868</v>
      </c>
      <c r="BG108" s="2" t="s">
        <v>861</v>
      </c>
      <c r="BH108" s="63">
        <f>(BH96+BH97+BH99+BH100+BH101)/5</f>
        <v>0.44837888198757769</v>
      </c>
      <c r="BI108" s="63"/>
      <c r="BJ108" s="63">
        <f>(BJ96+BJ97+BJ99+BJ100+BJ101)/5</f>
        <v>0.74282608695652175</v>
      </c>
      <c r="BK108" s="63"/>
      <c r="BL108" s="63">
        <f t="shared" ref="BL108:BO108" si="329">(BL96+BL97+BL99+BL100+BL101)/5</f>
        <v>0.74282608695652175</v>
      </c>
      <c r="BM108" s="63">
        <f t="shared" si="329"/>
        <v>0.83513457556935822</v>
      </c>
      <c r="BN108" s="63">
        <f t="shared" si="329"/>
        <v>0.8917639751552795</v>
      </c>
      <c r="BO108" s="63">
        <f t="shared" si="329"/>
        <v>0.95338716356107656</v>
      </c>
    </row>
    <row r="109" spans="17:67" x14ac:dyDescent="0.2">
      <c r="R109" s="3"/>
      <c r="T109" s="63"/>
      <c r="U109" s="63"/>
      <c r="V109" s="63"/>
      <c r="W109" s="63"/>
      <c r="X109" s="63"/>
      <c r="Y109" s="63"/>
      <c r="Z109" s="63"/>
      <c r="AA109" s="63"/>
      <c r="AL109" s="3"/>
      <c r="AN109" s="63"/>
      <c r="AO109" s="63"/>
      <c r="AP109" s="63"/>
      <c r="AQ109" s="63"/>
      <c r="AR109" s="63"/>
      <c r="AS109" s="63"/>
      <c r="AT109" s="63"/>
      <c r="AU109" s="63"/>
      <c r="BF109" s="3"/>
      <c r="BH109" s="63"/>
      <c r="BI109" s="63"/>
      <c r="BJ109" s="63"/>
      <c r="BK109" s="63"/>
      <c r="BL109" s="63"/>
      <c r="BM109" s="63"/>
      <c r="BN109" s="63"/>
      <c r="BO109" s="63"/>
    </row>
    <row r="110" spans="17:67" ht="34" x14ac:dyDescent="0.2">
      <c r="Q110" s="2" t="s">
        <v>65</v>
      </c>
      <c r="R110" s="3" t="s">
        <v>869</v>
      </c>
      <c r="S110" s="2" t="s">
        <v>862</v>
      </c>
      <c r="T110" s="63">
        <f>(T105+T104+T103)/3</f>
        <v>0.51513227513227511</v>
      </c>
      <c r="U110" s="63"/>
      <c r="V110" s="63">
        <f>(V105+V104+V103)/3</f>
        <v>0.68039775262666824</v>
      </c>
      <c r="W110" s="63"/>
      <c r="X110" s="63">
        <f t="shared" ref="X110:AA110" si="330">(X105+X104+X103)/3</f>
        <v>0.68039775262666824</v>
      </c>
      <c r="Y110" s="63">
        <f t="shared" si="330"/>
        <v>0.73467372134038789</v>
      </c>
      <c r="Z110" s="63">
        <f t="shared" si="330"/>
        <v>0.78971835571835569</v>
      </c>
      <c r="AA110" s="63">
        <f t="shared" si="330"/>
        <v>0.8458111946532999</v>
      </c>
      <c r="AK110" s="2" t="s">
        <v>65</v>
      </c>
      <c r="AL110" s="3" t="s">
        <v>869</v>
      </c>
      <c r="AM110" s="2" t="s">
        <v>862</v>
      </c>
      <c r="AN110" s="63">
        <f>(AN105+AN104+AN103)/3</f>
        <v>0.5279280037523616</v>
      </c>
      <c r="AO110" s="63"/>
      <c r="AP110" s="63">
        <f>(AP105+AP104+AP103)/3</f>
        <v>0.7517410086397428</v>
      </c>
      <c r="AQ110" s="63"/>
      <c r="AR110" s="63">
        <f t="shared" ref="AR110:AU110" si="331">(AR105+AR104+AR103)/3</f>
        <v>0.7517410086397428</v>
      </c>
      <c r="AS110" s="63">
        <f t="shared" si="331"/>
        <v>0.79409746064918485</v>
      </c>
      <c r="AT110" s="63">
        <f t="shared" si="331"/>
        <v>0.83797306397306404</v>
      </c>
      <c r="AU110" s="63">
        <f t="shared" si="331"/>
        <v>0.91332614490360964</v>
      </c>
      <c r="BE110" s="2" t="s">
        <v>65</v>
      </c>
      <c r="BF110" s="3" t="s">
        <v>869</v>
      </c>
      <c r="BG110" s="2" t="s">
        <v>862</v>
      </c>
      <c r="BH110" s="63">
        <f>(BH105+BH104+BH103)/3</f>
        <v>0.60235620454403371</v>
      </c>
      <c r="BI110" s="63"/>
      <c r="BJ110" s="63">
        <f>(BJ105+BJ104+BJ103)/3</f>
        <v>0.73921993858150614</v>
      </c>
      <c r="BK110" s="63"/>
      <c r="BL110" s="63">
        <f t="shared" ref="BL110:BO110" si="332">(BL105+BL104+BL103)/3</f>
        <v>0.73921993858150614</v>
      </c>
      <c r="BM110" s="63">
        <f t="shared" si="332"/>
        <v>0.80455284147350126</v>
      </c>
      <c r="BN110" s="63">
        <f t="shared" si="332"/>
        <v>0.87268497290215341</v>
      </c>
      <c r="BO110" s="63">
        <f t="shared" si="332"/>
        <v>0.9506768579824354</v>
      </c>
    </row>
    <row r="111" spans="17:67" x14ac:dyDescent="0.2">
      <c r="T111" s="63"/>
      <c r="U111" s="63"/>
      <c r="V111" s="63"/>
      <c r="W111" s="63"/>
      <c r="X111" s="63"/>
      <c r="Y111" s="63"/>
      <c r="Z111" s="63"/>
      <c r="AA111" s="63"/>
      <c r="AN111" s="63"/>
      <c r="AO111" s="63"/>
      <c r="AP111" s="63"/>
      <c r="AQ111" s="63"/>
      <c r="AR111" s="63"/>
      <c r="AS111" s="63"/>
      <c r="AT111" s="63"/>
      <c r="AU111" s="63"/>
      <c r="BH111" s="63"/>
      <c r="BI111" s="63"/>
      <c r="BJ111" s="63"/>
      <c r="BK111" s="63"/>
      <c r="BL111" s="63"/>
      <c r="BM111" s="63"/>
      <c r="BN111" s="63"/>
      <c r="BO111" s="63"/>
    </row>
    <row r="112" spans="17:67" ht="51" x14ac:dyDescent="0.2">
      <c r="Q112" s="2" t="s">
        <v>860</v>
      </c>
      <c r="R112" s="3" t="s">
        <v>864</v>
      </c>
      <c r="S112" s="2" t="s">
        <v>863</v>
      </c>
      <c r="T112" s="63">
        <f>(T105+T104+T103+T101+T100+T99+T97+T96)/8</f>
        <v>0.41765512681922839</v>
      </c>
      <c r="U112" s="63"/>
      <c r="V112" s="63">
        <f>(V105+V104+V103+V101+V100+V99+V97+V96)/8</f>
        <v>0.70476072945142088</v>
      </c>
      <c r="W112" s="63"/>
      <c r="X112" s="63">
        <f>(X105+X104+X103+X101+X100+X99+X97+X96)/8</f>
        <v>0.70476072945142088</v>
      </c>
      <c r="Y112" s="63">
        <f t="shared" ref="Y112:AA112" si="333">(Y105+Y104+Y103+Y101+Y100+Y99+Y97+Y96)/8</f>
        <v>0.76394975886126326</v>
      </c>
      <c r="Z112" s="63">
        <f t="shared" si="333"/>
        <v>0.81974934134524347</v>
      </c>
      <c r="AA112" s="63">
        <f t="shared" si="333"/>
        <v>0.88571425726686859</v>
      </c>
      <c r="AK112" s="2" t="s">
        <v>860</v>
      </c>
      <c r="AL112" s="3" t="s">
        <v>864</v>
      </c>
      <c r="AM112" s="2" t="s">
        <v>863</v>
      </c>
      <c r="AN112" s="63">
        <f>(AN105+AN104+AN103+AN101+AN100+AN99+AN97+AN96)/8</f>
        <v>0.44654566671796947</v>
      </c>
      <c r="AO112" s="63"/>
      <c r="AP112" s="63">
        <f>(AP105+AP104+AP103+AP101+AP100+AP99+AP97+AP96)/8</f>
        <v>0.70972356018717264</v>
      </c>
      <c r="AQ112" s="63"/>
      <c r="AR112" s="63">
        <f>(AR105+AR104+AR103+AR101+AR100+AR99+AR97+AR96)/8</f>
        <v>0.70972356018717264</v>
      </c>
      <c r="AS112" s="63">
        <f t="shared" ref="AS112:AU112" si="334">(AS105+AS104+AS103+AS101+AS100+AS99+AS97+AS96)/8</f>
        <v>0.80771261821010731</v>
      </c>
      <c r="AT112" s="63">
        <f t="shared" si="334"/>
        <v>0.85146667119166153</v>
      </c>
      <c r="AU112" s="63">
        <f t="shared" si="334"/>
        <v>0.94090832322890294</v>
      </c>
      <c r="BE112" s="2" t="s">
        <v>860</v>
      </c>
      <c r="BF112" s="3" t="s">
        <v>864</v>
      </c>
      <c r="BG112" s="2" t="s">
        <v>863</v>
      </c>
      <c r="BH112" s="63">
        <f>(BH105+BH104+BH103+BH101+BH100+BH99+BH97+BH96)/8</f>
        <v>0.50612037794624876</v>
      </c>
      <c r="BI112" s="63"/>
      <c r="BJ112" s="63">
        <f>(BJ105+BJ104+BJ103+BJ101+BJ100+BJ99+BJ97+BJ96)/8</f>
        <v>0.74147378131589092</v>
      </c>
      <c r="BK112" s="63"/>
      <c r="BL112" s="63">
        <f>(BL105+BL104+BL103+BL101+BL100+BL99+BL97+BL96)/8</f>
        <v>0.74147378131589092</v>
      </c>
      <c r="BM112" s="63">
        <f t="shared" ref="BM112:BO112" si="335">(BM105+BM104+BM103+BM101+BM100+BM99+BM97+BM96)/8</f>
        <v>0.82366642528341172</v>
      </c>
      <c r="BN112" s="63">
        <f t="shared" si="335"/>
        <v>0.88460934931035728</v>
      </c>
      <c r="BO112" s="63">
        <f t="shared" si="335"/>
        <v>0.95237079896908616</v>
      </c>
    </row>
    <row r="113" spans="17:67" x14ac:dyDescent="0.2">
      <c r="BH113" s="63"/>
      <c r="BI113" s="63"/>
      <c r="BJ113" s="63"/>
      <c r="BK113" s="63"/>
      <c r="BL113" s="63"/>
      <c r="BM113" s="63"/>
      <c r="BN113" s="63"/>
      <c r="BO113" s="63"/>
    </row>
    <row r="114" spans="17:67" ht="68" x14ac:dyDescent="0.2">
      <c r="Q114" s="55" t="s">
        <v>1077</v>
      </c>
      <c r="R114" s="3" t="s">
        <v>1078</v>
      </c>
      <c r="S114" s="2" t="s">
        <v>763</v>
      </c>
      <c r="T114" s="84">
        <f>(T33/W33)*100</f>
        <v>37.272727272727273</v>
      </c>
      <c r="U114" s="84"/>
      <c r="V114" s="84">
        <f>(V33/W33)*100</f>
        <v>57.272727272727273</v>
      </c>
      <c r="W114" s="84"/>
      <c r="X114" s="84">
        <f>V114</f>
        <v>57.272727272727273</v>
      </c>
      <c r="Y114" s="84">
        <f>(AA33/$W33)*100</f>
        <v>69.090909090909093</v>
      </c>
      <c r="Z114" s="84">
        <f t="shared" ref="Z114:AA114" si="336">(AB33/$W33)*100</f>
        <v>73.636363636363626</v>
      </c>
      <c r="AA114" s="84">
        <f t="shared" si="336"/>
        <v>78.181818181818187</v>
      </c>
      <c r="AK114" s="55" t="s">
        <v>1077</v>
      </c>
      <c r="AL114" s="3" t="s">
        <v>1078</v>
      </c>
      <c r="AM114" s="2" t="s">
        <v>763</v>
      </c>
      <c r="AN114" s="84">
        <f>(AN33/AQ33)*100</f>
        <v>44.545454545454547</v>
      </c>
      <c r="AO114" s="84"/>
      <c r="AP114" s="84">
        <f>(AP33/AQ33)*100</f>
        <v>64.545454545454547</v>
      </c>
      <c r="AQ114" s="84"/>
      <c r="AR114" s="84">
        <f>AP114</f>
        <v>64.545454545454547</v>
      </c>
      <c r="AS114" s="84">
        <f>(AU33/$AQ33)*100</f>
        <v>69.090909090909093</v>
      </c>
      <c r="AT114" s="84">
        <f t="shared" ref="AT114:AU114" si="337">(AV33/$AQ33)*100</f>
        <v>74.545454545454547</v>
      </c>
      <c r="AU114" s="84">
        <f t="shared" si="337"/>
        <v>81.818181818181827</v>
      </c>
      <c r="BE114" s="55" t="s">
        <v>1077</v>
      </c>
      <c r="BF114" s="3" t="s">
        <v>1078</v>
      </c>
      <c r="BG114" s="2" t="s">
        <v>763</v>
      </c>
      <c r="BH114" s="84">
        <f>(BH33/BK33)*100</f>
        <v>45.454545454545453</v>
      </c>
      <c r="BI114" s="84"/>
      <c r="BJ114" s="84">
        <f>(BJ33/BK33)*100</f>
        <v>67.272727272727266</v>
      </c>
      <c r="BK114" s="84"/>
      <c r="BL114" s="84">
        <f>BJ114</f>
        <v>67.272727272727266</v>
      </c>
      <c r="BM114" s="84">
        <f>(BO33/$BK33)*100</f>
        <v>72.727272727272734</v>
      </c>
      <c r="BN114" s="84">
        <f>(BP33/$BK33)*100</f>
        <v>76.363636363636374</v>
      </c>
      <c r="BO114" s="84">
        <f>(BQ33/$BK33)*100</f>
        <v>85.454545454545453</v>
      </c>
    </row>
    <row r="115" spans="17:67" ht="68" x14ac:dyDescent="0.2">
      <c r="R115" s="3" t="s">
        <v>1080</v>
      </c>
      <c r="S115" s="2" t="s">
        <v>760</v>
      </c>
      <c r="T115" s="84">
        <f>(T34/W34)*100</f>
        <v>41.666666666666671</v>
      </c>
      <c r="U115" s="8"/>
      <c r="V115" s="84">
        <f>(V34/W34)*100</f>
        <v>57.323232323232318</v>
      </c>
      <c r="W115" s="8"/>
      <c r="X115" s="84">
        <f>V115</f>
        <v>57.323232323232318</v>
      </c>
      <c r="Y115" s="84">
        <f>(AA34/$W34)*100</f>
        <v>65.909090909090907</v>
      </c>
      <c r="Z115" s="84">
        <f t="shared" ref="Z115:AA115" si="338">(AB34/$W34)*100</f>
        <v>69.696969696969703</v>
      </c>
      <c r="AA115" s="84">
        <f t="shared" si="338"/>
        <v>73.73737373737373</v>
      </c>
      <c r="AL115" s="3" t="s">
        <v>1080</v>
      </c>
      <c r="AM115" s="2" t="s">
        <v>760</v>
      </c>
      <c r="AN115" s="84">
        <f>(AN34/AQ34)*100</f>
        <v>50.252525252525245</v>
      </c>
      <c r="AO115" s="8"/>
      <c r="AP115" s="84">
        <f>(AP34/AQ34)*100</f>
        <v>65.909090909090907</v>
      </c>
      <c r="AQ115" s="8"/>
      <c r="AR115" s="84">
        <f>AP115</f>
        <v>65.909090909090907</v>
      </c>
      <c r="AS115" s="84">
        <f>(AU34/$AQ34)*100</f>
        <v>70.101010101010104</v>
      </c>
      <c r="AT115" s="84">
        <f t="shared" ref="AT115:AU115" si="339">(AV34/$AQ34)*100</f>
        <v>75.353535353535349</v>
      </c>
      <c r="AU115" s="84">
        <f t="shared" si="339"/>
        <v>80.555555555555557</v>
      </c>
      <c r="BF115" s="3" t="s">
        <v>1080</v>
      </c>
      <c r="BG115" s="2" t="s">
        <v>760</v>
      </c>
      <c r="BH115" s="84">
        <f>(BH34/BK34)*100</f>
        <v>55.80808080808081</v>
      </c>
      <c r="BI115" s="8"/>
      <c r="BJ115" s="84">
        <f>(BJ34/BK34)*100</f>
        <v>70.454545454545453</v>
      </c>
      <c r="BK115" s="8"/>
      <c r="BL115" s="84">
        <f>BJ115</f>
        <v>70.454545454545453</v>
      </c>
      <c r="BM115" s="84">
        <f>(BO34/$BK34)*100</f>
        <v>76.767676767676761</v>
      </c>
      <c r="BN115" s="84">
        <f>(BP34/$BK34)*100</f>
        <v>83.080808080808083</v>
      </c>
      <c r="BO115" s="84">
        <f>(BQ34/$BK34)*100</f>
        <v>89.393939393939391</v>
      </c>
    </row>
    <row r="116" spans="17:67" ht="51" x14ac:dyDescent="0.2">
      <c r="R116" s="3" t="s">
        <v>1079</v>
      </c>
      <c r="S116" s="2" t="s">
        <v>759</v>
      </c>
      <c r="T116" s="8">
        <f>(T10/W10)*100</f>
        <v>62.4</v>
      </c>
      <c r="U116" s="8"/>
      <c r="V116" s="8">
        <f>(V10/W10)*100</f>
        <v>70.811829134720696</v>
      </c>
      <c r="W116" s="8"/>
      <c r="X116" s="84">
        <f>V116</f>
        <v>70.811829134720696</v>
      </c>
      <c r="Y116" s="8">
        <f>(AA10/$W10)*100</f>
        <v>74.590476190476195</v>
      </c>
      <c r="Z116" s="8">
        <f t="shared" ref="Z116:AA116" si="340">(AB10/$W10)*100</f>
        <v>79.384615384615373</v>
      </c>
      <c r="AA116" s="8">
        <f t="shared" si="340"/>
        <v>84.631578947368411</v>
      </c>
      <c r="AL116" s="3" t="s">
        <v>1079</v>
      </c>
      <c r="AM116" s="2" t="s">
        <v>759</v>
      </c>
      <c r="AN116" s="8">
        <f>(AN10/AQ10)*100</f>
        <v>67.927754763877388</v>
      </c>
      <c r="AO116" s="8"/>
      <c r="AP116" s="8">
        <f>(AP10/AQ10)*100</f>
        <v>78.683544303797476</v>
      </c>
      <c r="AQ116" s="8"/>
      <c r="AR116" s="84">
        <f>AP116</f>
        <v>78.683544303797476</v>
      </c>
      <c r="AS116" s="8">
        <f>(AU10/$AQ10)*100</f>
        <v>82.090103000447826</v>
      </c>
      <c r="AT116" s="8">
        <f t="shared" ref="AT116:AU116" si="341">(AV10/$AQ10)*100</f>
        <v>86.836363636363629</v>
      </c>
      <c r="AU116" s="8">
        <f t="shared" si="341"/>
        <v>93.706608884073688</v>
      </c>
      <c r="BF116" s="3" t="s">
        <v>1079</v>
      </c>
      <c r="BG116" s="2" t="s">
        <v>759</v>
      </c>
      <c r="BH116" s="8">
        <f>(BH10/BK10)*100</f>
        <v>67.109317681584741</v>
      </c>
      <c r="BI116" s="8"/>
      <c r="BJ116" s="8">
        <f>(BJ10/BK10)*100</f>
        <v>74.854549413005984</v>
      </c>
      <c r="BK116" s="8"/>
      <c r="BL116" s="84">
        <f>BJ116</f>
        <v>74.854549413005984</v>
      </c>
      <c r="BM116" s="8">
        <f>(BO10/$BK10)*100</f>
        <v>77.438423645320199</v>
      </c>
      <c r="BN116" s="8">
        <f t="shared" ref="BN116:BO116" si="342">(BP10/$BK10)*100</f>
        <v>83.09564674676237</v>
      </c>
      <c r="BO116" s="8">
        <f t="shared" si="342"/>
        <v>92.216748768472911</v>
      </c>
    </row>
    <row r="117" spans="17:67" ht="85" x14ac:dyDescent="0.2">
      <c r="R117" s="3" t="s">
        <v>1081</v>
      </c>
      <c r="S117" s="2" t="s">
        <v>1072</v>
      </c>
      <c r="T117" s="85">
        <f>((1-(T114/90)))</f>
        <v>0.58585858585858586</v>
      </c>
      <c r="U117" s="85"/>
      <c r="V117" s="85">
        <f>((1-(V114/90)))</f>
        <v>0.36363636363636365</v>
      </c>
      <c r="W117" s="85"/>
      <c r="X117" s="85">
        <f t="shared" ref="X117:AA117" si="343">((1-(X114/90)))</f>
        <v>0.36363636363636365</v>
      </c>
      <c r="Y117" s="85">
        <f t="shared" si="343"/>
        <v>0.23232323232323226</v>
      </c>
      <c r="Z117" s="85">
        <f t="shared" si="343"/>
        <v>0.18181818181818188</v>
      </c>
      <c r="AA117" s="85">
        <f t="shared" si="343"/>
        <v>0.13131313131313127</v>
      </c>
      <c r="AL117" s="3" t="s">
        <v>1081</v>
      </c>
      <c r="AM117" s="2" t="s">
        <v>1072</v>
      </c>
      <c r="AN117" s="85">
        <f>((1-(AN114/90)))</f>
        <v>0.50505050505050497</v>
      </c>
      <c r="AO117" s="85"/>
      <c r="AP117" s="85">
        <f>((1-(AP114/90)))</f>
        <v>0.28282828282828276</v>
      </c>
      <c r="AQ117" s="85"/>
      <c r="AR117" s="85">
        <f t="shared" ref="AR117:AU117" si="344">((1-(AR114/90)))</f>
        <v>0.28282828282828276</v>
      </c>
      <c r="AS117" s="85">
        <f t="shared" si="344"/>
        <v>0.23232323232323226</v>
      </c>
      <c r="AT117" s="85">
        <f t="shared" si="344"/>
        <v>0.17171717171717171</v>
      </c>
      <c r="AU117" s="85">
        <f t="shared" si="344"/>
        <v>9.0909090909090828E-2</v>
      </c>
      <c r="BF117" s="3" t="s">
        <v>1081</v>
      </c>
      <c r="BG117" s="2" t="s">
        <v>1072</v>
      </c>
      <c r="BH117" s="85">
        <f>((1-(BH114/90)))</f>
        <v>0.49494949494949492</v>
      </c>
      <c r="BI117" s="85"/>
      <c r="BJ117" s="85">
        <f>((1-(BJ114/90)))</f>
        <v>0.2525252525252526</v>
      </c>
      <c r="BK117" s="85"/>
      <c r="BL117" s="85">
        <f t="shared" ref="BL117:BO117" si="345">((1-(BL114/90)))</f>
        <v>0.2525252525252526</v>
      </c>
      <c r="BM117" s="85">
        <f t="shared" si="345"/>
        <v>0.19191919191919182</v>
      </c>
      <c r="BN117" s="85">
        <f t="shared" si="345"/>
        <v>0.15151515151515138</v>
      </c>
      <c r="BO117" s="85">
        <f t="shared" si="345"/>
        <v>5.0505050505050497E-2</v>
      </c>
    </row>
    <row r="119" spans="17:67" x14ac:dyDescent="0.2">
      <c r="R119" s="2" t="s">
        <v>1099</v>
      </c>
      <c r="S119" s="2" t="s">
        <v>1100</v>
      </c>
      <c r="T119" s="63">
        <f>T35/W35</f>
        <v>0.39150943396226418</v>
      </c>
      <c r="U119" s="63"/>
      <c r="V119" s="63">
        <f>V35/W35</f>
        <v>0.56446540880503149</v>
      </c>
      <c r="W119" s="63"/>
      <c r="X119" s="63">
        <f>V119</f>
        <v>0.56446540880503149</v>
      </c>
      <c r="Y119" s="63">
        <f>AA35/$W35</f>
        <v>0.66194968553459121</v>
      </c>
      <c r="Z119" s="63">
        <f t="shared" ref="Z119:AA119" si="346">AB35/$W35</f>
        <v>0.70440251572327039</v>
      </c>
      <c r="AA119" s="63">
        <f t="shared" si="346"/>
        <v>0.74842767295597479</v>
      </c>
      <c r="AL119" s="2" t="s">
        <v>1099</v>
      </c>
      <c r="AM119" s="2" t="s">
        <v>1100</v>
      </c>
      <c r="AN119" s="63">
        <f>AN35/AQ35</f>
        <v>0.47012578616352202</v>
      </c>
      <c r="AO119" s="63"/>
      <c r="AP119" s="63">
        <f>AP35/AQ35</f>
        <v>0.64308176100628933</v>
      </c>
      <c r="AQ119" s="63"/>
      <c r="AR119" s="63">
        <f>AP119</f>
        <v>0.64308176100628933</v>
      </c>
      <c r="AS119" s="63">
        <f>AU35/$AQ35</f>
        <v>0.68805031446540887</v>
      </c>
      <c r="AT119" s="63">
        <f t="shared" ref="AT119:AU119" si="347">AV35/$AQ35</f>
        <v>0.73962264150943391</v>
      </c>
      <c r="AU119" s="63">
        <f t="shared" si="347"/>
        <v>0.80345911949685533</v>
      </c>
      <c r="BF119" s="2" t="s">
        <v>1099</v>
      </c>
      <c r="BG119" s="2" t="s">
        <v>1100</v>
      </c>
      <c r="BH119" s="63">
        <f>BH35/BK35</f>
        <v>0.50471698113207553</v>
      </c>
      <c r="BI119" s="63"/>
      <c r="BJ119" s="63">
        <f>BJ35/BK35</f>
        <v>0.68396226415094341</v>
      </c>
      <c r="BK119" s="63"/>
      <c r="BL119" s="63">
        <f>BJ119</f>
        <v>0.68396226415094341</v>
      </c>
      <c r="BM119" s="63">
        <f>BO35/$BK35</f>
        <v>0.74213836477987416</v>
      </c>
      <c r="BN119" s="63">
        <f t="shared" ref="BN119:BO119" si="348">BP35/$BK35</f>
        <v>0.78773584905660377</v>
      </c>
      <c r="BO119" s="63">
        <f t="shared" si="348"/>
        <v>0.87106918238993714</v>
      </c>
    </row>
    <row r="121" spans="17:67" x14ac:dyDescent="0.2">
      <c r="Q121" s="55" t="s">
        <v>1143</v>
      </c>
      <c r="T121" s="63"/>
      <c r="U121" s="63"/>
      <c r="V121" s="63"/>
      <c r="W121" s="63"/>
      <c r="X121" s="63"/>
      <c r="Y121" s="63"/>
      <c r="Z121" s="63"/>
      <c r="AA121" s="63"/>
      <c r="AK121" s="55" t="s">
        <v>1143</v>
      </c>
      <c r="AN121" s="63"/>
      <c r="AO121" s="63"/>
      <c r="AP121" s="63"/>
      <c r="AQ121" s="63"/>
      <c r="AR121" s="63"/>
      <c r="AS121" s="63"/>
      <c r="AT121" s="63"/>
      <c r="AU121" s="63"/>
      <c r="BE121" s="55" t="s">
        <v>1143</v>
      </c>
      <c r="BH121" s="63"/>
      <c r="BI121" s="63"/>
      <c r="BJ121" s="63"/>
      <c r="BK121" s="63"/>
      <c r="BL121" s="63"/>
      <c r="BM121" s="63"/>
      <c r="BN121" s="63"/>
      <c r="BO121" s="63"/>
    </row>
    <row r="122" spans="17:67" x14ac:dyDescent="0.2">
      <c r="R122" s="2" t="s">
        <v>1144</v>
      </c>
      <c r="S122" s="8"/>
      <c r="T122" s="8">
        <f>T35/$W35*100</f>
        <v>39.150943396226417</v>
      </c>
      <c r="U122" s="8"/>
      <c r="V122" s="8">
        <f>V35/$W35*100</f>
        <v>56.44654088050315</v>
      </c>
      <c r="W122" s="8"/>
      <c r="X122" s="84">
        <f>V122</f>
        <v>56.44654088050315</v>
      </c>
      <c r="Y122" s="8">
        <f>AA43/$W43*100</f>
        <v>70.612244897959187</v>
      </c>
      <c r="Z122" s="8">
        <f t="shared" ref="Z122:AA122" si="349">AB43/$W43*100</f>
        <v>76.734693877551024</v>
      </c>
      <c r="AA122" s="8">
        <f t="shared" si="349"/>
        <v>82.448979591836732</v>
      </c>
      <c r="AL122" s="2" t="s">
        <v>1144</v>
      </c>
      <c r="AM122" s="8"/>
      <c r="AN122" s="8">
        <f>AN35/$AQ35*100</f>
        <v>47.012578616352201</v>
      </c>
      <c r="AO122" s="8"/>
      <c r="AP122" s="8">
        <f>AP35/$AQ35*100</f>
        <v>64.308176100628927</v>
      </c>
      <c r="AQ122" s="8"/>
      <c r="AR122" s="84">
        <f>AP122</f>
        <v>64.308176100628927</v>
      </c>
      <c r="AS122" s="8">
        <f>AU43/$AQ43*100</f>
        <v>73.2</v>
      </c>
      <c r="AT122" s="8">
        <f t="shared" ref="AT122:AU122" si="350">AV43/$AQ43*100</f>
        <v>79.2</v>
      </c>
      <c r="AU122" s="8">
        <f t="shared" si="350"/>
        <v>84</v>
      </c>
      <c r="BF122" s="2" t="s">
        <v>1144</v>
      </c>
      <c r="BG122" s="8"/>
      <c r="BH122" s="8">
        <f>BH43/$BK43*100</f>
        <v>61.96078431372549</v>
      </c>
      <c r="BI122" s="8"/>
      <c r="BJ122" s="8">
        <f>BJ43/$BK43*100</f>
        <v>74.509803921568633</v>
      </c>
      <c r="BK122" s="8"/>
      <c r="BL122" s="84">
        <f>BJ122</f>
        <v>74.509803921568633</v>
      </c>
      <c r="BM122" s="8">
        <f>BO43/$BK43*100</f>
        <v>80.784313725490193</v>
      </c>
      <c r="BN122" s="8">
        <f t="shared" ref="BN122:BO122" si="351">BP43/$BK43*100</f>
        <v>86.666666666666671</v>
      </c>
      <c r="BO122" s="8">
        <f t="shared" si="351"/>
        <v>94.117647058823522</v>
      </c>
    </row>
    <row r="123" spans="17:67" x14ac:dyDescent="0.2">
      <c r="R123" s="2" t="s">
        <v>1134</v>
      </c>
      <c r="S123" s="8"/>
      <c r="T123" s="8">
        <f>T41/$W41*100</f>
        <v>57.894736842105267</v>
      </c>
      <c r="U123" s="8"/>
      <c r="V123" s="8">
        <f>V41/$W41*100</f>
        <v>73.68421052631578</v>
      </c>
      <c r="W123" s="8"/>
      <c r="X123" s="84">
        <f>V123</f>
        <v>73.68421052631578</v>
      </c>
      <c r="Y123" s="8">
        <f>AA41/$W41*100</f>
        <v>81.05263157894737</v>
      </c>
      <c r="Z123" s="8">
        <f t="shared" ref="Z123:AA123" si="352">AB41/$W41*100</f>
        <v>88.421052631578945</v>
      </c>
      <c r="AA123" s="8">
        <f t="shared" si="352"/>
        <v>94.73684210526315</v>
      </c>
      <c r="AL123" s="2" t="s">
        <v>1134</v>
      </c>
      <c r="AM123" s="8"/>
      <c r="AN123" s="8">
        <f>AN41/$AQ41*100</f>
        <v>70</v>
      </c>
      <c r="AO123" s="8"/>
      <c r="AP123" s="8">
        <f>AP41/$AQ41*100</f>
        <v>80</v>
      </c>
      <c r="AQ123" s="8"/>
      <c r="AR123" s="84">
        <f>AP123</f>
        <v>80</v>
      </c>
      <c r="AS123" s="8">
        <f>AU41/$AQ41*100</f>
        <v>87</v>
      </c>
      <c r="AT123" s="8">
        <f t="shared" ref="AT123:AU123" si="353">AV41/$AQ41*100</f>
        <v>94</v>
      </c>
      <c r="AU123" s="8">
        <f t="shared" si="353"/>
        <v>98</v>
      </c>
      <c r="BF123" s="2" t="s">
        <v>1134</v>
      </c>
      <c r="BG123" s="8"/>
      <c r="BH123" s="8">
        <f>BH41/$BK41*100</f>
        <v>76.19047619047619</v>
      </c>
      <c r="BI123" s="8"/>
      <c r="BJ123" s="8">
        <f>BJ41/$BK41*100</f>
        <v>83.80952380952381</v>
      </c>
      <c r="BK123" s="8"/>
      <c r="BL123" s="84">
        <f>BJ123</f>
        <v>83.80952380952381</v>
      </c>
      <c r="BM123" s="8">
        <f>BO41/$BK41*100</f>
        <v>87.61904761904762</v>
      </c>
      <c r="BN123" s="8">
        <f>BP41/$BK41*100</f>
        <v>92.38095238095238</v>
      </c>
      <c r="BO123" s="8">
        <f>BQ41/$BK41*100</f>
        <v>97.142857142857139</v>
      </c>
    </row>
    <row r="124" spans="17:67" x14ac:dyDescent="0.2">
      <c r="R124" s="2" t="s">
        <v>1161</v>
      </c>
      <c r="S124" s="8"/>
      <c r="T124" s="8">
        <f>K36</f>
        <v>55</v>
      </c>
      <c r="U124" s="8"/>
      <c r="V124" s="8">
        <f>M36</f>
        <v>70</v>
      </c>
      <c r="W124" s="8"/>
      <c r="X124" s="84">
        <f>V124</f>
        <v>70</v>
      </c>
      <c r="Y124" s="8">
        <f>O36</f>
        <v>77</v>
      </c>
      <c r="Z124" s="8">
        <f t="shared" ref="Z124" si="354">P36</f>
        <v>84</v>
      </c>
      <c r="AA124" s="8">
        <f t="shared" ref="AA124" si="355">Q36</f>
        <v>90</v>
      </c>
      <c r="AL124" s="2" t="s">
        <v>1161</v>
      </c>
      <c r="AM124" s="8"/>
      <c r="AN124" s="8">
        <f>AE36</f>
        <v>70</v>
      </c>
      <c r="AO124" s="8"/>
      <c r="AP124" s="8">
        <f>AG36</f>
        <v>80</v>
      </c>
      <c r="AQ124" s="8"/>
      <c r="AR124" s="84">
        <f>AP124</f>
        <v>80</v>
      </c>
      <c r="AS124" s="8">
        <f>AI36</f>
        <v>87</v>
      </c>
      <c r="AT124" s="8">
        <f t="shared" ref="AT124:AU124" si="356">AJ36</f>
        <v>94</v>
      </c>
      <c r="AU124" s="8">
        <f t="shared" si="356"/>
        <v>98</v>
      </c>
      <c r="BF124" s="2" t="s">
        <v>1161</v>
      </c>
      <c r="BG124" s="8"/>
      <c r="BH124" s="8">
        <f>AY36</f>
        <v>80</v>
      </c>
      <c r="BI124" s="8"/>
      <c r="BJ124" s="8">
        <f>BA36</f>
        <v>88</v>
      </c>
      <c r="BK124" s="8"/>
      <c r="BL124" s="84">
        <f>BJ124</f>
        <v>88</v>
      </c>
      <c r="BM124" s="8">
        <f>BC36</f>
        <v>92</v>
      </c>
      <c r="BN124" s="8">
        <f t="shared" ref="BN124:BO124" si="357">BD36</f>
        <v>97</v>
      </c>
      <c r="BO124" s="8">
        <f t="shared" si="357"/>
        <v>102</v>
      </c>
    </row>
    <row r="125" spans="17:67" x14ac:dyDescent="0.2">
      <c r="R125" s="2" t="s">
        <v>1133</v>
      </c>
      <c r="S125" s="8"/>
      <c r="T125" s="8">
        <f>T42/$W42*100</f>
        <v>33.333333333333329</v>
      </c>
      <c r="U125" s="8"/>
      <c r="V125" s="8">
        <f>V42/$W42*100</f>
        <v>58.666666666666664</v>
      </c>
      <c r="W125" s="8"/>
      <c r="X125" s="84">
        <f>V125</f>
        <v>58.666666666666664</v>
      </c>
      <c r="Y125" s="8">
        <f>AA42/$W42*100</f>
        <v>64</v>
      </c>
      <c r="Z125" s="8">
        <f t="shared" ref="Z125:AA125" si="358">AB42/$W42*100</f>
        <v>69.333333333333343</v>
      </c>
      <c r="AA125" s="8">
        <f t="shared" si="358"/>
        <v>74.666666666666671</v>
      </c>
      <c r="AL125" s="2" t="s">
        <v>1133</v>
      </c>
      <c r="AM125" s="8"/>
      <c r="AN125" s="8">
        <f>AN42/$AQ42*100</f>
        <v>40</v>
      </c>
      <c r="AO125" s="8"/>
      <c r="AP125" s="8">
        <f>AP42/$AQ42*100</f>
        <v>58.666666666666664</v>
      </c>
      <c r="AQ125" s="8"/>
      <c r="AR125" s="84">
        <f>AP125</f>
        <v>58.666666666666664</v>
      </c>
      <c r="AS125" s="8">
        <f>AU42/$AQ42*100</f>
        <v>64</v>
      </c>
      <c r="AT125" s="8">
        <f t="shared" ref="AT125:AU125" si="359">AV42/$AQ42*100</f>
        <v>69.333333333333343</v>
      </c>
      <c r="AU125" s="8">
        <f t="shared" si="359"/>
        <v>74.666666666666671</v>
      </c>
      <c r="BF125" s="2" t="s">
        <v>1133</v>
      </c>
      <c r="BG125" s="8"/>
      <c r="BH125" s="8">
        <f>BH42/$BK42*100</f>
        <v>52</v>
      </c>
      <c r="BI125" s="8"/>
      <c r="BJ125" s="8">
        <f>BJ42/$BK42*100</f>
        <v>68</v>
      </c>
      <c r="BK125" s="8"/>
      <c r="BL125" s="84">
        <f>BJ125</f>
        <v>68</v>
      </c>
      <c r="BM125" s="8">
        <f>BO42/$BK42*100</f>
        <v>76</v>
      </c>
      <c r="BN125" s="8">
        <f t="shared" ref="BN125:BO125" si="360">BP42/$BK42*100</f>
        <v>82.666666666666671</v>
      </c>
      <c r="BO125" s="8">
        <f t="shared" si="360"/>
        <v>92</v>
      </c>
    </row>
    <row r="126" spans="17:67" x14ac:dyDescent="0.2">
      <c r="R126" s="2" t="s">
        <v>1135</v>
      </c>
      <c r="S126" s="8"/>
      <c r="T126" s="8">
        <f>T40</f>
        <v>1</v>
      </c>
      <c r="U126" s="8"/>
      <c r="V126" s="8">
        <f>V40</f>
        <v>2</v>
      </c>
      <c r="W126" s="8"/>
      <c r="X126" s="84">
        <f>V126</f>
        <v>2</v>
      </c>
      <c r="Y126" s="8">
        <f>AA40</f>
        <v>2</v>
      </c>
      <c r="Z126" s="8">
        <f>AB40</f>
        <v>3</v>
      </c>
      <c r="AA126" s="8">
        <f>AC40</f>
        <v>4</v>
      </c>
      <c r="AL126" s="2" t="s">
        <v>1135</v>
      </c>
      <c r="AM126" s="8"/>
      <c r="AN126" s="8">
        <f>AN40</f>
        <v>1</v>
      </c>
      <c r="AO126" s="8"/>
      <c r="AP126" s="8">
        <f>AP40</f>
        <v>2</v>
      </c>
      <c r="AQ126" s="8"/>
      <c r="AR126" s="84">
        <f>AP126</f>
        <v>2</v>
      </c>
      <c r="AS126" s="8">
        <f>AU40</f>
        <v>2</v>
      </c>
      <c r="AT126" s="8">
        <f>AV40</f>
        <v>3</v>
      </c>
      <c r="AU126" s="8">
        <f>AW40</f>
        <v>4</v>
      </c>
      <c r="BF126" s="2" t="s">
        <v>1135</v>
      </c>
      <c r="BG126" s="8"/>
      <c r="BH126" s="8">
        <f>BH40</f>
        <v>1</v>
      </c>
      <c r="BI126" s="8"/>
      <c r="BJ126" s="8">
        <f>BJ40</f>
        <v>2</v>
      </c>
      <c r="BK126" s="8"/>
      <c r="BL126" s="84">
        <f>BJ126</f>
        <v>2</v>
      </c>
      <c r="BM126" s="8">
        <f>BO40</f>
        <v>2</v>
      </c>
      <c r="BN126" s="8">
        <f>BP40</f>
        <v>3</v>
      </c>
      <c r="BO126" s="8">
        <f>BQ40</f>
        <v>4</v>
      </c>
    </row>
    <row r="127" spans="17:67" x14ac:dyDescent="0.2">
      <c r="R127" s="2" t="s">
        <v>1136</v>
      </c>
      <c r="S127" s="8"/>
      <c r="T127" s="8">
        <f>T39/$W39*100</f>
        <v>33.333333333333329</v>
      </c>
      <c r="U127" s="8"/>
      <c r="V127" s="8">
        <f>V39/$W39*100</f>
        <v>53.333333333333336</v>
      </c>
      <c r="W127" s="8"/>
      <c r="X127" s="84">
        <f>V127</f>
        <v>53.333333333333336</v>
      </c>
      <c r="Y127" s="8">
        <f>AA39/$W39*100</f>
        <v>60</v>
      </c>
      <c r="Z127" s="8">
        <f t="shared" ref="Z127:AA127" si="361">AB39/$W39*100</f>
        <v>66.666666666666657</v>
      </c>
      <c r="AA127" s="8">
        <f t="shared" si="361"/>
        <v>73.333333333333329</v>
      </c>
      <c r="AL127" s="2" t="s">
        <v>1136</v>
      </c>
      <c r="AM127" s="8"/>
      <c r="AN127" s="8">
        <f>AN39/$AQ39*100</f>
        <v>40</v>
      </c>
      <c r="AO127" s="8"/>
      <c r="AP127" s="8">
        <f>AP39/$AQ39*100</f>
        <v>53.333333333333336</v>
      </c>
      <c r="AQ127" s="8"/>
      <c r="AR127" s="84">
        <f>AP127</f>
        <v>53.333333333333336</v>
      </c>
      <c r="AS127" s="8">
        <f>AU39/$AQ39*100</f>
        <v>60</v>
      </c>
      <c r="AT127" s="8">
        <f t="shared" ref="AT127:AU127" si="362">AV39/$AQ39*100</f>
        <v>66.666666666666657</v>
      </c>
      <c r="AU127" s="8">
        <f t="shared" si="362"/>
        <v>73.333333333333329</v>
      </c>
      <c r="BF127" s="2" t="s">
        <v>1136</v>
      </c>
      <c r="BG127" s="8"/>
      <c r="BH127" s="8">
        <f>BH39/$BK39*100</f>
        <v>46.666666666666664</v>
      </c>
      <c r="BI127" s="8"/>
      <c r="BJ127" s="8">
        <f>BJ39/$BK39*100</f>
        <v>60</v>
      </c>
      <c r="BK127" s="8"/>
      <c r="BL127" s="84">
        <f>BJ127</f>
        <v>60</v>
      </c>
      <c r="BM127" s="8">
        <f>BO39/$BK39*100</f>
        <v>73.333333333333329</v>
      </c>
      <c r="BN127" s="8">
        <f t="shared" ref="BN127:BO127" si="363">BP39/$BK39*100</f>
        <v>80</v>
      </c>
      <c r="BO127" s="8">
        <f t="shared" si="363"/>
        <v>93.333333333333329</v>
      </c>
    </row>
    <row r="128" spans="17:67" x14ac:dyDescent="0.2">
      <c r="S128" s="8"/>
      <c r="T128" s="8"/>
      <c r="U128" s="8"/>
      <c r="V128" s="8"/>
      <c r="W128" s="8"/>
      <c r="X128" s="8"/>
      <c r="Y128" s="8"/>
      <c r="Z128" s="8"/>
      <c r="AA128" s="8"/>
      <c r="AM128" s="8"/>
      <c r="AN128" s="8"/>
      <c r="AO128" s="8"/>
      <c r="AP128" s="8"/>
      <c r="AQ128" s="8"/>
      <c r="AR128" s="8"/>
      <c r="AS128" s="8"/>
      <c r="AT128" s="8"/>
      <c r="AU128" s="8"/>
      <c r="BG128" s="8"/>
      <c r="BH128" s="8"/>
      <c r="BI128" s="8"/>
      <c r="BJ128" s="8"/>
      <c r="BK128" s="8"/>
      <c r="BL128" s="8"/>
      <c r="BM128" s="8"/>
      <c r="BN128" s="8"/>
      <c r="BO128" s="8"/>
    </row>
    <row r="129" spans="17:67" x14ac:dyDescent="0.2">
      <c r="R129" s="2" t="s">
        <v>1141</v>
      </c>
      <c r="S129" s="8"/>
      <c r="T129" s="63">
        <f>T137</f>
        <v>6.5732663182913376E-2</v>
      </c>
      <c r="U129" s="8"/>
      <c r="V129" s="63">
        <f>V137</f>
        <v>0.14574971767221312</v>
      </c>
      <c r="W129" s="8"/>
      <c r="X129" s="63">
        <f>X137</f>
        <v>0.14574971767221312</v>
      </c>
      <c r="Y129" s="63">
        <f>Y137</f>
        <v>0.18770377918951323</v>
      </c>
      <c r="Z129" s="63">
        <f>Z137</f>
        <v>0.24989606853226218</v>
      </c>
      <c r="AA129" s="63">
        <f>AA137</f>
        <v>0.31792300135913271</v>
      </c>
      <c r="AL129" s="2" t="s">
        <v>1141</v>
      </c>
      <c r="AM129" s="8"/>
      <c r="AN129" s="63">
        <f>AN137</f>
        <v>5.2650118435302928E-2</v>
      </c>
      <c r="AO129" s="8"/>
      <c r="AP129" s="63">
        <f>AP137</f>
        <v>0.11718794322882575</v>
      </c>
      <c r="AQ129" s="8"/>
      <c r="AR129" s="63">
        <f>AR137</f>
        <v>0.11718794322882575</v>
      </c>
      <c r="AS129" s="63">
        <f>AS137</f>
        <v>0.17098439743058563</v>
      </c>
      <c r="AT129" s="63">
        <f>AT137</f>
        <v>0.25769184277223378</v>
      </c>
      <c r="AU129" s="63">
        <f>AU137</f>
        <v>0.33685673460075405</v>
      </c>
      <c r="BF129" s="2" t="s">
        <v>1141</v>
      </c>
      <c r="BG129" s="8"/>
      <c r="BH129" s="63">
        <f>BH137</f>
        <v>6.3101327225404347E-2</v>
      </c>
      <c r="BI129" s="8"/>
      <c r="BJ129" s="63">
        <f>BJ137</f>
        <v>0.13709072009040937</v>
      </c>
      <c r="BK129" s="8"/>
      <c r="BL129" s="63">
        <f>BL137</f>
        <v>0.13709072009040937</v>
      </c>
      <c r="BM129" s="63">
        <f>BM137</f>
        <v>0.19871686587992263</v>
      </c>
      <c r="BN129" s="63">
        <f>BN137</f>
        <v>0.29176374828333962</v>
      </c>
      <c r="BO129" s="63">
        <f>BO137</f>
        <v>0.42996351776994463</v>
      </c>
    </row>
    <row r="130" spans="17:67" x14ac:dyDescent="0.2">
      <c r="S130" s="8"/>
      <c r="T130" s="8"/>
      <c r="U130" s="8"/>
      <c r="V130" s="8"/>
      <c r="W130" s="8"/>
      <c r="X130" s="8"/>
      <c r="Y130" s="8"/>
      <c r="Z130" s="8"/>
      <c r="AA130" s="8"/>
      <c r="AM130" s="8"/>
      <c r="AN130" s="8"/>
      <c r="AO130" s="8"/>
      <c r="AP130" s="8"/>
      <c r="AQ130" s="8"/>
      <c r="AR130" s="8"/>
      <c r="AS130" s="8"/>
      <c r="AT130" s="8"/>
      <c r="AU130" s="8"/>
      <c r="BG130" s="8"/>
      <c r="BH130" s="8"/>
      <c r="BI130" s="8"/>
      <c r="BJ130" s="8"/>
      <c r="BK130" s="8"/>
      <c r="BL130" s="8"/>
      <c r="BM130" s="8"/>
      <c r="BN130" s="8"/>
      <c r="BO130" s="8"/>
    </row>
    <row r="131" spans="17:67" x14ac:dyDescent="0.2">
      <c r="Q131" s="2" t="s">
        <v>1162</v>
      </c>
      <c r="R131" s="2" t="s">
        <v>1145</v>
      </c>
      <c r="S131" s="8"/>
      <c r="T131" s="8">
        <f>MAX(0, MIN(1, (T124 - $S143) / ($T143 - $S143)))</f>
        <v>0</v>
      </c>
      <c r="U131" s="8"/>
      <c r="V131" s="8">
        <f>MAX(0, MIN(1, (V124 - $S143) / ($T143 - $S143)))</f>
        <v>0.375</v>
      </c>
      <c r="W131" s="8"/>
      <c r="X131" s="8">
        <f t="shared" ref="X131:AA131" si="364">MAX(0, MIN(1, (X124 - $S143) / ($T143 - $S143)))</f>
        <v>0.375</v>
      </c>
      <c r="Y131" s="8">
        <f t="shared" si="364"/>
        <v>0.55000000000000004</v>
      </c>
      <c r="Z131" s="8">
        <f t="shared" si="364"/>
        <v>0.72499999999999998</v>
      </c>
      <c r="AA131" s="8">
        <f t="shared" si="364"/>
        <v>0.875</v>
      </c>
      <c r="AK131" s="2" t="s">
        <v>1162</v>
      </c>
      <c r="AL131" s="2" t="s">
        <v>1145</v>
      </c>
      <c r="AM131" s="8"/>
      <c r="AN131" s="8">
        <f>MAX(0, MIN(1, (AN124 - $AM143) / ($AN143 - $AM143)))</f>
        <v>0</v>
      </c>
      <c r="AO131" s="8"/>
      <c r="AP131" s="8">
        <f>MAX(0, MIN(1, (AP124 - $AM143) / ($AN143 - $AM143)))</f>
        <v>0.33333333333333331</v>
      </c>
      <c r="AQ131" s="8"/>
      <c r="AR131" s="8">
        <f t="shared" ref="AR131:AU131" si="365">MAX(0, MIN(1, (AR124 - $AM143) / ($AN143 - $AM143)))</f>
        <v>0.33333333333333331</v>
      </c>
      <c r="AS131" s="8">
        <f t="shared" si="365"/>
        <v>0.56666666666666665</v>
      </c>
      <c r="AT131" s="8">
        <f t="shared" si="365"/>
        <v>0.8</v>
      </c>
      <c r="AU131" s="8">
        <f t="shared" si="365"/>
        <v>0.93333333333333335</v>
      </c>
      <c r="BE131" s="2" t="s">
        <v>1162</v>
      </c>
      <c r="BF131" s="2" t="s">
        <v>1145</v>
      </c>
      <c r="BG131" s="8"/>
      <c r="BH131" s="8">
        <f>MAX(0, MIN(1, (BH124 - $BG143) / ($BH143 - $BG143)))</f>
        <v>0.16666666666666666</v>
      </c>
      <c r="BI131" s="8"/>
      <c r="BJ131" s="8">
        <f>MAX(0, MIN(1, (BJ124 - $BG143) / ($BH143 - $BG143)))</f>
        <v>0.43333333333333335</v>
      </c>
      <c r="BK131" s="8"/>
      <c r="BL131" s="84">
        <f>BJ131</f>
        <v>0.43333333333333335</v>
      </c>
      <c r="BM131" s="8">
        <f>MAX(0, MIN(1, (BM124 - $BG143) / ($BH143 - $BG143)))</f>
        <v>0.56666666666666665</v>
      </c>
      <c r="BN131" s="8">
        <f>MAX(0, MIN(1, (BN124 - $BG143) / ($BH143 - $BG143)))</f>
        <v>0.73333333333333328</v>
      </c>
      <c r="BO131" s="8">
        <f>MAX(0, MIN(1, (BO124 - $BG143) / ($BH143 - $BG143)))</f>
        <v>0.9</v>
      </c>
    </row>
    <row r="132" spans="17:67" x14ac:dyDescent="0.2">
      <c r="R132" s="2" t="s">
        <v>1129</v>
      </c>
      <c r="S132" s="8"/>
      <c r="T132" s="8">
        <f>T125/100</f>
        <v>0.33333333333333326</v>
      </c>
      <c r="U132" s="8"/>
      <c r="V132" s="8">
        <f>V125/100</f>
        <v>0.58666666666666667</v>
      </c>
      <c r="W132" s="8"/>
      <c r="X132" s="8">
        <f>X125/100</f>
        <v>0.58666666666666667</v>
      </c>
      <c r="Y132" s="8">
        <f>Y125/100</f>
        <v>0.64</v>
      </c>
      <c r="Z132" s="8">
        <f>Z125/100</f>
        <v>0.69333333333333347</v>
      </c>
      <c r="AA132" s="8">
        <f>AA125/100</f>
        <v>0.7466666666666667</v>
      </c>
      <c r="AL132" s="2" t="s">
        <v>1129</v>
      </c>
      <c r="AM132" s="8"/>
      <c r="AN132" s="8">
        <f>AN125/100</f>
        <v>0.4</v>
      </c>
      <c r="AO132" s="8"/>
      <c r="AP132" s="8">
        <f>AP125/100</f>
        <v>0.58666666666666667</v>
      </c>
      <c r="AQ132" s="8"/>
      <c r="AR132" s="8">
        <f>AR125/100</f>
        <v>0.58666666666666667</v>
      </c>
      <c r="AS132" s="8">
        <f>AS125/100</f>
        <v>0.64</v>
      </c>
      <c r="AT132" s="8">
        <f>AT125/100</f>
        <v>0.69333333333333347</v>
      </c>
      <c r="AU132" s="8">
        <f>AU125/100</f>
        <v>0.7466666666666667</v>
      </c>
      <c r="BF132" s="2" t="s">
        <v>1129</v>
      </c>
      <c r="BG132" s="8"/>
      <c r="BH132" s="8">
        <f>BH125/100</f>
        <v>0.52</v>
      </c>
      <c r="BI132" s="8"/>
      <c r="BJ132" s="8">
        <f>BJ125/100</f>
        <v>0.68</v>
      </c>
      <c r="BK132" s="8"/>
      <c r="BL132" s="8">
        <f>BL125/100</f>
        <v>0.68</v>
      </c>
      <c r="BM132" s="8">
        <f>BM125/100</f>
        <v>0.76</v>
      </c>
      <c r="BN132" s="8">
        <f>BN125/100</f>
        <v>0.82666666666666666</v>
      </c>
      <c r="BO132" s="8">
        <f>BO125/100</f>
        <v>0.92</v>
      </c>
    </row>
    <row r="133" spans="17:67" x14ac:dyDescent="0.2">
      <c r="R133" s="2" t="s">
        <v>1146</v>
      </c>
      <c r="S133" s="8"/>
      <c r="T133" s="91">
        <f xml:space="preserve"> MIN(1, T126 / 4)</f>
        <v>0.25</v>
      </c>
      <c r="U133" s="8"/>
      <c r="V133" s="91">
        <f xml:space="preserve"> MIN(1, V126 / 4)</f>
        <v>0.5</v>
      </c>
      <c r="W133" s="8"/>
      <c r="X133" s="91">
        <f xml:space="preserve"> MIN(1, X126 / 4)</f>
        <v>0.5</v>
      </c>
      <c r="Y133" s="91">
        <f xml:space="preserve"> MIN(1, Y126 / 4)</f>
        <v>0.5</v>
      </c>
      <c r="Z133" s="91">
        <f xml:space="preserve"> MIN(1, Z126 / 4)</f>
        <v>0.75</v>
      </c>
      <c r="AA133" s="91">
        <f xml:space="preserve"> MIN(1, AA126 / 4)</f>
        <v>1</v>
      </c>
      <c r="AL133" s="2" t="s">
        <v>1146</v>
      </c>
      <c r="AM133" s="8"/>
      <c r="AN133" s="91">
        <f xml:space="preserve"> MIN(1, AN126 / 4)</f>
        <v>0.25</v>
      </c>
      <c r="AO133" s="8"/>
      <c r="AP133" s="91">
        <f xml:space="preserve"> MIN(1, AP126 / 4)</f>
        <v>0.5</v>
      </c>
      <c r="AQ133" s="8"/>
      <c r="AR133" s="91">
        <f xml:space="preserve"> MIN(1, AR126 / 4)</f>
        <v>0.5</v>
      </c>
      <c r="AS133" s="91">
        <f xml:space="preserve"> MIN(1, AS126 / 4)</f>
        <v>0.5</v>
      </c>
      <c r="AT133" s="91">
        <f xml:space="preserve"> MIN(1, AT126 / 4)</f>
        <v>0.75</v>
      </c>
      <c r="AU133" s="91">
        <f xml:space="preserve"> MIN(1, AU126 / 4)</f>
        <v>1</v>
      </c>
      <c r="BF133" s="2" t="s">
        <v>1146</v>
      </c>
      <c r="BG133" s="8"/>
      <c r="BH133" s="91">
        <f xml:space="preserve"> MIN(1, BH126 / 4)</f>
        <v>0.25</v>
      </c>
      <c r="BI133" s="8"/>
      <c r="BJ133" s="91">
        <f xml:space="preserve"> MIN(1, BJ126 / 4)</f>
        <v>0.5</v>
      </c>
      <c r="BK133" s="8"/>
      <c r="BL133" s="91">
        <f xml:space="preserve"> MIN(1, BL126 / 4)</f>
        <v>0.5</v>
      </c>
      <c r="BM133" s="91">
        <f xml:space="preserve"> MIN(1, BM126 / 4)</f>
        <v>0.5</v>
      </c>
      <c r="BN133" s="91">
        <f xml:space="preserve"> MIN(1, BN126 / 4)</f>
        <v>0.75</v>
      </c>
      <c r="BO133" s="91">
        <f xml:space="preserve"> MIN(1, BO126 / 4)</f>
        <v>1</v>
      </c>
    </row>
    <row r="134" spans="17:67" x14ac:dyDescent="0.2">
      <c r="R134" s="2" t="s">
        <v>1147</v>
      </c>
      <c r="S134" s="8"/>
      <c r="T134" s="8">
        <f>T127/100</f>
        <v>0.33333333333333326</v>
      </c>
      <c r="U134" s="8"/>
      <c r="V134" s="8">
        <f>V127/100</f>
        <v>0.53333333333333333</v>
      </c>
      <c r="W134" s="8"/>
      <c r="X134" s="8">
        <f>X127/100</f>
        <v>0.53333333333333333</v>
      </c>
      <c r="Y134" s="8">
        <f>Y127/100</f>
        <v>0.6</v>
      </c>
      <c r="Z134" s="8">
        <f>Z127/100</f>
        <v>0.66666666666666652</v>
      </c>
      <c r="AA134" s="8">
        <f>AA127/100</f>
        <v>0.73333333333333328</v>
      </c>
      <c r="AL134" s="2" t="s">
        <v>1147</v>
      </c>
      <c r="AM134" s="8"/>
      <c r="AN134" s="8">
        <f>AN127/100</f>
        <v>0.4</v>
      </c>
      <c r="AO134" s="8"/>
      <c r="AP134" s="8">
        <f>AP127/100</f>
        <v>0.53333333333333333</v>
      </c>
      <c r="AQ134" s="8"/>
      <c r="AR134" s="8">
        <f>AR127/100</f>
        <v>0.53333333333333333</v>
      </c>
      <c r="AS134" s="8">
        <f>AS127/100</f>
        <v>0.6</v>
      </c>
      <c r="AT134" s="8">
        <f>AT127/100</f>
        <v>0.66666666666666652</v>
      </c>
      <c r="AU134" s="8">
        <f>AU127/100</f>
        <v>0.73333333333333328</v>
      </c>
      <c r="BF134" s="2" t="s">
        <v>1147</v>
      </c>
      <c r="BG134" s="8"/>
      <c r="BH134" s="8">
        <f>BH127/100</f>
        <v>0.46666666666666662</v>
      </c>
      <c r="BI134" s="8"/>
      <c r="BJ134" s="8">
        <f>BJ127/100</f>
        <v>0.6</v>
      </c>
      <c r="BK134" s="8"/>
      <c r="BL134" s="8">
        <f>BL127/100</f>
        <v>0.6</v>
      </c>
      <c r="BM134" s="8">
        <f>BM127/100</f>
        <v>0.73333333333333328</v>
      </c>
      <c r="BN134" s="8">
        <f>BN127/100</f>
        <v>0.8</v>
      </c>
      <c r="BO134" s="8">
        <f>BO127/100</f>
        <v>0.93333333333333324</v>
      </c>
    </row>
    <row r="135" spans="17:67" x14ac:dyDescent="0.2">
      <c r="R135" s="2" t="s">
        <v>1153</v>
      </c>
      <c r="S135" s="8"/>
      <c r="T135" s="8">
        <f>$S140+$T140*T131+$U140*T132+$V140*T133+$W140*T134</f>
        <v>-2.6541666666666668</v>
      </c>
      <c r="U135" s="8"/>
      <c r="V135" s="8">
        <f>$S140+$T140*V131+$U140*V132+$V140*V133+$W140*V134</f>
        <v>-1.7683333333333329</v>
      </c>
      <c r="W135" s="8"/>
      <c r="X135" s="8">
        <f t="shared" ref="X135:AA135" si="366">$S140+$T140*X131+$U140*X132+$V140*X133+$W140*X134</f>
        <v>-1.7683333333333329</v>
      </c>
      <c r="Y135" s="8">
        <f t="shared" si="366"/>
        <v>-1.4649999999999999</v>
      </c>
      <c r="Z135" s="8">
        <f t="shared" si="366"/>
        <v>-1.0991666666666666</v>
      </c>
      <c r="AA135" s="8">
        <f t="shared" si="366"/>
        <v>-0.76333333333333364</v>
      </c>
      <c r="AL135" s="2" t="s">
        <v>1153</v>
      </c>
      <c r="AM135" s="8"/>
      <c r="AN135" s="8">
        <f>$AM140+$AN140*AN131+$AO140*AN132+$AP140*AN133+$AQ140*AN134</f>
        <v>-2.8899999999999997</v>
      </c>
      <c r="AO135" s="8"/>
      <c r="AP135" s="8">
        <f>$AM140+$AN140*AP131+$AO140*AP132+$AP140*AP133+$AQ140*AP134</f>
        <v>-2.0193333333333334</v>
      </c>
      <c r="AQ135" s="8"/>
      <c r="AR135" s="8">
        <f t="shared" ref="AR135:AU135" si="367">$AM140+$AN140*AR131+$AO140*AR132+$AP140*AR133+$AQ140*AR134</f>
        <v>-2.0193333333333334</v>
      </c>
      <c r="AS135" s="8">
        <f t="shared" si="367"/>
        <v>-1.5786666666666671</v>
      </c>
      <c r="AT135" s="8">
        <f t="shared" si="367"/>
        <v>-1.0579999999999998</v>
      </c>
      <c r="AU135" s="8">
        <f t="shared" si="367"/>
        <v>-0.67733333333333345</v>
      </c>
      <c r="BF135" s="2" t="s">
        <v>1153</v>
      </c>
      <c r="BG135" s="8"/>
      <c r="BH135" s="8">
        <f>$BG140+$BH140*BH131+$BI140*BH132+$BJ140*BH133+$BK140*BH134</f>
        <v>-2.697833333333334</v>
      </c>
      <c r="BI135" s="8"/>
      <c r="BJ135" s="8">
        <f>$BG140+$BH140*BJ131+$BI140*BJ132+$BJ140*BJ133+$BK140*BJ134</f>
        <v>-1.839666666666667</v>
      </c>
      <c r="BK135" s="8"/>
      <c r="BL135" s="8">
        <f>$BG140+$BH140*BL131+$BI140*BL132+$BJ140*BL133+$BK140*BL134</f>
        <v>-1.839666666666667</v>
      </c>
      <c r="BM135" s="8">
        <f>$BG140+$BH140*BM131+$BI140*BM132+$BJ140*BM133+$BK140*BM134</f>
        <v>-1.3943333333333341</v>
      </c>
      <c r="BN135" s="8">
        <f>$BG140+$BH140*BN131+$BI140*BN132+$BJ140*BN133+$BK140*BN134</f>
        <v>-0.88683333333333347</v>
      </c>
      <c r="BO135" s="8">
        <f>$BG140+$BH140*BO131+$BI140*BO132+$BJ140*BO133+$BK140*BO134</f>
        <v>-0.28199999999999992</v>
      </c>
    </row>
    <row r="136" spans="17:67" x14ac:dyDescent="0.2">
      <c r="R136" s="2" t="s">
        <v>1154</v>
      </c>
      <c r="S136" s="8"/>
      <c r="T136" s="8">
        <f>EXP(-T135)</f>
        <v>14.213136842140624</v>
      </c>
      <c r="U136" s="8"/>
      <c r="V136" s="8">
        <f>EXP(-V135)</f>
        <v>5.861076755215203</v>
      </c>
      <c r="W136" s="8"/>
      <c r="X136" s="8">
        <f>EXP(-X135)</f>
        <v>5.861076755215203</v>
      </c>
      <c r="Y136" s="8">
        <f>EXP(-Y135)</f>
        <v>4.3275432403007725</v>
      </c>
      <c r="Z136" s="8">
        <f>EXP(-Z135)</f>
        <v>3.0016635950833206</v>
      </c>
      <c r="AA136" s="8">
        <f>EXP(-AA135)</f>
        <v>2.1454157004210539</v>
      </c>
      <c r="AL136" s="2" t="s">
        <v>1154</v>
      </c>
      <c r="AM136" s="8"/>
      <c r="AN136" s="8">
        <f>EXP(-AN135)</f>
        <v>17.993309601550308</v>
      </c>
      <c r="AO136" s="8"/>
      <c r="AP136" s="8">
        <f>EXP(-AP135)</f>
        <v>7.5333010585172655</v>
      </c>
      <c r="AQ136" s="8"/>
      <c r="AR136" s="8">
        <f>EXP(-AR135)</f>
        <v>7.5333010585172655</v>
      </c>
      <c r="AS136" s="8">
        <f>EXP(-AS135)</f>
        <v>4.8484868504213612</v>
      </c>
      <c r="AT136" s="8">
        <f>EXP(-AT135)</f>
        <v>2.8806040161848294</v>
      </c>
      <c r="AU136" s="8">
        <f>EXP(-AU135)</f>
        <v>1.9686210702754985</v>
      </c>
      <c r="BF136" s="2" t="s">
        <v>1154</v>
      </c>
      <c r="BG136" s="8"/>
      <c r="BH136" s="8">
        <f>EXP(-BH135)</f>
        <v>14.847527206961882</v>
      </c>
      <c r="BI136" s="8"/>
      <c r="BJ136" s="8">
        <f>EXP(-BJ135)</f>
        <v>6.2944397647084669</v>
      </c>
      <c r="BK136" s="8"/>
      <c r="BL136" s="8">
        <f>EXP(-BL135)</f>
        <v>6.2944397647084669</v>
      </c>
      <c r="BM136" s="8">
        <f>EXP(-BM135)</f>
        <v>4.0322854860455761</v>
      </c>
      <c r="BN136" s="8">
        <f>EXP(-BN135)</f>
        <v>2.427430603986048</v>
      </c>
      <c r="BO136" s="8">
        <f>EXP(-BO135)</f>
        <v>1.3257787199867919</v>
      </c>
    </row>
    <row r="137" spans="17:67" x14ac:dyDescent="0.2">
      <c r="R137" s="2" t="s">
        <v>1155</v>
      </c>
      <c r="S137" s="8"/>
      <c r="T137" s="8">
        <f>(1/(1+T136))</f>
        <v>6.5732663182913376E-2</v>
      </c>
      <c r="U137" s="8"/>
      <c r="V137" s="8">
        <f>(1/(1+V136))</f>
        <v>0.14574971767221312</v>
      </c>
      <c r="W137" s="8"/>
      <c r="X137" s="8">
        <f>(1/(1+X136))</f>
        <v>0.14574971767221312</v>
      </c>
      <c r="Y137" s="8">
        <f>(1/(1+Y136))</f>
        <v>0.18770377918951323</v>
      </c>
      <c r="Z137" s="8">
        <f>(1/(1+Z136))</f>
        <v>0.24989606853226218</v>
      </c>
      <c r="AA137" s="8">
        <f>(1/(1+AA136))</f>
        <v>0.31792300135913271</v>
      </c>
      <c r="AL137" s="2" t="s">
        <v>1155</v>
      </c>
      <c r="AM137" s="8"/>
      <c r="AN137" s="8">
        <f>(1/(1+AN136))</f>
        <v>5.2650118435302928E-2</v>
      </c>
      <c r="AO137" s="8"/>
      <c r="AP137" s="8">
        <f>(1/(1+AP136))</f>
        <v>0.11718794322882575</v>
      </c>
      <c r="AQ137" s="8"/>
      <c r="AR137" s="8">
        <f>(1/(1+AR136))</f>
        <v>0.11718794322882575</v>
      </c>
      <c r="AS137" s="8">
        <f>(1/(1+AS136))</f>
        <v>0.17098439743058563</v>
      </c>
      <c r="AT137" s="8">
        <f>(1/(1+AT136))</f>
        <v>0.25769184277223378</v>
      </c>
      <c r="AU137" s="8">
        <f>(1/(1+AU136))</f>
        <v>0.33685673460075405</v>
      </c>
      <c r="BF137" s="2" t="s">
        <v>1155</v>
      </c>
      <c r="BG137" s="8"/>
      <c r="BH137" s="8">
        <f>(1/(1+BH136))</f>
        <v>6.3101327225404347E-2</v>
      </c>
      <c r="BI137" s="8"/>
      <c r="BJ137" s="8">
        <f>(1/(1+BJ136))</f>
        <v>0.13709072009040937</v>
      </c>
      <c r="BK137" s="8"/>
      <c r="BL137" s="8">
        <f>(1/(1+BL136))</f>
        <v>0.13709072009040937</v>
      </c>
      <c r="BM137" s="8">
        <f>(1/(1+BM136))</f>
        <v>0.19871686587992263</v>
      </c>
      <c r="BN137" s="8">
        <f>(1/(1+BN136))</f>
        <v>0.29176374828333962</v>
      </c>
      <c r="BO137" s="8">
        <f>(1/(1+BO136))</f>
        <v>0.42996351776994463</v>
      </c>
    </row>
    <row r="138" spans="17:67" x14ac:dyDescent="0.2">
      <c r="T138" s="8"/>
      <c r="U138" s="8"/>
      <c r="V138" s="8"/>
      <c r="W138" s="8"/>
      <c r="X138" s="8"/>
      <c r="Y138" s="8"/>
      <c r="Z138" s="8"/>
      <c r="AN138" s="8"/>
      <c r="AO138" s="8"/>
      <c r="AP138" s="8"/>
      <c r="AQ138" s="8"/>
      <c r="AR138" s="8"/>
      <c r="AS138" s="8"/>
      <c r="AT138" s="8"/>
      <c r="BH138" s="8"/>
      <c r="BI138" s="8"/>
      <c r="BJ138" s="8"/>
      <c r="BK138" s="8"/>
      <c r="BL138" s="8"/>
      <c r="BM138" s="8"/>
      <c r="BN138" s="8"/>
    </row>
    <row r="139" spans="17:67" x14ac:dyDescent="0.2">
      <c r="R139" s="76" t="s">
        <v>1148</v>
      </c>
      <c r="S139" s="76" t="s">
        <v>1156</v>
      </c>
      <c r="T139" s="76" t="s">
        <v>1157</v>
      </c>
      <c r="U139" s="92" t="s">
        <v>1158</v>
      </c>
      <c r="V139" s="92" t="s">
        <v>1159</v>
      </c>
      <c r="W139" s="92" t="s">
        <v>1160</v>
      </c>
      <c r="AL139" s="76" t="s">
        <v>1148</v>
      </c>
      <c r="AM139" s="76" t="s">
        <v>1156</v>
      </c>
      <c r="AN139" s="76" t="s">
        <v>1157</v>
      </c>
      <c r="AO139" s="92" t="s">
        <v>1158</v>
      </c>
      <c r="AP139" s="92" t="s">
        <v>1159</v>
      </c>
      <c r="AQ139" s="92" t="s">
        <v>1160</v>
      </c>
      <c r="BF139" s="76" t="s">
        <v>1148</v>
      </c>
      <c r="BG139" s="76" t="s">
        <v>1156</v>
      </c>
      <c r="BH139" s="76" t="s">
        <v>1157</v>
      </c>
      <c r="BI139" s="92" t="s">
        <v>1158</v>
      </c>
      <c r="BJ139" s="92" t="s">
        <v>1159</v>
      </c>
      <c r="BK139" s="92" t="s">
        <v>1160</v>
      </c>
    </row>
    <row r="140" spans="17:67" x14ac:dyDescent="0.2">
      <c r="R140" s="76" t="s">
        <v>756</v>
      </c>
      <c r="S140" s="76">
        <v>-3.25</v>
      </c>
      <c r="T140" s="76">
        <v>1.2</v>
      </c>
      <c r="U140" s="92">
        <v>1</v>
      </c>
      <c r="V140" s="92">
        <v>0.25</v>
      </c>
      <c r="W140" s="92">
        <v>0.6</v>
      </c>
      <c r="AL140" s="76" t="s">
        <v>600</v>
      </c>
      <c r="AM140" s="76">
        <v>-3.75</v>
      </c>
      <c r="AN140" s="76">
        <v>1.4</v>
      </c>
      <c r="AO140" s="92">
        <v>1.2</v>
      </c>
      <c r="AP140" s="92">
        <v>0.32</v>
      </c>
      <c r="AQ140" s="92">
        <v>0.75</v>
      </c>
      <c r="BF140" s="76" t="s">
        <v>383</v>
      </c>
      <c r="BG140" s="76">
        <v>-4.2</v>
      </c>
      <c r="BH140" s="76">
        <v>1.6</v>
      </c>
      <c r="BI140" s="92">
        <v>1.4</v>
      </c>
      <c r="BJ140" s="92">
        <v>0.35</v>
      </c>
      <c r="BK140" s="92">
        <v>0.9</v>
      </c>
    </row>
    <row r="141" spans="17:67" x14ac:dyDescent="0.2">
      <c r="R141" s="76"/>
      <c r="S141" s="76"/>
      <c r="T141" s="76"/>
      <c r="U141" s="92"/>
      <c r="V141" s="92"/>
      <c r="W141" s="92"/>
      <c r="BF141" s="76"/>
      <c r="BG141" s="76"/>
      <c r="BH141" s="76"/>
      <c r="BI141" s="92"/>
      <c r="BJ141" s="92"/>
      <c r="BK141" s="92"/>
    </row>
    <row r="142" spans="17:67" x14ac:dyDescent="0.2">
      <c r="R142" s="76" t="s">
        <v>1148</v>
      </c>
      <c r="S142" s="76" t="s">
        <v>1149</v>
      </c>
      <c r="T142" s="76" t="s">
        <v>1150</v>
      </c>
      <c r="U142" s="92"/>
      <c r="AL142" s="76" t="s">
        <v>1148</v>
      </c>
      <c r="AM142" s="76" t="s">
        <v>1149</v>
      </c>
      <c r="AN142" s="76" t="s">
        <v>1150</v>
      </c>
      <c r="AO142" s="92"/>
      <c r="AP142" s="92"/>
      <c r="AQ142" s="92"/>
      <c r="BF142" s="86" t="s">
        <v>1148</v>
      </c>
      <c r="BG142" s="86" t="s">
        <v>1149</v>
      </c>
      <c r="BH142" s="86" t="s">
        <v>1150</v>
      </c>
      <c r="BJ142" s="92"/>
      <c r="BK142" s="92"/>
    </row>
    <row r="143" spans="17:67" x14ac:dyDescent="0.2">
      <c r="R143" s="76" t="s">
        <v>756</v>
      </c>
      <c r="S143" s="76">
        <v>55</v>
      </c>
      <c r="T143" s="76">
        <v>95</v>
      </c>
      <c r="U143" s="92"/>
      <c r="V143" s="92"/>
      <c r="W143" s="92"/>
      <c r="AL143" s="76" t="s">
        <v>600</v>
      </c>
      <c r="AM143" s="76">
        <v>70</v>
      </c>
      <c r="AN143" s="76">
        <v>100</v>
      </c>
      <c r="AO143" s="92"/>
      <c r="AP143" s="92"/>
      <c r="AQ143" s="92"/>
      <c r="BF143" s="86" t="s">
        <v>383</v>
      </c>
      <c r="BG143">
        <v>75</v>
      </c>
      <c r="BH143" s="86">
        <v>105</v>
      </c>
      <c r="BJ143" s="92"/>
      <c r="BK143" s="92"/>
    </row>
    <row r="144" spans="17:67" x14ac:dyDescent="0.2">
      <c r="R144" s="76"/>
      <c r="S144" s="76"/>
      <c r="T144" s="76"/>
      <c r="U144" s="92"/>
      <c r="V144" s="92"/>
      <c r="W144" s="92"/>
      <c r="AL144" s="92"/>
      <c r="AM144" s="92"/>
      <c r="AN144" s="92"/>
      <c r="AO144" s="92"/>
      <c r="AP144" s="92"/>
      <c r="AQ144" s="92"/>
      <c r="BJ144" s="92"/>
      <c r="BK144" s="92"/>
    </row>
    <row r="145" spans="18:63" x14ac:dyDescent="0.2">
      <c r="R145" s="76"/>
      <c r="S145" s="76"/>
      <c r="T145" s="76"/>
      <c r="U145" s="92"/>
      <c r="V145" s="92"/>
      <c r="W145" s="92"/>
      <c r="AL145" s="76"/>
      <c r="AM145" s="76"/>
      <c r="AN145" s="76"/>
      <c r="AO145" s="92"/>
      <c r="AP145" s="92"/>
      <c r="AQ145" s="92"/>
      <c r="BF145" s="76"/>
      <c r="BG145" s="76"/>
      <c r="BH145" s="76"/>
      <c r="BI145" s="92"/>
      <c r="BJ145" s="92"/>
      <c r="BK145" s="92"/>
    </row>
    <row r="146" spans="18:63" x14ac:dyDescent="0.2">
      <c r="R146" s="76"/>
      <c r="S146" s="76"/>
      <c r="T146" s="76"/>
      <c r="U146" s="92"/>
      <c r="V146" s="92"/>
      <c r="W146" s="92"/>
      <c r="AL146" s="76"/>
      <c r="AM146" s="76"/>
      <c r="AN146" s="76"/>
      <c r="AO146" s="92"/>
      <c r="AP146" s="92"/>
      <c r="AQ146" s="92"/>
      <c r="BF146" s="76"/>
      <c r="BG146" s="76"/>
      <c r="BH146" s="76"/>
      <c r="BI146" s="92"/>
      <c r="BJ146" s="92"/>
      <c r="BK146" s="92"/>
    </row>
    <row r="147" spans="18:63" x14ac:dyDescent="0.2">
      <c r="R147" s="76"/>
      <c r="S147" s="76"/>
      <c r="T147" s="76"/>
      <c r="U147" s="92"/>
      <c r="V147" s="92"/>
      <c r="W147" s="92"/>
      <c r="AL147" s="76"/>
      <c r="AM147" s="76"/>
      <c r="AN147" s="76"/>
      <c r="AO147" s="92"/>
      <c r="AP147" s="92"/>
      <c r="AQ147" s="92"/>
      <c r="BF147" s="76"/>
      <c r="BG147" s="76"/>
      <c r="BH147" s="76"/>
      <c r="BI147" s="92"/>
      <c r="BJ147" s="92"/>
      <c r="BK147" s="92"/>
    </row>
    <row r="148" spans="18:63" x14ac:dyDescent="0.2">
      <c r="R148" s="76"/>
      <c r="S148" s="76"/>
      <c r="T148" s="76"/>
      <c r="U148" s="92"/>
      <c r="V148" s="92"/>
      <c r="W148" s="92"/>
      <c r="AL148" s="76"/>
      <c r="AM148" s="76"/>
      <c r="AN148" s="76"/>
      <c r="AO148" s="92"/>
      <c r="AP148" s="92"/>
      <c r="AQ148" s="92"/>
      <c r="BF148" s="76"/>
      <c r="BG148" s="76"/>
      <c r="BH148" s="76"/>
      <c r="BI148" s="92"/>
      <c r="BJ148" s="92"/>
      <c r="BK148" s="92"/>
    </row>
    <row r="149" spans="18:63" x14ac:dyDescent="0.2">
      <c r="R149" s="76"/>
      <c r="S149" s="76"/>
      <c r="T149" s="76"/>
      <c r="U149" s="92"/>
      <c r="V149" s="92"/>
      <c r="W149" s="92"/>
      <c r="AL149" s="76"/>
      <c r="AM149" s="76"/>
      <c r="AN149" s="76"/>
      <c r="AO149" s="92"/>
      <c r="AP149" s="92"/>
      <c r="AQ149" s="92"/>
      <c r="BF149" s="76"/>
      <c r="BG149" s="76"/>
      <c r="BH149" s="76"/>
      <c r="BI149" s="92"/>
      <c r="BJ149" s="92"/>
      <c r="BK149" s="92"/>
    </row>
    <row r="150" spans="18:63" x14ac:dyDescent="0.2">
      <c r="R150" s="76"/>
      <c r="S150" s="76"/>
      <c r="T150" s="76"/>
      <c r="U150" s="92"/>
      <c r="V150" s="92"/>
      <c r="W150" s="92"/>
      <c r="AL150" s="76"/>
      <c r="AM150" s="76"/>
      <c r="AN150" s="76"/>
      <c r="AO150" s="92"/>
      <c r="AP150" s="92"/>
      <c r="AQ150" s="92"/>
      <c r="BF150" s="76"/>
      <c r="BG150" s="76"/>
      <c r="BH150" s="76"/>
      <c r="BI150" s="92"/>
      <c r="BJ150" s="92"/>
      <c r="BK150" s="92"/>
    </row>
    <row r="158" spans="18:63" x14ac:dyDescent="0.2">
      <c r="R158" s="86"/>
      <c r="S158"/>
      <c r="T158" s="86"/>
      <c r="BF158" s="86"/>
      <c r="BG158"/>
      <c r="BH158" s="86"/>
    </row>
    <row r="159" spans="18:63" x14ac:dyDescent="0.2">
      <c r="AL159" s="86"/>
      <c r="AM159"/>
      <c r="AN159" s="86"/>
      <c r="BF159" s="86"/>
      <c r="BG159"/>
      <c r="BH159" s="86"/>
    </row>
    <row r="160" spans="18:63" x14ac:dyDescent="0.2">
      <c r="R160" s="86"/>
      <c r="S160"/>
      <c r="T160" s="86"/>
      <c r="AL160" s="86"/>
      <c r="AM160"/>
      <c r="AN160" s="86"/>
      <c r="BF160" s="86"/>
      <c r="BG160"/>
      <c r="BH160" s="86"/>
    </row>
    <row r="161" spans="18:60" x14ac:dyDescent="0.2">
      <c r="R161" s="86"/>
      <c r="S161"/>
      <c r="T161" s="86"/>
      <c r="AL161" s="86"/>
      <c r="AM161"/>
      <c r="AN161" s="86"/>
      <c r="BF161" s="86"/>
      <c r="BG161"/>
      <c r="BH161" s="86"/>
    </row>
    <row r="162" spans="18:60" x14ac:dyDescent="0.2">
      <c r="R162" s="86"/>
      <c r="S162"/>
      <c r="T162" s="86"/>
      <c r="AL162" s="86"/>
      <c r="AM162"/>
      <c r="AN162" s="86"/>
      <c r="BF162" s="86"/>
      <c r="BG162"/>
      <c r="BH162" s="86"/>
    </row>
    <row r="163" spans="18:60" x14ac:dyDescent="0.2">
      <c r="R163" s="86"/>
      <c r="S163"/>
      <c r="T163" s="86"/>
      <c r="AL163" s="86"/>
      <c r="AM163"/>
      <c r="AN163" s="86"/>
      <c r="BF163" s="86"/>
      <c r="BG163"/>
      <c r="BH163" s="86"/>
    </row>
    <row r="164" spans="18:60" x14ac:dyDescent="0.2">
      <c r="R164" s="86"/>
      <c r="S164"/>
      <c r="T164" s="86"/>
      <c r="AL164" s="86"/>
      <c r="AM164"/>
      <c r="AN164" s="86"/>
      <c r="BF164" s="86"/>
      <c r="BG164"/>
      <c r="BH164" s="86"/>
    </row>
    <row r="165" spans="18:60" x14ac:dyDescent="0.2">
      <c r="R165" s="86"/>
      <c r="S165"/>
      <c r="T165" s="86"/>
      <c r="AL165" s="86"/>
      <c r="AM165"/>
      <c r="AN165" s="86"/>
      <c r="BF165" s="86"/>
      <c r="BG165"/>
      <c r="BH165" s="86"/>
    </row>
    <row r="166" spans="18:60" x14ac:dyDescent="0.2">
      <c r="R166" s="86"/>
      <c r="S166"/>
      <c r="T166" s="86"/>
      <c r="AL166" s="86"/>
      <c r="AM166"/>
      <c r="AN166" s="86"/>
      <c r="BF166" s="86"/>
      <c r="BG166"/>
      <c r="BH166" s="86"/>
    </row>
    <row r="167" spans="18:60" x14ac:dyDescent="0.2">
      <c r="R167" s="86"/>
      <c r="S167"/>
      <c r="T167" s="86"/>
      <c r="AL167" s="86"/>
      <c r="AM167"/>
      <c r="AN167" s="86"/>
      <c r="BF167" s="86"/>
      <c r="BG167"/>
      <c r="BH167" s="86"/>
    </row>
  </sheetData>
  <mergeCells count="75">
    <mergeCell ref="AH10:AK10"/>
    <mergeCell ref="N10:Q10"/>
    <mergeCell ref="N14:Q14"/>
    <mergeCell ref="N18:Q18"/>
    <mergeCell ref="N21:Q21"/>
    <mergeCell ref="BR62:BR64"/>
    <mergeCell ref="BR59:BR61"/>
    <mergeCell ref="BR56:BR58"/>
    <mergeCell ref="N71:Q71"/>
    <mergeCell ref="AH71:AK71"/>
    <mergeCell ref="BB71:BE71"/>
    <mergeCell ref="BB10:BE10"/>
    <mergeCell ref="BB14:BE14"/>
    <mergeCell ref="BB18:BE18"/>
    <mergeCell ref="BB21:BE21"/>
    <mergeCell ref="BB33:BE33"/>
    <mergeCell ref="BB34:BE34"/>
    <mergeCell ref="BC62:BC64"/>
    <mergeCell ref="BD62:BD64"/>
    <mergeCell ref="BE62:BE64"/>
    <mergeCell ref="N66:Q66"/>
    <mergeCell ref="AH66:AK66"/>
    <mergeCell ref="BB66:BE66"/>
    <mergeCell ref="BE59:BE61"/>
    <mergeCell ref="N62:N64"/>
    <mergeCell ref="O62:O64"/>
    <mergeCell ref="P62:P64"/>
    <mergeCell ref="Q62:Q64"/>
    <mergeCell ref="AH62:AH64"/>
    <mergeCell ref="AI62:AI64"/>
    <mergeCell ref="AJ62:AJ64"/>
    <mergeCell ref="AK62:AK64"/>
    <mergeCell ref="BB62:BB64"/>
    <mergeCell ref="AI59:AI61"/>
    <mergeCell ref="AJ59:AJ61"/>
    <mergeCell ref="AK59:AK61"/>
    <mergeCell ref="BB59:BB61"/>
    <mergeCell ref="BC59:BC61"/>
    <mergeCell ref="BD59:BD61"/>
    <mergeCell ref="AK56:AK58"/>
    <mergeCell ref="BB56:BB58"/>
    <mergeCell ref="BC56:BC58"/>
    <mergeCell ref="BD56:BD58"/>
    <mergeCell ref="BE56:BE58"/>
    <mergeCell ref="N59:N61"/>
    <mergeCell ref="O59:O61"/>
    <mergeCell ref="P59:P61"/>
    <mergeCell ref="Q59:Q61"/>
    <mergeCell ref="AH59:AH61"/>
    <mergeCell ref="N54:Q54"/>
    <mergeCell ref="AH54:AK54"/>
    <mergeCell ref="BB54:BE54"/>
    <mergeCell ref="N56:N58"/>
    <mergeCell ref="O56:O58"/>
    <mergeCell ref="P56:P58"/>
    <mergeCell ref="Q56:Q58"/>
    <mergeCell ref="AH56:AH58"/>
    <mergeCell ref="AI56:AI58"/>
    <mergeCell ref="AJ56:AJ58"/>
    <mergeCell ref="N42:Q42"/>
    <mergeCell ref="AH42:AK42"/>
    <mergeCell ref="BB42:BE42"/>
    <mergeCell ref="N47:Q47"/>
    <mergeCell ref="AH47:AK47"/>
    <mergeCell ref="BB47:BE47"/>
    <mergeCell ref="N41:Q41"/>
    <mergeCell ref="AH41:AK41"/>
    <mergeCell ref="BB41:BE41"/>
    <mergeCell ref="AH34:AK34"/>
    <mergeCell ref="N34:Q34"/>
    <mergeCell ref="AH21:AK21"/>
    <mergeCell ref="AH33:AK33"/>
    <mergeCell ref="N33:Q33"/>
    <mergeCell ref="AH18:AK18"/>
    <mergeCell ref="AH14:AK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2A5F-2FC6-A047-BC80-9094FFEC5C01}">
  <dimension ref="A1:BQ139"/>
  <sheetViews>
    <sheetView topLeftCell="BC116" zoomScale="125" zoomScaleNormal="125" workbookViewId="0">
      <selection activeCell="BO23" sqref="BO23:BQ23"/>
    </sheetView>
  </sheetViews>
  <sheetFormatPr baseColWidth="10" defaultRowHeight="16" x14ac:dyDescent="0.2"/>
  <cols>
    <col min="1" max="1" width="17.83203125" style="2" customWidth="1"/>
    <col min="2" max="2" width="22.1640625" style="2" customWidth="1"/>
    <col min="3" max="4" width="32.33203125" style="2" customWidth="1"/>
    <col min="5" max="5" width="89.1640625" style="3" customWidth="1"/>
    <col min="6" max="6" width="33" style="2" customWidth="1"/>
    <col min="7" max="7" width="18.6640625" style="2" customWidth="1"/>
    <col min="8" max="8" width="26" style="3" customWidth="1"/>
    <col min="9" max="9" width="29.1640625" style="2" customWidth="1"/>
    <col min="10" max="10" width="15.1640625" style="2" customWidth="1"/>
    <col min="11" max="11" width="18.6640625" style="2" customWidth="1"/>
    <col min="12" max="12" width="18.83203125" style="2" customWidth="1"/>
    <col min="13" max="13" width="18.33203125" style="2" customWidth="1"/>
    <col min="14" max="14" width="18" style="2" customWidth="1"/>
    <col min="15" max="15" width="17.5" style="2" customWidth="1"/>
    <col min="16" max="16" width="20.6640625" style="2" customWidth="1"/>
    <col min="17" max="17" width="18.6640625" style="2" customWidth="1"/>
    <col min="18" max="18" width="22.33203125" style="2" customWidth="1"/>
    <col min="19" max="19" width="23.6640625" style="2" customWidth="1"/>
    <col min="20" max="22" width="18.83203125" style="2" customWidth="1"/>
    <col min="23" max="23" width="18.33203125" style="2" customWidth="1"/>
    <col min="24" max="24" width="18" style="2" customWidth="1"/>
    <col min="25" max="26" width="17.5" style="2" customWidth="1"/>
    <col min="27" max="28" width="16.5" style="2" customWidth="1"/>
    <col min="29" max="29" width="10.83203125" style="2"/>
    <col min="30" max="30" width="15.1640625" style="2" customWidth="1"/>
    <col min="31" max="31" width="18.6640625" style="2" customWidth="1"/>
    <col min="32" max="32" width="18.83203125" style="2" customWidth="1"/>
    <col min="33" max="33" width="18.33203125" style="2" customWidth="1"/>
    <col min="34" max="34" width="18" style="2" customWidth="1"/>
    <col min="35" max="35" width="17.5" style="2" customWidth="1"/>
    <col min="36" max="36" width="16.6640625" style="2" customWidth="1"/>
    <col min="37" max="37" width="18.6640625" style="2" customWidth="1"/>
    <col min="38" max="38" width="22.83203125" style="2" customWidth="1"/>
    <col min="39" max="39" width="24.1640625" style="2" customWidth="1"/>
    <col min="40" max="42" width="15.33203125" style="2" customWidth="1"/>
    <col min="43" max="43" width="10.83203125" style="2"/>
    <col min="44" max="44" width="14.1640625" style="2" customWidth="1"/>
    <col min="45" max="45" width="22.1640625" style="2" customWidth="1"/>
    <col min="46" max="48" width="16.5" style="2" customWidth="1"/>
    <col min="49" max="49" width="10.83203125" style="2"/>
    <col min="50" max="50" width="15.1640625" style="2" customWidth="1"/>
    <col min="51" max="51" width="18.6640625" style="2" customWidth="1"/>
    <col min="52" max="52" width="18.83203125" style="2" customWidth="1"/>
    <col min="53" max="53" width="18.33203125" style="2" customWidth="1"/>
    <col min="54" max="54" width="18" style="2" customWidth="1"/>
    <col min="55" max="55" width="17.5" style="2" customWidth="1"/>
    <col min="56" max="56" width="16.6640625" style="2" customWidth="1"/>
    <col min="57" max="57" width="18.6640625" style="2" customWidth="1"/>
    <col min="58" max="58" width="23.1640625" style="2" customWidth="1"/>
    <col min="59" max="59" width="24.1640625" style="2" customWidth="1"/>
    <col min="60" max="62" width="15.33203125" style="2" customWidth="1"/>
    <col min="63" max="63" width="10.83203125" style="2"/>
    <col min="64" max="64" width="14.1640625" style="2" customWidth="1"/>
    <col min="65" max="65" width="22.1640625" style="2" customWidth="1"/>
    <col min="66" max="68" width="16.5" style="2" customWidth="1"/>
    <col min="69" max="16384" width="10.83203125" style="2"/>
  </cols>
  <sheetData>
    <row r="1" spans="1:69" ht="113" customHeight="1" x14ac:dyDescent="0.2">
      <c r="A1" s="2" t="e" vm="1">
        <v>#VALUE!</v>
      </c>
      <c r="C1" s="56" t="s">
        <v>633</v>
      </c>
    </row>
    <row r="2" spans="1:69" x14ac:dyDescent="0.2">
      <c r="K2" s="2" t="s">
        <v>229</v>
      </c>
      <c r="AE2" s="2" t="s">
        <v>230</v>
      </c>
      <c r="AY2" s="2" t="s">
        <v>231</v>
      </c>
    </row>
    <row r="3" spans="1:69" ht="51" x14ac:dyDescent="0.2">
      <c r="A3" s="2" t="s">
        <v>18</v>
      </c>
      <c r="B3" s="2" t="s">
        <v>19</v>
      </c>
      <c r="C3" s="2" t="s">
        <v>20</v>
      </c>
      <c r="D3" s="2" t="s">
        <v>349</v>
      </c>
      <c r="E3" s="3" t="s">
        <v>21</v>
      </c>
      <c r="F3" s="2" t="s">
        <v>22</v>
      </c>
      <c r="G3" s="2" t="s">
        <v>143</v>
      </c>
      <c r="H3" s="3" t="s">
        <v>24</v>
      </c>
      <c r="I3" s="2" t="s">
        <v>93</v>
      </c>
      <c r="K3" s="2" t="s">
        <v>94</v>
      </c>
      <c r="L3" s="2" t="s">
        <v>95</v>
      </c>
      <c r="M3" s="2" t="s">
        <v>96</v>
      </c>
      <c r="N3" s="2" t="s">
        <v>25</v>
      </c>
      <c r="O3" s="2" t="s">
        <v>26</v>
      </c>
      <c r="P3" s="2" t="s">
        <v>27</v>
      </c>
      <c r="Q3" s="2" t="s">
        <v>28</v>
      </c>
      <c r="R3" s="2" t="s">
        <v>348</v>
      </c>
      <c r="S3" s="3" t="s">
        <v>609</v>
      </c>
      <c r="T3" s="3" t="s">
        <v>610</v>
      </c>
      <c r="U3" s="3" t="s">
        <v>611</v>
      </c>
      <c r="V3" s="3" t="s">
        <v>612</v>
      </c>
      <c r="W3" s="3" t="s">
        <v>373</v>
      </c>
      <c r="X3" s="3" t="s">
        <v>378</v>
      </c>
      <c r="Y3" s="3" t="s">
        <v>667</v>
      </c>
      <c r="Z3" s="3" t="s">
        <v>668</v>
      </c>
      <c r="AA3" s="3" t="s">
        <v>664</v>
      </c>
      <c r="AB3" s="3" t="s">
        <v>665</v>
      </c>
      <c r="AC3" s="3" t="s">
        <v>666</v>
      </c>
      <c r="AE3" s="2" t="s">
        <v>94</v>
      </c>
      <c r="AF3" s="2" t="s">
        <v>95</v>
      </c>
      <c r="AG3" s="2" t="s">
        <v>96</v>
      </c>
      <c r="AH3" s="2" t="s">
        <v>25</v>
      </c>
      <c r="AI3" s="2" t="s">
        <v>26</v>
      </c>
      <c r="AJ3" s="2" t="s">
        <v>27</v>
      </c>
      <c r="AK3" s="2" t="s">
        <v>28</v>
      </c>
      <c r="AL3" s="3" t="s">
        <v>348</v>
      </c>
      <c r="AM3" s="3" t="s">
        <v>609</v>
      </c>
      <c r="AN3" s="3" t="s">
        <v>610</v>
      </c>
      <c r="AO3" s="3" t="s">
        <v>611</v>
      </c>
      <c r="AP3" s="3" t="s">
        <v>612</v>
      </c>
      <c r="AQ3" s="3" t="s">
        <v>373</v>
      </c>
      <c r="AR3" s="3" t="s">
        <v>378</v>
      </c>
      <c r="AS3" s="3" t="s">
        <v>667</v>
      </c>
      <c r="AT3" s="3" t="s">
        <v>668</v>
      </c>
      <c r="AU3" s="3" t="s">
        <v>664</v>
      </c>
      <c r="AV3" s="3" t="s">
        <v>665</v>
      </c>
      <c r="AW3" s="3" t="s">
        <v>666</v>
      </c>
      <c r="AY3" s="2" t="s">
        <v>94</v>
      </c>
      <c r="AZ3" s="2" t="s">
        <v>95</v>
      </c>
      <c r="BA3" s="2" t="s">
        <v>96</v>
      </c>
      <c r="BB3" s="2" t="s">
        <v>25</v>
      </c>
      <c r="BC3" s="2" t="s">
        <v>26</v>
      </c>
      <c r="BD3" s="2" t="s">
        <v>27</v>
      </c>
      <c r="BE3" s="2" t="s">
        <v>28</v>
      </c>
      <c r="BF3" s="3" t="s">
        <v>348</v>
      </c>
      <c r="BG3" s="3" t="s">
        <v>609</v>
      </c>
      <c r="BH3" s="3" t="s">
        <v>610</v>
      </c>
      <c r="BI3" s="3" t="s">
        <v>611</v>
      </c>
      <c r="BJ3" s="3" t="s">
        <v>612</v>
      </c>
      <c r="BK3" s="3" t="s">
        <v>373</v>
      </c>
      <c r="BL3" s="3" t="s">
        <v>378</v>
      </c>
      <c r="BM3" s="3" t="s">
        <v>667</v>
      </c>
      <c r="BN3" s="3" t="s">
        <v>668</v>
      </c>
      <c r="BO3" s="3" t="s">
        <v>664</v>
      </c>
      <c r="BP3" s="3" t="s">
        <v>665</v>
      </c>
      <c r="BQ3" s="3" t="s">
        <v>666</v>
      </c>
    </row>
    <row r="5" spans="1:69" ht="68" x14ac:dyDescent="0.2">
      <c r="A5" s="2" t="s">
        <v>29</v>
      </c>
      <c r="B5" s="2" t="s">
        <v>30</v>
      </c>
      <c r="C5" s="2" t="s">
        <v>617</v>
      </c>
      <c r="D5" s="2" t="s">
        <v>350</v>
      </c>
      <c r="E5" s="3" t="s">
        <v>68</v>
      </c>
      <c r="F5" s="3" t="s">
        <v>603</v>
      </c>
      <c r="G5" s="52" t="s">
        <v>619</v>
      </c>
      <c r="H5" s="3" t="s">
        <v>604</v>
      </c>
      <c r="I5" s="2" t="s">
        <v>605</v>
      </c>
      <c r="K5" s="2">
        <v>3.76</v>
      </c>
      <c r="L5" s="2" t="s">
        <v>613</v>
      </c>
      <c r="M5" s="2">
        <v>3.55</v>
      </c>
      <c r="N5" s="2">
        <v>3.55</v>
      </c>
      <c r="O5" s="2">
        <v>3.5</v>
      </c>
      <c r="P5" s="2">
        <v>3.4</v>
      </c>
      <c r="Q5" s="2">
        <v>3.25</v>
      </c>
      <c r="R5" s="2" t="s">
        <v>614</v>
      </c>
      <c r="S5" s="8">
        <f>K6</f>
        <v>18.617021276595747</v>
      </c>
      <c r="T5" s="8">
        <f>(S5-7)*3</f>
        <v>34.851063829787236</v>
      </c>
      <c r="U5" s="8">
        <f>M6</f>
        <v>19.718309859154932</v>
      </c>
      <c r="V5" s="8">
        <f>(U5-7)*3</f>
        <v>38.154929577464799</v>
      </c>
      <c r="W5" s="8">
        <v>55</v>
      </c>
      <c r="AA5" s="8">
        <f>(O6-7)*3</f>
        <v>39</v>
      </c>
      <c r="AB5" s="8">
        <f>(P6-7)*3</f>
        <v>40.764705882352942</v>
      </c>
      <c r="AC5" s="8">
        <f>(Q6-7)*3</f>
        <v>43.61538461538462</v>
      </c>
      <c r="AE5" s="2">
        <v>4.5</v>
      </c>
      <c r="AF5" s="2" t="s">
        <v>613</v>
      </c>
      <c r="AG5" s="2">
        <v>4.1500000000000004</v>
      </c>
      <c r="AH5" s="2">
        <v>4.1500000000000004</v>
      </c>
      <c r="AI5" s="2">
        <v>4.05</v>
      </c>
      <c r="AJ5" s="2">
        <v>3.9</v>
      </c>
      <c r="AK5" s="2">
        <v>3.75</v>
      </c>
      <c r="AL5" s="2" t="s">
        <v>614</v>
      </c>
      <c r="AM5" s="8">
        <f>AE6</f>
        <v>17.777777777777779</v>
      </c>
      <c r="AN5" s="8">
        <f>(AM5-7)*3</f>
        <v>32.333333333333336</v>
      </c>
      <c r="AO5" s="8">
        <f>AG6</f>
        <v>19.277108433734938</v>
      </c>
      <c r="AP5" s="8">
        <f>(AO5-7)*3</f>
        <v>36.831325301204814</v>
      </c>
      <c r="AQ5" s="8">
        <v>55</v>
      </c>
      <c r="AU5" s="8">
        <f>(AI6-7)*3</f>
        <v>38.259259259259267</v>
      </c>
      <c r="AV5" s="8">
        <f>(AJ6-7)*3</f>
        <v>40.538461538461547</v>
      </c>
      <c r="AW5" s="8">
        <f>(AK6-7)*3</f>
        <v>43</v>
      </c>
      <c r="AY5" s="2">
        <v>4.75</v>
      </c>
      <c r="AZ5" s="2" t="s">
        <v>424</v>
      </c>
      <c r="BA5" s="2">
        <v>4.25</v>
      </c>
      <c r="BB5" s="2">
        <v>4.25</v>
      </c>
      <c r="BC5" s="2">
        <v>4.1500000000000004</v>
      </c>
      <c r="BD5" s="2">
        <v>4.05</v>
      </c>
      <c r="BE5" s="2">
        <v>3.95</v>
      </c>
      <c r="BF5" s="2" t="s">
        <v>614</v>
      </c>
      <c r="BG5" s="8">
        <f>AY6</f>
        <v>18.94736842105263</v>
      </c>
      <c r="BH5" s="8">
        <f>(BG5-7)*3</f>
        <v>35.84210526315789</v>
      </c>
      <c r="BI5" s="8">
        <f>BA6</f>
        <v>21.176470588235293</v>
      </c>
      <c r="BJ5" s="8">
        <f>(BI5-7)*3</f>
        <v>42.529411764705884</v>
      </c>
      <c r="BK5" s="8">
        <v>60</v>
      </c>
      <c r="BO5" s="8">
        <f>(BC6-7)*3</f>
        <v>44.060240963855421</v>
      </c>
      <c r="BP5" s="8">
        <f>(BD6-7)*3</f>
        <v>45.666666666666664</v>
      </c>
      <c r="BQ5" s="8">
        <f>(BE6-7)*3</f>
        <v>47.354430379746837</v>
      </c>
    </row>
    <row r="6" spans="1:69" x14ac:dyDescent="0.2">
      <c r="F6" s="3"/>
      <c r="G6" s="4"/>
      <c r="J6" s="2" t="s">
        <v>607</v>
      </c>
      <c r="K6" s="8">
        <f>$K$9/K5</f>
        <v>18.617021276595747</v>
      </c>
      <c r="L6" s="2" t="s">
        <v>613</v>
      </c>
      <c r="M6" s="8">
        <f t="shared" ref="M6:Q6" si="0">$K$9/M5</f>
        <v>19.718309859154932</v>
      </c>
      <c r="N6" s="8">
        <f t="shared" si="0"/>
        <v>19.718309859154932</v>
      </c>
      <c r="O6" s="8">
        <f t="shared" si="0"/>
        <v>20</v>
      </c>
      <c r="P6" s="8">
        <f t="shared" si="0"/>
        <v>20.588235294117649</v>
      </c>
      <c r="Q6" s="8">
        <f t="shared" si="0"/>
        <v>21.53846153846154</v>
      </c>
      <c r="T6" s="8"/>
      <c r="U6" s="8"/>
      <c r="V6" s="8"/>
      <c r="W6" s="8"/>
      <c r="X6" s="8"/>
      <c r="Y6" s="8"/>
      <c r="Z6" s="8"/>
      <c r="AD6" s="2" t="s">
        <v>607</v>
      </c>
      <c r="AE6" s="8">
        <f>$AE$9/AE5</f>
        <v>17.777777777777779</v>
      </c>
      <c r="AF6" s="2" t="s">
        <v>613</v>
      </c>
      <c r="AG6" s="8">
        <f t="shared" ref="AG6:AK6" si="1">$AE$9/AG5</f>
        <v>19.277108433734938</v>
      </c>
      <c r="AH6" s="8">
        <f t="shared" si="1"/>
        <v>19.277108433734938</v>
      </c>
      <c r="AI6" s="8">
        <f t="shared" si="1"/>
        <v>19.753086419753089</v>
      </c>
      <c r="AJ6" s="8">
        <f t="shared" si="1"/>
        <v>20.512820512820515</v>
      </c>
      <c r="AK6" s="8">
        <f t="shared" si="1"/>
        <v>21.333333333333332</v>
      </c>
      <c r="AN6" s="8"/>
      <c r="AO6" s="8"/>
      <c r="AP6" s="8"/>
      <c r="AQ6" s="8"/>
      <c r="AR6" s="8"/>
      <c r="AS6" s="8"/>
      <c r="AX6" s="2" t="s">
        <v>607</v>
      </c>
      <c r="AY6" s="8">
        <f>$AY$9/AY5</f>
        <v>18.94736842105263</v>
      </c>
      <c r="AZ6" s="2" t="s">
        <v>613</v>
      </c>
      <c r="BA6" s="8">
        <f t="shared" ref="BA6:BE6" si="2">$AY$9/BA5</f>
        <v>21.176470588235293</v>
      </c>
      <c r="BB6" s="8">
        <f t="shared" si="2"/>
        <v>21.176470588235293</v>
      </c>
      <c r="BC6" s="8">
        <f t="shared" si="2"/>
        <v>21.686746987951807</v>
      </c>
      <c r="BD6" s="8">
        <f t="shared" si="2"/>
        <v>22.222222222222221</v>
      </c>
      <c r="BE6" s="8">
        <f t="shared" si="2"/>
        <v>22.784810126582279</v>
      </c>
      <c r="BH6" s="8"/>
      <c r="BI6" s="8"/>
      <c r="BJ6" s="8"/>
      <c r="BK6" s="8"/>
      <c r="BL6" s="8"/>
      <c r="BM6" s="8"/>
    </row>
    <row r="7" spans="1:69" ht="68" x14ac:dyDescent="0.2">
      <c r="C7" s="2" t="s">
        <v>618</v>
      </c>
      <c r="D7" s="2" t="s">
        <v>602</v>
      </c>
      <c r="E7" s="3" t="s">
        <v>69</v>
      </c>
      <c r="F7" s="3" t="s">
        <v>603</v>
      </c>
      <c r="G7" s="52" t="s">
        <v>619</v>
      </c>
      <c r="H7" s="3" t="s">
        <v>604</v>
      </c>
      <c r="I7" s="2" t="s">
        <v>606</v>
      </c>
      <c r="K7" s="2">
        <v>16</v>
      </c>
      <c r="L7" s="2" t="s">
        <v>613</v>
      </c>
      <c r="M7" s="2">
        <v>14.5</v>
      </c>
      <c r="N7" s="2">
        <v>14.5</v>
      </c>
      <c r="O7" s="2">
        <v>13.75</v>
      </c>
      <c r="P7" s="2">
        <v>13</v>
      </c>
      <c r="Q7" s="2">
        <v>12.25</v>
      </c>
      <c r="R7" s="2" t="s">
        <v>615</v>
      </c>
      <c r="S7" s="8">
        <f>K8</f>
        <v>17.5</v>
      </c>
      <c r="T7" s="8">
        <f>(S7-7)*3</f>
        <v>31.5</v>
      </c>
      <c r="U7" s="8">
        <f>M8</f>
        <v>19.310344827586206</v>
      </c>
      <c r="V7" s="8">
        <f>(U7-7)*3</f>
        <v>36.931034482758619</v>
      </c>
      <c r="W7" s="8">
        <v>60</v>
      </c>
      <c r="AA7" s="8">
        <f>(O8-7)*3</f>
        <v>40.090909090909093</v>
      </c>
      <c r="AB7" s="8">
        <f>(P8-7)*3</f>
        <v>43.61538461538462</v>
      </c>
      <c r="AC7" s="8">
        <f>(Q8-7)*3</f>
        <v>47.571428571428569</v>
      </c>
      <c r="AE7" s="2">
        <v>18</v>
      </c>
      <c r="AF7" s="2" t="s">
        <v>613</v>
      </c>
      <c r="AG7" s="2">
        <v>16.5</v>
      </c>
      <c r="AH7" s="2">
        <v>16.5</v>
      </c>
      <c r="AI7" s="2">
        <v>15.75</v>
      </c>
      <c r="AJ7" s="2">
        <v>15</v>
      </c>
      <c r="AK7" s="2">
        <v>14.25</v>
      </c>
      <c r="AL7" s="2" t="s">
        <v>615</v>
      </c>
      <c r="AM7" s="8">
        <f>AE8</f>
        <v>17.777777777777779</v>
      </c>
      <c r="AN7" s="8">
        <f>(AM7-7)*3</f>
        <v>32.333333333333336</v>
      </c>
      <c r="AO7" s="8">
        <f>AG8</f>
        <v>19.393939393939394</v>
      </c>
      <c r="AP7" s="8">
        <f>(AO7-7)*3</f>
        <v>37.181818181818187</v>
      </c>
      <c r="AQ7" s="8">
        <v>60</v>
      </c>
      <c r="AU7" s="8">
        <f>(AI8-7)*3</f>
        <v>39.952380952380949</v>
      </c>
      <c r="AV7" s="8">
        <f>(AJ8-7)*3</f>
        <v>43</v>
      </c>
      <c r="AW7" s="8">
        <f>(AK8-7)*3</f>
        <v>46.368421052631575</v>
      </c>
      <c r="AY7" s="2">
        <v>20</v>
      </c>
      <c r="AZ7" s="2" t="s">
        <v>473</v>
      </c>
      <c r="BA7" s="2">
        <v>17</v>
      </c>
      <c r="BB7" s="2">
        <v>17</v>
      </c>
      <c r="BC7" s="2">
        <v>16.25</v>
      </c>
      <c r="BD7" s="2">
        <v>15.75</v>
      </c>
      <c r="BE7" s="2">
        <v>15</v>
      </c>
      <c r="BF7" s="2" t="s">
        <v>615</v>
      </c>
      <c r="BG7" s="8">
        <f>AY8</f>
        <v>18</v>
      </c>
      <c r="BH7" s="8">
        <f>(BG7-7)*3</f>
        <v>33</v>
      </c>
      <c r="BI7" s="8">
        <f>BA8</f>
        <v>21.176470588235293</v>
      </c>
      <c r="BJ7" s="8">
        <f>(BI7-7)*3</f>
        <v>42.529411764705884</v>
      </c>
      <c r="BK7" s="8">
        <v>65</v>
      </c>
      <c r="BO7" s="8">
        <f>(BC8-7)*3</f>
        <v>45.46153846153846</v>
      </c>
      <c r="BP7" s="8">
        <f>(BD8-7)*3</f>
        <v>47.571428571428569</v>
      </c>
      <c r="BQ7" s="8">
        <f>(BE8-7)*3</f>
        <v>51</v>
      </c>
    </row>
    <row r="8" spans="1:69" x14ac:dyDescent="0.2">
      <c r="F8" s="3"/>
      <c r="G8" s="4"/>
      <c r="J8" s="2" t="s">
        <v>607</v>
      </c>
      <c r="K8" s="8">
        <f>($K$9*4)/K7</f>
        <v>17.5</v>
      </c>
      <c r="L8" s="2" t="s">
        <v>613</v>
      </c>
      <c r="M8" s="8">
        <f t="shared" ref="M8:Q8" si="3">($K$9*4)/M7</f>
        <v>19.310344827586206</v>
      </c>
      <c r="N8" s="8">
        <f t="shared" si="3"/>
        <v>19.310344827586206</v>
      </c>
      <c r="O8" s="8">
        <f t="shared" si="3"/>
        <v>20.363636363636363</v>
      </c>
      <c r="P8" s="8">
        <f t="shared" si="3"/>
        <v>21.53846153846154</v>
      </c>
      <c r="Q8" s="8">
        <f t="shared" si="3"/>
        <v>22.857142857142858</v>
      </c>
      <c r="T8" s="8"/>
      <c r="U8" s="8"/>
      <c r="V8" s="8"/>
      <c r="W8" s="8"/>
      <c r="X8" s="8"/>
      <c r="Y8" s="8"/>
      <c r="Z8" s="8"/>
      <c r="AD8" s="2" t="s">
        <v>607</v>
      </c>
      <c r="AE8" s="8">
        <f>($AE$9*4)/AE7</f>
        <v>17.777777777777779</v>
      </c>
      <c r="AF8" s="2" t="s">
        <v>613</v>
      </c>
      <c r="AG8" s="8">
        <f t="shared" ref="AG8:AK8" si="4">($AE$9*4)/AG7</f>
        <v>19.393939393939394</v>
      </c>
      <c r="AH8" s="8">
        <f t="shared" si="4"/>
        <v>19.393939393939394</v>
      </c>
      <c r="AI8" s="8">
        <f t="shared" si="4"/>
        <v>20.317460317460316</v>
      </c>
      <c r="AJ8" s="8">
        <f t="shared" si="4"/>
        <v>21.333333333333332</v>
      </c>
      <c r="AK8" s="8">
        <f t="shared" si="4"/>
        <v>22.456140350877192</v>
      </c>
      <c r="AN8" s="8"/>
      <c r="AO8" s="8"/>
      <c r="AP8" s="8"/>
      <c r="AQ8" s="8"/>
      <c r="AR8" s="8"/>
      <c r="AS8" s="8"/>
      <c r="AX8" s="2" t="s">
        <v>607</v>
      </c>
      <c r="AY8" s="8">
        <f>($AY$9*4)/AY7</f>
        <v>18</v>
      </c>
      <c r="AZ8" s="2" t="s">
        <v>613</v>
      </c>
      <c r="BA8" s="8">
        <f t="shared" ref="BA8:BE8" si="5">($AY$9*4)/BA7</f>
        <v>21.176470588235293</v>
      </c>
      <c r="BB8" s="8">
        <f t="shared" si="5"/>
        <v>21.176470588235293</v>
      </c>
      <c r="BC8" s="8">
        <f t="shared" si="5"/>
        <v>22.153846153846153</v>
      </c>
      <c r="BD8" s="8">
        <f t="shared" si="5"/>
        <v>22.857142857142858</v>
      </c>
      <c r="BE8" s="8">
        <f t="shared" si="5"/>
        <v>24</v>
      </c>
      <c r="BH8" s="8"/>
      <c r="BI8" s="8"/>
      <c r="BJ8" s="8"/>
      <c r="BK8" s="8"/>
    </row>
    <row r="9" spans="1:69" x14ac:dyDescent="0.2">
      <c r="F9" s="3"/>
      <c r="G9" s="4"/>
      <c r="J9" s="2" t="s">
        <v>601</v>
      </c>
      <c r="K9" s="8">
        <v>70</v>
      </c>
      <c r="M9" s="8"/>
      <c r="N9" s="8"/>
      <c r="O9" s="8"/>
      <c r="P9" s="8"/>
      <c r="Q9" s="8"/>
      <c r="T9" s="8"/>
      <c r="U9" s="8"/>
      <c r="V9" s="8"/>
      <c r="W9" s="8"/>
      <c r="X9" s="8"/>
      <c r="Y9" s="8"/>
      <c r="Z9" s="8"/>
      <c r="AD9" s="2" t="s">
        <v>601</v>
      </c>
      <c r="AE9" s="8">
        <v>80</v>
      </c>
      <c r="AN9" s="8"/>
      <c r="AO9" s="8"/>
      <c r="AP9" s="8"/>
      <c r="AQ9" s="8"/>
      <c r="AR9" s="8"/>
      <c r="AS9" s="8"/>
      <c r="AX9" s="2" t="s">
        <v>601</v>
      </c>
      <c r="AY9" s="8">
        <v>90</v>
      </c>
      <c r="BH9" s="8"/>
      <c r="BI9" s="8"/>
      <c r="BJ9" s="8"/>
      <c r="BK9" s="8"/>
    </row>
    <row r="10" spans="1:69" s="13" customFormat="1" x14ac:dyDescent="0.2">
      <c r="B10" s="13" t="s">
        <v>341</v>
      </c>
      <c r="D10" s="13" t="s">
        <v>759</v>
      </c>
      <c r="F10" s="14"/>
      <c r="I10" s="14"/>
      <c r="T10" s="17">
        <f>SUM(T5,T7)</f>
        <v>66.351063829787236</v>
      </c>
      <c r="V10" s="17">
        <f>SUM(V5,V7)</f>
        <v>75.085964060223418</v>
      </c>
      <c r="W10" s="17">
        <f>SUM(W5,W7)</f>
        <v>115</v>
      </c>
      <c r="AA10" s="17">
        <f t="shared" ref="AA10:AC10" si="6">SUM(AA5,AA7)</f>
        <v>79.090909090909093</v>
      </c>
      <c r="AB10" s="17">
        <f t="shared" si="6"/>
        <v>84.380090497737569</v>
      </c>
      <c r="AC10" s="17">
        <f t="shared" si="6"/>
        <v>91.186813186813197</v>
      </c>
      <c r="AN10" s="17">
        <f>SUM(AN5,AN7)</f>
        <v>64.666666666666671</v>
      </c>
      <c r="AP10" s="17">
        <f>SUM(AP5,AP7)</f>
        <v>74.013143483023001</v>
      </c>
      <c r="AQ10" s="17">
        <f>SUM(AQ5,AQ7)</f>
        <v>115</v>
      </c>
      <c r="AU10" s="17">
        <f t="shared" ref="AU10:AW10" si="7">SUM(AU5,AU7)</f>
        <v>78.211640211640216</v>
      </c>
      <c r="AV10" s="17">
        <f t="shared" si="7"/>
        <v>83.538461538461547</v>
      </c>
      <c r="AW10" s="17">
        <f t="shared" si="7"/>
        <v>89.368421052631575</v>
      </c>
      <c r="BB10" s="15" t="s">
        <v>471</v>
      </c>
      <c r="BC10" s="15"/>
      <c r="BD10" s="15"/>
      <c r="BE10" s="15"/>
      <c r="BH10" s="17">
        <f>SUM(BH5,BH7)</f>
        <v>68.84210526315789</v>
      </c>
      <c r="BJ10" s="17">
        <f>SUM(BJ5,BJ7)</f>
        <v>85.058823529411768</v>
      </c>
      <c r="BK10" s="17">
        <f>SUM(BK5,BK7)</f>
        <v>125</v>
      </c>
      <c r="BO10" s="17">
        <f t="shared" ref="BO10:BQ10" si="8">SUM(BO5,BO7)</f>
        <v>89.521779425393873</v>
      </c>
      <c r="BP10" s="17">
        <f t="shared" si="8"/>
        <v>93.238095238095241</v>
      </c>
      <c r="BQ10" s="17">
        <f t="shared" si="8"/>
        <v>98.354430379746844</v>
      </c>
    </row>
    <row r="11" spans="1:69" ht="17" x14ac:dyDescent="0.2">
      <c r="B11" s="2" t="s">
        <v>34</v>
      </c>
      <c r="C11" s="2" t="s">
        <v>36</v>
      </c>
      <c r="D11" s="2" t="s">
        <v>568</v>
      </c>
      <c r="E11" s="3" t="s">
        <v>73</v>
      </c>
      <c r="F11" s="2" t="s">
        <v>75</v>
      </c>
      <c r="H11" s="3" t="s">
        <v>79</v>
      </c>
      <c r="I11" s="2" t="s">
        <v>427</v>
      </c>
      <c r="K11" s="2">
        <v>20</v>
      </c>
      <c r="L11" s="7" t="s">
        <v>382</v>
      </c>
      <c r="M11" s="2">
        <v>31</v>
      </c>
      <c r="N11" s="2">
        <v>31</v>
      </c>
      <c r="O11" s="2">
        <v>33</v>
      </c>
      <c r="P11" s="2">
        <v>35</v>
      </c>
      <c r="Q11" s="2">
        <v>38</v>
      </c>
      <c r="R11" s="2" t="s">
        <v>428</v>
      </c>
      <c r="S11" s="2">
        <f>K11</f>
        <v>20</v>
      </c>
      <c r="T11" s="2">
        <f>S11/2</f>
        <v>10</v>
      </c>
      <c r="U11" s="2">
        <f t="shared" ref="U11:U12" si="9">M11</f>
        <v>31</v>
      </c>
      <c r="V11" s="2">
        <f>U11/2</f>
        <v>15.5</v>
      </c>
      <c r="W11" s="2">
        <f>40/2</f>
        <v>20</v>
      </c>
      <c r="AA11" s="8">
        <f>O11/2</f>
        <v>16.5</v>
      </c>
      <c r="AB11" s="8">
        <f>P11/2</f>
        <v>17.5</v>
      </c>
      <c r="AC11" s="8">
        <f>Q11/2</f>
        <v>19</v>
      </c>
      <c r="AE11" s="2">
        <v>22</v>
      </c>
      <c r="AF11" s="7" t="s">
        <v>574</v>
      </c>
      <c r="AG11" s="2">
        <v>33</v>
      </c>
      <c r="AH11" s="2">
        <v>33</v>
      </c>
      <c r="AI11" s="2">
        <v>35</v>
      </c>
      <c r="AJ11" s="2">
        <v>37</v>
      </c>
      <c r="AK11" s="2">
        <v>40</v>
      </c>
      <c r="AL11" s="2" t="s">
        <v>428</v>
      </c>
      <c r="AM11" s="2">
        <f>AE11</f>
        <v>22</v>
      </c>
      <c r="AN11" s="2">
        <f>AM11/2</f>
        <v>11</v>
      </c>
      <c r="AO11" s="2">
        <f t="shared" ref="AO11:AO12" si="10">AG11</f>
        <v>33</v>
      </c>
      <c r="AP11" s="2">
        <f>AO11/2</f>
        <v>16.5</v>
      </c>
      <c r="AQ11" s="2">
        <f>40/2</f>
        <v>20</v>
      </c>
      <c r="AU11" s="8">
        <f>AI11/2</f>
        <v>17.5</v>
      </c>
      <c r="AV11" s="8">
        <f>AJ11/2</f>
        <v>18.5</v>
      </c>
      <c r="AW11" s="8">
        <f>AK11/2</f>
        <v>20</v>
      </c>
      <c r="AY11" s="2">
        <v>22</v>
      </c>
      <c r="AZ11" s="7" t="s">
        <v>572</v>
      </c>
      <c r="BA11" s="2">
        <v>34</v>
      </c>
      <c r="BB11" s="2">
        <v>34</v>
      </c>
      <c r="BC11" s="2">
        <v>35</v>
      </c>
      <c r="BD11" s="2">
        <v>38</v>
      </c>
      <c r="BE11" s="2">
        <v>40</v>
      </c>
      <c r="BF11" s="2" t="s">
        <v>428</v>
      </c>
      <c r="BG11" s="2">
        <f>AY11</f>
        <v>22</v>
      </c>
      <c r="BH11" s="2">
        <f>BG11/2</f>
        <v>11</v>
      </c>
      <c r="BI11" s="2">
        <f t="shared" ref="BI11:BI12" si="11">BA11</f>
        <v>34</v>
      </c>
      <c r="BJ11" s="2">
        <f>BI11/2</f>
        <v>17</v>
      </c>
      <c r="BK11" s="2">
        <f>40/2</f>
        <v>20</v>
      </c>
      <c r="BO11" s="8">
        <f>BC11/2</f>
        <v>17.5</v>
      </c>
      <c r="BP11" s="8">
        <f>BD11/2</f>
        <v>19</v>
      </c>
      <c r="BQ11" s="8">
        <f>BE11/2</f>
        <v>20</v>
      </c>
    </row>
    <row r="12" spans="1:69" ht="17" x14ac:dyDescent="0.2">
      <c r="C12" s="2" t="s">
        <v>71</v>
      </c>
      <c r="D12" s="2" t="s">
        <v>569</v>
      </c>
      <c r="E12" s="3" t="s">
        <v>74</v>
      </c>
      <c r="F12" s="2" t="s">
        <v>75</v>
      </c>
      <c r="H12" s="3" t="s">
        <v>79</v>
      </c>
      <c r="I12" s="2" t="s">
        <v>427</v>
      </c>
      <c r="K12" s="2">
        <v>24</v>
      </c>
      <c r="L12" s="7" t="s">
        <v>570</v>
      </c>
      <c r="M12" s="2">
        <v>36</v>
      </c>
      <c r="N12" s="2">
        <v>36</v>
      </c>
      <c r="O12" s="2">
        <v>38</v>
      </c>
      <c r="P12" s="2">
        <v>40</v>
      </c>
      <c r="Q12" s="2">
        <v>42</v>
      </c>
      <c r="R12" s="2" t="s">
        <v>429</v>
      </c>
      <c r="S12" s="2">
        <f>K12</f>
        <v>24</v>
      </c>
      <c r="T12" s="8">
        <f>S12/3</f>
        <v>8</v>
      </c>
      <c r="U12" s="2">
        <f t="shared" si="9"/>
        <v>36</v>
      </c>
      <c r="V12" s="8">
        <f>U12/3</f>
        <v>12</v>
      </c>
      <c r="W12" s="2">
        <f>45/3</f>
        <v>15</v>
      </c>
      <c r="AA12" s="8">
        <f>O12/3</f>
        <v>12.666666666666666</v>
      </c>
      <c r="AB12" s="8">
        <f>P12/3</f>
        <v>13.333333333333334</v>
      </c>
      <c r="AC12" s="8">
        <f>Q12/3</f>
        <v>14</v>
      </c>
      <c r="AE12" s="2">
        <v>26</v>
      </c>
      <c r="AF12" s="7" t="s">
        <v>573</v>
      </c>
      <c r="AG12" s="2">
        <v>36</v>
      </c>
      <c r="AH12" s="2">
        <v>36</v>
      </c>
      <c r="AI12" s="2">
        <v>38</v>
      </c>
      <c r="AJ12" s="2">
        <v>40</v>
      </c>
      <c r="AK12" s="2">
        <v>42</v>
      </c>
      <c r="AL12" s="2" t="s">
        <v>429</v>
      </c>
      <c r="AM12" s="2">
        <f>AE12</f>
        <v>26</v>
      </c>
      <c r="AN12" s="8">
        <f>AM12/3</f>
        <v>8.6666666666666661</v>
      </c>
      <c r="AO12" s="2">
        <f t="shared" si="10"/>
        <v>36</v>
      </c>
      <c r="AP12" s="8">
        <f>AO12/3</f>
        <v>12</v>
      </c>
      <c r="AQ12" s="2">
        <f>45/3</f>
        <v>15</v>
      </c>
      <c r="AU12" s="8">
        <f>AI12/3</f>
        <v>12.666666666666666</v>
      </c>
      <c r="AV12" s="8">
        <f>AJ12/3</f>
        <v>13.333333333333334</v>
      </c>
      <c r="AW12" s="8">
        <f>AK12/3</f>
        <v>14</v>
      </c>
      <c r="AY12" s="2">
        <v>26</v>
      </c>
      <c r="AZ12" s="7" t="s">
        <v>575</v>
      </c>
      <c r="BA12" s="2">
        <v>39</v>
      </c>
      <c r="BB12" s="2">
        <v>40</v>
      </c>
      <c r="BC12" s="2">
        <v>42</v>
      </c>
      <c r="BD12" s="2">
        <v>44</v>
      </c>
      <c r="BE12" s="2">
        <v>46</v>
      </c>
      <c r="BF12" s="2" t="s">
        <v>429</v>
      </c>
      <c r="BG12" s="2">
        <f>AY12</f>
        <v>26</v>
      </c>
      <c r="BH12" s="8">
        <f>BG12/3</f>
        <v>8.6666666666666661</v>
      </c>
      <c r="BI12" s="2">
        <f t="shared" si="11"/>
        <v>39</v>
      </c>
      <c r="BJ12" s="8">
        <f>BI12/3</f>
        <v>13</v>
      </c>
      <c r="BK12" s="2">
        <f>45/3</f>
        <v>15</v>
      </c>
      <c r="BO12" s="8">
        <f>BC12/3</f>
        <v>14</v>
      </c>
      <c r="BP12" s="8">
        <f>BD12/3</f>
        <v>14.666666666666666</v>
      </c>
      <c r="BQ12" s="8">
        <f>BE12/3</f>
        <v>15.333333333333334</v>
      </c>
    </row>
    <row r="13" spans="1:69" s="13" customFormat="1" x14ac:dyDescent="0.2">
      <c r="B13" s="13" t="s">
        <v>397</v>
      </c>
      <c r="D13" s="13" t="s">
        <v>761</v>
      </c>
      <c r="F13" s="14"/>
      <c r="I13" s="14"/>
      <c r="O13" s="32" t="s">
        <v>440</v>
      </c>
      <c r="P13" s="32"/>
      <c r="Q13" s="32"/>
      <c r="R13" s="32"/>
      <c r="T13" s="17">
        <f>SUM(T11:T12)</f>
        <v>18</v>
      </c>
      <c r="V13" s="17">
        <f>SUM(V11:V12)</f>
        <v>27.5</v>
      </c>
      <c r="W13" s="17">
        <f>SUM(W11:W12)</f>
        <v>35</v>
      </c>
      <c r="AA13" s="17">
        <f t="shared" ref="AA13" si="12">SUM(AA11:AA12)</f>
        <v>29.166666666666664</v>
      </c>
      <c r="AB13" s="17">
        <f t="shared" ref="AB13" si="13">SUM(AB11:AB12)</f>
        <v>30.833333333333336</v>
      </c>
      <c r="AC13" s="17">
        <f t="shared" ref="AC13" si="14">SUM(AC11:AC12)</f>
        <v>33</v>
      </c>
      <c r="AI13" s="32" t="s">
        <v>440</v>
      </c>
      <c r="AJ13" s="32"/>
      <c r="AK13" s="32"/>
      <c r="AL13" s="32"/>
      <c r="AN13" s="17">
        <f>SUM(AN11:AN12)</f>
        <v>19.666666666666664</v>
      </c>
      <c r="AP13" s="17">
        <f>SUM(AP11:AP12)</f>
        <v>28.5</v>
      </c>
      <c r="AQ13" s="17">
        <f>SUM(AQ11:AQ12)</f>
        <v>35</v>
      </c>
      <c r="AU13" s="17">
        <f t="shared" ref="AU13" si="15">SUM(AU11:AU12)</f>
        <v>30.166666666666664</v>
      </c>
      <c r="AV13" s="17">
        <f t="shared" ref="AV13" si="16">SUM(AV11:AV12)</f>
        <v>31.833333333333336</v>
      </c>
      <c r="AW13" s="17">
        <f t="shared" ref="AW13" si="17">SUM(AW11:AW12)</f>
        <v>34</v>
      </c>
      <c r="BB13" s="15" t="s">
        <v>471</v>
      </c>
      <c r="BC13" s="15"/>
      <c r="BD13" s="15"/>
      <c r="BE13" s="15"/>
      <c r="BF13" s="59"/>
      <c r="BH13" s="17">
        <f>SUM(BH11:BH12)</f>
        <v>19.666666666666664</v>
      </c>
      <c r="BJ13" s="17">
        <f>SUM(BJ11:BJ12)</f>
        <v>30</v>
      </c>
      <c r="BK13" s="17">
        <f>SUM(BK11:BK12)</f>
        <v>35</v>
      </c>
      <c r="BO13" s="17">
        <f t="shared" ref="BO13:BQ13" si="18">SUM(BO11:BO12)</f>
        <v>31.5</v>
      </c>
      <c r="BP13" s="17">
        <f t="shared" si="18"/>
        <v>33.666666666666664</v>
      </c>
      <c r="BQ13" s="17">
        <f t="shared" si="18"/>
        <v>35.333333333333336</v>
      </c>
    </row>
    <row r="14" spans="1:69" ht="51" x14ac:dyDescent="0.2">
      <c r="B14" s="2" t="s">
        <v>37</v>
      </c>
      <c r="C14" s="2" t="s">
        <v>40</v>
      </c>
      <c r="D14" s="2" t="s">
        <v>408</v>
      </c>
      <c r="E14" s="3" t="s">
        <v>83</v>
      </c>
      <c r="F14" s="2" t="s">
        <v>77</v>
      </c>
      <c r="G14" s="3" t="s">
        <v>163</v>
      </c>
      <c r="H14" s="3" t="s">
        <v>84</v>
      </c>
      <c r="I14" s="2" t="s">
        <v>170</v>
      </c>
      <c r="K14" s="2">
        <v>11</v>
      </c>
      <c r="L14" s="2" t="s">
        <v>571</v>
      </c>
      <c r="M14" s="2">
        <v>15</v>
      </c>
      <c r="N14" s="2">
        <v>15</v>
      </c>
      <c r="O14" s="2">
        <v>16</v>
      </c>
      <c r="P14" s="2">
        <v>18</v>
      </c>
      <c r="Q14" s="2">
        <v>21</v>
      </c>
      <c r="R14" s="2" t="str">
        <f>D14</f>
        <v>ASPJUMP</v>
      </c>
      <c r="S14" s="2">
        <f>K14</f>
        <v>11</v>
      </c>
      <c r="T14" s="2">
        <v>11</v>
      </c>
      <c r="U14" s="2">
        <f>M14</f>
        <v>15</v>
      </c>
      <c r="V14" s="2">
        <v>14.75</v>
      </c>
      <c r="W14" s="2">
        <v>20</v>
      </c>
      <c r="AA14" s="2">
        <f>O14</f>
        <v>16</v>
      </c>
      <c r="AB14" s="2">
        <f>P14</f>
        <v>18</v>
      </c>
      <c r="AC14" s="2">
        <f>Q14</f>
        <v>21</v>
      </c>
      <c r="AE14" s="2">
        <v>11</v>
      </c>
      <c r="AF14" s="2" t="s">
        <v>571</v>
      </c>
      <c r="AG14" s="2">
        <v>15</v>
      </c>
      <c r="AH14" s="2">
        <v>15</v>
      </c>
      <c r="AI14" s="2">
        <v>16</v>
      </c>
      <c r="AJ14" s="2">
        <v>18</v>
      </c>
      <c r="AK14" s="2">
        <v>21</v>
      </c>
      <c r="AL14" s="2" t="str">
        <f>D14</f>
        <v>ASPJUMP</v>
      </c>
      <c r="AM14" s="2">
        <f>AE14</f>
        <v>11</v>
      </c>
      <c r="AN14" s="2">
        <f>AM14</f>
        <v>11</v>
      </c>
      <c r="AO14" s="2">
        <f>AG14</f>
        <v>15</v>
      </c>
      <c r="AP14" s="2">
        <f>AO14</f>
        <v>15</v>
      </c>
      <c r="AQ14" s="2">
        <v>20</v>
      </c>
      <c r="AU14" s="2">
        <f>AI14</f>
        <v>16</v>
      </c>
      <c r="AV14" s="2">
        <f>AJ14</f>
        <v>18</v>
      </c>
      <c r="AW14" s="2">
        <f>AK14</f>
        <v>21</v>
      </c>
      <c r="AY14" s="2">
        <v>12</v>
      </c>
      <c r="AZ14" s="2" t="s">
        <v>576</v>
      </c>
      <c r="BA14" s="2">
        <v>16.25</v>
      </c>
      <c r="BB14" s="2">
        <v>16.25</v>
      </c>
      <c r="BC14" s="2">
        <v>17</v>
      </c>
      <c r="BD14" s="2">
        <v>19</v>
      </c>
      <c r="BE14" s="2">
        <v>22</v>
      </c>
      <c r="BF14" s="2">
        <f>U14</f>
        <v>15</v>
      </c>
      <c r="BG14" s="2">
        <f>AY14</f>
        <v>12</v>
      </c>
      <c r="BH14" s="2">
        <f>BG14</f>
        <v>12</v>
      </c>
      <c r="BI14" s="2">
        <f>BA14</f>
        <v>16.25</v>
      </c>
      <c r="BJ14" s="2">
        <f>BI14</f>
        <v>16.25</v>
      </c>
      <c r="BK14" s="2">
        <v>20</v>
      </c>
      <c r="BO14" s="2">
        <f>BC14</f>
        <v>17</v>
      </c>
      <c r="BP14" s="2">
        <f>BD14</f>
        <v>19</v>
      </c>
      <c r="BQ14" s="2">
        <f>BE14</f>
        <v>22</v>
      </c>
    </row>
    <row r="15" spans="1:69" s="13" customFormat="1" x14ac:dyDescent="0.2">
      <c r="B15" s="13" t="s">
        <v>344</v>
      </c>
      <c r="D15" s="13" t="s">
        <v>760</v>
      </c>
      <c r="F15" s="14"/>
      <c r="G15" s="14"/>
      <c r="H15" s="14"/>
      <c r="I15" s="14"/>
      <c r="O15" s="32" t="s">
        <v>450</v>
      </c>
      <c r="P15" s="32"/>
      <c r="Q15" s="32"/>
      <c r="R15" s="32"/>
      <c r="T15" s="13">
        <f>T14</f>
        <v>11</v>
      </c>
      <c r="V15" s="13">
        <f>V14</f>
        <v>14.75</v>
      </c>
      <c r="W15" s="13">
        <f>W14</f>
        <v>20</v>
      </c>
      <c r="AA15" s="13">
        <f t="shared" ref="AA15" si="19">AA14</f>
        <v>16</v>
      </c>
      <c r="AB15" s="13">
        <f t="shared" ref="AB15" si="20">AB14</f>
        <v>18</v>
      </c>
      <c r="AC15" s="13">
        <f t="shared" ref="AC15" si="21">AC14</f>
        <v>21</v>
      </c>
      <c r="AI15" s="32" t="s">
        <v>450</v>
      </c>
      <c r="AJ15" s="32"/>
      <c r="AK15" s="32"/>
      <c r="AL15" s="32"/>
      <c r="AN15" s="13">
        <f>AN14</f>
        <v>11</v>
      </c>
      <c r="AP15" s="13">
        <f>AP14</f>
        <v>15</v>
      </c>
      <c r="AQ15" s="13">
        <f>AQ14</f>
        <v>20</v>
      </c>
      <c r="AU15" s="13">
        <f t="shared" ref="AU15" si="22">AU14</f>
        <v>16</v>
      </c>
      <c r="AV15" s="13">
        <f t="shared" ref="AV15" si="23">AV14</f>
        <v>18</v>
      </c>
      <c r="AW15" s="13">
        <f t="shared" ref="AW15" si="24">AW14</f>
        <v>21</v>
      </c>
      <c r="BB15" s="15" t="s">
        <v>471</v>
      </c>
      <c r="BC15" s="15"/>
      <c r="BD15" s="15"/>
      <c r="BE15" s="15"/>
      <c r="BF15" s="59"/>
      <c r="BH15" s="13">
        <f>BH14</f>
        <v>12</v>
      </c>
      <c r="BJ15" s="13">
        <f>BJ14</f>
        <v>16.25</v>
      </c>
      <c r="BK15" s="13">
        <f>BK14</f>
        <v>20</v>
      </c>
      <c r="BO15" s="13">
        <f t="shared" ref="BO15:BQ15" si="25">BO14</f>
        <v>17</v>
      </c>
      <c r="BP15" s="13">
        <f t="shared" si="25"/>
        <v>19</v>
      </c>
      <c r="BQ15" s="13">
        <f t="shared" si="25"/>
        <v>22</v>
      </c>
    </row>
    <row r="16" spans="1:69" ht="68" x14ac:dyDescent="0.2">
      <c r="B16" s="2" t="s">
        <v>41</v>
      </c>
      <c r="C16" s="2" t="s">
        <v>42</v>
      </c>
      <c r="D16" s="2" t="s">
        <v>352</v>
      </c>
      <c r="E16" s="3" t="s">
        <v>85</v>
      </c>
      <c r="F16" s="3" t="s">
        <v>172</v>
      </c>
      <c r="G16" s="3" t="s">
        <v>171</v>
      </c>
      <c r="H16" s="3" t="s">
        <v>80</v>
      </c>
      <c r="I16" s="2" t="s">
        <v>173</v>
      </c>
      <c r="K16" s="2">
        <v>14.99</v>
      </c>
      <c r="L16" s="2" t="s">
        <v>485</v>
      </c>
      <c r="M16" s="2">
        <v>24</v>
      </c>
      <c r="N16" s="2">
        <v>24</v>
      </c>
      <c r="O16" s="2">
        <v>25</v>
      </c>
      <c r="P16" s="2">
        <v>27</v>
      </c>
      <c r="Q16" s="2">
        <v>30</v>
      </c>
      <c r="R16" s="2" t="s">
        <v>367</v>
      </c>
      <c r="S16" s="2">
        <f t="shared" ref="S16:S17" si="26">K16</f>
        <v>14.99</v>
      </c>
      <c r="T16" s="8">
        <f>S16/3</f>
        <v>4.996666666666667</v>
      </c>
      <c r="U16" s="2">
        <f t="shared" ref="U16:U17" si="27">M16</f>
        <v>24</v>
      </c>
      <c r="V16" s="8">
        <f>U16/3</f>
        <v>8</v>
      </c>
      <c r="W16" s="8">
        <f>30/3</f>
        <v>10</v>
      </c>
      <c r="AA16" s="8">
        <f>O16/3</f>
        <v>8.3333333333333339</v>
      </c>
      <c r="AB16" s="8">
        <f>P16/3</f>
        <v>9</v>
      </c>
      <c r="AC16" s="8">
        <f>Q16/3</f>
        <v>10</v>
      </c>
      <c r="AE16" s="2">
        <v>14.99</v>
      </c>
      <c r="AF16" s="2" t="s">
        <v>485</v>
      </c>
      <c r="AG16" s="2">
        <v>24</v>
      </c>
      <c r="AH16" s="2">
        <v>24</v>
      </c>
      <c r="AI16" s="2">
        <v>25</v>
      </c>
      <c r="AJ16" s="2">
        <v>27</v>
      </c>
      <c r="AK16" s="2">
        <v>30</v>
      </c>
      <c r="AL16" s="2" t="s">
        <v>367</v>
      </c>
      <c r="AM16" s="2">
        <f t="shared" ref="AM16:AM17" si="28">AE16</f>
        <v>14.99</v>
      </c>
      <c r="AN16" s="8">
        <f>AM16/3</f>
        <v>4.996666666666667</v>
      </c>
      <c r="AO16" s="2">
        <f t="shared" ref="AO16:AO17" si="29">AG16</f>
        <v>24</v>
      </c>
      <c r="AP16" s="8">
        <f>AO16/3</f>
        <v>8</v>
      </c>
      <c r="AQ16" s="8">
        <f>30/3</f>
        <v>10</v>
      </c>
      <c r="AU16" s="8">
        <f>AI16/3</f>
        <v>8.3333333333333339</v>
      </c>
      <c r="AV16" s="8">
        <f>AJ16/3</f>
        <v>9</v>
      </c>
      <c r="AW16" s="8">
        <f>AK16/3</f>
        <v>10</v>
      </c>
      <c r="AY16" s="2">
        <v>14.99</v>
      </c>
      <c r="AZ16" s="2" t="s">
        <v>485</v>
      </c>
      <c r="BA16" s="2">
        <v>24</v>
      </c>
      <c r="BB16" s="2">
        <v>24</v>
      </c>
      <c r="BC16" s="2">
        <v>25</v>
      </c>
      <c r="BD16" s="2">
        <v>27</v>
      </c>
      <c r="BE16" s="2">
        <v>29</v>
      </c>
      <c r="BF16" s="2" t="s">
        <v>367</v>
      </c>
      <c r="BG16" s="2">
        <f t="shared" ref="BG16:BG17" si="30">AY16</f>
        <v>14.99</v>
      </c>
      <c r="BH16" s="8">
        <f>BG16/3</f>
        <v>4.996666666666667</v>
      </c>
      <c r="BI16" s="2">
        <f t="shared" ref="BI16:BI17" si="31">BA16</f>
        <v>24</v>
      </c>
      <c r="BJ16" s="8">
        <f>BI16/3</f>
        <v>8</v>
      </c>
      <c r="BK16" s="8">
        <f>30/3</f>
        <v>10</v>
      </c>
      <c r="BO16" s="8">
        <f>BC16/3</f>
        <v>8.3333333333333339</v>
      </c>
      <c r="BP16" s="8">
        <f>BD16/3</f>
        <v>9</v>
      </c>
      <c r="BQ16" s="8">
        <f>BE16/3</f>
        <v>9.6666666666666661</v>
      </c>
    </row>
    <row r="17" spans="1:69" ht="68" x14ac:dyDescent="0.2">
      <c r="C17" s="2" t="s">
        <v>43</v>
      </c>
      <c r="D17" s="2" t="s">
        <v>351</v>
      </c>
      <c r="E17" s="3" t="s">
        <v>86</v>
      </c>
      <c r="F17" s="3" t="s">
        <v>172</v>
      </c>
      <c r="G17" s="3" t="s">
        <v>171</v>
      </c>
      <c r="H17" s="3" t="s">
        <v>80</v>
      </c>
      <c r="I17" s="2" t="s">
        <v>173</v>
      </c>
      <c r="K17" s="9">
        <v>11.49</v>
      </c>
      <c r="L17" s="9" t="s">
        <v>484</v>
      </c>
      <c r="M17" s="9">
        <v>21.5</v>
      </c>
      <c r="N17" s="8">
        <v>21.5</v>
      </c>
      <c r="O17" s="2">
        <v>23</v>
      </c>
      <c r="P17" s="2">
        <v>25</v>
      </c>
      <c r="Q17" s="2">
        <v>27</v>
      </c>
      <c r="R17" s="2" t="s">
        <v>366</v>
      </c>
      <c r="S17" s="2">
        <f t="shared" si="26"/>
        <v>11.49</v>
      </c>
      <c r="T17" s="8">
        <f>S17/2</f>
        <v>5.7450000000000001</v>
      </c>
      <c r="U17" s="2">
        <f t="shared" si="27"/>
        <v>21.5</v>
      </c>
      <c r="V17" s="8">
        <f>U17/2</f>
        <v>10.75</v>
      </c>
      <c r="W17" s="8">
        <f>30/2</f>
        <v>15</v>
      </c>
      <c r="AA17" s="8">
        <f>O17/2</f>
        <v>11.5</v>
      </c>
      <c r="AB17" s="8">
        <f>P17/2</f>
        <v>12.5</v>
      </c>
      <c r="AC17" s="8">
        <f>Q17/2</f>
        <v>13.5</v>
      </c>
      <c r="AE17" s="9">
        <v>11.49</v>
      </c>
      <c r="AF17" s="9" t="s">
        <v>484</v>
      </c>
      <c r="AG17" s="9">
        <v>21.5</v>
      </c>
      <c r="AH17" s="8">
        <v>21.5</v>
      </c>
      <c r="AI17" s="2">
        <v>23</v>
      </c>
      <c r="AJ17" s="2">
        <v>25</v>
      </c>
      <c r="AK17" s="2">
        <v>27</v>
      </c>
      <c r="AL17" s="2" t="s">
        <v>366</v>
      </c>
      <c r="AM17" s="2">
        <f t="shared" si="28"/>
        <v>11.49</v>
      </c>
      <c r="AN17" s="8">
        <f>AM17/2</f>
        <v>5.7450000000000001</v>
      </c>
      <c r="AO17" s="2">
        <f t="shared" si="29"/>
        <v>21.5</v>
      </c>
      <c r="AP17" s="8">
        <f>AO17/2</f>
        <v>10.75</v>
      </c>
      <c r="AQ17" s="8">
        <f>30/2</f>
        <v>15</v>
      </c>
      <c r="AU17" s="8">
        <f>AI17/2</f>
        <v>11.5</v>
      </c>
      <c r="AV17" s="8">
        <f>AJ17/2</f>
        <v>12.5</v>
      </c>
      <c r="AW17" s="8">
        <f>AK17/2</f>
        <v>13.5</v>
      </c>
      <c r="AY17" s="9">
        <v>11.49</v>
      </c>
      <c r="AZ17" s="9" t="s">
        <v>484</v>
      </c>
      <c r="BA17" s="9">
        <v>21.5</v>
      </c>
      <c r="BB17" s="8">
        <v>21.5</v>
      </c>
      <c r="BC17" s="2">
        <v>23</v>
      </c>
      <c r="BD17" s="2">
        <v>25</v>
      </c>
      <c r="BE17" s="2">
        <v>27</v>
      </c>
      <c r="BF17" s="2" t="s">
        <v>366</v>
      </c>
      <c r="BG17" s="2">
        <f t="shared" si="30"/>
        <v>11.49</v>
      </c>
      <c r="BH17" s="8">
        <f>BG17/2</f>
        <v>5.7450000000000001</v>
      </c>
      <c r="BI17" s="2">
        <f t="shared" si="31"/>
        <v>21.5</v>
      </c>
      <c r="BJ17" s="8">
        <f>BI17/2</f>
        <v>10.75</v>
      </c>
      <c r="BK17" s="8">
        <f>30/2</f>
        <v>15</v>
      </c>
      <c r="BO17" s="8">
        <f>BC17/2</f>
        <v>11.5</v>
      </c>
      <c r="BP17" s="8">
        <f>BD17/2</f>
        <v>12.5</v>
      </c>
      <c r="BQ17" s="8">
        <f>BE17/2</f>
        <v>13.5</v>
      </c>
    </row>
    <row r="18" spans="1:69" s="13" customFormat="1" x14ac:dyDescent="0.2">
      <c r="B18" s="13" t="s">
        <v>342</v>
      </c>
      <c r="D18" s="13" t="s">
        <v>762</v>
      </c>
      <c r="F18" s="14"/>
      <c r="G18" s="14"/>
      <c r="H18" s="14"/>
      <c r="I18" s="14"/>
      <c r="O18" s="32" t="s">
        <v>441</v>
      </c>
      <c r="P18" s="32"/>
      <c r="Q18" s="32"/>
      <c r="R18" s="32"/>
      <c r="T18" s="17">
        <f>SUM(T16:T17)</f>
        <v>10.741666666666667</v>
      </c>
      <c r="V18" s="17">
        <f t="shared" ref="V18" si="32">SUM(V16:V17)</f>
        <v>18.75</v>
      </c>
      <c r="W18" s="17">
        <f t="shared" ref="W18" si="33">SUM(W16:W17)</f>
        <v>25</v>
      </c>
      <c r="AA18" s="17">
        <f t="shared" ref="AA18" si="34">SUM(AA16:AA17)</f>
        <v>19.833333333333336</v>
      </c>
      <c r="AB18" s="17">
        <f t="shared" ref="AB18" si="35">SUM(AB16:AB17)</f>
        <v>21.5</v>
      </c>
      <c r="AC18" s="17">
        <f t="shared" ref="AC18" si="36">SUM(AC16:AC17)</f>
        <v>23.5</v>
      </c>
      <c r="AI18" s="32" t="s">
        <v>441</v>
      </c>
      <c r="AJ18" s="32"/>
      <c r="AK18" s="32"/>
      <c r="AL18" s="32"/>
      <c r="AN18" s="17">
        <f>SUM(AN16:AN17)</f>
        <v>10.741666666666667</v>
      </c>
      <c r="AP18" s="17">
        <f t="shared" ref="AP18" si="37">SUM(AP16:AP17)</f>
        <v>18.75</v>
      </c>
      <c r="AQ18" s="17">
        <f t="shared" ref="AQ18" si="38">SUM(AQ16:AQ17)</f>
        <v>25</v>
      </c>
      <c r="AU18" s="17">
        <f t="shared" ref="AU18" si="39">SUM(AU16:AU17)</f>
        <v>19.833333333333336</v>
      </c>
      <c r="AV18" s="17">
        <f t="shared" ref="AV18" si="40">SUM(AV16:AV17)</f>
        <v>21.5</v>
      </c>
      <c r="AW18" s="17">
        <f t="shared" ref="AW18" si="41">SUM(AW16:AW17)</f>
        <v>23.5</v>
      </c>
      <c r="BB18" s="15" t="s">
        <v>471</v>
      </c>
      <c r="BC18" s="15"/>
      <c r="BD18" s="15"/>
      <c r="BE18" s="15"/>
      <c r="BF18" s="59"/>
      <c r="BH18" s="17">
        <f>SUM(BH16:BH17)</f>
        <v>10.741666666666667</v>
      </c>
      <c r="BJ18" s="17">
        <f t="shared" ref="BJ18:BK18" si="42">SUM(BJ16:BJ17)</f>
        <v>18.75</v>
      </c>
      <c r="BK18" s="17">
        <f t="shared" si="42"/>
        <v>25</v>
      </c>
      <c r="BO18" s="17">
        <f t="shared" ref="BO18:BQ18" si="43">SUM(BO16:BO17)</f>
        <v>19.833333333333336</v>
      </c>
      <c r="BP18" s="17">
        <f t="shared" si="43"/>
        <v>21.5</v>
      </c>
      <c r="BQ18" s="17">
        <f t="shared" si="43"/>
        <v>23.166666666666664</v>
      </c>
    </row>
    <row r="19" spans="1:69" ht="85" customHeight="1" x14ac:dyDescent="0.2">
      <c r="B19" s="2" t="s">
        <v>44</v>
      </c>
      <c r="C19" s="2" t="s">
        <v>45</v>
      </c>
      <c r="D19" s="2" t="s">
        <v>45</v>
      </c>
      <c r="E19" s="3" t="s">
        <v>89</v>
      </c>
      <c r="F19" s="3" t="s">
        <v>174</v>
      </c>
      <c r="G19" s="3" t="s">
        <v>175</v>
      </c>
      <c r="H19" s="3" t="s">
        <v>90</v>
      </c>
      <c r="I19" s="2" t="s">
        <v>182</v>
      </c>
      <c r="K19" s="3" t="s">
        <v>430</v>
      </c>
      <c r="L19" s="3" t="s">
        <v>432</v>
      </c>
      <c r="M19" s="3" t="s">
        <v>431</v>
      </c>
      <c r="N19" s="2" t="s">
        <v>181</v>
      </c>
      <c r="O19" s="2" t="s">
        <v>181</v>
      </c>
      <c r="P19" s="2" t="s">
        <v>181</v>
      </c>
      <c r="Q19" s="3" t="s">
        <v>431</v>
      </c>
      <c r="R19" s="3" t="s">
        <v>439</v>
      </c>
      <c r="S19" s="3" t="str">
        <f>K19</f>
        <v>Less than 180 Degrees Both Sides</v>
      </c>
      <c r="T19" s="8">
        <v>0</v>
      </c>
      <c r="U19" s="49" t="str">
        <f>L19</f>
        <v>This could be any combinantion between the low and high options</v>
      </c>
      <c r="V19" s="8">
        <v>4</v>
      </c>
      <c r="W19" s="8">
        <v>6</v>
      </c>
      <c r="AA19" s="2">
        <v>6</v>
      </c>
      <c r="AB19" s="2">
        <v>6</v>
      </c>
      <c r="AC19" s="2">
        <v>6</v>
      </c>
      <c r="AE19" s="3" t="s">
        <v>430</v>
      </c>
      <c r="AF19" s="3" t="s">
        <v>432</v>
      </c>
      <c r="AG19" s="3" t="s">
        <v>431</v>
      </c>
      <c r="AH19" s="2" t="s">
        <v>181</v>
      </c>
      <c r="AI19" s="2" t="s">
        <v>181</v>
      </c>
      <c r="AJ19" s="2" t="s">
        <v>181</v>
      </c>
      <c r="AK19" s="3" t="s">
        <v>431</v>
      </c>
      <c r="AL19" s="3" t="s">
        <v>439</v>
      </c>
      <c r="AM19" s="3" t="str">
        <f>AE19</f>
        <v>Less than 180 Degrees Both Sides</v>
      </c>
      <c r="AN19" s="8">
        <v>0</v>
      </c>
      <c r="AO19" s="49" t="str">
        <f>AF19</f>
        <v>This could be any combinantion between the low and high options</v>
      </c>
      <c r="AP19" s="8">
        <v>4</v>
      </c>
      <c r="AQ19" s="8">
        <v>6</v>
      </c>
      <c r="AU19" s="2">
        <v>6</v>
      </c>
      <c r="AV19" s="2">
        <v>6</v>
      </c>
      <c r="AW19" s="2">
        <v>6</v>
      </c>
      <c r="AY19" s="3" t="s">
        <v>430</v>
      </c>
      <c r="AZ19" s="3" t="s">
        <v>432</v>
      </c>
      <c r="BA19" s="3" t="s">
        <v>431</v>
      </c>
      <c r="BB19" s="2" t="s">
        <v>181</v>
      </c>
      <c r="BC19" s="2" t="s">
        <v>181</v>
      </c>
      <c r="BD19" s="2" t="s">
        <v>181</v>
      </c>
      <c r="BE19" s="3" t="s">
        <v>431</v>
      </c>
      <c r="BF19" s="3" t="s">
        <v>439</v>
      </c>
      <c r="BG19" s="3" t="str">
        <f>AY19</f>
        <v>Less than 180 Degrees Both Sides</v>
      </c>
      <c r="BH19" s="8">
        <v>0</v>
      </c>
      <c r="BI19" s="49" t="str">
        <f>AZ19</f>
        <v>This could be any combinantion between the low and high options</v>
      </c>
      <c r="BJ19" s="8">
        <v>4</v>
      </c>
      <c r="BK19" s="8">
        <v>6</v>
      </c>
      <c r="BO19" s="2">
        <v>6</v>
      </c>
      <c r="BP19" s="2">
        <v>6</v>
      </c>
      <c r="BQ19" s="2">
        <v>6</v>
      </c>
    </row>
    <row r="20" spans="1:69" ht="55" customHeight="1" x14ac:dyDescent="0.2">
      <c r="C20" s="2" t="s">
        <v>46</v>
      </c>
      <c r="D20" s="2" t="s">
        <v>353</v>
      </c>
      <c r="E20" s="3" t="s">
        <v>87</v>
      </c>
      <c r="F20" s="3" t="s">
        <v>176</v>
      </c>
      <c r="G20" s="3"/>
      <c r="H20" s="3" t="s">
        <v>90</v>
      </c>
      <c r="I20" s="2" t="s">
        <v>182</v>
      </c>
      <c r="K20" s="2" t="s">
        <v>330</v>
      </c>
      <c r="L20" s="2" t="s">
        <v>329</v>
      </c>
      <c r="M20" s="2" t="s">
        <v>331</v>
      </c>
      <c r="N20" s="2" t="s">
        <v>181</v>
      </c>
      <c r="O20" s="2" t="s">
        <v>329</v>
      </c>
      <c r="P20" s="2" t="s">
        <v>181</v>
      </c>
      <c r="Q20" s="2" t="s">
        <v>331</v>
      </c>
      <c r="R20" s="3" t="s">
        <v>368</v>
      </c>
      <c r="S20" s="3" t="str">
        <f>K20</f>
        <v>Cannot Touch Toes</v>
      </c>
      <c r="T20" s="8">
        <v>0</v>
      </c>
      <c r="U20" s="8" t="str">
        <f>L20</f>
        <v>Touches Toes</v>
      </c>
      <c r="V20" s="8">
        <v>3</v>
      </c>
      <c r="W20" s="8">
        <v>6</v>
      </c>
      <c r="AA20" s="2">
        <v>6</v>
      </c>
      <c r="AB20" s="2">
        <v>6</v>
      </c>
      <c r="AC20" s="2">
        <v>6</v>
      </c>
      <c r="AE20" s="2" t="s">
        <v>330</v>
      </c>
      <c r="AF20" s="2" t="s">
        <v>329</v>
      </c>
      <c r="AG20" s="2" t="s">
        <v>331</v>
      </c>
      <c r="AH20" s="2" t="s">
        <v>181</v>
      </c>
      <c r="AI20" s="2" t="s">
        <v>329</v>
      </c>
      <c r="AJ20" s="2" t="s">
        <v>181</v>
      </c>
      <c r="AK20" s="2" t="s">
        <v>331</v>
      </c>
      <c r="AL20" s="3" t="s">
        <v>368</v>
      </c>
      <c r="AM20" s="3" t="str">
        <f>AE20</f>
        <v>Cannot Touch Toes</v>
      </c>
      <c r="AN20" s="8">
        <v>0</v>
      </c>
      <c r="AO20" s="8" t="str">
        <f>AF20</f>
        <v>Touches Toes</v>
      </c>
      <c r="AP20" s="8">
        <v>3</v>
      </c>
      <c r="AQ20" s="8">
        <v>6</v>
      </c>
      <c r="AU20" s="2">
        <v>6</v>
      </c>
      <c r="AV20" s="2">
        <v>6</v>
      </c>
      <c r="AW20" s="2">
        <v>6</v>
      </c>
      <c r="AY20" s="2" t="s">
        <v>330</v>
      </c>
      <c r="AZ20" s="2" t="s">
        <v>329</v>
      </c>
      <c r="BA20" s="2" t="s">
        <v>331</v>
      </c>
      <c r="BB20" s="2" t="s">
        <v>181</v>
      </c>
      <c r="BC20" s="2" t="s">
        <v>329</v>
      </c>
      <c r="BD20" s="2" t="s">
        <v>181</v>
      </c>
      <c r="BE20" s="2" t="s">
        <v>331</v>
      </c>
      <c r="BF20" s="3" t="s">
        <v>368</v>
      </c>
      <c r="BG20" s="3" t="str">
        <f>AY20</f>
        <v>Cannot Touch Toes</v>
      </c>
      <c r="BH20" s="8">
        <v>0</v>
      </c>
      <c r="BI20" s="8" t="str">
        <f>AZ20</f>
        <v>Touches Toes</v>
      </c>
      <c r="BJ20" s="8">
        <v>3</v>
      </c>
      <c r="BK20" s="8">
        <v>6</v>
      </c>
      <c r="BO20" s="2">
        <v>6</v>
      </c>
      <c r="BP20" s="2">
        <v>6</v>
      </c>
      <c r="BQ20" s="2">
        <v>6</v>
      </c>
    </row>
    <row r="21" spans="1:69" ht="115" customHeight="1" x14ac:dyDescent="0.2">
      <c r="C21" s="2" t="s">
        <v>47</v>
      </c>
      <c r="D21" s="2" t="s">
        <v>354</v>
      </c>
      <c r="E21" s="3" t="s">
        <v>88</v>
      </c>
      <c r="F21" s="3" t="s">
        <v>177</v>
      </c>
      <c r="G21" s="3" t="s">
        <v>91</v>
      </c>
      <c r="H21" s="3" t="s">
        <v>92</v>
      </c>
      <c r="I21" s="2" t="s">
        <v>182</v>
      </c>
      <c r="K21" s="3" t="s">
        <v>333</v>
      </c>
      <c r="L21" s="3" t="s">
        <v>334</v>
      </c>
      <c r="M21" s="3" t="s">
        <v>332</v>
      </c>
      <c r="N21" s="2" t="s">
        <v>181</v>
      </c>
      <c r="O21" s="2" t="s">
        <v>181</v>
      </c>
      <c r="P21" s="2" t="s">
        <v>181</v>
      </c>
      <c r="Q21" s="3" t="s">
        <v>332</v>
      </c>
      <c r="R21" s="3" t="s">
        <v>369</v>
      </c>
      <c r="S21" s="3" t="str">
        <f>K21</f>
        <v>2 or more of Arms move forward of head, Pelvis not below the hips, Ankles Flare</v>
      </c>
      <c r="T21" s="8">
        <v>3</v>
      </c>
      <c r="U21" s="49" t="str">
        <f>L21</f>
        <v>1 or less of Arms move forward of head, Pelvis not below the hips, Ankles Flare</v>
      </c>
      <c r="V21" s="8">
        <v>3</v>
      </c>
      <c r="W21" s="8">
        <v>9</v>
      </c>
      <c r="AA21" s="2">
        <v>9</v>
      </c>
      <c r="AB21" s="2">
        <v>9</v>
      </c>
      <c r="AC21" s="2">
        <v>9</v>
      </c>
      <c r="AE21" s="3" t="s">
        <v>333</v>
      </c>
      <c r="AF21" s="3" t="s">
        <v>334</v>
      </c>
      <c r="AG21" s="3" t="s">
        <v>332</v>
      </c>
      <c r="AH21" s="2" t="s">
        <v>181</v>
      </c>
      <c r="AI21" s="2" t="s">
        <v>181</v>
      </c>
      <c r="AJ21" s="2" t="s">
        <v>181</v>
      </c>
      <c r="AK21" s="3" t="s">
        <v>332</v>
      </c>
      <c r="AL21" s="3" t="s">
        <v>369</v>
      </c>
      <c r="AM21" s="3" t="str">
        <f>AE21</f>
        <v>2 or more of Arms move forward of head, Pelvis not below the hips, Ankles Flare</v>
      </c>
      <c r="AN21" s="8">
        <v>3</v>
      </c>
      <c r="AO21" s="49" t="str">
        <f>AF21</f>
        <v>1 or less of Arms move forward of head, Pelvis not below the hips, Ankles Flare</v>
      </c>
      <c r="AP21" s="8">
        <v>3</v>
      </c>
      <c r="AQ21" s="8">
        <v>9</v>
      </c>
      <c r="AU21" s="2">
        <v>9</v>
      </c>
      <c r="AV21" s="2">
        <v>9</v>
      </c>
      <c r="AW21" s="2">
        <v>9</v>
      </c>
      <c r="AY21" s="3" t="s">
        <v>333</v>
      </c>
      <c r="AZ21" s="3" t="s">
        <v>334</v>
      </c>
      <c r="BA21" s="3" t="s">
        <v>332</v>
      </c>
      <c r="BB21" s="2" t="s">
        <v>181</v>
      </c>
      <c r="BC21" s="2" t="s">
        <v>181</v>
      </c>
      <c r="BD21" s="2" t="s">
        <v>181</v>
      </c>
      <c r="BE21" s="3" t="s">
        <v>332</v>
      </c>
      <c r="BF21" s="3" t="s">
        <v>369</v>
      </c>
      <c r="BG21" s="3" t="str">
        <f>AY21</f>
        <v>2 or more of Arms move forward of head, Pelvis not below the hips, Ankles Flare</v>
      </c>
      <c r="BH21" s="8">
        <v>3</v>
      </c>
      <c r="BI21" s="49" t="str">
        <f>AZ21</f>
        <v>1 or less of Arms move forward of head, Pelvis not below the hips, Ankles Flare</v>
      </c>
      <c r="BJ21" s="8">
        <v>3</v>
      </c>
      <c r="BK21" s="8">
        <v>9</v>
      </c>
      <c r="BO21" s="2">
        <v>9</v>
      </c>
      <c r="BP21" s="2">
        <v>9</v>
      </c>
      <c r="BQ21" s="2">
        <v>9</v>
      </c>
    </row>
    <row r="22" spans="1:69" s="13" customFormat="1" ht="83" customHeight="1" x14ac:dyDescent="0.2">
      <c r="B22" s="13" t="s">
        <v>343</v>
      </c>
      <c r="F22" s="14"/>
      <c r="I22" s="14"/>
      <c r="O22" s="14" t="s">
        <v>434</v>
      </c>
      <c r="P22" s="14" t="s">
        <v>433</v>
      </c>
      <c r="Q22" s="14" t="s">
        <v>435</v>
      </c>
      <c r="R22" s="14" t="s">
        <v>436</v>
      </c>
      <c r="T22" s="17">
        <f>SUM(T19:T21)</f>
        <v>3</v>
      </c>
      <c r="V22" s="17">
        <f t="shared" ref="V22" si="44">SUM(V19:V21)</f>
        <v>10</v>
      </c>
      <c r="W22" s="17">
        <f t="shared" ref="W22" si="45">SUM(W19:W21)</f>
        <v>21</v>
      </c>
      <c r="AA22" s="17">
        <f t="shared" ref="AA22" si="46">SUM(AA19:AA21)</f>
        <v>21</v>
      </c>
      <c r="AB22" s="17">
        <f t="shared" ref="AB22" si="47">SUM(AB19:AB21)</f>
        <v>21</v>
      </c>
      <c r="AC22" s="17">
        <f t="shared" ref="AC22" si="48">SUM(AC19:AC21)</f>
        <v>21</v>
      </c>
      <c r="AI22" s="14" t="s">
        <v>434</v>
      </c>
      <c r="AJ22" s="14" t="s">
        <v>433</v>
      </c>
      <c r="AK22" s="14" t="s">
        <v>435</v>
      </c>
      <c r="AL22" s="14" t="s">
        <v>436</v>
      </c>
      <c r="AN22" s="17">
        <f>SUM(AN19:AN21)</f>
        <v>3</v>
      </c>
      <c r="AP22" s="17">
        <f t="shared" ref="AP22" si="49">SUM(AP19:AP21)</f>
        <v>10</v>
      </c>
      <c r="AQ22" s="17">
        <f t="shared" ref="AQ22" si="50">SUM(AQ19:AQ21)</f>
        <v>21</v>
      </c>
      <c r="AU22" s="17">
        <f t="shared" ref="AU22" si="51">SUM(AU19:AU21)</f>
        <v>21</v>
      </c>
      <c r="AV22" s="17">
        <f t="shared" ref="AV22" si="52">SUM(AV19:AV21)</f>
        <v>21</v>
      </c>
      <c r="AW22" s="17">
        <f t="shared" ref="AW22" si="53">SUM(AW19:AW21)</f>
        <v>21</v>
      </c>
      <c r="BB22" s="14" t="s">
        <v>434</v>
      </c>
      <c r="BC22" s="14" t="s">
        <v>433</v>
      </c>
      <c r="BD22" s="14" t="s">
        <v>435</v>
      </c>
      <c r="BE22" s="14" t="s">
        <v>436</v>
      </c>
      <c r="BH22" s="17">
        <f>SUM(BH19:BH21)</f>
        <v>3</v>
      </c>
      <c r="BJ22" s="17">
        <f t="shared" ref="BJ22:BK22" si="54">SUM(BJ19:BJ21)</f>
        <v>10</v>
      </c>
      <c r="BK22" s="17">
        <f t="shared" si="54"/>
        <v>21</v>
      </c>
      <c r="BO22" s="17">
        <f t="shared" ref="BO22:BQ22" si="55">SUM(BO19:BO21)</f>
        <v>21</v>
      </c>
      <c r="BP22" s="17">
        <f t="shared" si="55"/>
        <v>21</v>
      </c>
      <c r="BQ22" s="17">
        <f t="shared" si="55"/>
        <v>21</v>
      </c>
    </row>
    <row r="23" spans="1:69" s="23" customFormat="1" x14ac:dyDescent="0.2">
      <c r="B23" s="23" t="s">
        <v>376</v>
      </c>
      <c r="D23" s="23" t="s">
        <v>758</v>
      </c>
      <c r="F23" s="24"/>
      <c r="I23" s="24"/>
      <c r="S23" s="26"/>
      <c r="T23" s="26">
        <f>SUM(T22,T18,T15,T13,T10)</f>
        <v>109.0927304964539</v>
      </c>
      <c r="U23" s="26"/>
      <c r="V23" s="26">
        <f t="shared" ref="V23:W23" si="56">SUM(V22,V18,V15,V13,V10)</f>
        <v>146.08596406022343</v>
      </c>
      <c r="W23" s="26">
        <f t="shared" si="56"/>
        <v>216</v>
      </c>
      <c r="X23" s="26">
        <v>50</v>
      </c>
      <c r="Y23" s="26">
        <f>(T23/W23)*X23</f>
        <v>25.252946874179145</v>
      </c>
      <c r="Z23" s="26">
        <f>(V23/W23)*X23</f>
        <v>33.81619538431098</v>
      </c>
      <c r="AA23" s="26">
        <f t="shared" ref="AA23:AC23" si="57">SUM(AA22,AA18,AA15,AA13,AA10)</f>
        <v>165.09090909090909</v>
      </c>
      <c r="AB23" s="26">
        <f t="shared" si="57"/>
        <v>175.71342383107091</v>
      </c>
      <c r="AC23" s="26">
        <f t="shared" si="57"/>
        <v>189.6868131868132</v>
      </c>
      <c r="AM23" s="26"/>
      <c r="AN23" s="26">
        <f>SUM(AN22,AN18,AN15,AN13,AN10)</f>
        <v>109.075</v>
      </c>
      <c r="AO23" s="26"/>
      <c r="AP23" s="26">
        <f t="shared" ref="AP23:AQ23" si="58">SUM(AP22,AP18,AP15,AP13,AP10)</f>
        <v>146.26314348302299</v>
      </c>
      <c r="AQ23" s="26">
        <f t="shared" si="58"/>
        <v>216</v>
      </c>
      <c r="AR23" s="26">
        <v>50</v>
      </c>
      <c r="AS23" s="26">
        <f>(AN23/AQ23)*AR23</f>
        <v>25.248842592592592</v>
      </c>
      <c r="AT23" s="26">
        <f>(AP23/AQ23)*AR23</f>
        <v>33.857209139588655</v>
      </c>
      <c r="AU23" s="26">
        <f t="shared" ref="AU23:AW23" si="59">SUM(AU22,AU18,AU15,AU13,AU10)</f>
        <v>165.2116402116402</v>
      </c>
      <c r="AV23" s="26">
        <f t="shared" si="59"/>
        <v>175.87179487179489</v>
      </c>
      <c r="AW23" s="26">
        <f t="shared" si="59"/>
        <v>188.86842105263156</v>
      </c>
      <c r="BG23" s="26"/>
      <c r="BH23" s="26">
        <f>SUM(BH22,BH18,BH15,BH13,BH10)</f>
        <v>114.25043859649122</v>
      </c>
      <c r="BI23" s="26"/>
      <c r="BJ23" s="26">
        <f t="shared" ref="BJ23:BK23" si="60">SUM(BJ22,BJ18,BJ15,BJ13,BJ10)</f>
        <v>160.05882352941177</v>
      </c>
      <c r="BK23" s="26">
        <f t="shared" si="60"/>
        <v>226</v>
      </c>
      <c r="BL23" s="26">
        <v>50</v>
      </c>
      <c r="BM23" s="26">
        <f>(BH23/BK23)*BL23</f>
        <v>25.276645707188322</v>
      </c>
      <c r="BN23" s="26">
        <f>(BJ23/BK23)*BL23</f>
        <v>35.411244143675169</v>
      </c>
      <c r="BO23" s="26">
        <f t="shared" ref="BO23:BQ23" si="61">SUM(BO22,BO18,BO15,BO13,BO10)</f>
        <v>178.85511275872722</v>
      </c>
      <c r="BP23" s="26">
        <f t="shared" si="61"/>
        <v>188.4047619047619</v>
      </c>
      <c r="BQ23" s="26">
        <f t="shared" si="61"/>
        <v>199.85443037974684</v>
      </c>
    </row>
    <row r="24" spans="1:69" ht="34" x14ac:dyDescent="0.2">
      <c r="A24" s="2" t="s">
        <v>48</v>
      </c>
      <c r="B24" s="2" t="s">
        <v>255</v>
      </c>
      <c r="C24" s="2" t="s">
        <v>49</v>
      </c>
      <c r="D24" s="2" t="s">
        <v>384</v>
      </c>
      <c r="E24" s="3" t="s">
        <v>97</v>
      </c>
      <c r="F24" s="2" t="s">
        <v>77</v>
      </c>
      <c r="H24" s="3" t="s">
        <v>79</v>
      </c>
      <c r="I24" s="2" t="s">
        <v>183</v>
      </c>
      <c r="K24" s="2">
        <v>4</v>
      </c>
      <c r="L24" s="7" t="s">
        <v>613</v>
      </c>
      <c r="M24" s="2">
        <v>7</v>
      </c>
      <c r="N24" s="2">
        <v>7</v>
      </c>
      <c r="O24" s="2">
        <v>8</v>
      </c>
      <c r="P24" s="2">
        <v>9</v>
      </c>
      <c r="Q24" s="2">
        <v>10</v>
      </c>
      <c r="R24" s="3" t="str">
        <f>D24</f>
        <v>HC10LD</v>
      </c>
      <c r="S24" s="2">
        <f t="shared" ref="S24:S28" si="62">K24</f>
        <v>4</v>
      </c>
      <c r="T24" s="2">
        <f>S24</f>
        <v>4</v>
      </c>
      <c r="U24" s="2">
        <f t="shared" ref="U24:U28" si="63">M24</f>
        <v>7</v>
      </c>
      <c r="V24" s="2">
        <f>U24</f>
        <v>7</v>
      </c>
      <c r="W24" s="2">
        <v>10</v>
      </c>
      <c r="AA24" s="8">
        <f>O24</f>
        <v>8</v>
      </c>
      <c r="AB24" s="8">
        <f t="shared" ref="AB24" si="64">P24</f>
        <v>9</v>
      </c>
      <c r="AC24" s="8">
        <f t="shared" ref="AC24" si="65">Q24</f>
        <v>10</v>
      </c>
      <c r="AE24" s="2">
        <v>4</v>
      </c>
      <c r="AF24" s="7" t="s">
        <v>613</v>
      </c>
      <c r="AG24" s="2">
        <v>7</v>
      </c>
      <c r="AH24" s="2">
        <v>7</v>
      </c>
      <c r="AI24" s="2">
        <v>8</v>
      </c>
      <c r="AJ24" s="2">
        <v>9</v>
      </c>
      <c r="AK24" s="2">
        <v>10</v>
      </c>
      <c r="AL24" s="2" t="str">
        <f>D24</f>
        <v>HC10LD</v>
      </c>
      <c r="AM24" s="2">
        <f t="shared" ref="AM24:AM28" si="66">AE24</f>
        <v>4</v>
      </c>
      <c r="AN24" s="2">
        <f>AM24</f>
        <v>4</v>
      </c>
      <c r="AO24" s="2">
        <f t="shared" ref="AO24:AO28" si="67">AG24</f>
        <v>7</v>
      </c>
      <c r="AP24" s="2">
        <f>AO24</f>
        <v>7</v>
      </c>
      <c r="AQ24" s="2">
        <v>10</v>
      </c>
      <c r="AU24" s="8">
        <f>AI24</f>
        <v>8</v>
      </c>
      <c r="AV24" s="8">
        <f t="shared" ref="AV24" si="68">AJ24</f>
        <v>9</v>
      </c>
      <c r="AW24" s="8">
        <f t="shared" ref="AW24" si="69">AK24</f>
        <v>10</v>
      </c>
      <c r="AY24" s="2">
        <v>4</v>
      </c>
      <c r="AZ24" s="7" t="s">
        <v>613</v>
      </c>
      <c r="BA24" s="2">
        <v>7</v>
      </c>
      <c r="BB24" s="2">
        <v>7</v>
      </c>
      <c r="BC24" s="2">
        <v>8</v>
      </c>
      <c r="BD24" s="2">
        <v>9</v>
      </c>
      <c r="BE24" s="2">
        <v>10</v>
      </c>
      <c r="BF24" s="2" t="str">
        <f>D24</f>
        <v>HC10LD</v>
      </c>
      <c r="BG24" s="2">
        <f t="shared" ref="BG24:BG28" si="70">AY24</f>
        <v>4</v>
      </c>
      <c r="BH24" s="2">
        <f>BG24</f>
        <v>4</v>
      </c>
      <c r="BI24" s="2">
        <f t="shared" ref="BI24:BI28" si="71">BA24</f>
        <v>7</v>
      </c>
      <c r="BJ24" s="2">
        <f>BI24</f>
        <v>7</v>
      </c>
      <c r="BK24" s="2">
        <v>10</v>
      </c>
      <c r="BO24" s="8">
        <f>BC24</f>
        <v>8</v>
      </c>
      <c r="BP24" s="8">
        <f t="shared" ref="BP24:BQ24" si="72">BD24</f>
        <v>9</v>
      </c>
      <c r="BQ24" s="8">
        <f t="shared" si="72"/>
        <v>10</v>
      </c>
    </row>
    <row r="25" spans="1:69" ht="51" x14ac:dyDescent="0.2">
      <c r="B25" s="2" t="s">
        <v>37</v>
      </c>
      <c r="C25" s="2" t="s">
        <v>67</v>
      </c>
      <c r="D25" s="2" t="s">
        <v>385</v>
      </c>
      <c r="E25" s="3" t="s">
        <v>245</v>
      </c>
      <c r="F25" s="3" t="s">
        <v>179</v>
      </c>
      <c r="G25" s="3" t="s">
        <v>180</v>
      </c>
      <c r="H25" s="3" t="s">
        <v>109</v>
      </c>
      <c r="I25" s="2" t="s">
        <v>184</v>
      </c>
      <c r="K25" s="2">
        <v>42</v>
      </c>
      <c r="L25" s="7" t="s">
        <v>613</v>
      </c>
      <c r="M25" s="2">
        <v>51</v>
      </c>
      <c r="N25" s="2">
        <v>51</v>
      </c>
      <c r="O25" s="2">
        <v>54</v>
      </c>
      <c r="P25" s="2">
        <v>58</v>
      </c>
      <c r="Q25" s="2">
        <v>62</v>
      </c>
      <c r="R25" s="3" t="s">
        <v>448</v>
      </c>
      <c r="S25" s="2">
        <f t="shared" si="62"/>
        <v>42</v>
      </c>
      <c r="T25" s="8">
        <f>S25/5</f>
        <v>8.4</v>
      </c>
      <c r="U25" s="2">
        <f t="shared" si="63"/>
        <v>51</v>
      </c>
      <c r="V25" s="8">
        <f>U25/5</f>
        <v>10.199999999999999</v>
      </c>
      <c r="W25" s="2">
        <v>15</v>
      </c>
      <c r="AA25" s="8">
        <f>O25/5</f>
        <v>10.8</v>
      </c>
      <c r="AB25" s="8">
        <f t="shared" ref="AB25" si="73">P25/5</f>
        <v>11.6</v>
      </c>
      <c r="AC25" s="8">
        <f t="shared" ref="AC25" si="74">Q25/5</f>
        <v>12.4</v>
      </c>
      <c r="AE25" s="2">
        <v>44</v>
      </c>
      <c r="AF25" s="7" t="s">
        <v>613</v>
      </c>
      <c r="AG25" s="2">
        <v>53</v>
      </c>
      <c r="AH25" s="2">
        <v>53</v>
      </c>
      <c r="AI25" s="2">
        <v>56</v>
      </c>
      <c r="AJ25" s="2">
        <v>60</v>
      </c>
      <c r="AK25" s="2">
        <v>64</v>
      </c>
      <c r="AL25" s="3" t="s">
        <v>448</v>
      </c>
      <c r="AM25" s="2">
        <f t="shared" si="66"/>
        <v>44</v>
      </c>
      <c r="AN25" s="8">
        <f>AM25/5</f>
        <v>8.8000000000000007</v>
      </c>
      <c r="AO25" s="2">
        <f t="shared" si="67"/>
        <v>53</v>
      </c>
      <c r="AP25" s="8">
        <f>AO25/5</f>
        <v>10.6</v>
      </c>
      <c r="AQ25" s="2">
        <v>15</v>
      </c>
      <c r="AU25" s="8">
        <f>AI25/5</f>
        <v>11.2</v>
      </c>
      <c r="AV25" s="8">
        <f t="shared" ref="AV25" si="75">AJ25/5</f>
        <v>12</v>
      </c>
      <c r="AW25" s="8">
        <f t="shared" ref="AW25" si="76">AK25/5</f>
        <v>12.8</v>
      </c>
      <c r="AY25" s="2">
        <v>44</v>
      </c>
      <c r="AZ25" s="7" t="s">
        <v>613</v>
      </c>
      <c r="BA25" s="2">
        <v>53</v>
      </c>
      <c r="BB25" s="2">
        <v>53</v>
      </c>
      <c r="BC25" s="2">
        <v>55</v>
      </c>
      <c r="BD25" s="2">
        <v>59</v>
      </c>
      <c r="BE25" s="2">
        <v>62</v>
      </c>
      <c r="BF25" s="3" t="s">
        <v>448</v>
      </c>
      <c r="BG25" s="2">
        <f t="shared" si="70"/>
        <v>44</v>
      </c>
      <c r="BH25" s="8">
        <f>BG25/5</f>
        <v>8.8000000000000007</v>
      </c>
      <c r="BI25" s="2">
        <f t="shared" si="71"/>
        <v>53</v>
      </c>
      <c r="BJ25" s="8">
        <f>BI25/5</f>
        <v>10.6</v>
      </c>
      <c r="BK25" s="2">
        <v>15</v>
      </c>
      <c r="BO25" s="8">
        <f>BC25/5</f>
        <v>11</v>
      </c>
      <c r="BP25" s="8">
        <f t="shared" ref="BP25:BQ25" si="77">BD25/5</f>
        <v>11.8</v>
      </c>
      <c r="BQ25" s="8">
        <f t="shared" si="77"/>
        <v>12.4</v>
      </c>
    </row>
    <row r="26" spans="1:69" ht="89" customHeight="1" x14ac:dyDescent="0.2">
      <c r="B26" s="2" t="s">
        <v>256</v>
      </c>
      <c r="C26" s="2" t="s">
        <v>100</v>
      </c>
      <c r="D26" s="2" t="s">
        <v>409</v>
      </c>
      <c r="E26" s="3" t="s">
        <v>105</v>
      </c>
      <c r="F26" s="3" t="s">
        <v>145</v>
      </c>
      <c r="G26" s="3" t="s">
        <v>104</v>
      </c>
      <c r="H26" s="3" t="s">
        <v>144</v>
      </c>
      <c r="I26" s="2" t="s">
        <v>193</v>
      </c>
      <c r="K26" s="2">
        <v>17</v>
      </c>
      <c r="L26" s="7" t="s">
        <v>613</v>
      </c>
      <c r="M26" s="2">
        <v>25</v>
      </c>
      <c r="N26" s="2">
        <v>25</v>
      </c>
      <c r="O26" s="2">
        <v>26</v>
      </c>
      <c r="P26" s="2">
        <v>28</v>
      </c>
      <c r="Q26" s="2">
        <v>30</v>
      </c>
      <c r="R26" s="3" t="str">
        <f>D26</f>
        <v>H10FAST</v>
      </c>
      <c r="S26" s="2">
        <f t="shared" si="62"/>
        <v>17</v>
      </c>
      <c r="T26" s="2">
        <f>S26</f>
        <v>17</v>
      </c>
      <c r="U26" s="2">
        <f t="shared" si="63"/>
        <v>25</v>
      </c>
      <c r="V26" s="2">
        <f>U26</f>
        <v>25</v>
      </c>
      <c r="W26" s="2">
        <v>50</v>
      </c>
      <c r="AA26" s="8">
        <f>O26</f>
        <v>26</v>
      </c>
      <c r="AB26" s="8">
        <f t="shared" ref="AB26:AB27" si="78">P26</f>
        <v>28</v>
      </c>
      <c r="AC26" s="8">
        <f t="shared" ref="AC26:AC27" si="79">Q26</f>
        <v>30</v>
      </c>
      <c r="AE26" s="2">
        <v>18</v>
      </c>
      <c r="AF26" s="7" t="s">
        <v>613</v>
      </c>
      <c r="AG26" s="2">
        <v>27</v>
      </c>
      <c r="AH26" s="2">
        <v>27</v>
      </c>
      <c r="AI26" s="2">
        <v>28</v>
      </c>
      <c r="AJ26" s="2">
        <v>30</v>
      </c>
      <c r="AK26" s="2">
        <v>32</v>
      </c>
      <c r="AL26" s="2" t="str">
        <f>D26</f>
        <v>H10FAST</v>
      </c>
      <c r="AM26" s="2">
        <f t="shared" si="66"/>
        <v>18</v>
      </c>
      <c r="AN26" s="2">
        <f>AM26</f>
        <v>18</v>
      </c>
      <c r="AO26" s="2">
        <f t="shared" si="67"/>
        <v>27</v>
      </c>
      <c r="AP26" s="2">
        <f>AO26</f>
        <v>27</v>
      </c>
      <c r="AQ26" s="2">
        <v>50</v>
      </c>
      <c r="AU26" s="8">
        <f>AI26</f>
        <v>28</v>
      </c>
      <c r="AV26" s="8">
        <f t="shared" ref="AV26:AV27" si="80">AJ26</f>
        <v>30</v>
      </c>
      <c r="AW26" s="8">
        <f t="shared" ref="AW26:AW27" si="81">AK26</f>
        <v>32</v>
      </c>
      <c r="AY26" s="2">
        <v>19</v>
      </c>
      <c r="AZ26" s="7" t="s">
        <v>613</v>
      </c>
      <c r="BA26" s="2">
        <v>28</v>
      </c>
      <c r="BB26" s="2">
        <v>28</v>
      </c>
      <c r="BC26" s="2">
        <v>29</v>
      </c>
      <c r="BD26" s="2">
        <v>31</v>
      </c>
      <c r="BE26" s="2">
        <v>34</v>
      </c>
      <c r="BF26" s="2" t="str">
        <f>D26</f>
        <v>H10FAST</v>
      </c>
      <c r="BG26" s="2">
        <f t="shared" si="70"/>
        <v>19</v>
      </c>
      <c r="BH26" s="2">
        <f>BG26</f>
        <v>19</v>
      </c>
      <c r="BI26" s="2">
        <f t="shared" si="71"/>
        <v>28</v>
      </c>
      <c r="BJ26" s="2">
        <f>BI26</f>
        <v>28</v>
      </c>
      <c r="BK26" s="2">
        <v>50</v>
      </c>
      <c r="BO26" s="8">
        <f>BC26</f>
        <v>29</v>
      </c>
      <c r="BP26" s="8">
        <f t="shared" ref="BP26:BQ26" si="82">BD26</f>
        <v>31</v>
      </c>
      <c r="BQ26" s="8">
        <f t="shared" si="82"/>
        <v>34</v>
      </c>
    </row>
    <row r="27" spans="1:69" ht="98" customHeight="1" x14ac:dyDescent="0.2">
      <c r="B27" s="2" t="s">
        <v>255</v>
      </c>
      <c r="C27" s="2" t="s">
        <v>102</v>
      </c>
      <c r="D27" s="2" t="s">
        <v>560</v>
      </c>
      <c r="E27" s="3" t="s">
        <v>107</v>
      </c>
      <c r="F27" s="3" t="s">
        <v>145</v>
      </c>
      <c r="G27" s="3" t="s">
        <v>103</v>
      </c>
      <c r="H27" s="3" t="s">
        <v>144</v>
      </c>
      <c r="I27" s="2" t="s">
        <v>192</v>
      </c>
      <c r="K27" s="2">
        <v>6</v>
      </c>
      <c r="L27" s="7" t="s">
        <v>613</v>
      </c>
      <c r="M27" s="2">
        <v>12</v>
      </c>
      <c r="N27" s="2">
        <v>12</v>
      </c>
      <c r="O27" s="2">
        <v>13</v>
      </c>
      <c r="P27" s="2">
        <v>14</v>
      </c>
      <c r="Q27" s="2">
        <v>15</v>
      </c>
      <c r="R27" s="3" t="s">
        <v>560</v>
      </c>
      <c r="S27" s="2">
        <f t="shared" si="62"/>
        <v>6</v>
      </c>
      <c r="T27" s="2">
        <f>S27</f>
        <v>6</v>
      </c>
      <c r="U27" s="2">
        <f t="shared" si="63"/>
        <v>12</v>
      </c>
      <c r="V27" s="2">
        <f>U27</f>
        <v>12</v>
      </c>
      <c r="W27" s="2">
        <v>25</v>
      </c>
      <c r="AA27" s="8">
        <f>O27</f>
        <v>13</v>
      </c>
      <c r="AB27" s="8">
        <f t="shared" si="78"/>
        <v>14</v>
      </c>
      <c r="AC27" s="8">
        <f t="shared" si="79"/>
        <v>15</v>
      </c>
      <c r="AE27" s="2">
        <v>7</v>
      </c>
      <c r="AF27" s="7" t="s">
        <v>613</v>
      </c>
      <c r="AG27" s="2">
        <v>13</v>
      </c>
      <c r="AH27" s="2">
        <v>13</v>
      </c>
      <c r="AI27" s="2">
        <v>14</v>
      </c>
      <c r="AJ27" s="2">
        <v>15</v>
      </c>
      <c r="AK27" s="2">
        <v>18</v>
      </c>
      <c r="AL27" s="3" t="s">
        <v>560</v>
      </c>
      <c r="AM27" s="2">
        <f t="shared" si="66"/>
        <v>7</v>
      </c>
      <c r="AN27" s="2">
        <f>AM27</f>
        <v>7</v>
      </c>
      <c r="AO27" s="2">
        <f t="shared" si="67"/>
        <v>13</v>
      </c>
      <c r="AP27" s="2">
        <f>AO27</f>
        <v>13</v>
      </c>
      <c r="AQ27" s="2">
        <v>25</v>
      </c>
      <c r="AU27" s="8">
        <f>AI27</f>
        <v>14</v>
      </c>
      <c r="AV27" s="8">
        <f t="shared" si="80"/>
        <v>15</v>
      </c>
      <c r="AW27" s="8">
        <f t="shared" si="81"/>
        <v>18</v>
      </c>
      <c r="AY27" s="2">
        <v>8</v>
      </c>
      <c r="AZ27" s="7" t="s">
        <v>613</v>
      </c>
      <c r="BA27" s="2">
        <v>14</v>
      </c>
      <c r="BB27" s="2">
        <v>14</v>
      </c>
      <c r="BC27" s="2">
        <v>15</v>
      </c>
      <c r="BD27" s="2">
        <v>16</v>
      </c>
      <c r="BE27" s="2">
        <v>18</v>
      </c>
      <c r="BF27" s="3" t="str">
        <f>D27</f>
        <v>H5VSPD</v>
      </c>
      <c r="BG27" s="2">
        <f t="shared" si="70"/>
        <v>8</v>
      </c>
      <c r="BH27" s="2">
        <f>BG27</f>
        <v>8</v>
      </c>
      <c r="BI27" s="2">
        <f t="shared" si="71"/>
        <v>14</v>
      </c>
      <c r="BJ27" s="2">
        <f>BI27</f>
        <v>14</v>
      </c>
      <c r="BK27" s="2">
        <v>25</v>
      </c>
      <c r="BO27" s="8">
        <f>BC27</f>
        <v>15</v>
      </c>
      <c r="BP27" s="8">
        <f>BD27</f>
        <v>16</v>
      </c>
      <c r="BQ27" s="8">
        <f>BE27</f>
        <v>18</v>
      </c>
    </row>
    <row r="28" spans="1:69" ht="51" x14ac:dyDescent="0.2">
      <c r="B28" s="2" t="s">
        <v>37</v>
      </c>
      <c r="C28" s="2" t="s">
        <v>98</v>
      </c>
      <c r="D28" s="2" t="s">
        <v>386</v>
      </c>
      <c r="E28" s="3" t="s">
        <v>99</v>
      </c>
      <c r="F28" s="2" t="s">
        <v>77</v>
      </c>
      <c r="G28" s="3" t="s">
        <v>180</v>
      </c>
      <c r="H28" s="3" t="s">
        <v>108</v>
      </c>
      <c r="I28" s="2" t="s">
        <v>187</v>
      </c>
      <c r="K28" s="2">
        <v>40</v>
      </c>
      <c r="L28" s="7" t="s">
        <v>613</v>
      </c>
      <c r="M28" s="2">
        <v>48</v>
      </c>
      <c r="N28" s="2">
        <v>48</v>
      </c>
      <c r="O28" s="2">
        <v>50</v>
      </c>
      <c r="P28" s="2">
        <v>52</v>
      </c>
      <c r="Q28" s="2">
        <v>56</v>
      </c>
      <c r="R28" s="2" t="s">
        <v>449</v>
      </c>
      <c r="S28" s="2">
        <f t="shared" si="62"/>
        <v>40</v>
      </c>
      <c r="T28" s="8">
        <f>S28/4</f>
        <v>10</v>
      </c>
      <c r="U28" s="2">
        <f t="shared" si="63"/>
        <v>48</v>
      </c>
      <c r="V28" s="8">
        <f>U28/4</f>
        <v>12</v>
      </c>
      <c r="W28" s="8">
        <v>18</v>
      </c>
      <c r="AA28" s="8">
        <f>O28/4</f>
        <v>12.5</v>
      </c>
      <c r="AB28" s="8">
        <f t="shared" ref="AB28" si="83">P28/4</f>
        <v>13</v>
      </c>
      <c r="AC28" s="8">
        <f t="shared" ref="AC28" si="84">Q28/4</f>
        <v>14</v>
      </c>
      <c r="AE28" s="2">
        <v>41</v>
      </c>
      <c r="AF28" s="7" t="s">
        <v>613</v>
      </c>
      <c r="AG28" s="2">
        <v>49</v>
      </c>
      <c r="AH28" s="2">
        <v>49</v>
      </c>
      <c r="AI28" s="2">
        <v>51</v>
      </c>
      <c r="AJ28" s="2">
        <v>54</v>
      </c>
      <c r="AK28" s="2">
        <v>58</v>
      </c>
      <c r="AL28" s="2" t="s">
        <v>449</v>
      </c>
      <c r="AM28" s="2">
        <f t="shared" si="66"/>
        <v>41</v>
      </c>
      <c r="AN28" s="8">
        <f>AM28/4</f>
        <v>10.25</v>
      </c>
      <c r="AO28" s="2">
        <f t="shared" si="67"/>
        <v>49</v>
      </c>
      <c r="AP28" s="8">
        <f>AO28/4</f>
        <v>12.25</v>
      </c>
      <c r="AQ28" s="8">
        <v>18</v>
      </c>
      <c r="AU28" s="8">
        <f>AI28/4</f>
        <v>12.75</v>
      </c>
      <c r="AV28" s="8">
        <f t="shared" ref="AV28" si="85">AJ28/4</f>
        <v>13.5</v>
      </c>
      <c r="AW28" s="8">
        <f t="shared" ref="AW28" si="86">AK28/4</f>
        <v>14.5</v>
      </c>
      <c r="AY28" s="2">
        <v>42</v>
      </c>
      <c r="AZ28" s="7" t="s">
        <v>613</v>
      </c>
      <c r="BA28" s="2">
        <v>51</v>
      </c>
      <c r="BB28" s="2">
        <v>51</v>
      </c>
      <c r="BC28" s="2">
        <v>54</v>
      </c>
      <c r="BD28" s="2">
        <v>56</v>
      </c>
      <c r="BE28" s="2">
        <v>60</v>
      </c>
      <c r="BF28" s="2" t="s">
        <v>449</v>
      </c>
      <c r="BG28" s="2">
        <f t="shared" si="70"/>
        <v>42</v>
      </c>
      <c r="BH28" s="8">
        <f>BG28/4</f>
        <v>10.5</v>
      </c>
      <c r="BI28" s="2">
        <f t="shared" si="71"/>
        <v>51</v>
      </c>
      <c r="BJ28" s="8">
        <f>BI28/4</f>
        <v>12.75</v>
      </c>
      <c r="BK28" s="8">
        <v>18</v>
      </c>
      <c r="BO28" s="8">
        <f>BC28/4</f>
        <v>13.5</v>
      </c>
      <c r="BP28" s="8">
        <f t="shared" ref="BP28:BQ28" si="87">BD28/4</f>
        <v>14</v>
      </c>
      <c r="BQ28" s="8">
        <f t="shared" si="87"/>
        <v>15</v>
      </c>
    </row>
    <row r="29" spans="1:69" s="13" customFormat="1" x14ac:dyDescent="0.2">
      <c r="B29" s="13" t="s">
        <v>398</v>
      </c>
      <c r="D29" s="13" t="s">
        <v>763</v>
      </c>
      <c r="F29" s="14"/>
      <c r="H29" s="14"/>
      <c r="I29" s="14"/>
      <c r="N29" s="15" t="s">
        <v>870</v>
      </c>
      <c r="O29" s="15"/>
      <c r="P29" s="15"/>
      <c r="Q29" s="15"/>
      <c r="R29" s="33"/>
      <c r="T29" s="17">
        <f>SUM(T27+T26+T24)</f>
        <v>27</v>
      </c>
      <c r="V29" s="17">
        <f>SUM(V27+V26+V24)</f>
        <v>44</v>
      </c>
      <c r="W29" s="17">
        <f>SUM(W27+W26+W24)</f>
        <v>85</v>
      </c>
      <c r="AA29" s="17">
        <f>SUM(AA27+AA26+AA24)</f>
        <v>47</v>
      </c>
      <c r="AB29" s="17">
        <f t="shared" ref="AB29:AC29" si="88">SUM(AB27+AB26+AB24)</f>
        <v>51</v>
      </c>
      <c r="AC29" s="17">
        <f t="shared" si="88"/>
        <v>55</v>
      </c>
      <c r="AH29" s="15" t="s">
        <v>870</v>
      </c>
      <c r="AI29" s="15"/>
      <c r="AJ29" s="15"/>
      <c r="AK29" s="15"/>
      <c r="AL29" s="33"/>
      <c r="AN29" s="17">
        <f>SUM(AN27+AN26+AN24)</f>
        <v>29</v>
      </c>
      <c r="AP29" s="17">
        <f>SUM(AP27+AP26+AP24)</f>
        <v>47</v>
      </c>
      <c r="AQ29" s="17">
        <f>SUM(AQ27+AQ26+AQ24)</f>
        <v>85</v>
      </c>
      <c r="AU29" s="17">
        <f>SUM(AU27+AU26+AU24)</f>
        <v>50</v>
      </c>
      <c r="AV29" s="17">
        <f t="shared" ref="AV29:AW29" si="89">SUM(AV27+AV26+AV24)</f>
        <v>54</v>
      </c>
      <c r="AW29" s="17">
        <f t="shared" si="89"/>
        <v>60</v>
      </c>
      <c r="BB29" s="15" t="s">
        <v>870</v>
      </c>
      <c r="BC29" s="15"/>
      <c r="BD29" s="15"/>
      <c r="BE29" s="15"/>
      <c r="BF29" s="33"/>
      <c r="BH29" s="17">
        <f>SUM(BH27+BH26+BH24)</f>
        <v>31</v>
      </c>
      <c r="BJ29" s="17">
        <f>SUM(BJ27+BJ26+BJ24)</f>
        <v>49</v>
      </c>
      <c r="BK29" s="17">
        <f>SUM(BK27+BK26+BK24)</f>
        <v>85</v>
      </c>
      <c r="BO29" s="17">
        <f>SUM(BO27+BO26+BO24)</f>
        <v>52</v>
      </c>
      <c r="BP29" s="17">
        <f t="shared" ref="BP29:BQ29" si="90">SUM(BP27+BP26+BP24)</f>
        <v>56</v>
      </c>
      <c r="BQ29" s="17">
        <f t="shared" si="90"/>
        <v>62</v>
      </c>
    </row>
    <row r="30" spans="1:69" s="30" customFormat="1" x14ac:dyDescent="0.2">
      <c r="B30" s="30" t="s">
        <v>399</v>
      </c>
      <c r="D30" s="30" t="s">
        <v>764</v>
      </c>
      <c r="F30" s="31"/>
      <c r="H30" s="31"/>
      <c r="I30" s="31"/>
      <c r="N30" s="35" t="s">
        <v>499</v>
      </c>
      <c r="O30" s="35"/>
      <c r="P30" s="35"/>
      <c r="Q30" s="35"/>
      <c r="R30" s="69"/>
      <c r="T30" s="36">
        <f>SUM(T28+T26+T25)</f>
        <v>35.4</v>
      </c>
      <c r="V30" s="36">
        <f t="shared" ref="V30:W30" si="91">SUM(V28+V26+V25)</f>
        <v>47.2</v>
      </c>
      <c r="W30" s="36">
        <f t="shared" si="91"/>
        <v>83</v>
      </c>
      <c r="AA30" s="36">
        <f t="shared" ref="AA30:AC30" si="92">SUM(AA28+AA26+AA25)</f>
        <v>49.3</v>
      </c>
      <c r="AB30" s="36">
        <f t="shared" si="92"/>
        <v>52.6</v>
      </c>
      <c r="AC30" s="36">
        <f t="shared" si="92"/>
        <v>56.4</v>
      </c>
      <c r="AH30" s="35" t="s">
        <v>499</v>
      </c>
      <c r="AI30" s="35"/>
      <c r="AJ30" s="35"/>
      <c r="AK30" s="35"/>
      <c r="AL30" s="69"/>
      <c r="AN30" s="36">
        <f>SUM(AN28+AN26+AN25)</f>
        <v>37.049999999999997</v>
      </c>
      <c r="AP30" s="36">
        <f t="shared" ref="AP30:AQ30" si="93">SUM(AP28+AP26+AP25)</f>
        <v>49.85</v>
      </c>
      <c r="AQ30" s="36">
        <f t="shared" si="93"/>
        <v>83</v>
      </c>
      <c r="AU30" s="36">
        <f t="shared" ref="AU30:AW30" si="94">SUM(AU28+AU26+AU25)</f>
        <v>51.95</v>
      </c>
      <c r="AV30" s="36">
        <f t="shared" si="94"/>
        <v>55.5</v>
      </c>
      <c r="AW30" s="36">
        <f t="shared" si="94"/>
        <v>59.3</v>
      </c>
      <c r="BB30" s="35" t="s">
        <v>499</v>
      </c>
      <c r="BC30" s="35"/>
      <c r="BD30" s="35"/>
      <c r="BE30" s="35"/>
      <c r="BF30" s="69"/>
      <c r="BH30" s="36">
        <f>SUM(BH28+BH26+BH25)</f>
        <v>38.299999999999997</v>
      </c>
      <c r="BJ30" s="36">
        <f t="shared" ref="BJ30:BK30" si="95">SUM(BJ28+BJ26+BJ25)</f>
        <v>51.35</v>
      </c>
      <c r="BK30" s="36">
        <f t="shared" si="95"/>
        <v>83</v>
      </c>
      <c r="BO30" s="36">
        <f t="shared" ref="BO30:BQ30" si="96">SUM(BO28+BO26+BO25)</f>
        <v>53.5</v>
      </c>
      <c r="BP30" s="36">
        <f t="shared" si="96"/>
        <v>56.8</v>
      </c>
      <c r="BQ30" s="36">
        <f t="shared" si="96"/>
        <v>61.4</v>
      </c>
    </row>
    <row r="31" spans="1:69" s="23" customFormat="1" x14ac:dyDescent="0.2">
      <c r="B31" s="23" t="s">
        <v>400</v>
      </c>
      <c r="D31" s="23" t="s">
        <v>656</v>
      </c>
      <c r="F31" s="24"/>
      <c r="I31" s="24"/>
      <c r="T31" s="23">
        <f>SUM(T24:T28)</f>
        <v>45.4</v>
      </c>
      <c r="V31" s="23">
        <f>SUM(V24:V28)</f>
        <v>66.2</v>
      </c>
      <c r="W31" s="23">
        <f>SUM(W24:W28)</f>
        <v>118</v>
      </c>
      <c r="X31" s="26">
        <v>50</v>
      </c>
      <c r="Y31" s="26">
        <f>(T31/W31)*X31</f>
        <v>19.237288135593218</v>
      </c>
      <c r="Z31" s="26">
        <f>(V31/W31)*X31</f>
        <v>28.050847457627121</v>
      </c>
      <c r="AA31" s="23">
        <f t="shared" ref="AA31:AC31" si="97">SUM(AA24:AA28)</f>
        <v>70.3</v>
      </c>
      <c r="AB31" s="23">
        <f t="shared" si="97"/>
        <v>75.599999999999994</v>
      </c>
      <c r="AC31" s="23">
        <f t="shared" si="97"/>
        <v>81.400000000000006</v>
      </c>
      <c r="AD31" s="26"/>
      <c r="AN31" s="23">
        <f>SUM(AN24:AN28)</f>
        <v>48.05</v>
      </c>
      <c r="AP31" s="23">
        <f>SUM(AP24:AP28)</f>
        <v>69.849999999999994</v>
      </c>
      <c r="AQ31" s="23">
        <f>SUM(AQ24:AQ28)</f>
        <v>118</v>
      </c>
      <c r="AR31" s="26">
        <v>50</v>
      </c>
      <c r="AS31" s="26">
        <f>(AN31/AQ31)*AR31</f>
        <v>20.360169491525422</v>
      </c>
      <c r="AT31" s="26">
        <f>(AP31/AQ31)*AR31</f>
        <v>29.59745762711864</v>
      </c>
      <c r="AU31" s="23">
        <f t="shared" ref="AU31:AW31" si="98">SUM(AU24:AU28)</f>
        <v>73.95</v>
      </c>
      <c r="AV31" s="23">
        <f t="shared" si="98"/>
        <v>79.5</v>
      </c>
      <c r="AW31" s="23">
        <f t="shared" si="98"/>
        <v>87.3</v>
      </c>
      <c r="BH31" s="23">
        <f>SUM(BH24:BH28)</f>
        <v>50.3</v>
      </c>
      <c r="BJ31" s="23">
        <f>SUM(BJ24:BJ28)</f>
        <v>72.349999999999994</v>
      </c>
      <c r="BK31" s="23">
        <f>SUM(BK24:BK28)</f>
        <v>118</v>
      </c>
      <c r="BL31" s="26">
        <v>50</v>
      </c>
      <c r="BM31" s="26">
        <f>(BH31/BK31)*BL31</f>
        <v>21.3135593220339</v>
      </c>
      <c r="BN31" s="26">
        <f>(BJ31/BK31)*BL31</f>
        <v>30.656779661016948</v>
      </c>
      <c r="BO31" s="23">
        <f t="shared" ref="BO31:BQ31" si="99">SUM(BO24:BO28)</f>
        <v>76.5</v>
      </c>
      <c r="BP31" s="23">
        <f t="shared" si="99"/>
        <v>81.8</v>
      </c>
      <c r="BQ31" s="23">
        <f t="shared" si="99"/>
        <v>89.4</v>
      </c>
    </row>
    <row r="32" spans="1:69" ht="47" customHeight="1" x14ac:dyDescent="0.2">
      <c r="A32" s="2" t="s">
        <v>52</v>
      </c>
      <c r="B32" s="2" t="s">
        <v>53</v>
      </c>
      <c r="C32" s="2" t="s">
        <v>50</v>
      </c>
      <c r="D32" s="2" t="s">
        <v>357</v>
      </c>
      <c r="E32" s="3" t="s">
        <v>557</v>
      </c>
      <c r="F32" s="2" t="s">
        <v>77</v>
      </c>
      <c r="G32" s="3" t="s">
        <v>186</v>
      </c>
      <c r="H32" s="3" t="s">
        <v>108</v>
      </c>
      <c r="I32" s="2" t="s">
        <v>187</v>
      </c>
      <c r="K32" s="2">
        <v>40</v>
      </c>
      <c r="L32" s="2" t="s">
        <v>577</v>
      </c>
      <c r="M32" s="2">
        <v>52</v>
      </c>
      <c r="N32" s="2">
        <v>52</v>
      </c>
      <c r="O32" s="2">
        <v>56</v>
      </c>
      <c r="P32" s="2">
        <v>60</v>
      </c>
      <c r="Q32" s="2">
        <v>64</v>
      </c>
      <c r="R32" s="2" t="s">
        <v>455</v>
      </c>
      <c r="S32" s="2">
        <f t="shared" ref="S32:S33" si="100">K32</f>
        <v>40</v>
      </c>
      <c r="T32" s="8">
        <f>S32/2</f>
        <v>20</v>
      </c>
      <c r="U32" s="2">
        <f t="shared" ref="U32:U33" si="101">M32</f>
        <v>52</v>
      </c>
      <c r="V32" s="8">
        <f>U32/2</f>
        <v>26</v>
      </c>
      <c r="W32" s="8">
        <f>70/2</f>
        <v>35</v>
      </c>
      <c r="AA32" s="2">
        <f>O32/2</f>
        <v>28</v>
      </c>
      <c r="AB32" s="2">
        <f t="shared" ref="AB32" si="102">P32/2</f>
        <v>30</v>
      </c>
      <c r="AC32" s="2">
        <f t="shared" ref="AC32" si="103">Q32/2</f>
        <v>32</v>
      </c>
      <c r="AE32" s="2">
        <v>43</v>
      </c>
      <c r="AF32" s="2" t="s">
        <v>578</v>
      </c>
      <c r="AG32" s="2">
        <v>55</v>
      </c>
      <c r="AH32" s="2">
        <v>55</v>
      </c>
      <c r="AI32" s="2">
        <v>60</v>
      </c>
      <c r="AJ32" s="2">
        <v>64</v>
      </c>
      <c r="AK32" s="2">
        <v>68</v>
      </c>
      <c r="AL32" s="2" t="s">
        <v>455</v>
      </c>
      <c r="AM32" s="2">
        <f t="shared" ref="AM32:AM33" si="104">AE32</f>
        <v>43</v>
      </c>
      <c r="AN32" s="8">
        <f>AM32/2</f>
        <v>21.5</v>
      </c>
      <c r="AO32" s="2">
        <f t="shared" ref="AO32:AO33" si="105">AG32</f>
        <v>55</v>
      </c>
      <c r="AP32" s="8">
        <f>AO32/2</f>
        <v>27.5</v>
      </c>
      <c r="AQ32" s="8">
        <f>75/2</f>
        <v>37.5</v>
      </c>
      <c r="AU32" s="2">
        <f>AI32/2</f>
        <v>30</v>
      </c>
      <c r="AV32" s="2">
        <f t="shared" ref="AV32" si="106">AJ32/2</f>
        <v>32</v>
      </c>
      <c r="AW32" s="2">
        <f t="shared" ref="AW32" si="107">AK32/2</f>
        <v>34</v>
      </c>
      <c r="AY32" s="2">
        <v>45</v>
      </c>
      <c r="AZ32" s="2" t="s">
        <v>581</v>
      </c>
      <c r="BA32" s="2">
        <v>57</v>
      </c>
      <c r="BB32" s="2">
        <v>57</v>
      </c>
      <c r="BC32" s="2">
        <v>62</v>
      </c>
      <c r="BD32" s="2">
        <v>66</v>
      </c>
      <c r="BE32" s="2">
        <v>70</v>
      </c>
      <c r="BF32" s="2" t="s">
        <v>455</v>
      </c>
      <c r="BG32" s="2">
        <f t="shared" ref="BG32:BG33" si="108">AY32</f>
        <v>45</v>
      </c>
      <c r="BH32" s="8">
        <f>BG32/2</f>
        <v>22.5</v>
      </c>
      <c r="BI32" s="2">
        <f t="shared" ref="BI32:BI33" si="109">BA32</f>
        <v>57</v>
      </c>
      <c r="BJ32" s="8">
        <f>BI32/2</f>
        <v>28.5</v>
      </c>
      <c r="BK32" s="8">
        <f>80/2</f>
        <v>40</v>
      </c>
      <c r="BO32" s="2">
        <f>BC32/2</f>
        <v>31</v>
      </c>
      <c r="BP32" s="2">
        <f t="shared" ref="BP32:BQ32" si="110">BD32/2</f>
        <v>33</v>
      </c>
      <c r="BQ32" s="2">
        <f t="shared" si="110"/>
        <v>35</v>
      </c>
    </row>
    <row r="33" spans="2:69" ht="61" customHeight="1" x14ac:dyDescent="0.2">
      <c r="B33" s="2" t="s">
        <v>53</v>
      </c>
      <c r="C33" s="2" t="s">
        <v>555</v>
      </c>
      <c r="D33" s="2" t="s">
        <v>559</v>
      </c>
      <c r="E33" s="3" t="s">
        <v>558</v>
      </c>
      <c r="F33" s="3" t="s">
        <v>387</v>
      </c>
      <c r="G33" s="3" t="s">
        <v>115</v>
      </c>
      <c r="H33" s="3" t="s">
        <v>147</v>
      </c>
      <c r="I33" s="3" t="s">
        <v>556</v>
      </c>
      <c r="J33" s="3"/>
      <c r="K33" s="2">
        <v>12</v>
      </c>
      <c r="L33" s="7" t="s">
        <v>579</v>
      </c>
      <c r="M33" s="2">
        <v>29</v>
      </c>
      <c r="N33" s="2">
        <v>29</v>
      </c>
      <c r="O33" s="2">
        <v>32</v>
      </c>
      <c r="P33" s="2">
        <v>36</v>
      </c>
      <c r="Q33" s="2">
        <v>40</v>
      </c>
      <c r="R33" s="2" t="str">
        <f>D33</f>
        <v>TPITCH2060</v>
      </c>
      <c r="S33" s="2">
        <f t="shared" si="100"/>
        <v>12</v>
      </c>
      <c r="T33" s="2">
        <f>S33</f>
        <v>12</v>
      </c>
      <c r="U33" s="2">
        <f t="shared" si="101"/>
        <v>29</v>
      </c>
      <c r="V33" s="2">
        <f>U33</f>
        <v>29</v>
      </c>
      <c r="W33" s="2">
        <v>60</v>
      </c>
      <c r="AA33" s="2">
        <f>O33</f>
        <v>32</v>
      </c>
      <c r="AB33" s="2">
        <f t="shared" ref="AB33" si="111">P33</f>
        <v>36</v>
      </c>
      <c r="AC33" s="2">
        <f t="shared" ref="AC33" si="112">Q33</f>
        <v>40</v>
      </c>
      <c r="AE33" s="2">
        <v>16</v>
      </c>
      <c r="AF33" s="7" t="s">
        <v>580</v>
      </c>
      <c r="AG33" s="2">
        <v>33</v>
      </c>
      <c r="AH33" s="2">
        <v>33</v>
      </c>
      <c r="AI33" s="2">
        <v>37</v>
      </c>
      <c r="AJ33" s="2">
        <v>40</v>
      </c>
      <c r="AK33" s="2">
        <v>43</v>
      </c>
      <c r="AL33" s="2" t="str">
        <f>D33</f>
        <v>TPITCH2060</v>
      </c>
      <c r="AM33" s="2">
        <f t="shared" si="104"/>
        <v>16</v>
      </c>
      <c r="AN33" s="2">
        <f>AM33</f>
        <v>16</v>
      </c>
      <c r="AO33" s="2">
        <f t="shared" si="105"/>
        <v>33</v>
      </c>
      <c r="AP33" s="2">
        <f>AO33</f>
        <v>33</v>
      </c>
      <c r="AQ33" s="2">
        <v>60</v>
      </c>
      <c r="AU33" s="2">
        <f>AI33</f>
        <v>37</v>
      </c>
      <c r="AV33" s="2">
        <f t="shared" ref="AV33" si="113">AJ33</f>
        <v>40</v>
      </c>
      <c r="AW33" s="2">
        <f t="shared" ref="AW33" si="114">AK33</f>
        <v>43</v>
      </c>
      <c r="AY33" s="2">
        <v>17</v>
      </c>
      <c r="AZ33" s="7" t="s">
        <v>582</v>
      </c>
      <c r="BA33" s="2">
        <v>35</v>
      </c>
      <c r="BB33" s="2">
        <v>35</v>
      </c>
      <c r="BC33" s="2">
        <v>38</v>
      </c>
      <c r="BD33" s="2">
        <v>41</v>
      </c>
      <c r="BE33" s="2">
        <v>44</v>
      </c>
      <c r="BF33" s="2" t="str">
        <f>D33</f>
        <v>TPITCH2060</v>
      </c>
      <c r="BG33" s="2">
        <f t="shared" si="108"/>
        <v>17</v>
      </c>
      <c r="BH33" s="2">
        <f>BG33</f>
        <v>17</v>
      </c>
      <c r="BI33" s="2">
        <f t="shared" si="109"/>
        <v>35</v>
      </c>
      <c r="BJ33" s="2">
        <f>BI33</f>
        <v>35</v>
      </c>
      <c r="BK33" s="2">
        <v>60</v>
      </c>
      <c r="BO33" s="2">
        <f>BC33</f>
        <v>38</v>
      </c>
      <c r="BP33" s="2">
        <f t="shared" ref="BP33:BQ33" si="115">BD33</f>
        <v>41</v>
      </c>
      <c r="BQ33" s="2">
        <f t="shared" si="115"/>
        <v>44</v>
      </c>
    </row>
    <row r="34" spans="2:69" s="30" customFormat="1" x14ac:dyDescent="0.2">
      <c r="B34" s="30" t="s">
        <v>457</v>
      </c>
      <c r="E34" s="31"/>
      <c r="F34" s="31"/>
      <c r="G34" s="31"/>
      <c r="H34" s="31"/>
      <c r="N34" s="35" t="s">
        <v>459</v>
      </c>
      <c r="O34" s="35"/>
      <c r="P34" s="35"/>
      <c r="Q34" s="35"/>
      <c r="AH34" s="35" t="s">
        <v>459</v>
      </c>
      <c r="AI34" s="35"/>
      <c r="AJ34" s="35"/>
      <c r="AK34" s="35"/>
      <c r="BB34" s="35" t="s">
        <v>459</v>
      </c>
      <c r="BC34" s="35"/>
      <c r="BD34" s="35"/>
      <c r="BE34" s="35"/>
    </row>
    <row r="35" spans="2:69" s="39" customFormat="1" x14ac:dyDescent="0.2">
      <c r="B35" s="39" t="s">
        <v>458</v>
      </c>
      <c r="E35" s="40"/>
      <c r="F35" s="40"/>
      <c r="G35" s="40"/>
      <c r="H35" s="40"/>
      <c r="N35" s="41" t="s">
        <v>460</v>
      </c>
      <c r="O35" s="41"/>
      <c r="P35" s="41"/>
      <c r="Q35" s="41"/>
      <c r="AH35" s="41" t="s">
        <v>460</v>
      </c>
      <c r="AI35" s="41"/>
      <c r="AJ35" s="41"/>
      <c r="AK35" s="41"/>
      <c r="BB35" s="41" t="s">
        <v>460</v>
      </c>
      <c r="BC35" s="41"/>
      <c r="BD35" s="41"/>
      <c r="BE35" s="41"/>
    </row>
    <row r="36" spans="2:69" s="23" customFormat="1" x14ac:dyDescent="0.2">
      <c r="B36" s="23" t="s">
        <v>486</v>
      </c>
      <c r="D36" s="23" t="s">
        <v>650</v>
      </c>
      <c r="E36" s="24"/>
      <c r="F36" s="24"/>
      <c r="G36" s="24"/>
      <c r="H36" s="24"/>
      <c r="I36" s="24"/>
      <c r="J36" s="24"/>
      <c r="T36" s="26">
        <f>SUM(T32:T33)</f>
        <v>32</v>
      </c>
      <c r="U36" s="26"/>
      <c r="V36" s="26">
        <f>SUM(V32:V33)</f>
        <v>55</v>
      </c>
      <c r="W36" s="26">
        <f>SUM(W32:W33)</f>
        <v>95</v>
      </c>
      <c r="X36" s="26">
        <v>50</v>
      </c>
      <c r="Y36" s="26">
        <f>(T36/W36)*X36</f>
        <v>16.842105263157894</v>
      </c>
      <c r="Z36" s="26">
        <f>(V36/W36)*X36</f>
        <v>28.947368421052634</v>
      </c>
      <c r="AA36" s="26">
        <f t="shared" ref="AA36:AC36" si="116">SUM(AA32:AA33)</f>
        <v>60</v>
      </c>
      <c r="AB36" s="26">
        <f t="shared" si="116"/>
        <v>66</v>
      </c>
      <c r="AC36" s="26">
        <f t="shared" si="116"/>
        <v>72</v>
      </c>
      <c r="AN36" s="26">
        <f>SUM(AN32:AN33)</f>
        <v>37.5</v>
      </c>
      <c r="AO36" s="26"/>
      <c r="AP36" s="26">
        <f>SUM(AP32:AP33)</f>
        <v>60.5</v>
      </c>
      <c r="AQ36" s="26">
        <f>SUM(AQ32:AQ33)</f>
        <v>97.5</v>
      </c>
      <c r="AR36" s="26">
        <v>50</v>
      </c>
      <c r="AS36" s="26">
        <f>(AN36/AQ36)*AR36</f>
        <v>19.230769230769234</v>
      </c>
      <c r="AT36" s="26">
        <f>(AP36/AQ36)*AR36</f>
        <v>31.025641025641026</v>
      </c>
      <c r="AU36" s="26">
        <f t="shared" ref="AU36:AW36" si="117">SUM(AU32:AU33)</f>
        <v>67</v>
      </c>
      <c r="AV36" s="26">
        <f t="shared" si="117"/>
        <v>72</v>
      </c>
      <c r="AW36" s="26">
        <f t="shared" si="117"/>
        <v>77</v>
      </c>
      <c r="BH36" s="26">
        <f>SUM(BH32:BH33)</f>
        <v>39.5</v>
      </c>
      <c r="BI36" s="26"/>
      <c r="BJ36" s="26">
        <f>SUM(BJ32:BJ33)</f>
        <v>63.5</v>
      </c>
      <c r="BK36" s="26">
        <f>SUM(BK32:BK33)</f>
        <v>100</v>
      </c>
      <c r="BL36" s="26">
        <v>50</v>
      </c>
      <c r="BM36" s="26">
        <f>(BH36/BK36)*BL36</f>
        <v>19.75</v>
      </c>
      <c r="BN36" s="26">
        <f>(BJ36/BK36)*BL36</f>
        <v>31.75</v>
      </c>
      <c r="BO36" s="26">
        <f t="shared" ref="BO36:BQ36" si="118">SUM(BO32:BO33)</f>
        <v>69</v>
      </c>
      <c r="BP36" s="26">
        <f t="shared" si="118"/>
        <v>74</v>
      </c>
      <c r="BQ36" s="26">
        <f t="shared" si="118"/>
        <v>79</v>
      </c>
    </row>
    <row r="37" spans="2:69" ht="73" customHeight="1" x14ac:dyDescent="0.2">
      <c r="B37" s="2" t="s">
        <v>54</v>
      </c>
      <c r="C37" s="2" t="s">
        <v>494</v>
      </c>
      <c r="D37" s="2" t="s">
        <v>495</v>
      </c>
      <c r="E37" s="3" t="s">
        <v>233</v>
      </c>
      <c r="F37" s="3" t="s">
        <v>151</v>
      </c>
      <c r="G37" s="3" t="s">
        <v>110</v>
      </c>
      <c r="H37" s="3" t="s">
        <v>150</v>
      </c>
      <c r="I37" s="2" t="s">
        <v>200</v>
      </c>
      <c r="K37" s="2">
        <v>6</v>
      </c>
      <c r="L37" s="7" t="s">
        <v>481</v>
      </c>
      <c r="M37" s="2">
        <v>14</v>
      </c>
      <c r="N37" s="2">
        <v>14</v>
      </c>
      <c r="O37" s="2">
        <v>15</v>
      </c>
      <c r="P37" s="2">
        <v>16</v>
      </c>
      <c r="Q37" s="2">
        <v>18</v>
      </c>
      <c r="R37" s="2" t="str">
        <f>D37</f>
        <v>C10PCS</v>
      </c>
      <c r="S37" s="2">
        <f t="shared" ref="S37:S39" si="119">K37</f>
        <v>6</v>
      </c>
      <c r="T37" s="2">
        <f>S37</f>
        <v>6</v>
      </c>
      <c r="U37" s="2">
        <f t="shared" ref="U37:U39" si="120">M37</f>
        <v>14</v>
      </c>
      <c r="V37" s="2">
        <f>U37</f>
        <v>14</v>
      </c>
      <c r="W37" s="2">
        <v>20</v>
      </c>
      <c r="AA37" s="2">
        <f>O37</f>
        <v>15</v>
      </c>
      <c r="AB37" s="2">
        <f t="shared" ref="AB37" si="121">P37</f>
        <v>16</v>
      </c>
      <c r="AC37" s="2">
        <f t="shared" ref="AC37" si="122">Q37</f>
        <v>18</v>
      </c>
      <c r="AE37" s="2">
        <v>6</v>
      </c>
      <c r="AF37" s="7" t="s">
        <v>481</v>
      </c>
      <c r="AG37" s="2">
        <v>14</v>
      </c>
      <c r="AH37" s="2">
        <v>14</v>
      </c>
      <c r="AI37" s="2">
        <v>15</v>
      </c>
      <c r="AJ37" s="2">
        <v>16</v>
      </c>
      <c r="AK37" s="2">
        <v>18</v>
      </c>
      <c r="AL37" s="2" t="str">
        <f>D37</f>
        <v>C10PCS</v>
      </c>
      <c r="AM37" s="2">
        <f t="shared" ref="AM37:AM39" si="123">AE37</f>
        <v>6</v>
      </c>
      <c r="AN37" s="2">
        <f>AM37</f>
        <v>6</v>
      </c>
      <c r="AO37" s="2">
        <f t="shared" ref="AO37:AO39" si="124">AG37</f>
        <v>14</v>
      </c>
      <c r="AP37" s="2">
        <f>AO37</f>
        <v>14</v>
      </c>
      <c r="AQ37" s="2">
        <v>20</v>
      </c>
      <c r="AU37" s="2">
        <f>AI37</f>
        <v>15</v>
      </c>
      <c r="AV37" s="2">
        <f t="shared" ref="AV37" si="125">AJ37</f>
        <v>16</v>
      </c>
      <c r="AW37" s="2">
        <f t="shared" ref="AW37" si="126">AK37</f>
        <v>18</v>
      </c>
      <c r="AY37" s="2">
        <v>6</v>
      </c>
      <c r="AZ37" s="7" t="s">
        <v>481</v>
      </c>
      <c r="BA37" s="2">
        <v>14</v>
      </c>
      <c r="BB37" s="2">
        <v>14</v>
      </c>
      <c r="BC37" s="2">
        <v>15</v>
      </c>
      <c r="BD37" s="2">
        <v>16</v>
      </c>
      <c r="BE37" s="2">
        <v>18</v>
      </c>
      <c r="BF37" s="2" t="str">
        <f>D37</f>
        <v>C10PCS</v>
      </c>
      <c r="BG37" s="2">
        <f t="shared" ref="BG37:BG39" si="127">AY37</f>
        <v>6</v>
      </c>
      <c r="BH37" s="2">
        <f>BG37</f>
        <v>6</v>
      </c>
      <c r="BI37" s="2">
        <f t="shared" ref="BI37:BI39" si="128">BA37</f>
        <v>14</v>
      </c>
      <c r="BJ37" s="2">
        <f>BI37</f>
        <v>14</v>
      </c>
      <c r="BK37" s="2">
        <v>20</v>
      </c>
      <c r="BO37" s="2">
        <f>BC37</f>
        <v>15</v>
      </c>
      <c r="BP37" s="2">
        <f t="shared" ref="BP37:BQ37" si="129">BD37</f>
        <v>16</v>
      </c>
      <c r="BQ37" s="2">
        <f t="shared" si="129"/>
        <v>18</v>
      </c>
    </row>
    <row r="38" spans="2:69" ht="41" customHeight="1" x14ac:dyDescent="0.2">
      <c r="B38" s="2" t="s">
        <v>54</v>
      </c>
      <c r="C38" s="2" t="s">
        <v>56</v>
      </c>
      <c r="D38" s="2" t="s">
        <v>475</v>
      </c>
      <c r="E38" s="3" t="s">
        <v>114</v>
      </c>
      <c r="F38" s="2" t="s">
        <v>116</v>
      </c>
      <c r="H38" s="3" t="s">
        <v>80</v>
      </c>
      <c r="I38" s="2" t="s">
        <v>194</v>
      </c>
      <c r="K38" s="2">
        <v>2.5099999999999998</v>
      </c>
      <c r="L38" s="2" t="s">
        <v>500</v>
      </c>
      <c r="M38" s="2">
        <v>1.6</v>
      </c>
      <c r="N38" s="2">
        <v>1.6</v>
      </c>
      <c r="O38" s="2">
        <v>1.55</v>
      </c>
      <c r="P38" s="2">
        <v>1.5</v>
      </c>
      <c r="Q38" s="2">
        <v>1.45</v>
      </c>
      <c r="R38" s="2" t="s">
        <v>800</v>
      </c>
      <c r="S38" s="2">
        <f t="shared" si="119"/>
        <v>2.5099999999999998</v>
      </c>
      <c r="T38" s="2">
        <f>(5-S38)*4</f>
        <v>9.9600000000000009</v>
      </c>
      <c r="U38" s="2">
        <f t="shared" si="120"/>
        <v>1.6</v>
      </c>
      <c r="V38" s="2">
        <f>(5-U38)*4</f>
        <v>13.6</v>
      </c>
      <c r="W38" s="2">
        <v>15</v>
      </c>
      <c r="AA38" s="2">
        <f>(5-O38)*4</f>
        <v>13.8</v>
      </c>
      <c r="AB38" s="2">
        <f>(5-P38)*4</f>
        <v>14</v>
      </c>
      <c r="AC38" s="2">
        <f>(5-Q38)*4</f>
        <v>14.2</v>
      </c>
      <c r="AE38" s="2">
        <v>2.4</v>
      </c>
      <c r="AF38" s="2" t="s">
        <v>550</v>
      </c>
      <c r="AG38" s="2">
        <v>1.5</v>
      </c>
      <c r="AH38" s="2">
        <v>1.5</v>
      </c>
      <c r="AI38" s="2">
        <v>1.45</v>
      </c>
      <c r="AJ38" s="2">
        <v>1.4</v>
      </c>
      <c r="AK38" s="2">
        <v>1.25</v>
      </c>
      <c r="AL38" s="2" t="s">
        <v>800</v>
      </c>
      <c r="AM38" s="2">
        <f t="shared" si="123"/>
        <v>2.4</v>
      </c>
      <c r="AN38" s="2">
        <f>(5-AM38)*4</f>
        <v>10.4</v>
      </c>
      <c r="AO38" s="2">
        <f t="shared" si="124"/>
        <v>1.5</v>
      </c>
      <c r="AP38" s="2">
        <f>(5-AO38)*4</f>
        <v>14</v>
      </c>
      <c r="AQ38" s="2">
        <v>15</v>
      </c>
      <c r="AU38" s="2">
        <f>(5-AI38)*4</f>
        <v>14.2</v>
      </c>
      <c r="AV38" s="2">
        <f>(5-AJ38)*4</f>
        <v>14.4</v>
      </c>
      <c r="AW38" s="2">
        <f>(5-AK38)*4</f>
        <v>15</v>
      </c>
      <c r="AY38" s="2">
        <v>2.4</v>
      </c>
      <c r="AZ38" s="2" t="s">
        <v>550</v>
      </c>
      <c r="BA38" s="2">
        <v>1.5</v>
      </c>
      <c r="BB38" s="2">
        <v>1.5</v>
      </c>
      <c r="BC38" s="2">
        <v>1.45</v>
      </c>
      <c r="BD38" s="2">
        <v>1.4</v>
      </c>
      <c r="BE38" s="2">
        <v>1.25</v>
      </c>
      <c r="BF38" s="2" t="s">
        <v>800</v>
      </c>
      <c r="BG38" s="2">
        <f t="shared" si="127"/>
        <v>2.4</v>
      </c>
      <c r="BH38" s="2">
        <f>(5-BG38)*4</f>
        <v>10.4</v>
      </c>
      <c r="BI38" s="2">
        <f t="shared" si="128"/>
        <v>1.5</v>
      </c>
      <c r="BJ38" s="2">
        <f>(5-BI38)*4</f>
        <v>14</v>
      </c>
      <c r="BK38" s="2">
        <v>15</v>
      </c>
      <c r="BO38" s="2">
        <f>(5-BC38)*4</f>
        <v>14.2</v>
      </c>
      <c r="BP38" s="2">
        <f>(5-BD38)*4</f>
        <v>14.4</v>
      </c>
      <c r="BQ38" s="2">
        <f>(5-BE38)*4</f>
        <v>15</v>
      </c>
    </row>
    <row r="39" spans="2:69" ht="34" x14ac:dyDescent="0.2">
      <c r="B39" s="2" t="s">
        <v>54</v>
      </c>
      <c r="C39" s="2" t="s">
        <v>57</v>
      </c>
      <c r="D39" s="2" t="s">
        <v>561</v>
      </c>
      <c r="E39" s="3" t="s">
        <v>117</v>
      </c>
      <c r="F39" s="3" t="s">
        <v>148</v>
      </c>
      <c r="G39" s="3" t="s">
        <v>112</v>
      </c>
      <c r="H39" s="3" t="s">
        <v>147</v>
      </c>
      <c r="I39" s="2" t="s">
        <v>195</v>
      </c>
      <c r="K39" s="2">
        <v>4</v>
      </c>
      <c r="L39" s="7" t="s">
        <v>445</v>
      </c>
      <c r="M39" s="2">
        <v>9</v>
      </c>
      <c r="N39" s="2">
        <v>9</v>
      </c>
      <c r="O39" s="2">
        <v>10</v>
      </c>
      <c r="P39" s="2">
        <v>12</v>
      </c>
      <c r="Q39" s="2">
        <v>14</v>
      </c>
      <c r="R39" s="2" t="str">
        <f>D39</f>
        <v>CTTT2B</v>
      </c>
      <c r="S39" s="2">
        <f t="shared" si="119"/>
        <v>4</v>
      </c>
      <c r="T39" s="2">
        <f>S39</f>
        <v>4</v>
      </c>
      <c r="U39" s="2">
        <f t="shared" si="120"/>
        <v>9</v>
      </c>
      <c r="V39" s="2">
        <f>U39</f>
        <v>9</v>
      </c>
      <c r="W39" s="2">
        <v>15</v>
      </c>
      <c r="AA39" s="2">
        <f t="shared" ref="AA39" si="130">O39</f>
        <v>10</v>
      </c>
      <c r="AB39" s="2">
        <f t="shared" ref="AB39" si="131">P39</f>
        <v>12</v>
      </c>
      <c r="AC39" s="2">
        <f t="shared" ref="AC39" si="132">Q39</f>
        <v>14</v>
      </c>
      <c r="AE39" s="2">
        <v>4</v>
      </c>
      <c r="AF39" s="7" t="s">
        <v>445</v>
      </c>
      <c r="AG39" s="2">
        <v>9</v>
      </c>
      <c r="AH39" s="2">
        <v>9</v>
      </c>
      <c r="AI39" s="2">
        <v>10</v>
      </c>
      <c r="AJ39" s="2">
        <v>12</v>
      </c>
      <c r="AK39" s="2">
        <v>14</v>
      </c>
      <c r="AL39" s="2" t="str">
        <f>D39</f>
        <v>CTTT2B</v>
      </c>
      <c r="AM39" s="2">
        <f t="shared" si="123"/>
        <v>4</v>
      </c>
      <c r="AN39" s="2">
        <f>AM39</f>
        <v>4</v>
      </c>
      <c r="AO39" s="2">
        <f t="shared" si="124"/>
        <v>9</v>
      </c>
      <c r="AP39" s="2">
        <f>AO39</f>
        <v>9</v>
      </c>
      <c r="AQ39" s="2">
        <v>15</v>
      </c>
      <c r="AU39" s="2">
        <f t="shared" ref="AU39" si="133">AI39</f>
        <v>10</v>
      </c>
      <c r="AV39" s="2">
        <f t="shared" ref="AV39" si="134">AJ39</f>
        <v>12</v>
      </c>
      <c r="AW39" s="2">
        <f t="shared" ref="AW39" si="135">AK39</f>
        <v>14</v>
      </c>
      <c r="AY39" s="2">
        <v>5</v>
      </c>
      <c r="AZ39" s="7" t="s">
        <v>583</v>
      </c>
      <c r="BA39" s="2">
        <v>10</v>
      </c>
      <c r="BB39" s="2">
        <v>10</v>
      </c>
      <c r="BC39" s="2">
        <v>11</v>
      </c>
      <c r="BD39" s="2">
        <v>13</v>
      </c>
      <c r="BE39" s="2">
        <v>15</v>
      </c>
      <c r="BF39" s="2" t="str">
        <f>D39</f>
        <v>CTTT2B</v>
      </c>
      <c r="BG39" s="2">
        <f t="shared" si="127"/>
        <v>5</v>
      </c>
      <c r="BH39" s="2">
        <f>BG39</f>
        <v>5</v>
      </c>
      <c r="BI39" s="2">
        <f t="shared" si="128"/>
        <v>10</v>
      </c>
      <c r="BJ39" s="2">
        <f>BI39</f>
        <v>10</v>
      </c>
      <c r="BK39" s="2">
        <v>15</v>
      </c>
      <c r="BO39" s="2">
        <f t="shared" ref="BO39:BQ39" si="136">BC39</f>
        <v>11</v>
      </c>
      <c r="BP39" s="2">
        <f t="shared" si="136"/>
        <v>13</v>
      </c>
      <c r="BQ39" s="2">
        <f t="shared" si="136"/>
        <v>15</v>
      </c>
    </row>
    <row r="40" spans="2:69" s="44" customFormat="1" x14ac:dyDescent="0.2">
      <c r="B40" s="44" t="s">
        <v>487</v>
      </c>
      <c r="E40" s="45"/>
      <c r="F40" s="45"/>
      <c r="G40" s="45"/>
      <c r="H40" s="45"/>
      <c r="N40" s="46" t="s">
        <v>501</v>
      </c>
      <c r="O40" s="46"/>
      <c r="P40" s="46"/>
      <c r="Q40" s="46"/>
      <c r="AH40" s="46" t="s">
        <v>501</v>
      </c>
      <c r="AI40" s="46"/>
      <c r="AJ40" s="46"/>
      <c r="AK40" s="46"/>
      <c r="BB40" s="46" t="s">
        <v>501</v>
      </c>
      <c r="BC40" s="46"/>
      <c r="BD40" s="46"/>
      <c r="BE40" s="46"/>
    </row>
    <row r="41" spans="2:69" s="23" customFormat="1" x14ac:dyDescent="0.2">
      <c r="B41" s="23" t="s">
        <v>488</v>
      </c>
      <c r="D41" s="23" t="s">
        <v>651</v>
      </c>
      <c r="E41" s="24"/>
      <c r="F41" s="24"/>
      <c r="G41" s="24"/>
      <c r="H41" s="24"/>
      <c r="I41" s="24"/>
      <c r="J41" s="24"/>
      <c r="T41" s="26">
        <f>SUM(T37:T39)</f>
        <v>19.96</v>
      </c>
      <c r="U41" s="26"/>
      <c r="V41" s="26">
        <f t="shared" ref="V41:W41" si="137">SUM(V37:V39)</f>
        <v>36.6</v>
      </c>
      <c r="W41" s="26">
        <f t="shared" si="137"/>
        <v>50</v>
      </c>
      <c r="X41" s="26">
        <v>50</v>
      </c>
      <c r="Y41" s="26">
        <f>(T41/W41)*X41</f>
        <v>19.96</v>
      </c>
      <c r="Z41" s="26">
        <f>(V41/W41)*X41</f>
        <v>36.6</v>
      </c>
      <c r="AA41" s="26">
        <f t="shared" ref="AA41:AC41" si="138">SUM(AA37:AA39)</f>
        <v>38.799999999999997</v>
      </c>
      <c r="AB41" s="26">
        <f t="shared" si="138"/>
        <v>42</v>
      </c>
      <c r="AC41" s="26">
        <f t="shared" si="138"/>
        <v>46.2</v>
      </c>
      <c r="AN41" s="26">
        <f>SUM(AN37:AN39)</f>
        <v>20.399999999999999</v>
      </c>
      <c r="AO41" s="26"/>
      <c r="AP41" s="26">
        <f>SUM(AP37:AP39)</f>
        <v>37</v>
      </c>
      <c r="AQ41" s="26">
        <f>SUM(AQ37:AQ39)</f>
        <v>50</v>
      </c>
      <c r="AR41" s="26">
        <v>50</v>
      </c>
      <c r="AS41" s="26">
        <f>(AN41/AQ41)*AR41</f>
        <v>20.399999999999999</v>
      </c>
      <c r="AT41" s="26">
        <f>(AP41/AQ41)*AR41</f>
        <v>37</v>
      </c>
      <c r="AU41" s="26">
        <f t="shared" ref="AU41:AW41" si="139">SUM(AU37:AU39)</f>
        <v>39.200000000000003</v>
      </c>
      <c r="AV41" s="26">
        <f t="shared" si="139"/>
        <v>42.4</v>
      </c>
      <c r="AW41" s="26">
        <f t="shared" si="139"/>
        <v>47</v>
      </c>
      <c r="BH41" s="26">
        <f>SUM(BH37:BH39)</f>
        <v>21.4</v>
      </c>
      <c r="BI41" s="26"/>
      <c r="BJ41" s="26">
        <f>SUM(BJ37:BJ39)</f>
        <v>38</v>
      </c>
      <c r="BK41" s="26">
        <f>SUM(BK37:BK39)</f>
        <v>50</v>
      </c>
      <c r="BL41" s="26">
        <v>50</v>
      </c>
      <c r="BM41" s="26">
        <f>(BH41/BK41)*BL41</f>
        <v>21.4</v>
      </c>
      <c r="BN41" s="26">
        <f>(BJ41/BK41)*BL41</f>
        <v>38</v>
      </c>
      <c r="BO41" s="26">
        <f>SUM(BO37:BO39)</f>
        <v>40.200000000000003</v>
      </c>
      <c r="BP41" s="26">
        <f>SUM(BP37:BP39)</f>
        <v>43.4</v>
      </c>
      <c r="BQ41" s="26">
        <f>SUM(BQ37:BQ39)</f>
        <v>48</v>
      </c>
    </row>
    <row r="42" spans="2:69" ht="76" customHeight="1" x14ac:dyDescent="0.2">
      <c r="B42" s="2" t="s">
        <v>58</v>
      </c>
      <c r="C42" s="2" t="s">
        <v>196</v>
      </c>
      <c r="D42" s="2" t="s">
        <v>502</v>
      </c>
      <c r="E42" s="3" t="s">
        <v>250</v>
      </c>
      <c r="F42" s="3" t="s">
        <v>149</v>
      </c>
      <c r="G42" s="3" t="s">
        <v>141</v>
      </c>
      <c r="H42" s="3" t="s">
        <v>150</v>
      </c>
      <c r="I42" s="2" t="s">
        <v>188</v>
      </c>
      <c r="K42" s="2">
        <v>5</v>
      </c>
      <c r="L42" s="7" t="s">
        <v>504</v>
      </c>
      <c r="M42" s="2">
        <v>16</v>
      </c>
      <c r="N42" s="2">
        <v>16</v>
      </c>
      <c r="O42" s="2">
        <v>18</v>
      </c>
      <c r="P42" s="2">
        <v>20</v>
      </c>
      <c r="Q42" s="2">
        <v>24</v>
      </c>
      <c r="R42" s="2" t="str">
        <f>D42</f>
        <v>C101B</v>
      </c>
      <c r="S42" s="2">
        <f t="shared" ref="S42:S46" si="140">K42</f>
        <v>5</v>
      </c>
      <c r="T42" s="2">
        <f>S42</f>
        <v>5</v>
      </c>
      <c r="U42" s="2">
        <f t="shared" ref="U42:U46" si="141">M42</f>
        <v>16</v>
      </c>
      <c r="V42" s="2">
        <f>U42</f>
        <v>16</v>
      </c>
      <c r="W42" s="2">
        <v>30</v>
      </c>
      <c r="AA42" s="2">
        <f>O42</f>
        <v>18</v>
      </c>
      <c r="AB42" s="2">
        <f t="shared" ref="AB42:AB46" si="142">P42</f>
        <v>20</v>
      </c>
      <c r="AC42" s="2">
        <f t="shared" ref="AC42:AC46" si="143">Q42</f>
        <v>24</v>
      </c>
      <c r="AE42" s="2">
        <v>5</v>
      </c>
      <c r="AF42" s="7" t="s">
        <v>504</v>
      </c>
      <c r="AG42" s="2">
        <v>16</v>
      </c>
      <c r="AH42" s="2">
        <v>16</v>
      </c>
      <c r="AI42" s="2">
        <v>18</v>
      </c>
      <c r="AJ42" s="2">
        <v>20</v>
      </c>
      <c r="AK42" s="2">
        <v>24</v>
      </c>
      <c r="AL42" s="2" t="str">
        <f>D42</f>
        <v>C101B</v>
      </c>
      <c r="AM42" s="2">
        <f t="shared" ref="AM42:AM46" si="144">AE42</f>
        <v>5</v>
      </c>
      <c r="AN42" s="2">
        <f>AM42</f>
        <v>5</v>
      </c>
      <c r="AO42" s="2">
        <f t="shared" ref="AO42:AO46" si="145">AG42</f>
        <v>16</v>
      </c>
      <c r="AP42" s="2">
        <f>AO42</f>
        <v>16</v>
      </c>
      <c r="AQ42" s="2">
        <v>30</v>
      </c>
      <c r="AU42" s="2">
        <f>AI42</f>
        <v>18</v>
      </c>
      <c r="AV42" s="2">
        <f t="shared" ref="AV42:AV46" si="146">AJ42</f>
        <v>20</v>
      </c>
      <c r="AW42" s="2">
        <f t="shared" ref="AW42:AW46" si="147">AK42</f>
        <v>24</v>
      </c>
      <c r="AY42" s="2">
        <v>5</v>
      </c>
      <c r="AZ42" s="7" t="s">
        <v>551</v>
      </c>
      <c r="BA42" s="2">
        <v>17</v>
      </c>
      <c r="BB42" s="2">
        <v>17</v>
      </c>
      <c r="BC42" s="2">
        <v>19</v>
      </c>
      <c r="BD42" s="2">
        <v>21</v>
      </c>
      <c r="BE42" s="2">
        <v>25</v>
      </c>
      <c r="BF42" s="2" t="str">
        <f>D42</f>
        <v>C101B</v>
      </c>
      <c r="BG42" s="2">
        <f t="shared" ref="BG42:BG46" si="148">AY42</f>
        <v>5</v>
      </c>
      <c r="BH42" s="2">
        <f>BG42</f>
        <v>5</v>
      </c>
      <c r="BI42" s="2">
        <f t="shared" ref="BI42:BI46" si="149">BA42</f>
        <v>17</v>
      </c>
      <c r="BJ42" s="2">
        <f>BI42</f>
        <v>17</v>
      </c>
      <c r="BK42" s="2">
        <v>30</v>
      </c>
      <c r="BO42" s="2">
        <f>BC42</f>
        <v>19</v>
      </c>
      <c r="BP42" s="2">
        <f t="shared" ref="BP42:BQ46" si="150">BD42</f>
        <v>21</v>
      </c>
      <c r="BQ42" s="2">
        <f t="shared" si="150"/>
        <v>25</v>
      </c>
    </row>
    <row r="43" spans="2:69" ht="59" customHeight="1" x14ac:dyDescent="0.2">
      <c r="B43" s="2" t="s">
        <v>58</v>
      </c>
      <c r="C43" s="2" t="s">
        <v>59</v>
      </c>
      <c r="D43" s="2" t="s">
        <v>463</v>
      </c>
      <c r="E43" s="3" t="s">
        <v>235</v>
      </c>
      <c r="F43" s="3" t="s">
        <v>153</v>
      </c>
      <c r="G43" s="3" t="s">
        <v>141</v>
      </c>
      <c r="H43" s="3" t="s">
        <v>147</v>
      </c>
      <c r="I43" s="2" t="s">
        <v>195</v>
      </c>
      <c r="K43" s="2">
        <v>2</v>
      </c>
      <c r="L43" s="2" t="s">
        <v>480</v>
      </c>
      <c r="M43" s="2">
        <v>8</v>
      </c>
      <c r="N43" s="2">
        <v>8</v>
      </c>
      <c r="O43" s="2">
        <v>9</v>
      </c>
      <c r="P43" s="2">
        <v>10</v>
      </c>
      <c r="Q43" s="2">
        <v>12</v>
      </c>
      <c r="R43" s="2" t="str">
        <f t="shared" ref="R43" si="151">D43</f>
        <v>C1BST</v>
      </c>
      <c r="S43" s="2">
        <f t="shared" si="140"/>
        <v>2</v>
      </c>
      <c r="T43" s="2">
        <f t="shared" ref="T43:V43" si="152">S43</f>
        <v>2</v>
      </c>
      <c r="U43" s="2">
        <f t="shared" si="141"/>
        <v>8</v>
      </c>
      <c r="V43" s="2">
        <f t="shared" si="152"/>
        <v>8</v>
      </c>
      <c r="W43" s="2">
        <v>15</v>
      </c>
      <c r="AA43" s="2">
        <f t="shared" ref="AA43:AA46" si="153">O43</f>
        <v>9</v>
      </c>
      <c r="AB43" s="2">
        <f t="shared" si="142"/>
        <v>10</v>
      </c>
      <c r="AC43" s="2">
        <f t="shared" si="143"/>
        <v>12</v>
      </c>
      <c r="AE43" s="2">
        <v>2</v>
      </c>
      <c r="AF43" s="2" t="s">
        <v>480</v>
      </c>
      <c r="AG43" s="2">
        <v>8</v>
      </c>
      <c r="AH43" s="2">
        <v>8</v>
      </c>
      <c r="AI43" s="2">
        <v>9</v>
      </c>
      <c r="AJ43" s="2">
        <v>10</v>
      </c>
      <c r="AK43" s="2">
        <v>12</v>
      </c>
      <c r="AL43" s="2" t="str">
        <f t="shared" ref="AL43:AL46" si="154">D43</f>
        <v>C1BST</v>
      </c>
      <c r="AM43" s="2">
        <f t="shared" si="144"/>
        <v>2</v>
      </c>
      <c r="AN43" s="2">
        <f t="shared" ref="AN43:AN46" si="155">AM43</f>
        <v>2</v>
      </c>
      <c r="AO43" s="2">
        <f t="shared" si="145"/>
        <v>8</v>
      </c>
      <c r="AP43" s="2">
        <f t="shared" ref="AP43" si="156">AO43</f>
        <v>8</v>
      </c>
      <c r="AQ43" s="2">
        <v>15</v>
      </c>
      <c r="AU43" s="2">
        <f t="shared" ref="AU43:AU46" si="157">AI43</f>
        <v>9</v>
      </c>
      <c r="AV43" s="2">
        <f t="shared" si="146"/>
        <v>10</v>
      </c>
      <c r="AW43" s="2">
        <f t="shared" si="147"/>
        <v>12</v>
      </c>
      <c r="AY43" s="2">
        <v>2</v>
      </c>
      <c r="AZ43" s="2" t="s">
        <v>480</v>
      </c>
      <c r="BA43" s="2">
        <v>8</v>
      </c>
      <c r="BB43" s="2">
        <v>8</v>
      </c>
      <c r="BC43" s="2">
        <v>9</v>
      </c>
      <c r="BD43" s="2">
        <v>10</v>
      </c>
      <c r="BE43" s="2">
        <v>12</v>
      </c>
      <c r="BF43" s="2" t="str">
        <f>D43</f>
        <v>C1BST</v>
      </c>
      <c r="BG43" s="2">
        <f t="shared" si="148"/>
        <v>2</v>
      </c>
      <c r="BH43" s="2">
        <f t="shared" ref="BH43:BJ43" si="158">BG43</f>
        <v>2</v>
      </c>
      <c r="BI43" s="2">
        <f t="shared" si="149"/>
        <v>8</v>
      </c>
      <c r="BJ43" s="2">
        <f t="shared" ref="BJ43:BL43" si="159">BI43</f>
        <v>8</v>
      </c>
      <c r="BK43" s="2">
        <v>15</v>
      </c>
      <c r="BO43" s="2">
        <f t="shared" ref="BO43:BO46" si="160">BC43</f>
        <v>9</v>
      </c>
      <c r="BP43" s="2">
        <f t="shared" si="150"/>
        <v>10</v>
      </c>
      <c r="BQ43" s="2">
        <f t="shared" si="150"/>
        <v>12</v>
      </c>
    </row>
    <row r="44" spans="2:69" ht="66" customHeight="1" x14ac:dyDescent="0.2">
      <c r="B44" s="2" t="s">
        <v>58</v>
      </c>
      <c r="C44" s="2" t="s">
        <v>60</v>
      </c>
      <c r="D44" s="2" t="s">
        <v>565</v>
      </c>
      <c r="E44" s="3" t="s">
        <v>159</v>
      </c>
      <c r="F44" s="3" t="s">
        <v>155</v>
      </c>
      <c r="G44" s="3" t="s">
        <v>154</v>
      </c>
      <c r="H44" s="3" t="s">
        <v>150</v>
      </c>
      <c r="I44" s="2" t="s">
        <v>197</v>
      </c>
      <c r="K44" s="2">
        <v>4</v>
      </c>
      <c r="L44" s="7" t="s">
        <v>445</v>
      </c>
      <c r="M44" s="2">
        <v>9</v>
      </c>
      <c r="N44" s="2">
        <v>9</v>
      </c>
      <c r="O44" s="2">
        <v>10</v>
      </c>
      <c r="P44" s="2">
        <v>11</v>
      </c>
      <c r="Q44" s="2">
        <v>12</v>
      </c>
      <c r="R44" s="2" t="str">
        <f>D44</f>
        <v>RLC1B</v>
      </c>
      <c r="S44" s="2">
        <f t="shared" si="140"/>
        <v>4</v>
      </c>
      <c r="T44" s="2">
        <f t="shared" ref="T44" si="161">S44</f>
        <v>4</v>
      </c>
      <c r="U44" s="2">
        <f t="shared" si="141"/>
        <v>9</v>
      </c>
      <c r="V44" s="2">
        <f>U44</f>
        <v>9</v>
      </c>
      <c r="W44" s="2">
        <v>12</v>
      </c>
      <c r="AA44" s="2">
        <f t="shared" si="153"/>
        <v>10</v>
      </c>
      <c r="AB44" s="2">
        <f t="shared" si="142"/>
        <v>11</v>
      </c>
      <c r="AC44" s="2">
        <f t="shared" si="143"/>
        <v>12</v>
      </c>
      <c r="AE44" s="2">
        <v>4</v>
      </c>
      <c r="AF44" s="7" t="s">
        <v>445</v>
      </c>
      <c r="AG44" s="2">
        <v>9</v>
      </c>
      <c r="AH44" s="2">
        <v>9</v>
      </c>
      <c r="AI44" s="2">
        <v>10</v>
      </c>
      <c r="AJ44" s="2">
        <v>11</v>
      </c>
      <c r="AK44" s="2">
        <v>12</v>
      </c>
      <c r="AL44" s="2" t="str">
        <f t="shared" si="154"/>
        <v>RLC1B</v>
      </c>
      <c r="AM44" s="2">
        <f t="shared" si="144"/>
        <v>4</v>
      </c>
      <c r="AN44" s="2">
        <f t="shared" si="155"/>
        <v>4</v>
      </c>
      <c r="AO44" s="2">
        <f t="shared" si="145"/>
        <v>9</v>
      </c>
      <c r="AP44" s="2">
        <f>AO44</f>
        <v>9</v>
      </c>
      <c r="AQ44" s="2">
        <v>12</v>
      </c>
      <c r="AU44" s="2">
        <f t="shared" si="157"/>
        <v>10</v>
      </c>
      <c r="AV44" s="2">
        <f t="shared" si="146"/>
        <v>11</v>
      </c>
      <c r="AW44" s="2">
        <f t="shared" si="147"/>
        <v>12</v>
      </c>
      <c r="AY44" s="2">
        <v>4</v>
      </c>
      <c r="AZ44" s="7" t="s">
        <v>445</v>
      </c>
      <c r="BA44" s="2">
        <v>9</v>
      </c>
      <c r="BB44" s="2">
        <v>9</v>
      </c>
      <c r="BC44" s="2">
        <v>10</v>
      </c>
      <c r="BD44" s="2">
        <v>11</v>
      </c>
      <c r="BE44" s="2">
        <v>12</v>
      </c>
      <c r="BF44" s="2" t="str">
        <f>D44</f>
        <v>RLC1B</v>
      </c>
      <c r="BG44" s="2">
        <f t="shared" si="148"/>
        <v>4</v>
      </c>
      <c r="BH44" s="2">
        <f t="shared" ref="BH44:BJ44" si="162">BG44</f>
        <v>4</v>
      </c>
      <c r="BI44" s="2">
        <f t="shared" si="149"/>
        <v>9</v>
      </c>
      <c r="BJ44" s="2">
        <f>BI44</f>
        <v>9</v>
      </c>
      <c r="BK44" s="2">
        <v>12</v>
      </c>
      <c r="BO44" s="2">
        <f t="shared" si="160"/>
        <v>10</v>
      </c>
      <c r="BP44" s="2">
        <f t="shared" si="150"/>
        <v>11</v>
      </c>
      <c r="BQ44" s="2">
        <f t="shared" si="150"/>
        <v>12</v>
      </c>
    </row>
    <row r="45" spans="2:69" ht="44" customHeight="1" x14ac:dyDescent="0.2">
      <c r="B45" s="2" t="s">
        <v>58</v>
      </c>
      <c r="C45" s="2" t="s">
        <v>61</v>
      </c>
      <c r="D45" s="2" t="s">
        <v>566</v>
      </c>
      <c r="E45" s="3" t="s">
        <v>119</v>
      </c>
      <c r="F45" s="2" t="s">
        <v>156</v>
      </c>
      <c r="G45" s="3" t="s">
        <v>157</v>
      </c>
      <c r="H45" s="3" t="s">
        <v>147</v>
      </c>
      <c r="I45" s="2" t="s">
        <v>198</v>
      </c>
      <c r="K45" s="2">
        <v>0</v>
      </c>
      <c r="L45" s="7" t="s">
        <v>336</v>
      </c>
      <c r="M45" s="2">
        <v>4</v>
      </c>
      <c r="N45" s="2">
        <v>4</v>
      </c>
      <c r="O45" s="2">
        <v>4</v>
      </c>
      <c r="P45" s="2">
        <v>4</v>
      </c>
      <c r="Q45" s="2">
        <v>6</v>
      </c>
      <c r="R45" s="2" t="str">
        <f t="shared" ref="R45:R46" si="163">D45</f>
        <v>FBFLY</v>
      </c>
      <c r="S45" s="2">
        <f t="shared" si="140"/>
        <v>0</v>
      </c>
      <c r="T45" s="2">
        <f t="shared" ref="T45" si="164">S45</f>
        <v>0</v>
      </c>
      <c r="U45" s="2">
        <f t="shared" si="141"/>
        <v>4</v>
      </c>
      <c r="V45" s="2">
        <f t="shared" ref="V45:V46" si="165">U45</f>
        <v>4</v>
      </c>
      <c r="W45" s="2">
        <v>6</v>
      </c>
      <c r="AA45" s="2">
        <f t="shared" si="153"/>
        <v>4</v>
      </c>
      <c r="AB45" s="2">
        <f t="shared" si="142"/>
        <v>4</v>
      </c>
      <c r="AC45" s="2">
        <f t="shared" si="143"/>
        <v>6</v>
      </c>
      <c r="AE45" s="2">
        <v>0</v>
      </c>
      <c r="AF45" s="7" t="s">
        <v>336</v>
      </c>
      <c r="AG45" s="2">
        <v>4</v>
      </c>
      <c r="AH45" s="2">
        <v>4</v>
      </c>
      <c r="AI45" s="2">
        <v>4</v>
      </c>
      <c r="AJ45" s="2">
        <v>4</v>
      </c>
      <c r="AK45" s="2">
        <v>6</v>
      </c>
      <c r="AL45" s="2" t="str">
        <f t="shared" si="154"/>
        <v>FBFLY</v>
      </c>
      <c r="AM45" s="2">
        <f t="shared" si="144"/>
        <v>0</v>
      </c>
      <c r="AN45" s="2">
        <f t="shared" si="155"/>
        <v>0</v>
      </c>
      <c r="AO45" s="2">
        <f t="shared" si="145"/>
        <v>4</v>
      </c>
      <c r="AP45" s="2">
        <f t="shared" ref="AP45:AP46" si="166">AO45</f>
        <v>4</v>
      </c>
      <c r="AQ45" s="2">
        <v>6</v>
      </c>
      <c r="AU45" s="2">
        <f t="shared" si="157"/>
        <v>4</v>
      </c>
      <c r="AV45" s="2">
        <f t="shared" si="146"/>
        <v>4</v>
      </c>
      <c r="AW45" s="2">
        <f t="shared" si="147"/>
        <v>6</v>
      </c>
      <c r="AY45" s="2">
        <v>0</v>
      </c>
      <c r="AZ45" s="7" t="s">
        <v>336</v>
      </c>
      <c r="BA45" s="2">
        <v>4</v>
      </c>
      <c r="BB45" s="2">
        <v>4</v>
      </c>
      <c r="BC45" s="2">
        <v>4</v>
      </c>
      <c r="BD45" s="2">
        <v>4</v>
      </c>
      <c r="BE45" s="2">
        <v>6</v>
      </c>
      <c r="BF45" s="2" t="str">
        <f>D45</f>
        <v>FBFLY</v>
      </c>
      <c r="BG45" s="2">
        <f t="shared" si="148"/>
        <v>0</v>
      </c>
      <c r="BH45" s="2">
        <f t="shared" ref="BH45:BJ45" si="167">BG45</f>
        <v>0</v>
      </c>
      <c r="BI45" s="2">
        <f t="shared" si="149"/>
        <v>4</v>
      </c>
      <c r="BJ45" s="2">
        <f t="shared" ref="BJ45:BJ46" si="168">BI45</f>
        <v>4</v>
      </c>
      <c r="BK45" s="2">
        <v>6</v>
      </c>
      <c r="BO45" s="2">
        <f t="shared" si="160"/>
        <v>4</v>
      </c>
      <c r="BP45" s="2">
        <f t="shared" si="150"/>
        <v>4</v>
      </c>
      <c r="BQ45" s="2">
        <f t="shared" si="150"/>
        <v>6</v>
      </c>
    </row>
    <row r="46" spans="2:69" ht="35" customHeight="1" x14ac:dyDescent="0.2">
      <c r="B46" s="2" t="s">
        <v>58</v>
      </c>
      <c r="C46" s="2" t="s">
        <v>62</v>
      </c>
      <c r="D46" s="2" t="s">
        <v>567</v>
      </c>
      <c r="E46" s="3" t="s">
        <v>120</v>
      </c>
      <c r="F46" s="2" t="s">
        <v>156</v>
      </c>
      <c r="G46" s="3" t="s">
        <v>158</v>
      </c>
      <c r="H46" s="3" t="s">
        <v>147</v>
      </c>
      <c r="I46" s="2" t="s">
        <v>198</v>
      </c>
      <c r="K46" s="2">
        <v>0</v>
      </c>
      <c r="L46" s="7" t="s">
        <v>336</v>
      </c>
      <c r="M46" s="2">
        <v>4</v>
      </c>
      <c r="N46" s="2">
        <v>4</v>
      </c>
      <c r="O46" s="2">
        <v>4</v>
      </c>
      <c r="P46" s="2">
        <v>4</v>
      </c>
      <c r="Q46" s="2">
        <v>6</v>
      </c>
      <c r="R46" s="2" t="str">
        <f t="shared" si="163"/>
        <v>FBLD</v>
      </c>
      <c r="S46" s="2">
        <f t="shared" si="140"/>
        <v>0</v>
      </c>
      <c r="T46" s="2">
        <f t="shared" ref="T46" si="169">S46</f>
        <v>0</v>
      </c>
      <c r="U46" s="2">
        <f t="shared" si="141"/>
        <v>4</v>
      </c>
      <c r="V46" s="2">
        <f t="shared" si="165"/>
        <v>4</v>
      </c>
      <c r="W46" s="2">
        <v>6</v>
      </c>
      <c r="AA46" s="2">
        <f t="shared" si="153"/>
        <v>4</v>
      </c>
      <c r="AB46" s="2">
        <f t="shared" si="142"/>
        <v>4</v>
      </c>
      <c r="AC46" s="2">
        <f t="shared" si="143"/>
        <v>6</v>
      </c>
      <c r="AE46" s="2">
        <v>0</v>
      </c>
      <c r="AF46" s="7" t="s">
        <v>336</v>
      </c>
      <c r="AG46" s="2">
        <v>4</v>
      </c>
      <c r="AH46" s="2">
        <v>4</v>
      </c>
      <c r="AI46" s="2">
        <v>4</v>
      </c>
      <c r="AJ46" s="2">
        <v>4</v>
      </c>
      <c r="AK46" s="2">
        <v>6</v>
      </c>
      <c r="AL46" s="2" t="str">
        <f t="shared" si="154"/>
        <v>FBLD</v>
      </c>
      <c r="AM46" s="2">
        <f t="shared" si="144"/>
        <v>0</v>
      </c>
      <c r="AN46" s="2">
        <f t="shared" si="155"/>
        <v>0</v>
      </c>
      <c r="AO46" s="2">
        <f t="shared" si="145"/>
        <v>4</v>
      </c>
      <c r="AP46" s="2">
        <f t="shared" si="166"/>
        <v>4</v>
      </c>
      <c r="AQ46" s="2">
        <v>6</v>
      </c>
      <c r="AU46" s="2">
        <f t="shared" si="157"/>
        <v>4</v>
      </c>
      <c r="AV46" s="2">
        <f t="shared" si="146"/>
        <v>4</v>
      </c>
      <c r="AW46" s="2">
        <f t="shared" si="147"/>
        <v>6</v>
      </c>
      <c r="AY46" s="2">
        <v>0</v>
      </c>
      <c r="AZ46" s="7" t="s">
        <v>336</v>
      </c>
      <c r="BA46" s="2">
        <v>4</v>
      </c>
      <c r="BB46" s="2">
        <v>4</v>
      </c>
      <c r="BC46" s="2">
        <v>4</v>
      </c>
      <c r="BD46" s="2">
        <v>4</v>
      </c>
      <c r="BE46" s="2">
        <v>6</v>
      </c>
      <c r="BF46" s="2" t="str">
        <f>D46</f>
        <v>FBLD</v>
      </c>
      <c r="BG46" s="2">
        <f t="shared" si="148"/>
        <v>0</v>
      </c>
      <c r="BH46" s="2">
        <f t="shared" ref="BH46:BJ46" si="170">BG46</f>
        <v>0</v>
      </c>
      <c r="BI46" s="2">
        <f t="shared" si="149"/>
        <v>4</v>
      </c>
      <c r="BJ46" s="2">
        <f t="shared" si="168"/>
        <v>4</v>
      </c>
      <c r="BK46" s="2">
        <v>6</v>
      </c>
      <c r="BO46" s="2">
        <f t="shared" si="160"/>
        <v>4</v>
      </c>
      <c r="BP46" s="2">
        <f t="shared" si="150"/>
        <v>4</v>
      </c>
      <c r="BQ46" s="2">
        <f t="shared" si="150"/>
        <v>6</v>
      </c>
    </row>
    <row r="47" spans="2:69" s="30" customFormat="1" x14ac:dyDescent="0.2">
      <c r="B47" s="30" t="s">
        <v>461</v>
      </c>
      <c r="E47" s="31"/>
      <c r="F47" s="31"/>
      <c r="G47" s="31"/>
      <c r="H47" s="31"/>
      <c r="I47" s="31"/>
      <c r="N47" s="35" t="s">
        <v>503</v>
      </c>
      <c r="O47" s="35"/>
      <c r="P47" s="35"/>
      <c r="Q47" s="35"/>
      <c r="AH47" s="35" t="s">
        <v>503</v>
      </c>
      <c r="AI47" s="35"/>
      <c r="AJ47" s="35"/>
      <c r="AK47" s="35"/>
      <c r="BB47" s="35" t="s">
        <v>503</v>
      </c>
      <c r="BC47" s="35"/>
      <c r="BD47" s="35"/>
      <c r="BE47" s="35"/>
    </row>
    <row r="48" spans="2:69" s="23" customFormat="1" x14ac:dyDescent="0.2">
      <c r="B48" s="23" t="s">
        <v>505</v>
      </c>
      <c r="D48" s="23" t="s">
        <v>652</v>
      </c>
      <c r="E48" s="24"/>
      <c r="F48" s="24"/>
      <c r="G48" s="24"/>
      <c r="H48" s="24"/>
      <c r="I48" s="24"/>
      <c r="J48" s="24"/>
      <c r="T48" s="26">
        <f>SUM(T42:T46)</f>
        <v>11</v>
      </c>
      <c r="U48" s="26"/>
      <c r="V48" s="26">
        <f t="shared" ref="V48:W48" si="171">SUM(V42:V46)</f>
        <v>41</v>
      </c>
      <c r="W48" s="26">
        <f t="shared" si="171"/>
        <v>69</v>
      </c>
      <c r="X48" s="26">
        <v>50</v>
      </c>
      <c r="Y48" s="26">
        <f>(T48/W48)*X48</f>
        <v>7.9710144927536222</v>
      </c>
      <c r="Z48" s="26">
        <f>(V48/W48)*X48</f>
        <v>29.710144927536231</v>
      </c>
      <c r="AA48" s="26">
        <f t="shared" ref="AA48:AC48" si="172">SUM(AA42:AA46)</f>
        <v>45</v>
      </c>
      <c r="AB48" s="26">
        <f t="shared" si="172"/>
        <v>49</v>
      </c>
      <c r="AC48" s="26">
        <f t="shared" si="172"/>
        <v>60</v>
      </c>
      <c r="AN48" s="26">
        <f>SUM(AN42:AN46)</f>
        <v>11</v>
      </c>
      <c r="AO48" s="26"/>
      <c r="AP48" s="26">
        <f>SUM(AP42:AP46)</f>
        <v>41</v>
      </c>
      <c r="AQ48" s="26">
        <f>SUM(AQ42:AQ46)</f>
        <v>69</v>
      </c>
      <c r="AR48" s="26">
        <v>50</v>
      </c>
      <c r="AS48" s="26">
        <f>(AN48/AQ48)*AR48</f>
        <v>7.9710144927536222</v>
      </c>
      <c r="AT48" s="26">
        <f>(AP48/AQ48)*AR48</f>
        <v>29.710144927536231</v>
      </c>
      <c r="AU48" s="26">
        <f>SUM(AU42:AU46)</f>
        <v>45</v>
      </c>
      <c r="AV48" s="26">
        <f>SUM(AV42:AV46)</f>
        <v>49</v>
      </c>
      <c r="AW48" s="26">
        <f>SUM(AW42:AW46)</f>
        <v>60</v>
      </c>
      <c r="BH48" s="26">
        <f>SUM(BH42:BH46)</f>
        <v>11</v>
      </c>
      <c r="BI48" s="26"/>
      <c r="BJ48" s="26">
        <f>SUM(BJ42:BJ46)</f>
        <v>42</v>
      </c>
      <c r="BK48" s="26">
        <f>SUM(BK42:BK46)</f>
        <v>69</v>
      </c>
      <c r="BL48" s="26">
        <v>50</v>
      </c>
      <c r="BM48" s="26">
        <f>(BH48/BK48)*BL48</f>
        <v>7.9710144927536222</v>
      </c>
      <c r="BN48" s="26">
        <f>(BJ48/BK48)*BL48</f>
        <v>30.434782608695656</v>
      </c>
      <c r="BO48" s="26">
        <f t="shared" ref="BO48:BQ48" si="173">SUM(BO42:BO46)</f>
        <v>46</v>
      </c>
      <c r="BP48" s="26">
        <f t="shared" si="173"/>
        <v>50</v>
      </c>
      <c r="BQ48" s="26">
        <f t="shared" si="173"/>
        <v>61</v>
      </c>
    </row>
    <row r="49" spans="2:69" ht="73" customHeight="1" x14ac:dyDescent="0.2">
      <c r="B49" s="2" t="s">
        <v>63</v>
      </c>
      <c r="C49" s="2" t="s">
        <v>121</v>
      </c>
      <c r="D49" s="2" t="s">
        <v>393</v>
      </c>
      <c r="E49" s="3" t="s">
        <v>311</v>
      </c>
      <c r="F49" s="3" t="s">
        <v>155</v>
      </c>
      <c r="G49" s="3" t="s">
        <v>154</v>
      </c>
      <c r="H49" s="3" t="s">
        <v>150</v>
      </c>
      <c r="I49" s="2" t="s">
        <v>197</v>
      </c>
      <c r="K49" s="2">
        <v>4</v>
      </c>
      <c r="L49" s="2" t="s">
        <v>613</v>
      </c>
      <c r="M49" s="2">
        <v>8</v>
      </c>
      <c r="N49" s="38">
        <v>24</v>
      </c>
      <c r="O49" s="38">
        <v>26</v>
      </c>
      <c r="P49" s="38">
        <v>28</v>
      </c>
      <c r="Q49" s="38">
        <v>30</v>
      </c>
      <c r="R49" s="2" t="str">
        <f>$D49</f>
        <v>RLCG2B</v>
      </c>
      <c r="S49" s="2">
        <f>K49</f>
        <v>4</v>
      </c>
      <c r="T49" s="2">
        <f>S49</f>
        <v>4</v>
      </c>
      <c r="U49" s="2">
        <f t="shared" ref="U49:U57" si="174">M49</f>
        <v>8</v>
      </c>
      <c r="V49" s="2">
        <f>U49</f>
        <v>8</v>
      </c>
      <c r="W49" s="2">
        <v>12</v>
      </c>
      <c r="AA49" s="74">
        <v>9</v>
      </c>
      <c r="AB49" s="74">
        <v>10</v>
      </c>
      <c r="AC49" s="74">
        <v>11</v>
      </c>
      <c r="AE49" s="2">
        <v>4</v>
      </c>
      <c r="AF49" s="2" t="s">
        <v>613</v>
      </c>
      <c r="AG49" s="2">
        <v>9</v>
      </c>
      <c r="AH49" s="38">
        <v>25</v>
      </c>
      <c r="AI49" s="38">
        <v>27</v>
      </c>
      <c r="AJ49" s="38">
        <v>30</v>
      </c>
      <c r="AK49" s="38">
        <v>32</v>
      </c>
      <c r="AL49" s="2" t="str">
        <f>$D49</f>
        <v>RLCG2B</v>
      </c>
      <c r="AM49" s="2">
        <f>AE49</f>
        <v>4</v>
      </c>
      <c r="AN49" s="2">
        <f>AM49</f>
        <v>4</v>
      </c>
      <c r="AO49" s="2">
        <f t="shared" ref="AO49:AO58" si="175">AG49</f>
        <v>9</v>
      </c>
      <c r="AP49" s="2">
        <f>AO49</f>
        <v>9</v>
      </c>
      <c r="AQ49" s="2">
        <v>12</v>
      </c>
      <c r="AU49" s="74">
        <v>10</v>
      </c>
      <c r="AV49" s="74">
        <v>11</v>
      </c>
      <c r="AW49" s="74">
        <v>11</v>
      </c>
      <c r="AY49" s="2">
        <v>6</v>
      </c>
      <c r="AZ49" s="2" t="s">
        <v>613</v>
      </c>
      <c r="BA49" s="2">
        <v>10</v>
      </c>
      <c r="BB49" s="38">
        <v>28</v>
      </c>
      <c r="BC49" s="38">
        <v>30</v>
      </c>
      <c r="BD49" s="38">
        <v>32</v>
      </c>
      <c r="BE49" s="38">
        <v>34</v>
      </c>
      <c r="BF49" s="2" t="str">
        <f>$D49</f>
        <v>RLCG2B</v>
      </c>
      <c r="BG49" s="2">
        <f>AY49</f>
        <v>6</v>
      </c>
      <c r="BH49" s="2">
        <f>BG49</f>
        <v>6</v>
      </c>
      <c r="BI49" s="2">
        <f t="shared" ref="BI49:BI58" si="176">BA49</f>
        <v>10</v>
      </c>
      <c r="BJ49" s="2">
        <f>BI49</f>
        <v>10</v>
      </c>
      <c r="BK49" s="2">
        <v>12</v>
      </c>
      <c r="BO49" s="74">
        <v>10</v>
      </c>
      <c r="BP49" s="74">
        <v>11</v>
      </c>
      <c r="BQ49" s="74">
        <v>12</v>
      </c>
    </row>
    <row r="50" spans="2:69" ht="71" customHeight="1" x14ac:dyDescent="0.2">
      <c r="B50" s="2" t="s">
        <v>63</v>
      </c>
      <c r="C50" s="2" t="s">
        <v>122</v>
      </c>
      <c r="D50" s="2" t="s">
        <v>394</v>
      </c>
      <c r="E50" s="3" t="s">
        <v>312</v>
      </c>
      <c r="F50" s="3" t="s">
        <v>155</v>
      </c>
      <c r="G50" s="3" t="s">
        <v>154</v>
      </c>
      <c r="H50" s="3" t="s">
        <v>150</v>
      </c>
      <c r="I50" s="2" t="s">
        <v>197</v>
      </c>
      <c r="K50" s="2">
        <v>3</v>
      </c>
      <c r="L50" s="2" t="s">
        <v>613</v>
      </c>
      <c r="M50" s="2">
        <v>8</v>
      </c>
      <c r="N50" s="38"/>
      <c r="O50" s="38"/>
      <c r="P50" s="38"/>
      <c r="Q50" s="38"/>
      <c r="R50" s="2" t="str">
        <f t="shared" ref="R50:R57" si="177">$D50</f>
        <v>RLCGSS</v>
      </c>
      <c r="S50" s="2">
        <f t="shared" ref="S50:S57" si="178">K50</f>
        <v>3</v>
      </c>
      <c r="T50" s="2">
        <f t="shared" ref="T50:T57" si="179">S50</f>
        <v>3</v>
      </c>
      <c r="U50" s="2">
        <f t="shared" si="174"/>
        <v>8</v>
      </c>
      <c r="V50" s="2">
        <f t="shared" ref="V50:V57" si="180">U50</f>
        <v>8</v>
      </c>
      <c r="W50" s="2">
        <v>12</v>
      </c>
      <c r="AA50" s="74">
        <v>9</v>
      </c>
      <c r="AB50" s="74">
        <v>9</v>
      </c>
      <c r="AC50" s="74">
        <v>10</v>
      </c>
      <c r="AE50" s="2">
        <v>4</v>
      </c>
      <c r="AF50" s="2" t="s">
        <v>613</v>
      </c>
      <c r="AG50" s="2">
        <v>8</v>
      </c>
      <c r="AH50" s="38"/>
      <c r="AI50" s="38"/>
      <c r="AJ50" s="38"/>
      <c r="AK50" s="38"/>
      <c r="AL50" s="2" t="str">
        <f t="shared" ref="AL50:AL57" si="181">$D50</f>
        <v>RLCGSS</v>
      </c>
      <c r="AM50" s="2">
        <f t="shared" ref="AM50:AM58" si="182">AE50</f>
        <v>4</v>
      </c>
      <c r="AN50" s="2">
        <f t="shared" ref="AN50:AN57" si="183">AM50</f>
        <v>4</v>
      </c>
      <c r="AO50" s="2">
        <f t="shared" si="175"/>
        <v>8</v>
      </c>
      <c r="AP50" s="2">
        <f t="shared" ref="AP50:AP57" si="184">AO50</f>
        <v>8</v>
      </c>
      <c r="AQ50" s="2">
        <v>12</v>
      </c>
      <c r="AU50" s="74">
        <v>9</v>
      </c>
      <c r="AV50" s="74">
        <v>10</v>
      </c>
      <c r="AW50" s="74">
        <v>11</v>
      </c>
      <c r="AY50" s="2">
        <v>5</v>
      </c>
      <c r="AZ50" s="2" t="s">
        <v>613</v>
      </c>
      <c r="BA50" s="2">
        <v>9</v>
      </c>
      <c r="BB50" s="38"/>
      <c r="BC50" s="38"/>
      <c r="BD50" s="38"/>
      <c r="BE50" s="38"/>
      <c r="BF50" s="2" t="str">
        <f t="shared" ref="BF50:BF57" si="185">$D50</f>
        <v>RLCGSS</v>
      </c>
      <c r="BG50" s="2">
        <f t="shared" ref="BG50:BG58" si="186">AY50</f>
        <v>5</v>
      </c>
      <c r="BH50" s="2">
        <f t="shared" ref="BH50:BH57" si="187">BG50</f>
        <v>5</v>
      </c>
      <c r="BI50" s="2">
        <f t="shared" si="176"/>
        <v>9</v>
      </c>
      <c r="BJ50" s="2">
        <f t="shared" ref="BJ50:BJ57" si="188">BI50</f>
        <v>9</v>
      </c>
      <c r="BK50" s="2">
        <v>12</v>
      </c>
      <c r="BO50" s="74">
        <v>10</v>
      </c>
      <c r="BP50" s="74">
        <v>11</v>
      </c>
      <c r="BQ50" s="74">
        <v>11</v>
      </c>
    </row>
    <row r="51" spans="2:69" ht="78" customHeight="1" x14ac:dyDescent="0.2">
      <c r="B51" s="2" t="s">
        <v>63</v>
      </c>
      <c r="C51" s="2" t="s">
        <v>123</v>
      </c>
      <c r="D51" s="2" t="s">
        <v>395</v>
      </c>
      <c r="E51" s="3" t="s">
        <v>313</v>
      </c>
      <c r="F51" s="3" t="s">
        <v>155</v>
      </c>
      <c r="G51" s="3" t="s">
        <v>154</v>
      </c>
      <c r="H51" s="3" t="s">
        <v>150</v>
      </c>
      <c r="I51" s="2" t="s">
        <v>197</v>
      </c>
      <c r="K51" s="2">
        <v>3</v>
      </c>
      <c r="L51" s="2" t="s">
        <v>613</v>
      </c>
      <c r="M51" s="2">
        <v>8</v>
      </c>
      <c r="N51" s="38"/>
      <c r="O51" s="38"/>
      <c r="P51" s="38"/>
      <c r="Q51" s="38"/>
      <c r="R51" s="2" t="str">
        <f t="shared" si="177"/>
        <v>RLCG3B</v>
      </c>
      <c r="S51" s="2">
        <f t="shared" si="178"/>
        <v>3</v>
      </c>
      <c r="T51" s="2">
        <f t="shared" si="179"/>
        <v>3</v>
      </c>
      <c r="U51" s="2">
        <f t="shared" si="174"/>
        <v>8</v>
      </c>
      <c r="V51" s="2">
        <f t="shared" si="180"/>
        <v>8</v>
      </c>
      <c r="W51" s="2">
        <v>12</v>
      </c>
      <c r="AA51" s="74">
        <v>8</v>
      </c>
      <c r="AB51" s="74">
        <v>9</v>
      </c>
      <c r="AC51" s="74">
        <v>9</v>
      </c>
      <c r="AE51" s="2">
        <v>4</v>
      </c>
      <c r="AF51" s="2" t="s">
        <v>613</v>
      </c>
      <c r="AG51" s="2">
        <v>8</v>
      </c>
      <c r="AH51" s="38"/>
      <c r="AI51" s="38"/>
      <c r="AJ51" s="38"/>
      <c r="AK51" s="38"/>
      <c r="AL51" s="2" t="str">
        <f t="shared" si="181"/>
        <v>RLCG3B</v>
      </c>
      <c r="AM51" s="2">
        <f t="shared" si="182"/>
        <v>4</v>
      </c>
      <c r="AN51" s="2">
        <f t="shared" si="183"/>
        <v>4</v>
      </c>
      <c r="AO51" s="2">
        <f t="shared" si="175"/>
        <v>8</v>
      </c>
      <c r="AP51" s="2">
        <f t="shared" si="184"/>
        <v>8</v>
      </c>
      <c r="AQ51" s="2">
        <v>12</v>
      </c>
      <c r="AU51" s="74">
        <v>8</v>
      </c>
      <c r="AV51" s="74">
        <v>9</v>
      </c>
      <c r="AW51" s="74">
        <v>10</v>
      </c>
      <c r="AY51" s="2">
        <v>5</v>
      </c>
      <c r="AZ51" s="2" t="s">
        <v>613</v>
      </c>
      <c r="BA51" s="2">
        <v>9</v>
      </c>
      <c r="BB51" s="38"/>
      <c r="BC51" s="38"/>
      <c r="BD51" s="38"/>
      <c r="BE51" s="38"/>
      <c r="BF51" s="2" t="str">
        <f t="shared" si="185"/>
        <v>RLCG3B</v>
      </c>
      <c r="BG51" s="2">
        <f t="shared" si="186"/>
        <v>5</v>
      </c>
      <c r="BH51" s="2">
        <f t="shared" si="187"/>
        <v>5</v>
      </c>
      <c r="BI51" s="2">
        <f t="shared" si="176"/>
        <v>9</v>
      </c>
      <c r="BJ51" s="2">
        <f t="shared" si="188"/>
        <v>9</v>
      </c>
      <c r="BK51" s="2">
        <v>12</v>
      </c>
      <c r="BO51" s="74">
        <v>9</v>
      </c>
      <c r="BP51" s="74">
        <v>10</v>
      </c>
      <c r="BQ51" s="74">
        <v>11</v>
      </c>
    </row>
    <row r="52" spans="2:69" ht="34" x14ac:dyDescent="0.2">
      <c r="B52" s="2" t="s">
        <v>63</v>
      </c>
      <c r="C52" s="2" t="s">
        <v>125</v>
      </c>
      <c r="D52" s="2" t="s">
        <v>464</v>
      </c>
      <c r="E52" s="3" t="s">
        <v>124</v>
      </c>
      <c r="F52" s="2" t="s">
        <v>156</v>
      </c>
      <c r="G52" s="3" t="s">
        <v>157</v>
      </c>
      <c r="H52" s="3" t="s">
        <v>147</v>
      </c>
      <c r="I52" s="2" t="s">
        <v>198</v>
      </c>
      <c r="K52" s="2">
        <v>0</v>
      </c>
      <c r="L52" s="2" t="s">
        <v>613</v>
      </c>
      <c r="M52" s="2">
        <v>4</v>
      </c>
      <c r="N52" s="38">
        <v>12</v>
      </c>
      <c r="O52" s="38">
        <v>13</v>
      </c>
      <c r="P52" s="38">
        <v>14</v>
      </c>
      <c r="Q52" s="38">
        <v>15</v>
      </c>
      <c r="R52" s="2" t="str">
        <f t="shared" si="177"/>
        <v>CIFF2B</v>
      </c>
      <c r="S52" s="2">
        <f t="shared" si="178"/>
        <v>0</v>
      </c>
      <c r="T52" s="2">
        <f t="shared" si="179"/>
        <v>0</v>
      </c>
      <c r="U52" s="2">
        <f t="shared" si="174"/>
        <v>4</v>
      </c>
      <c r="V52" s="2">
        <f t="shared" si="180"/>
        <v>4</v>
      </c>
      <c r="W52" s="2">
        <v>6</v>
      </c>
      <c r="AA52" s="74">
        <v>5</v>
      </c>
      <c r="AB52" s="74">
        <v>5</v>
      </c>
      <c r="AC52" s="74">
        <v>5</v>
      </c>
      <c r="AE52" s="2">
        <v>0</v>
      </c>
      <c r="AF52" s="2" t="s">
        <v>613</v>
      </c>
      <c r="AG52" s="2">
        <v>4</v>
      </c>
      <c r="AH52" s="38">
        <v>12</v>
      </c>
      <c r="AI52" s="38">
        <v>13</v>
      </c>
      <c r="AJ52" s="38">
        <v>14</v>
      </c>
      <c r="AK52" s="38">
        <v>15</v>
      </c>
      <c r="AL52" s="2" t="str">
        <f t="shared" si="181"/>
        <v>CIFF2B</v>
      </c>
      <c r="AM52" s="2">
        <f t="shared" si="182"/>
        <v>0</v>
      </c>
      <c r="AN52" s="2">
        <f t="shared" si="183"/>
        <v>0</v>
      </c>
      <c r="AO52" s="2">
        <f t="shared" si="175"/>
        <v>4</v>
      </c>
      <c r="AP52" s="2">
        <f t="shared" si="184"/>
        <v>4</v>
      </c>
      <c r="AQ52" s="2">
        <v>6</v>
      </c>
      <c r="AU52" s="74">
        <v>5</v>
      </c>
      <c r="AV52" s="74">
        <v>5</v>
      </c>
      <c r="AW52" s="74">
        <v>5</v>
      </c>
      <c r="AY52" s="2">
        <v>0</v>
      </c>
      <c r="AZ52" s="2" t="s">
        <v>613</v>
      </c>
      <c r="BA52" s="2">
        <v>4</v>
      </c>
      <c r="BB52" s="38">
        <v>12</v>
      </c>
      <c r="BC52" s="38">
        <v>13</v>
      </c>
      <c r="BD52" s="38">
        <v>14</v>
      </c>
      <c r="BE52" s="38">
        <v>16</v>
      </c>
      <c r="BF52" s="2" t="str">
        <f t="shared" si="185"/>
        <v>CIFF2B</v>
      </c>
      <c r="BG52" s="2">
        <f t="shared" si="186"/>
        <v>0</v>
      </c>
      <c r="BH52" s="2">
        <f t="shared" si="187"/>
        <v>0</v>
      </c>
      <c r="BI52" s="2">
        <f t="shared" si="176"/>
        <v>4</v>
      </c>
      <c r="BJ52" s="2">
        <f t="shared" si="188"/>
        <v>4</v>
      </c>
      <c r="BK52" s="2">
        <v>6</v>
      </c>
      <c r="BO52" s="74">
        <v>5</v>
      </c>
      <c r="BP52" s="74">
        <v>5</v>
      </c>
      <c r="BQ52" s="74">
        <v>6</v>
      </c>
    </row>
    <row r="53" spans="2:69" ht="34" x14ac:dyDescent="0.2">
      <c r="B53" s="2" t="s">
        <v>63</v>
      </c>
      <c r="C53" s="2" t="s">
        <v>126</v>
      </c>
      <c r="D53" s="2" t="s">
        <v>465</v>
      </c>
      <c r="E53" s="3" t="s">
        <v>132</v>
      </c>
      <c r="F53" s="2" t="s">
        <v>156</v>
      </c>
      <c r="G53" s="3" t="s">
        <v>157</v>
      </c>
      <c r="H53" s="3" t="s">
        <v>147</v>
      </c>
      <c r="I53" s="2" t="s">
        <v>198</v>
      </c>
      <c r="K53" s="2">
        <v>0</v>
      </c>
      <c r="L53" s="2" t="s">
        <v>613</v>
      </c>
      <c r="M53" s="2">
        <v>4</v>
      </c>
      <c r="N53" s="38"/>
      <c r="O53" s="38"/>
      <c r="P53" s="38"/>
      <c r="Q53" s="38"/>
      <c r="R53" s="2" t="str">
        <f t="shared" si="177"/>
        <v>CIFFSS</v>
      </c>
      <c r="S53" s="2">
        <f t="shared" si="178"/>
        <v>0</v>
      </c>
      <c r="T53" s="2">
        <f t="shared" si="179"/>
        <v>0</v>
      </c>
      <c r="U53" s="2">
        <f t="shared" si="174"/>
        <v>4</v>
      </c>
      <c r="V53" s="2">
        <f t="shared" si="180"/>
        <v>4</v>
      </c>
      <c r="W53" s="2">
        <v>6</v>
      </c>
      <c r="AA53" s="74">
        <v>4</v>
      </c>
      <c r="AB53" s="74">
        <v>5</v>
      </c>
      <c r="AC53" s="74">
        <v>5</v>
      </c>
      <c r="AE53" s="2">
        <v>0</v>
      </c>
      <c r="AF53" s="2" t="s">
        <v>613</v>
      </c>
      <c r="AG53" s="2">
        <v>4</v>
      </c>
      <c r="AH53" s="38"/>
      <c r="AI53" s="38"/>
      <c r="AJ53" s="38"/>
      <c r="AK53" s="38"/>
      <c r="AL53" s="2" t="str">
        <f t="shared" si="181"/>
        <v>CIFFSS</v>
      </c>
      <c r="AM53" s="2">
        <f t="shared" si="182"/>
        <v>0</v>
      </c>
      <c r="AN53" s="2">
        <f t="shared" si="183"/>
        <v>0</v>
      </c>
      <c r="AO53" s="2">
        <f t="shared" si="175"/>
        <v>4</v>
      </c>
      <c r="AP53" s="2">
        <f t="shared" si="184"/>
        <v>4</v>
      </c>
      <c r="AQ53" s="2">
        <v>6</v>
      </c>
      <c r="AU53" s="74">
        <v>4</v>
      </c>
      <c r="AV53" s="74">
        <v>5</v>
      </c>
      <c r="AW53" s="74">
        <v>5</v>
      </c>
      <c r="AY53" s="2">
        <v>0</v>
      </c>
      <c r="AZ53" s="2" t="s">
        <v>613</v>
      </c>
      <c r="BA53" s="2">
        <v>4</v>
      </c>
      <c r="BB53" s="38"/>
      <c r="BC53" s="38"/>
      <c r="BD53" s="38"/>
      <c r="BE53" s="38"/>
      <c r="BF53" s="2" t="str">
        <f t="shared" si="185"/>
        <v>CIFFSS</v>
      </c>
      <c r="BG53" s="2">
        <f t="shared" si="186"/>
        <v>0</v>
      </c>
      <c r="BH53" s="2">
        <f t="shared" si="187"/>
        <v>0</v>
      </c>
      <c r="BI53" s="2">
        <f t="shared" si="176"/>
        <v>4</v>
      </c>
      <c r="BJ53" s="2">
        <f t="shared" si="188"/>
        <v>4</v>
      </c>
      <c r="BK53" s="2">
        <v>6</v>
      </c>
      <c r="BO53" s="74">
        <v>4</v>
      </c>
      <c r="BP53" s="74">
        <v>5</v>
      </c>
      <c r="BQ53" s="74">
        <v>5</v>
      </c>
    </row>
    <row r="54" spans="2:69" ht="34" x14ac:dyDescent="0.2">
      <c r="B54" s="2" t="s">
        <v>63</v>
      </c>
      <c r="C54" s="2" t="s">
        <v>127</v>
      </c>
      <c r="D54" s="2" t="s">
        <v>466</v>
      </c>
      <c r="E54" s="3" t="s">
        <v>133</v>
      </c>
      <c r="F54" s="2" t="s">
        <v>156</v>
      </c>
      <c r="G54" s="3" t="s">
        <v>157</v>
      </c>
      <c r="H54" s="3" t="s">
        <v>147</v>
      </c>
      <c r="I54" s="2" t="s">
        <v>198</v>
      </c>
      <c r="K54" s="2">
        <v>0</v>
      </c>
      <c r="L54" s="2" t="s">
        <v>613</v>
      </c>
      <c r="M54" s="2">
        <v>4</v>
      </c>
      <c r="N54" s="38"/>
      <c r="O54" s="38"/>
      <c r="P54" s="38"/>
      <c r="Q54" s="38"/>
      <c r="R54" s="2" t="str">
        <f t="shared" si="177"/>
        <v>CIFF3B</v>
      </c>
      <c r="S54" s="2">
        <f t="shared" si="178"/>
        <v>0</v>
      </c>
      <c r="T54" s="2">
        <f t="shared" si="179"/>
        <v>0</v>
      </c>
      <c r="U54" s="2">
        <f t="shared" si="174"/>
        <v>4</v>
      </c>
      <c r="V54" s="2">
        <f t="shared" si="180"/>
        <v>4</v>
      </c>
      <c r="W54" s="2">
        <v>6</v>
      </c>
      <c r="AA54" s="74">
        <v>4</v>
      </c>
      <c r="AB54" s="74">
        <v>4</v>
      </c>
      <c r="AC54" s="74">
        <v>5</v>
      </c>
      <c r="AE54" s="2">
        <v>0</v>
      </c>
      <c r="AF54" s="2" t="s">
        <v>613</v>
      </c>
      <c r="AG54" s="2">
        <v>4</v>
      </c>
      <c r="AH54" s="38"/>
      <c r="AI54" s="38"/>
      <c r="AJ54" s="38"/>
      <c r="AK54" s="38"/>
      <c r="AL54" s="2" t="str">
        <f t="shared" si="181"/>
        <v>CIFF3B</v>
      </c>
      <c r="AM54" s="2">
        <f t="shared" si="182"/>
        <v>0</v>
      </c>
      <c r="AN54" s="2">
        <f t="shared" si="183"/>
        <v>0</v>
      </c>
      <c r="AO54" s="2">
        <f t="shared" si="175"/>
        <v>4</v>
      </c>
      <c r="AP54" s="2">
        <f t="shared" si="184"/>
        <v>4</v>
      </c>
      <c r="AQ54" s="2">
        <v>6</v>
      </c>
      <c r="AU54" s="74">
        <v>4</v>
      </c>
      <c r="AV54" s="74">
        <v>4</v>
      </c>
      <c r="AW54" s="74">
        <v>5</v>
      </c>
      <c r="AY54" s="2">
        <v>0</v>
      </c>
      <c r="AZ54" s="2" t="s">
        <v>613</v>
      </c>
      <c r="BA54" s="2">
        <v>4</v>
      </c>
      <c r="BB54" s="38"/>
      <c r="BC54" s="38"/>
      <c r="BD54" s="38"/>
      <c r="BE54" s="38"/>
      <c r="BF54" s="2" t="str">
        <f t="shared" si="185"/>
        <v>CIFF3B</v>
      </c>
      <c r="BG54" s="2">
        <f t="shared" si="186"/>
        <v>0</v>
      </c>
      <c r="BH54" s="2">
        <f t="shared" si="187"/>
        <v>0</v>
      </c>
      <c r="BI54" s="2">
        <f t="shared" si="176"/>
        <v>4</v>
      </c>
      <c r="BJ54" s="2">
        <f t="shared" si="188"/>
        <v>4</v>
      </c>
      <c r="BK54" s="2">
        <v>6</v>
      </c>
      <c r="BO54" s="74">
        <v>4</v>
      </c>
      <c r="BP54" s="74">
        <v>4</v>
      </c>
      <c r="BQ54" s="74">
        <v>5</v>
      </c>
    </row>
    <row r="55" spans="2:69" ht="51" x14ac:dyDescent="0.2">
      <c r="B55" s="2" t="s">
        <v>63</v>
      </c>
      <c r="C55" s="2" t="s">
        <v>128</v>
      </c>
      <c r="D55" s="2" t="s">
        <v>467</v>
      </c>
      <c r="E55" s="3" t="s">
        <v>134</v>
      </c>
      <c r="F55" s="2" t="s">
        <v>156</v>
      </c>
      <c r="G55" s="3" t="s">
        <v>158</v>
      </c>
      <c r="H55" s="3" t="s">
        <v>147</v>
      </c>
      <c r="I55" s="2" t="s">
        <v>198</v>
      </c>
      <c r="K55" s="2">
        <v>0</v>
      </c>
      <c r="L55" s="2" t="s">
        <v>613</v>
      </c>
      <c r="M55" s="2">
        <v>4</v>
      </c>
      <c r="N55" s="38">
        <v>12</v>
      </c>
      <c r="O55" s="38">
        <v>13</v>
      </c>
      <c r="P55" s="38">
        <v>14</v>
      </c>
      <c r="Q55" s="38">
        <v>15</v>
      </c>
      <c r="R55" s="2" t="str">
        <f t="shared" si="177"/>
        <v>CLD2B</v>
      </c>
      <c r="S55" s="2">
        <f t="shared" si="178"/>
        <v>0</v>
      </c>
      <c r="T55" s="2">
        <f t="shared" si="179"/>
        <v>0</v>
      </c>
      <c r="U55" s="2">
        <f t="shared" si="174"/>
        <v>4</v>
      </c>
      <c r="V55" s="2">
        <f t="shared" si="180"/>
        <v>4</v>
      </c>
      <c r="W55" s="2">
        <v>6</v>
      </c>
      <c r="AA55" s="74">
        <v>5</v>
      </c>
      <c r="AB55" s="74">
        <v>5</v>
      </c>
      <c r="AC55" s="74">
        <v>5</v>
      </c>
      <c r="AE55" s="2">
        <v>0</v>
      </c>
      <c r="AF55" s="2" t="s">
        <v>613</v>
      </c>
      <c r="AG55" s="2">
        <v>4</v>
      </c>
      <c r="AH55" s="38">
        <v>12</v>
      </c>
      <c r="AI55" s="38">
        <v>13</v>
      </c>
      <c r="AJ55" s="38">
        <v>14</v>
      </c>
      <c r="AK55" s="38">
        <v>15</v>
      </c>
      <c r="AL55" s="2" t="str">
        <f t="shared" si="181"/>
        <v>CLD2B</v>
      </c>
      <c r="AM55" s="2">
        <f t="shared" si="182"/>
        <v>0</v>
      </c>
      <c r="AN55" s="2">
        <f t="shared" si="183"/>
        <v>0</v>
      </c>
      <c r="AO55" s="2">
        <f t="shared" si="175"/>
        <v>4</v>
      </c>
      <c r="AP55" s="2">
        <f t="shared" si="184"/>
        <v>4</v>
      </c>
      <c r="AQ55" s="2">
        <v>6</v>
      </c>
      <c r="AU55" s="74">
        <v>5</v>
      </c>
      <c r="AV55" s="74">
        <v>5</v>
      </c>
      <c r="AW55" s="74">
        <v>5</v>
      </c>
      <c r="AY55" s="2">
        <v>0</v>
      </c>
      <c r="AZ55" s="2" t="s">
        <v>613</v>
      </c>
      <c r="BA55" s="2">
        <v>4</v>
      </c>
      <c r="BB55" s="38">
        <v>12</v>
      </c>
      <c r="BC55" s="38">
        <v>13</v>
      </c>
      <c r="BD55" s="38">
        <v>14</v>
      </c>
      <c r="BE55" s="38">
        <v>16</v>
      </c>
      <c r="BF55" s="2" t="str">
        <f t="shared" si="185"/>
        <v>CLD2B</v>
      </c>
      <c r="BG55" s="2">
        <f t="shared" si="186"/>
        <v>0</v>
      </c>
      <c r="BH55" s="2">
        <f t="shared" si="187"/>
        <v>0</v>
      </c>
      <c r="BI55" s="2">
        <f t="shared" si="176"/>
        <v>4</v>
      </c>
      <c r="BJ55" s="2">
        <f t="shared" si="188"/>
        <v>4</v>
      </c>
      <c r="BK55" s="2">
        <v>6</v>
      </c>
      <c r="BO55" s="74">
        <v>5</v>
      </c>
      <c r="BP55" s="74">
        <v>5</v>
      </c>
      <c r="BQ55" s="74">
        <v>6</v>
      </c>
    </row>
    <row r="56" spans="2:69" ht="51" x14ac:dyDescent="0.2">
      <c r="B56" s="2" t="s">
        <v>63</v>
      </c>
      <c r="C56" s="2" t="s">
        <v>129</v>
      </c>
      <c r="D56" s="2" t="s">
        <v>468</v>
      </c>
      <c r="E56" s="3" t="s">
        <v>135</v>
      </c>
      <c r="F56" s="2" t="s">
        <v>156</v>
      </c>
      <c r="G56" s="3" t="s">
        <v>158</v>
      </c>
      <c r="H56" s="3" t="s">
        <v>147</v>
      </c>
      <c r="I56" s="2" t="s">
        <v>198</v>
      </c>
      <c r="K56" s="2">
        <v>0</v>
      </c>
      <c r="L56" s="2" t="s">
        <v>613</v>
      </c>
      <c r="M56" s="2">
        <v>4</v>
      </c>
      <c r="N56" s="38"/>
      <c r="O56" s="38"/>
      <c r="P56" s="38"/>
      <c r="Q56" s="38"/>
      <c r="R56" s="2" t="str">
        <f t="shared" si="177"/>
        <v>CLDSS</v>
      </c>
      <c r="S56" s="2">
        <f t="shared" si="178"/>
        <v>0</v>
      </c>
      <c r="T56" s="2">
        <f t="shared" si="179"/>
        <v>0</v>
      </c>
      <c r="U56" s="2">
        <f t="shared" si="174"/>
        <v>4</v>
      </c>
      <c r="V56" s="2">
        <f t="shared" si="180"/>
        <v>4</v>
      </c>
      <c r="W56" s="2">
        <v>6</v>
      </c>
      <c r="AA56" s="74">
        <v>4</v>
      </c>
      <c r="AB56" s="74">
        <v>5</v>
      </c>
      <c r="AC56" s="74">
        <v>5</v>
      </c>
      <c r="AE56" s="2">
        <v>0</v>
      </c>
      <c r="AF56" s="2" t="s">
        <v>613</v>
      </c>
      <c r="AG56" s="2">
        <v>4</v>
      </c>
      <c r="AH56" s="38"/>
      <c r="AI56" s="38"/>
      <c r="AJ56" s="38"/>
      <c r="AK56" s="38"/>
      <c r="AL56" s="2" t="str">
        <f t="shared" si="181"/>
        <v>CLDSS</v>
      </c>
      <c r="AM56" s="2">
        <f t="shared" si="182"/>
        <v>0</v>
      </c>
      <c r="AN56" s="2">
        <f t="shared" si="183"/>
        <v>0</v>
      </c>
      <c r="AO56" s="2">
        <f t="shared" si="175"/>
        <v>4</v>
      </c>
      <c r="AP56" s="2">
        <f t="shared" si="184"/>
        <v>4</v>
      </c>
      <c r="AQ56" s="2">
        <v>6</v>
      </c>
      <c r="AU56" s="74">
        <v>4</v>
      </c>
      <c r="AV56" s="74">
        <v>5</v>
      </c>
      <c r="AW56" s="74">
        <v>5</v>
      </c>
      <c r="AY56" s="2">
        <v>0</v>
      </c>
      <c r="AZ56" s="2" t="s">
        <v>613</v>
      </c>
      <c r="BA56" s="2">
        <v>4</v>
      </c>
      <c r="BB56" s="38"/>
      <c r="BC56" s="38"/>
      <c r="BD56" s="38"/>
      <c r="BE56" s="38"/>
      <c r="BF56" s="2" t="str">
        <f t="shared" si="185"/>
        <v>CLDSS</v>
      </c>
      <c r="BG56" s="2">
        <f t="shared" si="186"/>
        <v>0</v>
      </c>
      <c r="BH56" s="2">
        <f t="shared" si="187"/>
        <v>0</v>
      </c>
      <c r="BI56" s="2">
        <f t="shared" si="176"/>
        <v>4</v>
      </c>
      <c r="BJ56" s="2">
        <f t="shared" si="188"/>
        <v>4</v>
      </c>
      <c r="BK56" s="2">
        <v>6</v>
      </c>
      <c r="BO56" s="74">
        <v>4</v>
      </c>
      <c r="BP56" s="74">
        <v>5</v>
      </c>
      <c r="BQ56" s="74">
        <v>5</v>
      </c>
    </row>
    <row r="57" spans="2:69" ht="51" x14ac:dyDescent="0.2">
      <c r="B57" s="2" t="s">
        <v>63</v>
      </c>
      <c r="C57" s="2" t="s">
        <v>130</v>
      </c>
      <c r="D57" s="2" t="s">
        <v>469</v>
      </c>
      <c r="E57" s="3" t="s">
        <v>136</v>
      </c>
      <c r="F57" s="2" t="s">
        <v>156</v>
      </c>
      <c r="G57" s="3" t="s">
        <v>158</v>
      </c>
      <c r="H57" s="3" t="s">
        <v>147</v>
      </c>
      <c r="I57" s="2" t="s">
        <v>198</v>
      </c>
      <c r="K57" s="2">
        <v>0</v>
      </c>
      <c r="L57" s="2" t="s">
        <v>613</v>
      </c>
      <c r="M57" s="2">
        <v>4</v>
      </c>
      <c r="N57" s="38"/>
      <c r="O57" s="38"/>
      <c r="P57" s="38"/>
      <c r="Q57" s="38"/>
      <c r="R57" s="2" t="str">
        <f t="shared" si="177"/>
        <v>CLD3B</v>
      </c>
      <c r="S57" s="2">
        <f t="shared" si="178"/>
        <v>0</v>
      </c>
      <c r="T57" s="2">
        <f t="shared" si="179"/>
        <v>0</v>
      </c>
      <c r="U57" s="2">
        <f t="shared" si="174"/>
        <v>4</v>
      </c>
      <c r="V57" s="2">
        <f t="shared" si="180"/>
        <v>4</v>
      </c>
      <c r="W57" s="2">
        <v>6</v>
      </c>
      <c r="AA57" s="74">
        <v>4</v>
      </c>
      <c r="AB57" s="74">
        <v>4</v>
      </c>
      <c r="AC57" s="74">
        <v>5</v>
      </c>
      <c r="AE57" s="2">
        <v>0</v>
      </c>
      <c r="AF57" s="2" t="s">
        <v>613</v>
      </c>
      <c r="AG57" s="2">
        <v>4</v>
      </c>
      <c r="AH57" s="38"/>
      <c r="AI57" s="38"/>
      <c r="AJ57" s="38"/>
      <c r="AK57" s="38"/>
      <c r="AL57" s="2" t="str">
        <f t="shared" si="181"/>
        <v>CLD3B</v>
      </c>
      <c r="AM57" s="2">
        <f t="shared" si="182"/>
        <v>0</v>
      </c>
      <c r="AN57" s="2">
        <f t="shared" si="183"/>
        <v>0</v>
      </c>
      <c r="AO57" s="2">
        <f t="shared" si="175"/>
        <v>4</v>
      </c>
      <c r="AP57" s="2">
        <f t="shared" si="184"/>
        <v>4</v>
      </c>
      <c r="AQ57" s="2">
        <v>6</v>
      </c>
      <c r="AU57" s="74">
        <v>4</v>
      </c>
      <c r="AV57" s="74">
        <v>4</v>
      </c>
      <c r="AW57" s="74">
        <v>5</v>
      </c>
      <c r="AY57" s="2">
        <v>0</v>
      </c>
      <c r="AZ57" s="2" t="s">
        <v>613</v>
      </c>
      <c r="BA57" s="2">
        <v>4</v>
      </c>
      <c r="BB57" s="38"/>
      <c r="BC57" s="38"/>
      <c r="BD57" s="38"/>
      <c r="BE57" s="38"/>
      <c r="BF57" s="2" t="str">
        <f t="shared" si="185"/>
        <v>CLD3B</v>
      </c>
      <c r="BG57" s="2">
        <f t="shared" si="186"/>
        <v>0</v>
      </c>
      <c r="BH57" s="2">
        <f t="shared" si="187"/>
        <v>0</v>
      </c>
      <c r="BI57" s="2">
        <f t="shared" si="176"/>
        <v>4</v>
      </c>
      <c r="BJ57" s="2">
        <f t="shared" si="188"/>
        <v>4</v>
      </c>
      <c r="BK57" s="2">
        <v>6</v>
      </c>
      <c r="BO57" s="74">
        <v>4</v>
      </c>
      <c r="BP57" s="74">
        <v>4</v>
      </c>
      <c r="BQ57" s="74">
        <v>5</v>
      </c>
    </row>
    <row r="58" spans="2:69" ht="34" x14ac:dyDescent="0.2">
      <c r="B58" s="2" t="s">
        <v>63</v>
      </c>
      <c r="C58" s="2" t="s">
        <v>64</v>
      </c>
      <c r="D58" s="2" t="s">
        <v>470</v>
      </c>
      <c r="E58" s="3" t="s">
        <v>263</v>
      </c>
      <c r="F58" s="2" t="s">
        <v>76</v>
      </c>
      <c r="H58" s="3" t="s">
        <v>80</v>
      </c>
      <c r="I58" s="2" t="s">
        <v>199</v>
      </c>
      <c r="K58" s="2">
        <v>4.21</v>
      </c>
      <c r="L58" s="2" t="s">
        <v>506</v>
      </c>
      <c r="M58" s="2">
        <v>3.65</v>
      </c>
      <c r="N58" s="2">
        <v>3.65</v>
      </c>
      <c r="O58" s="2">
        <v>3.55</v>
      </c>
      <c r="P58" s="2">
        <v>3.45</v>
      </c>
      <c r="Q58" s="2">
        <v>3.3</v>
      </c>
      <c r="R58" s="2" t="s">
        <v>472</v>
      </c>
      <c r="S58" s="2">
        <f t="shared" ref="S58" si="189">K58</f>
        <v>4.21</v>
      </c>
      <c r="T58" s="2">
        <f>(10-S58)*2</f>
        <v>11.58</v>
      </c>
      <c r="U58" s="2">
        <f t="shared" ref="U58" si="190">M58</f>
        <v>3.65</v>
      </c>
      <c r="V58" s="2">
        <f>(10-U58)*2</f>
        <v>12.7</v>
      </c>
      <c r="W58" s="2">
        <f>(10-2.75)*2</f>
        <v>14.5</v>
      </c>
      <c r="AA58" s="2">
        <f>(10-O58)*2</f>
        <v>12.9</v>
      </c>
      <c r="AB58" s="2">
        <f t="shared" ref="AB58" si="191">(10-P58)*2</f>
        <v>13.1</v>
      </c>
      <c r="AC58" s="2">
        <f t="shared" ref="AC58" si="192">(10-Q58)*2</f>
        <v>13.4</v>
      </c>
      <c r="AE58" s="2">
        <v>4</v>
      </c>
      <c r="AF58" s="2" t="s">
        <v>613</v>
      </c>
      <c r="AG58" s="2">
        <v>3.5</v>
      </c>
      <c r="AH58" s="2">
        <v>3.5</v>
      </c>
      <c r="AI58" s="2">
        <v>3.4</v>
      </c>
      <c r="AJ58" s="2">
        <v>3.3</v>
      </c>
      <c r="AK58" s="2">
        <v>3.15</v>
      </c>
      <c r="AL58" s="2" t="s">
        <v>472</v>
      </c>
      <c r="AM58" s="2">
        <f t="shared" si="182"/>
        <v>4</v>
      </c>
      <c r="AN58" s="2">
        <f>(10-AM58)*2</f>
        <v>12</v>
      </c>
      <c r="AO58" s="2">
        <f t="shared" si="175"/>
        <v>3.5</v>
      </c>
      <c r="AP58" s="2">
        <f>(10-AO58)*2</f>
        <v>13</v>
      </c>
      <c r="AQ58" s="2">
        <f>(10-2.75)*2</f>
        <v>14.5</v>
      </c>
      <c r="AU58" s="2">
        <f>(10-AI58)*2</f>
        <v>13.2</v>
      </c>
      <c r="AV58" s="2">
        <f t="shared" ref="AV58" si="193">(10-AJ58)*2</f>
        <v>13.4</v>
      </c>
      <c r="AW58" s="2">
        <f t="shared" ref="AW58" si="194">(10-AK58)*2</f>
        <v>13.7</v>
      </c>
      <c r="AY58" s="2">
        <v>3.75</v>
      </c>
      <c r="AZ58" s="2" t="s">
        <v>613</v>
      </c>
      <c r="BA58" s="2">
        <v>3.25</v>
      </c>
      <c r="BB58" s="2">
        <v>3.25</v>
      </c>
      <c r="BC58" s="2">
        <v>3.1</v>
      </c>
      <c r="BD58" s="2">
        <v>3</v>
      </c>
      <c r="BE58" s="2">
        <v>2.9</v>
      </c>
      <c r="BF58" s="2" t="s">
        <v>472</v>
      </c>
      <c r="BG58" s="2">
        <f t="shared" si="186"/>
        <v>3.75</v>
      </c>
      <c r="BH58" s="2">
        <f>(10-BG58)*2</f>
        <v>12.5</v>
      </c>
      <c r="BI58" s="2">
        <f t="shared" si="176"/>
        <v>3.25</v>
      </c>
      <c r="BJ58" s="2">
        <f>(10-BI58)*2</f>
        <v>13.5</v>
      </c>
      <c r="BK58" s="2">
        <f>(10-2.75)*2</f>
        <v>14.5</v>
      </c>
      <c r="BO58" s="2">
        <f>(10-BC58)*2</f>
        <v>13.8</v>
      </c>
      <c r="BP58" s="2">
        <f t="shared" ref="BP58:BQ58" si="195">(10-BD58)*2</f>
        <v>14</v>
      </c>
      <c r="BQ58" s="2">
        <f t="shared" si="195"/>
        <v>14.2</v>
      </c>
    </row>
    <row r="59" spans="2:69" s="13" customFormat="1" x14ac:dyDescent="0.2">
      <c r="B59" s="13" t="s">
        <v>489</v>
      </c>
      <c r="E59" s="14"/>
      <c r="H59" s="14"/>
      <c r="N59" s="15" t="s">
        <v>471</v>
      </c>
      <c r="O59" s="15"/>
      <c r="P59" s="15"/>
      <c r="Q59" s="15"/>
      <c r="AH59" s="15" t="s">
        <v>471</v>
      </c>
      <c r="AI59" s="15"/>
      <c r="AJ59" s="15"/>
      <c r="AK59" s="15"/>
      <c r="BB59" s="15" t="s">
        <v>471</v>
      </c>
      <c r="BC59" s="15"/>
      <c r="BD59" s="15"/>
      <c r="BE59" s="15"/>
    </row>
    <row r="60" spans="2:69" s="23" customFormat="1" x14ac:dyDescent="0.2">
      <c r="B60" s="23" t="s">
        <v>490</v>
      </c>
      <c r="D60" s="23" t="s">
        <v>653</v>
      </c>
      <c r="E60" s="24"/>
      <c r="F60" s="24"/>
      <c r="G60" s="24"/>
      <c r="H60" s="24"/>
      <c r="I60" s="24"/>
      <c r="J60" s="24"/>
      <c r="T60" s="26">
        <f>SUM(T49:T58)</f>
        <v>21.58</v>
      </c>
      <c r="U60" s="26"/>
      <c r="V60" s="26">
        <f>SUM(V49:V58)</f>
        <v>60.7</v>
      </c>
      <c r="W60" s="26">
        <f>SUM(W49:W58)</f>
        <v>86.5</v>
      </c>
      <c r="X60" s="26">
        <v>50</v>
      </c>
      <c r="Y60" s="26">
        <f>(T60/W60)*X60</f>
        <v>12.473988439306357</v>
      </c>
      <c r="Z60" s="26">
        <f>(V60/W60)*X60</f>
        <v>35.086705202312139</v>
      </c>
      <c r="AA60" s="26">
        <f t="shared" ref="AA60:AC60" si="196">SUM(AA49:AA58)</f>
        <v>64.900000000000006</v>
      </c>
      <c r="AB60" s="26">
        <f t="shared" si="196"/>
        <v>69.099999999999994</v>
      </c>
      <c r="AC60" s="26">
        <f t="shared" si="196"/>
        <v>73.400000000000006</v>
      </c>
      <c r="AN60" s="26">
        <f>SUM(AN49:AN58)</f>
        <v>24</v>
      </c>
      <c r="AO60" s="26"/>
      <c r="AP60" s="26">
        <f>SUM(AP49:AP58)</f>
        <v>62</v>
      </c>
      <c r="AQ60" s="26">
        <f>SUM(AQ49:AQ58)</f>
        <v>86.5</v>
      </c>
      <c r="AR60" s="26">
        <v>50</v>
      </c>
      <c r="AS60" s="26">
        <f>(AN60/AQ60)*AR60</f>
        <v>13.872832369942195</v>
      </c>
      <c r="AT60" s="26">
        <f>(AP60/AQ60)*AR60</f>
        <v>35.838150289017342</v>
      </c>
      <c r="AU60" s="26">
        <f t="shared" ref="AU60:AW60" si="197">SUM(AU49:AU58)</f>
        <v>66.2</v>
      </c>
      <c r="AV60" s="26">
        <f t="shared" si="197"/>
        <v>71.400000000000006</v>
      </c>
      <c r="AW60" s="26">
        <f t="shared" si="197"/>
        <v>75.7</v>
      </c>
      <c r="BH60" s="26">
        <f>SUM(BH49:BH58)</f>
        <v>28.5</v>
      </c>
      <c r="BI60" s="26"/>
      <c r="BJ60" s="26">
        <f>SUM(BJ49:BJ58)</f>
        <v>65.5</v>
      </c>
      <c r="BK60" s="26">
        <f>SUM(BK49:BK58)</f>
        <v>86.5</v>
      </c>
      <c r="BL60" s="26">
        <v>50</v>
      </c>
      <c r="BM60" s="26">
        <f>(BH60/BK60)*BL60</f>
        <v>16.473988439306357</v>
      </c>
      <c r="BN60" s="26">
        <f>(BJ60/BK60)*BL60</f>
        <v>37.861271676300575</v>
      </c>
      <c r="BO60" s="26">
        <f t="shared" ref="BO60:BQ60" si="198">SUM(BO49:BO58)</f>
        <v>68.8</v>
      </c>
      <c r="BP60" s="26">
        <f t="shared" si="198"/>
        <v>74</v>
      </c>
      <c r="BQ60" s="26">
        <f t="shared" si="198"/>
        <v>80.2</v>
      </c>
    </row>
    <row r="61" spans="2:69" ht="51" x14ac:dyDescent="0.2">
      <c r="B61" s="2" t="s">
        <v>65</v>
      </c>
      <c r="C61" s="2" t="s">
        <v>237</v>
      </c>
      <c r="D61" s="2" t="s">
        <v>497</v>
      </c>
      <c r="E61" s="3" t="s">
        <v>268</v>
      </c>
      <c r="F61" s="2" t="s">
        <v>156</v>
      </c>
      <c r="G61" s="3" t="s">
        <v>160</v>
      </c>
      <c r="H61" s="3" t="s">
        <v>147</v>
      </c>
      <c r="I61" s="2" t="s">
        <v>200</v>
      </c>
      <c r="K61" s="2">
        <v>4</v>
      </c>
      <c r="L61" s="7" t="s">
        <v>335</v>
      </c>
      <c r="M61" s="2">
        <v>12</v>
      </c>
      <c r="N61" s="2">
        <v>12</v>
      </c>
      <c r="O61" s="2">
        <v>14</v>
      </c>
      <c r="P61" s="2">
        <v>16</v>
      </c>
      <c r="Q61" s="2">
        <v>18</v>
      </c>
      <c r="R61" s="2" t="str">
        <f t="shared" ref="R61" si="199">D61</f>
        <v>C20X20M</v>
      </c>
      <c r="S61" s="2">
        <f t="shared" ref="S61:S63" si="200">K61</f>
        <v>4</v>
      </c>
      <c r="T61" s="2">
        <f>S61</f>
        <v>4</v>
      </c>
      <c r="U61" s="2">
        <f t="shared" ref="U61:U63" si="201">M61</f>
        <v>12</v>
      </c>
      <c r="V61" s="2">
        <f>U61</f>
        <v>12</v>
      </c>
      <c r="W61" s="2">
        <v>20</v>
      </c>
      <c r="AA61" s="2">
        <f>O61</f>
        <v>14</v>
      </c>
      <c r="AB61" s="2">
        <f t="shared" ref="AB61:AB62" si="202">P61</f>
        <v>16</v>
      </c>
      <c r="AC61" s="2">
        <f t="shared" ref="AC61:AC62" si="203">Q61</f>
        <v>18</v>
      </c>
      <c r="AE61" s="2">
        <v>4</v>
      </c>
      <c r="AF61" s="7" t="s">
        <v>335</v>
      </c>
      <c r="AG61" s="2">
        <v>12</v>
      </c>
      <c r="AH61" s="2">
        <v>12</v>
      </c>
      <c r="AI61" s="2">
        <v>14</v>
      </c>
      <c r="AJ61" s="2">
        <v>16</v>
      </c>
      <c r="AK61" s="2">
        <v>18</v>
      </c>
      <c r="AL61" s="2" t="str">
        <f t="shared" ref="AL61:AL62" si="204">D61</f>
        <v>C20X20M</v>
      </c>
      <c r="AM61" s="2">
        <f t="shared" ref="AM61:AM63" si="205">AE61</f>
        <v>4</v>
      </c>
      <c r="AN61" s="2">
        <f>AM61</f>
        <v>4</v>
      </c>
      <c r="AO61" s="2">
        <f t="shared" ref="AO61:AO63" si="206">AG61</f>
        <v>12</v>
      </c>
      <c r="AP61" s="2">
        <f>AO61</f>
        <v>12</v>
      </c>
      <c r="AQ61" s="2">
        <v>20</v>
      </c>
      <c r="AU61" s="2">
        <f>AI61</f>
        <v>14</v>
      </c>
      <c r="AV61" s="2">
        <f t="shared" ref="AV61:AV62" si="207">AJ61</f>
        <v>16</v>
      </c>
      <c r="AW61" s="2">
        <f t="shared" ref="AW61:AW62" si="208">AK61</f>
        <v>18</v>
      </c>
      <c r="AY61" s="2">
        <v>4</v>
      </c>
      <c r="AZ61" s="7" t="s">
        <v>335</v>
      </c>
      <c r="BA61" s="2">
        <v>12</v>
      </c>
      <c r="BB61" s="2">
        <v>12</v>
      </c>
      <c r="BC61" s="2">
        <v>14</v>
      </c>
      <c r="BD61" s="2">
        <v>16</v>
      </c>
      <c r="BE61" s="2">
        <v>18</v>
      </c>
      <c r="BF61" s="2" t="str">
        <f>D61</f>
        <v>C20X20M</v>
      </c>
      <c r="BG61" s="2">
        <f t="shared" ref="BG61:BG63" si="209">AY61</f>
        <v>4</v>
      </c>
      <c r="BH61" s="2">
        <f>BG61</f>
        <v>4</v>
      </c>
      <c r="BI61" s="2">
        <f t="shared" ref="BI61:BI63" si="210">BA61</f>
        <v>12</v>
      </c>
      <c r="BJ61" s="2">
        <f>BI61</f>
        <v>12</v>
      </c>
      <c r="BK61" s="2">
        <v>20</v>
      </c>
      <c r="BO61" s="2">
        <f>BC61</f>
        <v>14</v>
      </c>
      <c r="BP61" s="2">
        <f t="shared" ref="BP61:BQ62" si="211">BD61</f>
        <v>16</v>
      </c>
      <c r="BQ61" s="2">
        <f t="shared" si="211"/>
        <v>18</v>
      </c>
    </row>
    <row r="62" spans="2:69" ht="79" customHeight="1" x14ac:dyDescent="0.2">
      <c r="B62" s="2" t="s">
        <v>65</v>
      </c>
      <c r="C62" s="2" t="s">
        <v>562</v>
      </c>
      <c r="D62" s="2" t="s">
        <v>564</v>
      </c>
      <c r="E62" s="3" t="s">
        <v>563</v>
      </c>
      <c r="F62" s="3" t="s">
        <v>161</v>
      </c>
      <c r="G62" s="3" t="s">
        <v>162</v>
      </c>
      <c r="H62" s="3" t="s">
        <v>147</v>
      </c>
      <c r="I62" s="2" t="s">
        <v>200</v>
      </c>
      <c r="K62" s="2">
        <v>4</v>
      </c>
      <c r="L62" s="7" t="s">
        <v>444</v>
      </c>
      <c r="M62" s="2">
        <v>8</v>
      </c>
      <c r="N62" s="2">
        <v>8</v>
      </c>
      <c r="O62" s="2">
        <v>9</v>
      </c>
      <c r="P62" s="2">
        <v>11</v>
      </c>
      <c r="Q62" s="2">
        <v>14</v>
      </c>
      <c r="R62" s="2" t="str">
        <f>D62</f>
        <v>T100FT</v>
      </c>
      <c r="S62" s="2">
        <f t="shared" si="200"/>
        <v>4</v>
      </c>
      <c r="T62" s="2">
        <f>S62</f>
        <v>4</v>
      </c>
      <c r="U62" s="2">
        <f t="shared" si="201"/>
        <v>8</v>
      </c>
      <c r="V62" s="2">
        <f>U62</f>
        <v>8</v>
      </c>
      <c r="W62" s="2">
        <v>20</v>
      </c>
      <c r="AA62" s="2">
        <f t="shared" ref="AA62" si="212">O62</f>
        <v>9</v>
      </c>
      <c r="AB62" s="2">
        <f t="shared" si="202"/>
        <v>11</v>
      </c>
      <c r="AC62" s="2">
        <f t="shared" si="203"/>
        <v>14</v>
      </c>
      <c r="AE62" s="2">
        <v>4</v>
      </c>
      <c r="AF62" s="7" t="s">
        <v>552</v>
      </c>
      <c r="AG62" s="2">
        <v>10</v>
      </c>
      <c r="AH62" s="2">
        <v>10</v>
      </c>
      <c r="AI62" s="2">
        <v>11</v>
      </c>
      <c r="AJ62" s="2">
        <v>12</v>
      </c>
      <c r="AK62" s="2">
        <v>15</v>
      </c>
      <c r="AL62" s="2" t="str">
        <f t="shared" si="204"/>
        <v>T100FT</v>
      </c>
      <c r="AM62" s="2">
        <f t="shared" si="205"/>
        <v>4</v>
      </c>
      <c r="AN62" s="2">
        <f>AM62</f>
        <v>4</v>
      </c>
      <c r="AO62" s="2">
        <f t="shared" si="206"/>
        <v>10</v>
      </c>
      <c r="AP62" s="2">
        <f>AO62</f>
        <v>10</v>
      </c>
      <c r="AQ62" s="2">
        <v>20</v>
      </c>
      <c r="AU62" s="2">
        <f t="shared" ref="AU62" si="213">AI62</f>
        <v>11</v>
      </c>
      <c r="AV62" s="2">
        <f t="shared" si="207"/>
        <v>12</v>
      </c>
      <c r="AW62" s="2">
        <f t="shared" si="208"/>
        <v>15</v>
      </c>
      <c r="AY62" s="2">
        <v>4</v>
      </c>
      <c r="AZ62" s="7" t="s">
        <v>552</v>
      </c>
      <c r="BA62" s="2">
        <v>10</v>
      </c>
      <c r="BB62" s="2">
        <v>10</v>
      </c>
      <c r="BC62" s="2">
        <v>11</v>
      </c>
      <c r="BD62" s="2">
        <v>12</v>
      </c>
      <c r="BE62" s="2">
        <v>15</v>
      </c>
      <c r="BF62" s="2" t="str">
        <f>D62</f>
        <v>T100FT</v>
      </c>
      <c r="BG62" s="2">
        <f t="shared" si="209"/>
        <v>4</v>
      </c>
      <c r="BH62" s="2">
        <f>BG62</f>
        <v>4</v>
      </c>
      <c r="BI62" s="2">
        <f t="shared" si="210"/>
        <v>10</v>
      </c>
      <c r="BJ62" s="2">
        <f>BI62</f>
        <v>10</v>
      </c>
      <c r="BK62" s="2">
        <v>20</v>
      </c>
      <c r="BO62" s="2">
        <f t="shared" ref="BO62" si="214">BC62</f>
        <v>11</v>
      </c>
      <c r="BP62" s="2">
        <f t="shared" si="211"/>
        <v>12</v>
      </c>
      <c r="BQ62" s="2">
        <f t="shared" si="211"/>
        <v>15</v>
      </c>
    </row>
    <row r="63" spans="2:69" ht="57" customHeight="1" x14ac:dyDescent="0.2">
      <c r="B63" s="2" t="s">
        <v>65</v>
      </c>
      <c r="C63" s="2" t="s">
        <v>139</v>
      </c>
      <c r="D63" s="2" t="s">
        <v>496</v>
      </c>
      <c r="E63" s="3" t="s">
        <v>140</v>
      </c>
      <c r="F63" s="2" t="s">
        <v>76</v>
      </c>
      <c r="H63" s="3" t="s">
        <v>80</v>
      </c>
      <c r="I63" s="2" t="s">
        <v>201</v>
      </c>
      <c r="K63" s="2">
        <v>8</v>
      </c>
      <c r="L63" s="2" t="s">
        <v>553</v>
      </c>
      <c r="M63" s="2">
        <v>6.5</v>
      </c>
      <c r="N63" s="2">
        <v>6.5</v>
      </c>
      <c r="O63" s="2">
        <v>6</v>
      </c>
      <c r="P63" s="2">
        <v>5.75</v>
      </c>
      <c r="Q63" s="2">
        <v>5.25</v>
      </c>
      <c r="R63" s="2" t="s">
        <v>507</v>
      </c>
      <c r="S63" s="2">
        <f t="shared" si="200"/>
        <v>8</v>
      </c>
      <c r="T63" s="2">
        <f>(12-S63)*2</f>
        <v>8</v>
      </c>
      <c r="U63" s="2">
        <f t="shared" si="201"/>
        <v>6.5</v>
      </c>
      <c r="V63" s="2">
        <f>(12-U63)*2</f>
        <v>11</v>
      </c>
      <c r="W63" s="2">
        <f>(10-2.75)*2</f>
        <v>14.5</v>
      </c>
      <c r="AA63" s="2">
        <f>(12-O63)*2</f>
        <v>12</v>
      </c>
      <c r="AB63" s="2">
        <f t="shared" ref="AB63" si="215">(12-P63)*2</f>
        <v>12.5</v>
      </c>
      <c r="AC63" s="2">
        <f t="shared" ref="AC63" si="216">(12-Q63)*2</f>
        <v>13.5</v>
      </c>
      <c r="AE63" s="2">
        <v>7</v>
      </c>
      <c r="AF63" s="2" t="s">
        <v>554</v>
      </c>
      <c r="AG63" s="2">
        <v>5.75</v>
      </c>
      <c r="AH63" s="2">
        <v>5.75</v>
      </c>
      <c r="AI63" s="2">
        <v>5.5</v>
      </c>
      <c r="AJ63" s="2">
        <v>5.3</v>
      </c>
      <c r="AK63" s="2">
        <v>5.0999999999999996</v>
      </c>
      <c r="AL63" s="2" t="s">
        <v>507</v>
      </c>
      <c r="AM63" s="2">
        <f t="shared" si="205"/>
        <v>7</v>
      </c>
      <c r="AN63" s="2">
        <f>(12-AM63)*2</f>
        <v>10</v>
      </c>
      <c r="AO63" s="2">
        <f t="shared" si="206"/>
        <v>5.75</v>
      </c>
      <c r="AP63" s="2">
        <f>(12-AO63)*2</f>
        <v>12.5</v>
      </c>
      <c r="AQ63" s="2">
        <f>(10-2.75)*2</f>
        <v>14.5</v>
      </c>
      <c r="AU63" s="2">
        <f>(12-AI63)*2</f>
        <v>13</v>
      </c>
      <c r="AV63" s="2">
        <f t="shared" ref="AV63" si="217">(12-AJ63)*2</f>
        <v>13.4</v>
      </c>
      <c r="AW63" s="2">
        <f t="shared" ref="AW63" si="218">(12-AK63)*2</f>
        <v>13.8</v>
      </c>
      <c r="AY63" s="2">
        <v>7</v>
      </c>
      <c r="AZ63" s="2" t="s">
        <v>554</v>
      </c>
      <c r="BA63" s="2">
        <v>5.75</v>
      </c>
      <c r="BB63" s="2">
        <v>5.75</v>
      </c>
      <c r="BC63" s="2">
        <v>5.5</v>
      </c>
      <c r="BD63" s="2">
        <v>5.3</v>
      </c>
      <c r="BE63" s="2">
        <v>5.0999999999999996</v>
      </c>
      <c r="BF63" s="2" t="s">
        <v>507</v>
      </c>
      <c r="BG63" s="2">
        <f t="shared" si="209"/>
        <v>7</v>
      </c>
      <c r="BH63" s="2">
        <f>(12-BG63)*2</f>
        <v>10</v>
      </c>
      <c r="BI63" s="2">
        <f t="shared" si="210"/>
        <v>5.75</v>
      </c>
      <c r="BJ63" s="2">
        <f>(12-BI63)*2</f>
        <v>12.5</v>
      </c>
      <c r="BK63" s="2">
        <f>(10-2.75)*2</f>
        <v>14.5</v>
      </c>
      <c r="BO63" s="2">
        <f>(12-BC63)*2</f>
        <v>13</v>
      </c>
      <c r="BP63" s="2">
        <f t="shared" ref="BP63:BQ63" si="219">(12-BD63)*2</f>
        <v>13.4</v>
      </c>
      <c r="BQ63" s="2">
        <f t="shared" si="219"/>
        <v>13.8</v>
      </c>
    </row>
    <row r="64" spans="2:69" s="13" customFormat="1" x14ac:dyDescent="0.2">
      <c r="B64" s="13" t="s">
        <v>491</v>
      </c>
      <c r="E64" s="14"/>
      <c r="H64" s="14"/>
      <c r="N64" s="15" t="s">
        <v>471</v>
      </c>
      <c r="O64" s="15"/>
      <c r="P64" s="15"/>
      <c r="Q64" s="15"/>
      <c r="AH64" s="15" t="s">
        <v>471</v>
      </c>
      <c r="AI64" s="15"/>
      <c r="AJ64" s="15"/>
      <c r="AK64" s="15"/>
      <c r="BB64" s="15" t="s">
        <v>471</v>
      </c>
      <c r="BC64" s="15"/>
      <c r="BD64" s="15"/>
      <c r="BE64" s="15"/>
    </row>
    <row r="65" spans="2:69" s="23" customFormat="1" x14ac:dyDescent="0.2">
      <c r="B65" s="23" t="s">
        <v>492</v>
      </c>
      <c r="D65" s="23" t="s">
        <v>654</v>
      </c>
      <c r="E65" s="24"/>
      <c r="F65" s="24"/>
      <c r="G65" s="24"/>
      <c r="H65" s="24"/>
      <c r="I65" s="24"/>
      <c r="J65" s="24"/>
      <c r="T65" s="26">
        <f>SUM(T61:T63)</f>
        <v>16</v>
      </c>
      <c r="U65" s="26"/>
      <c r="V65" s="26">
        <f>SUM(V61:V63)</f>
        <v>31</v>
      </c>
      <c r="W65" s="26">
        <f>SUM(W61:W63)</f>
        <v>54.5</v>
      </c>
      <c r="X65" s="26">
        <v>50</v>
      </c>
      <c r="Y65" s="26">
        <f>(T65/W65)*X65</f>
        <v>14.678899082568808</v>
      </c>
      <c r="Z65" s="26">
        <f>(V65/W65)*X65</f>
        <v>28.440366972477065</v>
      </c>
      <c r="AA65" s="26">
        <f t="shared" ref="AA65:AC65" si="220">SUM(AA61:AA63)</f>
        <v>35</v>
      </c>
      <c r="AB65" s="26">
        <f t="shared" si="220"/>
        <v>39.5</v>
      </c>
      <c r="AC65" s="26">
        <f t="shared" si="220"/>
        <v>45.5</v>
      </c>
      <c r="AN65" s="26">
        <f>SUM(AN61:AN63)</f>
        <v>18</v>
      </c>
      <c r="AO65" s="26"/>
      <c r="AP65" s="26">
        <f>SUM(AP61:AP63)</f>
        <v>34.5</v>
      </c>
      <c r="AQ65" s="26">
        <f>SUM(AQ61:AQ63)</f>
        <v>54.5</v>
      </c>
      <c r="AR65" s="26">
        <v>50</v>
      </c>
      <c r="AS65" s="26">
        <f>(AN65/AQ65)*AR65</f>
        <v>16.513761467889911</v>
      </c>
      <c r="AT65" s="26">
        <f>(AP65/AQ65)*AR65</f>
        <v>31.651376146788991</v>
      </c>
      <c r="AU65" s="26">
        <f t="shared" ref="AU65:AW65" si="221">SUM(AU61:AU63)</f>
        <v>38</v>
      </c>
      <c r="AV65" s="26">
        <f t="shared" si="221"/>
        <v>41.4</v>
      </c>
      <c r="AW65" s="26">
        <f t="shared" si="221"/>
        <v>46.8</v>
      </c>
      <c r="BH65" s="26">
        <f>SUM(BH61:BH63)</f>
        <v>18</v>
      </c>
      <c r="BI65" s="26"/>
      <c r="BJ65" s="26">
        <f>SUM(BJ61:BJ63)</f>
        <v>34.5</v>
      </c>
      <c r="BK65" s="26">
        <f>SUM(BK61:BK63)</f>
        <v>54.5</v>
      </c>
      <c r="BL65" s="26">
        <v>50</v>
      </c>
      <c r="BM65" s="26">
        <f>(BH65/BK65)*BL65</f>
        <v>16.513761467889911</v>
      </c>
      <c r="BN65" s="26">
        <f>(BJ65/BK65)*BL65</f>
        <v>31.651376146788991</v>
      </c>
      <c r="BO65" s="26">
        <f t="shared" ref="BO65:BQ65" si="222">SUM(BO61:BO63)</f>
        <v>38</v>
      </c>
      <c r="BP65" s="26">
        <f t="shared" si="222"/>
        <v>41.4</v>
      </c>
      <c r="BQ65" s="26">
        <f t="shared" si="222"/>
        <v>46.8</v>
      </c>
    </row>
    <row r="67" spans="2:69" x14ac:dyDescent="0.2">
      <c r="S67" s="2" t="s">
        <v>381</v>
      </c>
      <c r="T67" s="8">
        <f>SUM(T65,T60,T48,T41,T36,T31,T23)</f>
        <v>255.03273049645389</v>
      </c>
      <c r="V67" s="8">
        <f>SUM(V65,V60,V48,V41,V36,V31,V23)</f>
        <v>436.58596406022343</v>
      </c>
      <c r="W67" s="8">
        <f>SUM(W65,W60,W48,W41,W36,W31,W23)</f>
        <v>689</v>
      </c>
      <c r="X67" s="8">
        <f>SUM(X65,X60,X48,X41,X36,X31,X23)</f>
        <v>350</v>
      </c>
      <c r="Y67" s="8">
        <f>SUM(Y65,Y60,Y48,Y41,Y36,Y31,Y23)</f>
        <v>116.41624228755904</v>
      </c>
      <c r="Z67" s="8">
        <f>SUM(Z65,Z60,Z48,Z41,Z36,Z31,Z23)</f>
        <v>220.65162836531618</v>
      </c>
      <c r="AA67" s="8">
        <f t="shared" ref="AA67:AC67" si="223">SUM(AA65,AA60,AA48,AA41,AA36,AA31,AA23)</f>
        <v>479.09090909090912</v>
      </c>
      <c r="AB67" s="8">
        <f t="shared" si="223"/>
        <v>516.91342383107099</v>
      </c>
      <c r="AC67" s="8">
        <f t="shared" si="223"/>
        <v>568.1868131868132</v>
      </c>
      <c r="AM67" s="2" t="s">
        <v>381</v>
      </c>
      <c r="AN67" s="8">
        <f>SUM(AN65,AN60,AN48,AN41,AN36,AN31,AN23)</f>
        <v>268.02499999999998</v>
      </c>
      <c r="AP67" s="8">
        <f>SUM(AP65,AP60,AP48,AP41,AP36,AP31,AP23)</f>
        <v>451.11314348302301</v>
      </c>
      <c r="AQ67" s="8">
        <f>SUM(AQ65,AQ60,AQ48,AQ41,AQ36,AQ31,AQ23)</f>
        <v>691.5</v>
      </c>
      <c r="AR67" s="8">
        <f>SUM(AR65,AR60,AR48,AR41,AR36,AR31,AR23)</f>
        <v>350</v>
      </c>
      <c r="AS67" s="8">
        <f>SUM(AS65,AS60,AS48,AS41,AS36,AS31,AS23)</f>
        <v>123.59738964547297</v>
      </c>
      <c r="AT67" s="8">
        <f>SUM(AT65,AT60,AT48,AT41,AT36,AT31,AT23)</f>
        <v>228.67997915569092</v>
      </c>
      <c r="AU67" s="8">
        <f t="shared" ref="AU67:AW67" si="224">SUM(AU65,AU60,AU48,AU41,AU36,AU31,AU23)</f>
        <v>494.56164021164017</v>
      </c>
      <c r="AV67" s="8">
        <f t="shared" si="224"/>
        <v>531.57179487179496</v>
      </c>
      <c r="AW67" s="8">
        <f t="shared" si="224"/>
        <v>582.66842105263163</v>
      </c>
      <c r="BG67" s="2" t="s">
        <v>381</v>
      </c>
      <c r="BH67" s="8">
        <f>SUM(BH65,BH60,BH48,BH41,BH36,BH31,BH23)</f>
        <v>282.95043859649121</v>
      </c>
      <c r="BJ67" s="8">
        <f>SUM(BJ65,BJ60,BJ48,BJ41,BJ36,BJ31,BJ23)</f>
        <v>475.90882352941179</v>
      </c>
      <c r="BK67" s="8">
        <f>SUM(BK65,BK60,BK48,BK41,BK36,BK31,BK23)</f>
        <v>704</v>
      </c>
      <c r="BL67" s="8">
        <f>SUM(BL65,BL60,BL48,BL41,BL36,BL31,BL23)</f>
        <v>350</v>
      </c>
      <c r="BM67" s="8">
        <f>SUM(BM65,BM60,BM48,BM41,BM36,BM31,BM23)</f>
        <v>128.69896942917211</v>
      </c>
      <c r="BN67" s="8">
        <f>SUM(BN65,BN60,BN48,BN41,BN36,BN31,BN23)</f>
        <v>235.76545423647732</v>
      </c>
      <c r="BO67" s="8">
        <f>SUM(BO65,BO60,BO48,BO41,BO36,BO31,BO23)</f>
        <v>517.35511275872727</v>
      </c>
      <c r="BP67" s="8">
        <f>SUM(BP65,BP60,BP48,BP41,BP36,BP31,BP23)</f>
        <v>553.00476190476195</v>
      </c>
      <c r="BQ67" s="8">
        <f>SUM(BQ65,BQ60,BQ48,BQ41,BQ36,BQ31,BQ23)</f>
        <v>604.25443037974685</v>
      </c>
    </row>
    <row r="69" spans="2:69" x14ac:dyDescent="0.2">
      <c r="X69" s="2" t="s">
        <v>681</v>
      </c>
      <c r="AR69" s="2" t="s">
        <v>681</v>
      </c>
      <c r="BL69" s="2" t="s">
        <v>681</v>
      </c>
    </row>
    <row r="70" spans="2:69" x14ac:dyDescent="0.2">
      <c r="T70" s="47" t="s">
        <v>510</v>
      </c>
      <c r="U70" s="51" t="s">
        <v>616</v>
      </c>
      <c r="V70" s="50" t="s">
        <v>511</v>
      </c>
      <c r="W70" s="12"/>
      <c r="X70" s="64" t="s">
        <v>327</v>
      </c>
      <c r="Y70" s="60" t="s">
        <v>670</v>
      </c>
      <c r="Z70" s="61" t="s">
        <v>671</v>
      </c>
      <c r="AA70" s="62" t="s">
        <v>672</v>
      </c>
      <c r="AN70" s="47" t="s">
        <v>510</v>
      </c>
      <c r="AO70" s="51" t="s">
        <v>616</v>
      </c>
      <c r="AP70" s="50" t="s">
        <v>511</v>
      </c>
      <c r="AQ70" s="12"/>
      <c r="AR70" s="64" t="s">
        <v>327</v>
      </c>
      <c r="AS70" s="60" t="s">
        <v>670</v>
      </c>
      <c r="AT70" s="61" t="s">
        <v>671</v>
      </c>
      <c r="AU70" s="62" t="s">
        <v>672</v>
      </c>
      <c r="BH70" s="47" t="s">
        <v>510</v>
      </c>
      <c r="BI70" s="51" t="s">
        <v>616</v>
      </c>
      <c r="BJ70" s="50" t="s">
        <v>511</v>
      </c>
      <c r="BK70" s="12"/>
      <c r="BL70" s="64" t="s">
        <v>327</v>
      </c>
      <c r="BM70" s="60" t="s">
        <v>670</v>
      </c>
      <c r="BN70" s="61" t="s">
        <v>671</v>
      </c>
      <c r="BO70" s="62" t="s">
        <v>672</v>
      </c>
    </row>
    <row r="71" spans="2:69" x14ac:dyDescent="0.2">
      <c r="S71" s="11" t="s">
        <v>542</v>
      </c>
      <c r="T71" s="48">
        <f>(T67/W67)*X67</f>
        <v>129.55218530298819</v>
      </c>
      <c r="U71" s="8" t="s">
        <v>613</v>
      </c>
      <c r="V71" s="48">
        <f>(V67/W67)*X67</f>
        <v>221.77806592319044</v>
      </c>
      <c r="W71" s="48"/>
      <c r="X71" s="63">
        <f>V20/W20</f>
        <v>0.5</v>
      </c>
      <c r="Y71" s="63">
        <f>AA67/W67</f>
        <v>0.695342393455601</v>
      </c>
      <c r="Z71" s="63">
        <f>AB67/W67</f>
        <v>0.75023718988544408</v>
      </c>
      <c r="AA71" s="63">
        <f>AC67/W67</f>
        <v>0.82465430070655033</v>
      </c>
      <c r="AM71" s="11" t="s">
        <v>542</v>
      </c>
      <c r="AN71" s="48">
        <f>(AN67/AQ67)*AR67</f>
        <v>135.65979754157627</v>
      </c>
      <c r="AO71" s="8" t="s">
        <v>613</v>
      </c>
      <c r="AP71" s="48">
        <f>(AP67/AQ67)*AR67</f>
        <v>228.32913986848598</v>
      </c>
      <c r="AQ71" s="48"/>
      <c r="AR71" s="63">
        <f>AP20/AQ20</f>
        <v>0.5</v>
      </c>
      <c r="AS71" s="63">
        <f>AU67/AQ67</f>
        <v>0.71520121505660184</v>
      </c>
      <c r="AT71" s="63">
        <f>AV67/AQ67</f>
        <v>0.76872276915660875</v>
      </c>
      <c r="AU71" s="63">
        <f>AW67/AQ67</f>
        <v>0.84261521482665458</v>
      </c>
      <c r="BG71" s="11" t="s">
        <v>542</v>
      </c>
      <c r="BH71" s="48">
        <f>(BH67/BK67)*BL67</f>
        <v>140.67138282496012</v>
      </c>
      <c r="BI71" s="8" t="s">
        <v>613</v>
      </c>
      <c r="BJ71" s="48">
        <f>(BJ67/BK67)*BL67</f>
        <v>236.60239806149733</v>
      </c>
      <c r="BK71" s="48"/>
      <c r="BL71" s="63">
        <f>BJ20/BK20</f>
        <v>0.5</v>
      </c>
      <c r="BM71" s="63">
        <f>BO67/BK67</f>
        <v>0.73487942153228303</v>
      </c>
      <c r="BN71" s="63">
        <f>BP67/BK67</f>
        <v>0.78551812770562779</v>
      </c>
      <c r="BO71" s="63">
        <f>BQ67/BK67</f>
        <v>0.85831595224395862</v>
      </c>
    </row>
    <row r="72" spans="2:69" x14ac:dyDescent="0.2">
      <c r="T72" s="11"/>
      <c r="V72" s="11"/>
      <c r="W72" s="11"/>
      <c r="X72" s="63"/>
      <c r="Y72" s="63"/>
      <c r="Z72" s="63"/>
      <c r="AA72" s="63"/>
      <c r="AN72" s="11"/>
      <c r="AP72" s="11"/>
      <c r="AQ72" s="11"/>
      <c r="AR72" s="63"/>
      <c r="AS72" s="63"/>
      <c r="AT72" s="63"/>
      <c r="AU72" s="63"/>
      <c r="BH72" s="11"/>
      <c r="BJ72" s="11"/>
      <c r="BK72" s="11"/>
      <c r="BL72" s="63"/>
      <c r="BM72" s="63"/>
      <c r="BN72" s="63"/>
      <c r="BO72" s="63"/>
    </row>
    <row r="73" spans="2:69" x14ac:dyDescent="0.2">
      <c r="S73" s="11" t="s">
        <v>543</v>
      </c>
      <c r="T73" s="48">
        <f>Y23</f>
        <v>25.252946874179145</v>
      </c>
      <c r="U73" s="8" t="s">
        <v>613</v>
      </c>
      <c r="V73" s="48">
        <f>Z23</f>
        <v>33.81619538431098</v>
      </c>
      <c r="W73" s="48"/>
      <c r="X73" s="63">
        <f>V23/W23</f>
        <v>0.67632390768621964</v>
      </c>
      <c r="Y73" s="63">
        <f>AA23/$W$23</f>
        <v>0.76430976430976427</v>
      </c>
      <c r="Z73" s="63">
        <f t="shared" ref="Z73:AA73" si="225">AB23/$W$23</f>
        <v>0.81348807329199502</v>
      </c>
      <c r="AA73" s="63">
        <f t="shared" si="225"/>
        <v>0.87817969067969071</v>
      </c>
      <c r="AM73" s="11" t="s">
        <v>543</v>
      </c>
      <c r="AN73" s="48">
        <f>AS23</f>
        <v>25.248842592592592</v>
      </c>
      <c r="AO73" s="8" t="s">
        <v>613</v>
      </c>
      <c r="AP73" s="48">
        <f>AT23</f>
        <v>33.857209139588655</v>
      </c>
      <c r="AQ73" s="48"/>
      <c r="AR73" s="63">
        <f>AP23/AQ23</f>
        <v>0.67714418279177313</v>
      </c>
      <c r="AS73" s="63">
        <f>AU23/$AQ$23</f>
        <v>0.76486870468351942</v>
      </c>
      <c r="AT73" s="63">
        <f t="shared" ref="AT73:AU73" si="226">AV23/$AQ$23</f>
        <v>0.81422127255460597</v>
      </c>
      <c r="AU73" s="63">
        <f t="shared" si="226"/>
        <v>0.87439083820662755</v>
      </c>
      <c r="BG73" s="11" t="s">
        <v>543</v>
      </c>
      <c r="BH73" s="48">
        <f>BM23</f>
        <v>25.276645707188322</v>
      </c>
      <c r="BI73" s="8" t="s">
        <v>613</v>
      </c>
      <c r="BJ73" s="48">
        <f>BN23</f>
        <v>35.411244143675169</v>
      </c>
      <c r="BK73" s="48"/>
      <c r="BL73" s="63">
        <f>BJ23/BK23</f>
        <v>0.70822488287350338</v>
      </c>
      <c r="BM73" s="63">
        <f>BO23/$BK$23</f>
        <v>0.79139430424215584</v>
      </c>
      <c r="BN73" s="63">
        <f t="shared" ref="BN73:BO73" si="227">BP23/$BK$23</f>
        <v>0.83364938895912344</v>
      </c>
      <c r="BO73" s="63">
        <f t="shared" si="227"/>
        <v>0.88431163884843733</v>
      </c>
    </row>
    <row r="74" spans="2:69" x14ac:dyDescent="0.2">
      <c r="T74" s="11"/>
      <c r="V74" s="11"/>
      <c r="W74" s="11"/>
      <c r="X74" s="63"/>
      <c r="Y74" s="63"/>
      <c r="Z74" s="63"/>
      <c r="AA74" s="63"/>
      <c r="AN74" s="11"/>
      <c r="AP74" s="11"/>
      <c r="AQ74" s="11"/>
      <c r="AR74" s="63"/>
      <c r="AS74" s="63"/>
      <c r="AT74" s="63"/>
      <c r="AU74" s="63"/>
      <c r="BH74" s="11"/>
      <c r="BJ74" s="11"/>
      <c r="BK74" s="11"/>
      <c r="BL74" s="63"/>
      <c r="BM74" s="63"/>
      <c r="BN74" s="63"/>
      <c r="BO74" s="63"/>
    </row>
    <row r="75" spans="2:69" x14ac:dyDescent="0.2">
      <c r="S75" s="11" t="s">
        <v>544</v>
      </c>
      <c r="T75" s="48">
        <f>Y31</f>
        <v>19.237288135593218</v>
      </c>
      <c r="U75" s="8" t="s">
        <v>613</v>
      </c>
      <c r="V75" s="48">
        <f>Z31</f>
        <v>28.050847457627121</v>
      </c>
      <c r="W75" s="48"/>
      <c r="X75" s="63">
        <f>V31/W31</f>
        <v>0.56101694915254241</v>
      </c>
      <c r="Y75" s="63">
        <f>AA31/$W$31</f>
        <v>0.59576271186440677</v>
      </c>
      <c r="Z75" s="63">
        <f t="shared" ref="Z75:AA75" si="228">AB31/$W$31</f>
        <v>0.64067796610169492</v>
      </c>
      <c r="AA75" s="63">
        <f t="shared" si="228"/>
        <v>0.68983050847457628</v>
      </c>
      <c r="AM75" s="11" t="s">
        <v>544</v>
      </c>
      <c r="AN75" s="48">
        <f>AS31</f>
        <v>20.360169491525422</v>
      </c>
      <c r="AO75" s="8" t="s">
        <v>613</v>
      </c>
      <c r="AP75" s="48">
        <f>AT31</f>
        <v>29.59745762711864</v>
      </c>
      <c r="AQ75" s="48"/>
      <c r="AR75" s="63">
        <f>AP31/AQ31</f>
        <v>0.59194915254237279</v>
      </c>
      <c r="AS75" s="63">
        <f>AU31/$AQ$31</f>
        <v>0.62669491525423726</v>
      </c>
      <c r="AT75" s="63">
        <f t="shared" ref="AT75:AU75" si="229">AV31/$AQ$31</f>
        <v>0.67372881355932202</v>
      </c>
      <c r="AU75" s="63">
        <f t="shared" si="229"/>
        <v>0.73983050847457621</v>
      </c>
      <c r="BG75" s="11" t="s">
        <v>544</v>
      </c>
      <c r="BH75" s="48">
        <f>BM31</f>
        <v>21.3135593220339</v>
      </c>
      <c r="BI75" s="8" t="s">
        <v>613</v>
      </c>
      <c r="BJ75" s="48">
        <f>BN31</f>
        <v>30.656779661016948</v>
      </c>
      <c r="BK75" s="48"/>
      <c r="BL75" s="63">
        <f>BJ31/BK31</f>
        <v>0.61313559322033895</v>
      </c>
      <c r="BM75" s="63">
        <f>BO31/$BK$31</f>
        <v>0.64830508474576276</v>
      </c>
      <c r="BN75" s="63">
        <f t="shared" ref="BN75:BO75" si="230">BP31/$BK$31</f>
        <v>0.6932203389830508</v>
      </c>
      <c r="BO75" s="63">
        <f t="shared" si="230"/>
        <v>0.75762711864406784</v>
      </c>
    </row>
    <row r="76" spans="2:69" x14ac:dyDescent="0.2">
      <c r="S76" s="11"/>
      <c r="T76" s="11"/>
      <c r="V76" s="11"/>
      <c r="W76" s="11"/>
      <c r="X76" s="63"/>
      <c r="Y76" s="63"/>
      <c r="Z76" s="63"/>
      <c r="AA76" s="63"/>
      <c r="AM76" s="11"/>
      <c r="AN76" s="11"/>
      <c r="AP76" s="11"/>
      <c r="AQ76" s="11"/>
      <c r="AR76" s="63"/>
      <c r="AS76" s="63"/>
      <c r="AT76" s="63"/>
      <c r="AU76" s="63"/>
      <c r="BG76" s="11"/>
      <c r="BH76" s="11"/>
      <c r="BJ76" s="11"/>
      <c r="BK76" s="11"/>
      <c r="BL76" s="63"/>
      <c r="BM76" s="63"/>
      <c r="BN76" s="63"/>
      <c r="BO76" s="63"/>
    </row>
    <row r="77" spans="2:69" x14ac:dyDescent="0.2">
      <c r="S77" s="11" t="s">
        <v>545</v>
      </c>
      <c r="T77" s="48">
        <f>Y36</f>
        <v>16.842105263157894</v>
      </c>
      <c r="U77" s="8" t="s">
        <v>613</v>
      </c>
      <c r="V77" s="48">
        <f>Z36</f>
        <v>28.947368421052634</v>
      </c>
      <c r="W77" s="48"/>
      <c r="X77" s="63">
        <f>V36/W36</f>
        <v>0.57894736842105265</v>
      </c>
      <c r="Y77" s="63">
        <f>AA36/$W$36</f>
        <v>0.63157894736842102</v>
      </c>
      <c r="Z77" s="63">
        <f t="shared" ref="Z77:AA77" si="231">AB36/$W$36</f>
        <v>0.69473684210526321</v>
      </c>
      <c r="AA77" s="63">
        <f t="shared" si="231"/>
        <v>0.75789473684210529</v>
      </c>
      <c r="AM77" s="11" t="s">
        <v>545</v>
      </c>
      <c r="AN77" s="48">
        <f>AS36</f>
        <v>19.230769230769234</v>
      </c>
      <c r="AO77" s="8" t="s">
        <v>613</v>
      </c>
      <c r="AP77" s="48">
        <f>AT36</f>
        <v>31.025641025641026</v>
      </c>
      <c r="AQ77" s="48"/>
      <c r="AR77" s="63">
        <f>AP36/AQ36</f>
        <v>0.62051282051282053</v>
      </c>
      <c r="AS77" s="63">
        <f>AU36/$AQ$36</f>
        <v>0.68717948717948718</v>
      </c>
      <c r="AT77" s="63">
        <f t="shared" ref="AT77:AU77" si="232">AV36/$AQ$36</f>
        <v>0.7384615384615385</v>
      </c>
      <c r="AU77" s="63">
        <f t="shared" si="232"/>
        <v>0.78974358974358971</v>
      </c>
      <c r="BG77" s="11" t="s">
        <v>545</v>
      </c>
      <c r="BH77" s="48">
        <f>BM36</f>
        <v>19.75</v>
      </c>
      <c r="BI77" s="8" t="s">
        <v>613</v>
      </c>
      <c r="BJ77" s="48">
        <f>BN36</f>
        <v>31.75</v>
      </c>
      <c r="BK77" s="48"/>
      <c r="BL77" s="63">
        <f>BJ36/BK36</f>
        <v>0.63500000000000001</v>
      </c>
      <c r="BM77" s="63">
        <f>BO36/$BK$36</f>
        <v>0.69</v>
      </c>
      <c r="BN77" s="63">
        <f t="shared" ref="BN77:BO77" si="233">BP36/$BK$36</f>
        <v>0.74</v>
      </c>
      <c r="BO77" s="63">
        <f t="shared" si="233"/>
        <v>0.79</v>
      </c>
    </row>
    <row r="78" spans="2:69" x14ac:dyDescent="0.2">
      <c r="S78" s="11"/>
      <c r="T78" s="11"/>
      <c r="V78" s="11"/>
      <c r="W78" s="11"/>
      <c r="X78" s="63"/>
      <c r="Y78" s="63"/>
      <c r="Z78" s="63"/>
      <c r="AA78" s="63"/>
      <c r="AM78" s="11"/>
      <c r="AN78" s="11"/>
      <c r="AP78" s="11"/>
      <c r="AQ78" s="11"/>
      <c r="AR78" s="63"/>
      <c r="AS78" s="63"/>
      <c r="AT78" s="63"/>
      <c r="AU78" s="63"/>
      <c r="BG78" s="11"/>
      <c r="BH78" s="11"/>
      <c r="BJ78" s="11"/>
      <c r="BK78" s="11"/>
      <c r="BL78" s="63"/>
      <c r="BM78" s="63"/>
      <c r="BN78" s="63"/>
      <c r="BO78" s="63"/>
    </row>
    <row r="79" spans="2:69" x14ac:dyDescent="0.2">
      <c r="S79" s="11" t="s">
        <v>546</v>
      </c>
      <c r="T79" s="48">
        <f>Y41</f>
        <v>19.96</v>
      </c>
      <c r="U79" s="8" t="s">
        <v>613</v>
      </c>
      <c r="V79" s="48">
        <f>Z41</f>
        <v>36.6</v>
      </c>
      <c r="W79" s="48"/>
      <c r="X79" s="63">
        <f>V41/W41</f>
        <v>0.73199999999999998</v>
      </c>
      <c r="Y79" s="63">
        <f>AA41/$W$41</f>
        <v>0.77599999999999991</v>
      </c>
      <c r="Z79" s="63">
        <f t="shared" ref="Z79:AA79" si="234">AB41/$W$41</f>
        <v>0.84</v>
      </c>
      <c r="AA79" s="63">
        <f t="shared" si="234"/>
        <v>0.92400000000000004</v>
      </c>
      <c r="AM79" s="11" t="s">
        <v>546</v>
      </c>
      <c r="AN79" s="48">
        <f>AS41</f>
        <v>20.399999999999999</v>
      </c>
      <c r="AO79" s="8" t="s">
        <v>613</v>
      </c>
      <c r="AP79" s="48">
        <f>AT41</f>
        <v>37</v>
      </c>
      <c r="AQ79" s="48"/>
      <c r="AR79" s="63">
        <f>AP41/AQ41</f>
        <v>0.74</v>
      </c>
      <c r="AS79" s="63">
        <f>AU41/$AQ$41</f>
        <v>0.78400000000000003</v>
      </c>
      <c r="AT79" s="63">
        <f t="shared" ref="AT79:AU79" si="235">AV41/$AQ$41</f>
        <v>0.84799999999999998</v>
      </c>
      <c r="AU79" s="63">
        <f t="shared" si="235"/>
        <v>0.94</v>
      </c>
      <c r="BG79" s="11" t="s">
        <v>546</v>
      </c>
      <c r="BH79" s="48">
        <f>BM41</f>
        <v>21.4</v>
      </c>
      <c r="BI79" s="8" t="s">
        <v>613</v>
      </c>
      <c r="BJ79" s="48">
        <f>BN41</f>
        <v>38</v>
      </c>
      <c r="BK79" s="48"/>
      <c r="BL79" s="63">
        <f>BJ41/BK41</f>
        <v>0.76</v>
      </c>
      <c r="BM79" s="63">
        <f>BO41/$BK$41</f>
        <v>0.80400000000000005</v>
      </c>
      <c r="BN79" s="63">
        <f t="shared" ref="BN79:BO79" si="236">BP41/$BK$41</f>
        <v>0.86799999999999999</v>
      </c>
      <c r="BO79" s="63">
        <f t="shared" si="236"/>
        <v>0.96</v>
      </c>
    </row>
    <row r="80" spans="2:69" x14ac:dyDescent="0.2">
      <c r="S80" s="11"/>
      <c r="T80" s="11"/>
      <c r="V80" s="11"/>
      <c r="W80" s="11"/>
      <c r="X80" s="63"/>
      <c r="Y80" s="63"/>
      <c r="Z80" s="63"/>
      <c r="AA80" s="63"/>
      <c r="AM80" s="11"/>
      <c r="AN80" s="11"/>
      <c r="AP80" s="11"/>
      <c r="AQ80" s="11"/>
      <c r="AR80" s="63"/>
      <c r="AS80" s="63"/>
      <c r="AT80" s="63"/>
      <c r="AU80" s="63"/>
      <c r="BG80" s="11"/>
      <c r="BH80" s="11"/>
      <c r="BJ80" s="11"/>
      <c r="BK80" s="11"/>
      <c r="BL80" s="63"/>
      <c r="BM80" s="63"/>
      <c r="BN80" s="63"/>
      <c r="BO80" s="63"/>
    </row>
    <row r="81" spans="17:67" x14ac:dyDescent="0.2">
      <c r="S81" s="11" t="s">
        <v>549</v>
      </c>
      <c r="T81" s="48">
        <f>Y48</f>
        <v>7.9710144927536222</v>
      </c>
      <c r="U81" s="8" t="s">
        <v>613</v>
      </c>
      <c r="V81" s="48">
        <f>Z48</f>
        <v>29.710144927536231</v>
      </c>
      <c r="W81" s="48"/>
      <c r="X81" s="63">
        <f>V48/W48</f>
        <v>0.59420289855072461</v>
      </c>
      <c r="Y81" s="63">
        <f>AA48/$W$48</f>
        <v>0.65217391304347827</v>
      </c>
      <c r="Z81" s="63">
        <f t="shared" ref="Z81:AA81" si="237">AB48/$W$48</f>
        <v>0.71014492753623193</v>
      </c>
      <c r="AA81" s="63">
        <f t="shared" si="237"/>
        <v>0.86956521739130432</v>
      </c>
      <c r="AM81" s="11" t="s">
        <v>549</v>
      </c>
      <c r="AN81" s="48">
        <f>AS48</f>
        <v>7.9710144927536222</v>
      </c>
      <c r="AO81" s="8" t="s">
        <v>613</v>
      </c>
      <c r="AP81" s="48">
        <f>AT48</f>
        <v>29.710144927536231</v>
      </c>
      <c r="AQ81" s="48"/>
      <c r="AR81" s="63">
        <f>AP48/AQ48</f>
        <v>0.59420289855072461</v>
      </c>
      <c r="AS81" s="63">
        <f>AU48/$AQ$48</f>
        <v>0.65217391304347827</v>
      </c>
      <c r="AT81" s="63">
        <f t="shared" ref="AT81:AU81" si="238">AV48/$AQ$48</f>
        <v>0.71014492753623193</v>
      </c>
      <c r="AU81" s="63">
        <f t="shared" si="238"/>
        <v>0.86956521739130432</v>
      </c>
      <c r="BG81" s="11" t="s">
        <v>549</v>
      </c>
      <c r="BH81" s="48">
        <f>BM48</f>
        <v>7.9710144927536222</v>
      </c>
      <c r="BI81" s="8" t="s">
        <v>613</v>
      </c>
      <c r="BJ81" s="48">
        <f>BN48</f>
        <v>30.434782608695656</v>
      </c>
      <c r="BK81" s="48"/>
      <c r="BL81" s="63">
        <f>BJ48/BK48</f>
        <v>0.60869565217391308</v>
      </c>
      <c r="BM81" s="63">
        <f>BO48/$BK$48</f>
        <v>0.66666666666666663</v>
      </c>
      <c r="BN81" s="63">
        <f t="shared" ref="BN81:BO81" si="239">BP48/$BK$48</f>
        <v>0.72463768115942029</v>
      </c>
      <c r="BO81" s="63">
        <f t="shared" si="239"/>
        <v>0.88405797101449279</v>
      </c>
    </row>
    <row r="82" spans="17:67" x14ac:dyDescent="0.2">
      <c r="S82" s="11"/>
      <c r="T82" s="11"/>
      <c r="V82" s="11"/>
      <c r="W82" s="11"/>
      <c r="X82" s="63"/>
      <c r="Y82" s="63"/>
      <c r="Z82" s="63"/>
      <c r="AA82" s="63"/>
      <c r="AM82" s="11"/>
      <c r="AN82" s="11"/>
      <c r="AP82" s="11"/>
      <c r="AQ82" s="11"/>
      <c r="AR82" s="63"/>
      <c r="AS82" s="63"/>
      <c r="AT82" s="63"/>
      <c r="AU82" s="63"/>
      <c r="BG82" s="11"/>
      <c r="BH82" s="11"/>
      <c r="BJ82" s="11"/>
      <c r="BK82" s="11"/>
      <c r="BL82" s="63"/>
      <c r="BM82" s="63"/>
      <c r="BN82" s="63"/>
      <c r="BO82" s="63"/>
    </row>
    <row r="83" spans="17:67" x14ac:dyDescent="0.2">
      <c r="S83" s="11" t="s">
        <v>547</v>
      </c>
      <c r="T83" s="48">
        <f>Y60</f>
        <v>12.473988439306357</v>
      </c>
      <c r="U83" s="8" t="s">
        <v>613</v>
      </c>
      <c r="V83" s="48">
        <f>Z60</f>
        <v>35.086705202312139</v>
      </c>
      <c r="W83" s="48"/>
      <c r="X83" s="63">
        <f>V60/W60</f>
        <v>0.70173410404624281</v>
      </c>
      <c r="Y83" s="63">
        <f>AA60/$W$60</f>
        <v>0.75028901734104048</v>
      </c>
      <c r="Z83" s="63">
        <f t="shared" ref="Z83:AA83" si="240">AB60/$W$60</f>
        <v>0.79884393063583814</v>
      </c>
      <c r="AA83" s="63">
        <f t="shared" si="240"/>
        <v>0.84855491329479771</v>
      </c>
      <c r="AM83" s="11" t="s">
        <v>547</v>
      </c>
      <c r="AN83" s="48">
        <f>AS60</f>
        <v>13.872832369942195</v>
      </c>
      <c r="AO83" s="8" t="s">
        <v>613</v>
      </c>
      <c r="AP83" s="48">
        <f>AT60</f>
        <v>35.838150289017342</v>
      </c>
      <c r="AQ83" s="48"/>
      <c r="AR83" s="63">
        <f>AP60/AQ60</f>
        <v>0.7167630057803468</v>
      </c>
      <c r="AS83" s="63">
        <f>AU60/$AQ$60</f>
        <v>0.76531791907514457</v>
      </c>
      <c r="AT83" s="63">
        <f t="shared" ref="AT83:AU83" si="241">AV60/$AQ$60</f>
        <v>0.82543352601156073</v>
      </c>
      <c r="AU83" s="63">
        <f t="shared" si="241"/>
        <v>0.87514450867052029</v>
      </c>
      <c r="BG83" s="11" t="s">
        <v>547</v>
      </c>
      <c r="BH83" s="48">
        <f>BM60</f>
        <v>16.473988439306357</v>
      </c>
      <c r="BI83" s="8" t="s">
        <v>613</v>
      </c>
      <c r="BJ83" s="48">
        <f>BN60</f>
        <v>37.861271676300575</v>
      </c>
      <c r="BK83" s="48"/>
      <c r="BL83" s="63">
        <f>BJ60/BK60</f>
        <v>0.75722543352601157</v>
      </c>
      <c r="BM83" s="63">
        <f>BO60/$BK$60</f>
        <v>0.79537572254335254</v>
      </c>
      <c r="BN83" s="63">
        <f t="shared" ref="BN83:BO83" si="242">BP60/$BK$60</f>
        <v>0.8554913294797688</v>
      </c>
      <c r="BO83" s="63">
        <f t="shared" si="242"/>
        <v>0.92716763005780345</v>
      </c>
    </row>
    <row r="84" spans="17:67" x14ac:dyDescent="0.2">
      <c r="W84" s="11"/>
      <c r="X84" s="63"/>
      <c r="Y84" s="63"/>
      <c r="Z84" s="63"/>
      <c r="AA84" s="63"/>
      <c r="AQ84" s="11"/>
      <c r="AR84" s="63"/>
      <c r="AS84" s="63"/>
      <c r="AT84" s="63"/>
      <c r="AU84" s="63"/>
      <c r="BK84" s="11"/>
      <c r="BL84" s="63"/>
      <c r="BM84" s="63"/>
      <c r="BN84" s="63"/>
      <c r="BO84" s="63"/>
    </row>
    <row r="85" spans="17:67" x14ac:dyDescent="0.2">
      <c r="S85" s="2" t="s">
        <v>548</v>
      </c>
      <c r="T85" s="48">
        <f>Y65</f>
        <v>14.678899082568808</v>
      </c>
      <c r="U85" s="8" t="s">
        <v>613</v>
      </c>
      <c r="V85" s="48">
        <f>Z65</f>
        <v>28.440366972477065</v>
      </c>
      <c r="W85" s="48"/>
      <c r="X85" s="63">
        <f>V67/W67</f>
        <v>0.63365161692340122</v>
      </c>
      <c r="Y85" s="63">
        <f>AA67/$W$67</f>
        <v>0.695342393455601</v>
      </c>
      <c r="Z85" s="63">
        <f t="shared" ref="Z85:AA85" si="243">AB67/$W$67</f>
        <v>0.75023718988544408</v>
      </c>
      <c r="AA85" s="63">
        <f t="shared" si="243"/>
        <v>0.82465430070655033</v>
      </c>
      <c r="AM85" s="2" t="s">
        <v>548</v>
      </c>
      <c r="AN85" s="48">
        <f>AS65</f>
        <v>16.513761467889911</v>
      </c>
      <c r="AO85" s="8" t="s">
        <v>613</v>
      </c>
      <c r="AP85" s="48">
        <f>AT65</f>
        <v>31.651376146788991</v>
      </c>
      <c r="AQ85" s="48"/>
      <c r="AR85" s="63">
        <f>AP67/AQ67</f>
        <v>0.6523689710528171</v>
      </c>
      <c r="AS85" s="63">
        <f>AU67/$AQ$67</f>
        <v>0.71520121505660184</v>
      </c>
      <c r="AT85" s="63">
        <f t="shared" ref="AT85:AU85" si="244">AV67/$AQ$67</f>
        <v>0.76872276915660875</v>
      </c>
      <c r="AU85" s="63">
        <f t="shared" si="244"/>
        <v>0.84261521482665458</v>
      </c>
      <c r="BG85" s="2" t="s">
        <v>548</v>
      </c>
      <c r="BH85" s="48">
        <f>BM65</f>
        <v>16.513761467889911</v>
      </c>
      <c r="BI85" s="8" t="s">
        <v>613</v>
      </c>
      <c r="BJ85" s="48">
        <f>BN65</f>
        <v>31.651376146788991</v>
      </c>
      <c r="BK85" s="48"/>
      <c r="BL85" s="63">
        <f>BJ67/BK67</f>
        <v>0.67600685160427809</v>
      </c>
      <c r="BM85" s="63">
        <f>BO67/$BK$67</f>
        <v>0.73487942153228303</v>
      </c>
      <c r="BN85" s="63">
        <f t="shared" ref="BN85:BO85" si="245">BP67/$BK$67</f>
        <v>0.78551812770562779</v>
      </c>
      <c r="BO85" s="63">
        <f t="shared" si="245"/>
        <v>0.85831595224395862</v>
      </c>
    </row>
    <row r="86" spans="17:67" x14ac:dyDescent="0.2">
      <c r="W86" s="11"/>
      <c r="AQ86" s="11"/>
      <c r="AR86" s="11"/>
      <c r="BK86" s="11"/>
      <c r="BL86" s="11"/>
    </row>
    <row r="87" spans="17:67" x14ac:dyDescent="0.2">
      <c r="Q87" s="2" t="s">
        <v>828</v>
      </c>
      <c r="R87" s="2" t="s">
        <v>839</v>
      </c>
      <c r="S87" s="2" t="s">
        <v>838</v>
      </c>
      <c r="W87" s="11"/>
      <c r="X87" s="63"/>
      <c r="Y87" s="63"/>
      <c r="Z87" s="63"/>
      <c r="AK87" s="2" t="s">
        <v>828</v>
      </c>
      <c r="AL87" s="2" t="s">
        <v>839</v>
      </c>
      <c r="AM87" s="2" t="s">
        <v>838</v>
      </c>
      <c r="AQ87" s="11"/>
      <c r="AR87" s="63"/>
      <c r="AS87" s="63"/>
      <c r="AT87" s="63"/>
      <c r="BE87" s="2" t="s">
        <v>828</v>
      </c>
      <c r="BF87" s="2" t="s">
        <v>839</v>
      </c>
      <c r="BG87" s="2" t="s">
        <v>838</v>
      </c>
      <c r="BK87" s="11"/>
      <c r="BL87" s="63"/>
      <c r="BM87" s="63"/>
      <c r="BN87" s="63"/>
    </row>
    <row r="88" spans="17:67" x14ac:dyDescent="0.2">
      <c r="Q88" s="2" t="s">
        <v>53</v>
      </c>
      <c r="R88" s="2" t="s">
        <v>840</v>
      </c>
      <c r="S88" s="2" t="s">
        <v>650</v>
      </c>
      <c r="T88" s="63">
        <f>T36/W36</f>
        <v>0.33684210526315789</v>
      </c>
      <c r="U88" s="8" t="s">
        <v>613</v>
      </c>
      <c r="V88" s="63">
        <f>V36/W36</f>
        <v>0.57894736842105265</v>
      </c>
      <c r="W88" s="63"/>
      <c r="X88" s="63">
        <f>X77</f>
        <v>0.57894736842105265</v>
      </c>
      <c r="Y88" s="63">
        <f t="shared" ref="Y88:AA88" si="246">Y77</f>
        <v>0.63157894736842102</v>
      </c>
      <c r="Z88" s="63">
        <f t="shared" si="246"/>
        <v>0.69473684210526321</v>
      </c>
      <c r="AA88" s="63">
        <f t="shared" si="246"/>
        <v>0.75789473684210529</v>
      </c>
      <c r="AK88" s="2" t="s">
        <v>53</v>
      </c>
      <c r="AL88" s="2" t="s">
        <v>840</v>
      </c>
      <c r="AM88" s="2" t="s">
        <v>650</v>
      </c>
      <c r="AN88" s="63">
        <f>AN36/AQ36</f>
        <v>0.38461538461538464</v>
      </c>
      <c r="AO88" s="8" t="s">
        <v>613</v>
      </c>
      <c r="AP88" s="63">
        <f>AP36/AQ36</f>
        <v>0.62051282051282053</v>
      </c>
      <c r="AQ88" s="63"/>
      <c r="AR88" s="63">
        <f>AR77</f>
        <v>0.62051282051282053</v>
      </c>
      <c r="AS88" s="63">
        <f t="shared" ref="AS88:AU88" si="247">AS77</f>
        <v>0.68717948717948718</v>
      </c>
      <c r="AT88" s="63">
        <f t="shared" si="247"/>
        <v>0.7384615384615385</v>
      </c>
      <c r="AU88" s="63">
        <f t="shared" si="247"/>
        <v>0.78974358974358971</v>
      </c>
      <c r="BE88" s="2" t="s">
        <v>53</v>
      </c>
      <c r="BF88" s="2" t="s">
        <v>840</v>
      </c>
      <c r="BG88" s="2" t="s">
        <v>650</v>
      </c>
      <c r="BH88" s="63">
        <f>BH36/BK36</f>
        <v>0.39500000000000002</v>
      </c>
      <c r="BI88" s="8" t="s">
        <v>613</v>
      </c>
      <c r="BJ88" s="63">
        <f>BJ36/BK36</f>
        <v>0.63500000000000001</v>
      </c>
      <c r="BK88" s="63"/>
      <c r="BL88" s="63">
        <f>BL77</f>
        <v>0.63500000000000001</v>
      </c>
      <c r="BM88" s="63">
        <f t="shared" ref="BM88:BO88" si="248">BM77</f>
        <v>0.69</v>
      </c>
      <c r="BN88" s="63">
        <f t="shared" si="248"/>
        <v>0.74</v>
      </c>
      <c r="BO88" s="63">
        <f t="shared" si="248"/>
        <v>0.79</v>
      </c>
    </row>
    <row r="89" spans="17:67" x14ac:dyDescent="0.2">
      <c r="Q89" s="2" t="s">
        <v>54</v>
      </c>
      <c r="R89" s="2" t="s">
        <v>841</v>
      </c>
      <c r="S89" s="2" t="s">
        <v>651</v>
      </c>
      <c r="T89" s="63">
        <f>T41/W41</f>
        <v>0.3992</v>
      </c>
      <c r="U89" s="8" t="s">
        <v>613</v>
      </c>
      <c r="V89" s="63">
        <f>V41/W41</f>
        <v>0.73199999999999998</v>
      </c>
      <c r="W89" s="63"/>
      <c r="X89" s="63">
        <f>X79</f>
        <v>0.73199999999999998</v>
      </c>
      <c r="Y89" s="63">
        <f t="shared" ref="Y89:AA89" si="249">Y79</f>
        <v>0.77599999999999991</v>
      </c>
      <c r="Z89" s="63">
        <f t="shared" si="249"/>
        <v>0.84</v>
      </c>
      <c r="AA89" s="63">
        <f t="shared" si="249"/>
        <v>0.92400000000000004</v>
      </c>
      <c r="AK89" s="2" t="s">
        <v>54</v>
      </c>
      <c r="AL89" s="2" t="s">
        <v>841</v>
      </c>
      <c r="AM89" s="2" t="s">
        <v>651</v>
      </c>
      <c r="AN89" s="63">
        <f>AN41/AQ41</f>
        <v>0.40799999999999997</v>
      </c>
      <c r="AO89" s="8" t="s">
        <v>613</v>
      </c>
      <c r="AP89" s="63">
        <f>AP41/AQ41</f>
        <v>0.74</v>
      </c>
      <c r="AQ89" s="63"/>
      <c r="AR89" s="63">
        <f>AR79</f>
        <v>0.74</v>
      </c>
      <c r="AS89" s="63">
        <f t="shared" ref="AS89:AU89" si="250">AS79</f>
        <v>0.78400000000000003</v>
      </c>
      <c r="AT89" s="63">
        <f t="shared" si="250"/>
        <v>0.84799999999999998</v>
      </c>
      <c r="AU89" s="63">
        <f t="shared" si="250"/>
        <v>0.94</v>
      </c>
      <c r="BE89" s="2" t="s">
        <v>54</v>
      </c>
      <c r="BF89" s="2" t="s">
        <v>841</v>
      </c>
      <c r="BG89" s="2" t="s">
        <v>651</v>
      </c>
      <c r="BH89" s="63">
        <f>BH41/BK41</f>
        <v>0.42799999999999999</v>
      </c>
      <c r="BI89" s="8" t="s">
        <v>613</v>
      </c>
      <c r="BJ89" s="63">
        <f>BJ41/BK41</f>
        <v>0.76</v>
      </c>
      <c r="BK89" s="63"/>
      <c r="BL89" s="63">
        <f>BL79</f>
        <v>0.76</v>
      </c>
      <c r="BM89" s="63">
        <f t="shared" ref="BM89:BO89" si="251">BM79</f>
        <v>0.80400000000000005</v>
      </c>
      <c r="BN89" s="63">
        <f t="shared" si="251"/>
        <v>0.86799999999999999</v>
      </c>
      <c r="BO89" s="63">
        <f t="shared" si="251"/>
        <v>0.96</v>
      </c>
    </row>
    <row r="90" spans="17:67" x14ac:dyDescent="0.2">
      <c r="Q90" s="2" t="s">
        <v>643</v>
      </c>
      <c r="R90" s="2" t="s">
        <v>842</v>
      </c>
      <c r="S90" s="2" t="s">
        <v>652</v>
      </c>
      <c r="T90" s="63">
        <f>T48/W48</f>
        <v>0.15942028985507245</v>
      </c>
      <c r="U90" s="8" t="s">
        <v>613</v>
      </c>
      <c r="V90" s="63">
        <f>V48/W48</f>
        <v>0.59420289855072461</v>
      </c>
      <c r="W90" s="63"/>
      <c r="X90" s="63">
        <f>X81</f>
        <v>0.59420289855072461</v>
      </c>
      <c r="Y90" s="63">
        <f t="shared" ref="Y90:AA90" si="252">Y81</f>
        <v>0.65217391304347827</v>
      </c>
      <c r="Z90" s="63">
        <f t="shared" si="252"/>
        <v>0.71014492753623193</v>
      </c>
      <c r="AA90" s="63">
        <f t="shared" si="252"/>
        <v>0.86956521739130432</v>
      </c>
      <c r="AK90" s="2" t="s">
        <v>643</v>
      </c>
      <c r="AL90" s="2" t="s">
        <v>842</v>
      </c>
      <c r="AM90" s="2" t="s">
        <v>652</v>
      </c>
      <c r="AN90" s="63">
        <f>AN48/AQ48</f>
        <v>0.15942028985507245</v>
      </c>
      <c r="AO90" s="8" t="s">
        <v>613</v>
      </c>
      <c r="AP90" s="63">
        <f>AP48/AQ48</f>
        <v>0.59420289855072461</v>
      </c>
      <c r="AQ90" s="63"/>
      <c r="AR90" s="63">
        <f>AR81</f>
        <v>0.59420289855072461</v>
      </c>
      <c r="AS90" s="63">
        <f t="shared" ref="AS90:AU90" si="253">AS81</f>
        <v>0.65217391304347827</v>
      </c>
      <c r="AT90" s="63">
        <f t="shared" si="253"/>
        <v>0.71014492753623193</v>
      </c>
      <c r="AU90" s="63">
        <f t="shared" si="253"/>
        <v>0.86956521739130432</v>
      </c>
      <c r="BE90" s="2" t="s">
        <v>643</v>
      </c>
      <c r="BF90" s="2" t="s">
        <v>842</v>
      </c>
      <c r="BG90" s="2" t="s">
        <v>652</v>
      </c>
      <c r="BH90" s="63">
        <f>BH48/BK48</f>
        <v>0.15942028985507245</v>
      </c>
      <c r="BI90" s="8" t="s">
        <v>613</v>
      </c>
      <c r="BJ90" s="63">
        <f>BJ48/BK48</f>
        <v>0.60869565217391308</v>
      </c>
      <c r="BK90" s="63"/>
      <c r="BL90" s="63">
        <f>BL81</f>
        <v>0.60869565217391308</v>
      </c>
      <c r="BM90" s="63">
        <f t="shared" ref="BM90:BO90" si="254">BM81</f>
        <v>0.66666666666666663</v>
      </c>
      <c r="BN90" s="63">
        <f t="shared" si="254"/>
        <v>0.72463768115942029</v>
      </c>
      <c r="BO90" s="63">
        <f t="shared" si="254"/>
        <v>0.88405797101449279</v>
      </c>
    </row>
    <row r="91" spans="17:67" x14ac:dyDescent="0.2">
      <c r="T91" s="63"/>
      <c r="U91" s="63"/>
      <c r="V91" s="63"/>
      <c r="W91" s="63"/>
      <c r="X91" s="63"/>
      <c r="Y91" s="63"/>
      <c r="Z91" s="63"/>
      <c r="AA91" s="63"/>
      <c r="AN91" s="63"/>
      <c r="AO91" s="63"/>
      <c r="AP91" s="63"/>
      <c r="AQ91" s="63"/>
      <c r="AR91" s="63"/>
      <c r="AS91" s="63"/>
      <c r="AT91" s="63"/>
      <c r="AU91" s="63"/>
      <c r="BH91" s="63"/>
      <c r="BI91" s="63"/>
      <c r="BJ91" s="63"/>
      <c r="BK91" s="63"/>
      <c r="BL91" s="63"/>
      <c r="BM91" s="63"/>
      <c r="BN91" s="63"/>
      <c r="BO91" s="63"/>
    </row>
    <row r="92" spans="17:67" ht="17" x14ac:dyDescent="0.2">
      <c r="Q92" s="2" t="s">
        <v>645</v>
      </c>
      <c r="R92" s="3" t="s">
        <v>843</v>
      </c>
      <c r="S92" s="2" t="s">
        <v>829</v>
      </c>
      <c r="T92" s="63">
        <f>(T60+T49+T58)/(W60+W58+W49)</f>
        <v>0.32884955752212386</v>
      </c>
      <c r="U92" s="8" t="s">
        <v>613</v>
      </c>
      <c r="V92" s="63">
        <f>(V60+V58+V49)/(W49+W58+W60)</f>
        <v>0.72035398230088499</v>
      </c>
      <c r="W92" s="63"/>
      <c r="X92" s="63">
        <f>V92</f>
        <v>0.72035398230088499</v>
      </c>
      <c r="Y92" s="63">
        <f>(AA60+AA58+AA49)/(W60+W58+W49)</f>
        <v>0.76814159292035411</v>
      </c>
      <c r="Z92" s="63">
        <f>(AB60+AB58+AB49)/(W60+W58+W49)</f>
        <v>0.8159292035398229</v>
      </c>
      <c r="AA92" s="63">
        <f>(AC60+AC58+AC49)/(W60+W58+W49)</f>
        <v>0.86548672566371687</v>
      </c>
      <c r="AK92" s="2" t="s">
        <v>645</v>
      </c>
      <c r="AL92" s="3" t="s">
        <v>843</v>
      </c>
      <c r="AM92" s="2" t="s">
        <v>829</v>
      </c>
      <c r="AN92" s="63">
        <f>(AN60+AN49+AN58)/(AQ60+AQ58+AQ49)</f>
        <v>0.35398230088495575</v>
      </c>
      <c r="AO92" s="8" t="s">
        <v>613</v>
      </c>
      <c r="AP92" s="63">
        <f>(AP60+AP58+AP49)/(AQ49+AQ58+AQ60)</f>
        <v>0.74336283185840712</v>
      </c>
      <c r="AQ92" s="63"/>
      <c r="AR92" s="63">
        <f>AP92</f>
        <v>0.74336283185840712</v>
      </c>
      <c r="AS92" s="63">
        <f>(AU60+AU58+AU49)/(AQ60+AQ58+AQ49)</f>
        <v>0.79115044247787614</v>
      </c>
      <c r="AT92" s="63">
        <f>(AV60+AV58+AV49)/(AQ60+AQ58+AQ49)</f>
        <v>0.84778761061946917</v>
      </c>
      <c r="AU92" s="63">
        <f>(AW60+AW58+AW49)/(AQ60+AQ58+AQ49)</f>
        <v>0.88849557522123901</v>
      </c>
      <c r="BE92" s="2" t="s">
        <v>645</v>
      </c>
      <c r="BF92" s="3" t="s">
        <v>843</v>
      </c>
      <c r="BG92" s="2" t="s">
        <v>829</v>
      </c>
      <c r="BH92" s="63">
        <f>(BH60+BH49+BH58)/(BK60+BK58+BK49)</f>
        <v>0.41592920353982299</v>
      </c>
      <c r="BI92" s="8" t="s">
        <v>613</v>
      </c>
      <c r="BJ92" s="63">
        <f>(BJ60+BJ58+BJ49)/(BK49+BK58+BK60)</f>
        <v>0.78761061946902655</v>
      </c>
      <c r="BK92" s="63"/>
      <c r="BL92" s="63">
        <f>BJ92</f>
        <v>0.78761061946902655</v>
      </c>
      <c r="BM92" s="63">
        <f>(BO60+BO58+BO49)/(BK60+BK58+BK49)</f>
        <v>0.81946902654867249</v>
      </c>
      <c r="BN92" s="63">
        <f>(BP60+BP58+BP49)/(BK60+BK58+BK49)</f>
        <v>0.87610619469026552</v>
      </c>
      <c r="BO92" s="63">
        <f>(BQ60+BQ58+BQ49)/(BK60+BK58+BK49)</f>
        <v>0.94159292035398234</v>
      </c>
    </row>
    <row r="93" spans="17:67" ht="17" x14ac:dyDescent="0.2">
      <c r="Q93" s="2" t="s">
        <v>646</v>
      </c>
      <c r="R93" s="3" t="s">
        <v>844</v>
      </c>
      <c r="S93" s="2" t="s">
        <v>830</v>
      </c>
      <c r="T93" s="63">
        <f>(T60+T58+T51)/(W60+W58+W51)</f>
        <v>0.31999999999999995</v>
      </c>
      <c r="U93" s="8" t="s">
        <v>613</v>
      </c>
      <c r="V93" s="63">
        <f>(V60+V58+V51)/(W60+W58+W51)</f>
        <v>0.72035398230088499</v>
      </c>
      <c r="W93" s="63"/>
      <c r="X93" s="63">
        <f>V93</f>
        <v>0.72035398230088499</v>
      </c>
      <c r="Y93" s="63">
        <f>(AA60+AA58+AA51)/(W60+W58+W51)</f>
        <v>0.7592920353982302</v>
      </c>
      <c r="Z93" s="63">
        <f>(AB60+AB58+AB51)/(W60+W58+W51)</f>
        <v>0.80707964601769899</v>
      </c>
      <c r="AA93" s="63">
        <f>(AC60+AC58+AC51)/(W60+W58+W51)</f>
        <v>0.84778761061946917</v>
      </c>
      <c r="AK93" s="2" t="s">
        <v>646</v>
      </c>
      <c r="AL93" s="3" t="s">
        <v>844</v>
      </c>
      <c r="AM93" s="2" t="s">
        <v>830</v>
      </c>
      <c r="AN93" s="63">
        <f>(AN60+AN58+AN51)/(AQ60+AQ58+AQ51)</f>
        <v>0.35398230088495575</v>
      </c>
      <c r="AO93" s="8" t="s">
        <v>613</v>
      </c>
      <c r="AP93" s="63">
        <f>(AP60+AP58+AP51)/(AQ60+AQ58+AQ51)</f>
        <v>0.73451327433628322</v>
      </c>
      <c r="AQ93" s="63"/>
      <c r="AR93" s="63">
        <f>AP93</f>
        <v>0.73451327433628322</v>
      </c>
      <c r="AS93" s="63">
        <f>(AU60+AU58+AU51)/(AQ60+AQ58+AQ51)</f>
        <v>0.77345132743362832</v>
      </c>
      <c r="AT93" s="63">
        <f>(AV60+AV58+AV51)/(AQ60+AQ58+AQ51)</f>
        <v>0.83008849557522135</v>
      </c>
      <c r="AU93" s="63">
        <f>(AW60+AW58+AW51)/(AQ60+AQ58+AQ51)</f>
        <v>0.8796460176991151</v>
      </c>
      <c r="BE93" s="2" t="s">
        <v>646</v>
      </c>
      <c r="BF93" s="3" t="s">
        <v>844</v>
      </c>
      <c r="BG93" s="2" t="s">
        <v>830</v>
      </c>
      <c r="BH93" s="63">
        <f>(BH60+BH58+BH51)/(BK60+BK58+BK51)</f>
        <v>0.40707964601769914</v>
      </c>
      <c r="BI93" s="8" t="s">
        <v>613</v>
      </c>
      <c r="BJ93" s="63">
        <f>(BJ60+BJ58+BJ51)/(BK60+BK58+BK51)</f>
        <v>0.77876106194690264</v>
      </c>
      <c r="BK93" s="63"/>
      <c r="BL93" s="63">
        <f>BJ93</f>
        <v>0.77876106194690264</v>
      </c>
      <c r="BM93" s="63">
        <f>(BO60+BO58+BO51)/(BK60+BK58+BK51)</f>
        <v>0.81061946902654858</v>
      </c>
      <c r="BN93" s="63">
        <f>(BP60+BP58+BP51)/(BK60+BK58+BK51)</f>
        <v>0.86725663716814161</v>
      </c>
      <c r="BO93" s="63">
        <f>(BQ60+BQ58+BQ51)/(BK60+BK58+BK51)</f>
        <v>0.93274336283185844</v>
      </c>
    </row>
    <row r="94" spans="17:67" ht="17" x14ac:dyDescent="0.2">
      <c r="Q94" s="2" t="s">
        <v>642</v>
      </c>
      <c r="R94" s="3" t="s">
        <v>845</v>
      </c>
      <c r="S94" s="2" t="s">
        <v>831</v>
      </c>
      <c r="T94" s="63">
        <f>(T60+T58+T50)/(W60+W58+W50)</f>
        <v>0.31999999999999995</v>
      </c>
      <c r="U94" s="8" t="s">
        <v>613</v>
      </c>
      <c r="V94" s="63">
        <f>(V60+V58+V50)/(W60+W58+W50)</f>
        <v>0.72035398230088499</v>
      </c>
      <c r="W94" s="63"/>
      <c r="X94" s="63">
        <f>V94</f>
        <v>0.72035398230088499</v>
      </c>
      <c r="Y94" s="63">
        <f>(AA60+AA58+AA50)/(W60+W58+W50)</f>
        <v>0.76814159292035411</v>
      </c>
      <c r="Z94" s="63">
        <f>(AB60+AB58+AB50)/(W60+W58+W50)</f>
        <v>0.80707964601769899</v>
      </c>
      <c r="AA94" s="63">
        <f>(AC60+AC58+AC50)/(W60+W58+W50)</f>
        <v>0.85663716814159307</v>
      </c>
      <c r="AK94" s="2" t="s">
        <v>642</v>
      </c>
      <c r="AL94" s="3" t="s">
        <v>845</v>
      </c>
      <c r="AM94" s="2" t="s">
        <v>831</v>
      </c>
      <c r="AN94" s="63">
        <f>(AN60+AN58+AN50)/(AQ60+AQ58+AQ50)</f>
        <v>0.35398230088495575</v>
      </c>
      <c r="AO94" s="8" t="s">
        <v>613</v>
      </c>
      <c r="AP94" s="63">
        <f>(AP60+AP58+AP50)/(AQ60+AQ58+AQ50)</f>
        <v>0.73451327433628322</v>
      </c>
      <c r="AQ94" s="63"/>
      <c r="AR94" s="63">
        <f>AP94</f>
        <v>0.73451327433628322</v>
      </c>
      <c r="AS94" s="63">
        <f>(AU60+AU58+AU50)/(AQ60+AQ58+AQ50)</f>
        <v>0.78230088495575223</v>
      </c>
      <c r="AT94" s="63">
        <f>(AV60+AV58+AV50)/(AQ60+AQ58+AQ50)</f>
        <v>0.83893805309734526</v>
      </c>
      <c r="AU94" s="63">
        <f>(AW60+AW58+AW50)/(AQ60+AQ58+AQ50)</f>
        <v>0.88849557522123901</v>
      </c>
      <c r="BE94" s="2" t="s">
        <v>642</v>
      </c>
      <c r="BF94" s="3" t="s">
        <v>845</v>
      </c>
      <c r="BG94" s="2" t="s">
        <v>831</v>
      </c>
      <c r="BH94" s="63">
        <f>(BH60+BH58+BH50)/(BK60+BK58+BK50)</f>
        <v>0.40707964601769914</v>
      </c>
      <c r="BI94" s="8" t="s">
        <v>613</v>
      </c>
      <c r="BJ94" s="63">
        <f>(BJ60+BJ58+BJ50)/(BK60+BK58+BK50)</f>
        <v>0.77876106194690264</v>
      </c>
      <c r="BK94" s="63"/>
      <c r="BL94" s="63">
        <f>BJ94</f>
        <v>0.77876106194690264</v>
      </c>
      <c r="BM94" s="63">
        <f>(BO60+BO58+BO50)/(BK60+BK58+BK50)</f>
        <v>0.81946902654867249</v>
      </c>
      <c r="BN94" s="63">
        <f>(BP60+BP58+BP50)/(BK60+BK58+BK50)</f>
        <v>0.87610619469026552</v>
      </c>
      <c r="BO94" s="63">
        <f>(BQ60+BQ58+BQ50)/(BK60+BK58+BK50)</f>
        <v>0.93274336283185844</v>
      </c>
    </row>
    <row r="95" spans="17:67" x14ac:dyDescent="0.2">
      <c r="T95" s="63"/>
      <c r="U95" s="63"/>
      <c r="V95" s="63"/>
      <c r="W95" s="63"/>
      <c r="X95" s="63"/>
      <c r="Y95" s="63"/>
      <c r="Z95" s="63"/>
      <c r="AA95" s="63"/>
      <c r="AN95" s="63"/>
      <c r="AO95" s="63"/>
      <c r="AP95" s="63"/>
      <c r="AQ95" s="63"/>
      <c r="AR95" s="63"/>
      <c r="AS95" s="63"/>
      <c r="AT95" s="63"/>
      <c r="AU95" s="63"/>
      <c r="BH95" s="63"/>
      <c r="BI95" s="63"/>
      <c r="BJ95" s="63"/>
      <c r="BK95" s="63"/>
      <c r="BL95" s="63"/>
      <c r="BM95" s="63"/>
      <c r="BN95" s="63"/>
      <c r="BO95" s="63"/>
    </row>
    <row r="96" spans="17:67" x14ac:dyDescent="0.2">
      <c r="Q96" s="2" t="s">
        <v>648</v>
      </c>
      <c r="R96" s="2" t="s">
        <v>871</v>
      </c>
      <c r="S96" s="2" t="s">
        <v>832</v>
      </c>
      <c r="T96" s="63">
        <f>(T65+T62)/(W65+W62)</f>
        <v>0.26845637583892618</v>
      </c>
      <c r="U96" s="8" t="s">
        <v>613</v>
      </c>
      <c r="V96" s="63">
        <f>(V65+V62)/(W65+W62)</f>
        <v>0.52348993288590606</v>
      </c>
      <c r="W96" s="63"/>
      <c r="X96" s="63">
        <f>V96</f>
        <v>0.52348993288590606</v>
      </c>
      <c r="Y96" s="63">
        <f>(AA65+AA62)/(W65+W62)</f>
        <v>0.59060402684563762</v>
      </c>
      <c r="Z96" s="63">
        <f>(AB65+AB62)/(W65+W62)</f>
        <v>0.67785234899328861</v>
      </c>
      <c r="AA96" s="63">
        <f>(AC65+AC62)/(W65+W62)</f>
        <v>0.79865771812080533</v>
      </c>
      <c r="AK96" s="2" t="s">
        <v>648</v>
      </c>
      <c r="AL96" s="2" t="s">
        <v>846</v>
      </c>
      <c r="AM96" s="2" t="s">
        <v>832</v>
      </c>
      <c r="AN96" s="63">
        <f>(AN65+AN62)/(AQ65+AQ62)</f>
        <v>0.29530201342281881</v>
      </c>
      <c r="AO96" s="8" t="s">
        <v>613</v>
      </c>
      <c r="AP96" s="63">
        <f>(AP65+AP62)/(AQ65+AQ62)</f>
        <v>0.59731543624161076</v>
      </c>
      <c r="AQ96" s="63"/>
      <c r="AR96" s="63">
        <f>AP96</f>
        <v>0.59731543624161076</v>
      </c>
      <c r="AS96" s="63">
        <f>(AU65+AU62)/(AQ65+AQ62)</f>
        <v>0.65771812080536918</v>
      </c>
      <c r="AT96" s="63">
        <f>(AV65+AV62)/(AQ65+AQ62)</f>
        <v>0.71677852348993287</v>
      </c>
      <c r="AU96" s="63">
        <f>(AW65+AW62)/(AQ65+AQ62)</f>
        <v>0.82953020134228184</v>
      </c>
      <c r="BE96" s="2" t="s">
        <v>648</v>
      </c>
      <c r="BF96" s="2" t="s">
        <v>846</v>
      </c>
      <c r="BG96" s="2" t="s">
        <v>832</v>
      </c>
      <c r="BH96" s="63">
        <f>(BH65+BH62)/(BK65+BK62)</f>
        <v>0.29530201342281881</v>
      </c>
      <c r="BI96" s="8" t="s">
        <v>613</v>
      </c>
      <c r="BJ96" s="63">
        <f>(BJ65+BJ62)/(BK65+BK62)</f>
        <v>0.59731543624161076</v>
      </c>
      <c r="BK96" s="63"/>
      <c r="BL96" s="63">
        <f>BJ96</f>
        <v>0.59731543624161076</v>
      </c>
      <c r="BM96" s="63">
        <f>(BO65+BO62)/(BK65+BK62)</f>
        <v>0.65771812080536918</v>
      </c>
      <c r="BN96" s="63">
        <f>(BP65+BP62)/(BK65+BK62)</f>
        <v>0.71677852348993287</v>
      </c>
      <c r="BO96" s="63">
        <f>(BQ65+BQ62)/(BK65+BK62)</f>
        <v>0.82953020134228184</v>
      </c>
    </row>
    <row r="97" spans="17:67" x14ac:dyDescent="0.2">
      <c r="Q97" s="2" t="s">
        <v>647</v>
      </c>
      <c r="R97" s="2" t="s">
        <v>847</v>
      </c>
      <c r="S97" s="2" t="s">
        <v>833</v>
      </c>
      <c r="T97" s="63">
        <f>(T65+T63)/(W65+W63)</f>
        <v>0.34782608695652173</v>
      </c>
      <c r="U97" s="8" t="s">
        <v>613</v>
      </c>
      <c r="V97" s="63">
        <f>(V65+V63)/(W65+W63)</f>
        <v>0.60869565217391308</v>
      </c>
      <c r="W97" s="63"/>
      <c r="X97" s="63">
        <f>V97</f>
        <v>0.60869565217391308</v>
      </c>
      <c r="Y97" s="63">
        <f>(AA65+AA63)/(W65+W63)</f>
        <v>0.6811594202898551</v>
      </c>
      <c r="Z97" s="63">
        <f>(AB65+AB63)/(W65+W63)</f>
        <v>0.75362318840579712</v>
      </c>
      <c r="AA97" s="63">
        <f>(AC65+AC63)/(W65+W63)</f>
        <v>0.85507246376811596</v>
      </c>
      <c r="AK97" s="2" t="s">
        <v>647</v>
      </c>
      <c r="AL97" s="2" t="s">
        <v>847</v>
      </c>
      <c r="AM97" s="2" t="s">
        <v>833</v>
      </c>
      <c r="AN97" s="63">
        <f>(AN65+AN63)/(AQ65+AQ63)</f>
        <v>0.40579710144927539</v>
      </c>
      <c r="AO97" s="8" t="s">
        <v>613</v>
      </c>
      <c r="AP97" s="63">
        <f>(AP65+AP63)/(AQ65+AQ63)</f>
        <v>0.6811594202898551</v>
      </c>
      <c r="AQ97" s="63"/>
      <c r="AR97" s="63">
        <f>AP97</f>
        <v>0.6811594202898551</v>
      </c>
      <c r="AS97" s="63">
        <f>(AU65+AU63)/(AQ65+AQ63)</f>
        <v>0.73913043478260865</v>
      </c>
      <c r="AT97" s="63">
        <f>(AV65+AV63)/(AQ65+AQ63)</f>
        <v>0.79420289855072457</v>
      </c>
      <c r="AU97" s="63">
        <f>(AW65+AW63)/(AQ65+AQ63)</f>
        <v>0.87826086956521732</v>
      </c>
      <c r="BE97" s="2" t="s">
        <v>647</v>
      </c>
      <c r="BF97" s="2" t="s">
        <v>847</v>
      </c>
      <c r="BG97" s="2" t="s">
        <v>833</v>
      </c>
      <c r="BH97" s="63">
        <f>(BH65+BH63)/(BK65+BK63)</f>
        <v>0.40579710144927539</v>
      </c>
      <c r="BI97" s="8" t="s">
        <v>613</v>
      </c>
      <c r="BJ97" s="63">
        <f>(BJ65+BJ63)/(BK65+BK63)</f>
        <v>0.6811594202898551</v>
      </c>
      <c r="BK97" s="63"/>
      <c r="BL97" s="63">
        <f>BJ97</f>
        <v>0.6811594202898551</v>
      </c>
      <c r="BM97" s="63">
        <f>(BO65+BO63)/(BK65+BK63)</f>
        <v>0.73913043478260865</v>
      </c>
      <c r="BN97" s="63">
        <f>(BP65+BP63)/(BK65+BK63)</f>
        <v>0.79420289855072457</v>
      </c>
      <c r="BO97" s="63">
        <f>(BQ65+BQ63)/(BK65+BK63)</f>
        <v>0.87826086956521732</v>
      </c>
    </row>
    <row r="98" spans="17:67" x14ac:dyDescent="0.2">
      <c r="Q98" s="2" t="s">
        <v>649</v>
      </c>
      <c r="R98" s="2" t="s">
        <v>848</v>
      </c>
      <c r="S98" s="2" t="s">
        <v>835</v>
      </c>
      <c r="T98" s="63">
        <f>(T65+T4)/(W4+W65)</f>
        <v>0.29357798165137616</v>
      </c>
      <c r="U98" s="8" t="s">
        <v>613</v>
      </c>
      <c r="V98" s="63">
        <f>(V65+V4)/(W4+W65)</f>
        <v>0.56880733944954132</v>
      </c>
      <c r="W98" s="63"/>
      <c r="X98" s="63">
        <f>V98</f>
        <v>0.56880733944954132</v>
      </c>
      <c r="Y98" s="63">
        <f>(AA65+AA4)/(W4+W65)</f>
        <v>0.64220183486238536</v>
      </c>
      <c r="Z98" s="63">
        <f>(AB65+AB4)/(W4+W65)</f>
        <v>0.72477064220183485</v>
      </c>
      <c r="AA98" s="63">
        <f>(AC65+AC4)/(W4+W65)</f>
        <v>0.83486238532110091</v>
      </c>
      <c r="AK98" s="2" t="s">
        <v>649</v>
      </c>
      <c r="AL98" s="2" t="s">
        <v>848</v>
      </c>
      <c r="AM98" s="2" t="s">
        <v>835</v>
      </c>
      <c r="AN98" s="63">
        <f>(AN65+AN4)/(AQ4+AQ65)</f>
        <v>0.33027522935779818</v>
      </c>
      <c r="AO98" s="8" t="s">
        <v>613</v>
      </c>
      <c r="AP98" s="63">
        <f>(AP65+AP4)/(AQ4+AQ65)</f>
        <v>0.6330275229357798</v>
      </c>
      <c r="AQ98" s="63"/>
      <c r="AR98" s="63">
        <f>AP98</f>
        <v>0.6330275229357798</v>
      </c>
      <c r="AS98" s="63">
        <f>(AU65+AU4)/(AQ4+AQ65)</f>
        <v>0.69724770642201839</v>
      </c>
      <c r="AT98" s="63">
        <f>(AV65+AV4)/(AQ4+AQ65)</f>
        <v>0.75963302752293571</v>
      </c>
      <c r="AU98" s="63">
        <f>(AW65+AW4)/(AQ4+AQ65)</f>
        <v>0.85871559633027517</v>
      </c>
      <c r="BE98" s="2" t="s">
        <v>649</v>
      </c>
      <c r="BF98" s="2" t="s">
        <v>848</v>
      </c>
      <c r="BG98" s="2" t="s">
        <v>835</v>
      </c>
      <c r="BH98" s="63">
        <f>(BH65+BH4)/(BK4+BK65)</f>
        <v>0.33027522935779818</v>
      </c>
      <c r="BI98" s="8" t="s">
        <v>613</v>
      </c>
      <c r="BJ98" s="63">
        <f>(BJ65+BJ4)/(BK4+BK65)</f>
        <v>0.6330275229357798</v>
      </c>
      <c r="BK98" s="63"/>
      <c r="BL98" s="63">
        <f>BJ98</f>
        <v>0.6330275229357798</v>
      </c>
      <c r="BM98" s="63">
        <f>(BO65+BO4)/(BK4+BK65)</f>
        <v>0.69724770642201839</v>
      </c>
      <c r="BN98" s="63">
        <f>(BP65+BP4)/(BK4+BK65)</f>
        <v>0.75963302752293571</v>
      </c>
      <c r="BO98" s="63">
        <f>(BQ65+BQ4)/(BK4+BK65)</f>
        <v>0.85871559633027517</v>
      </c>
    </row>
    <row r="99" spans="17:67" x14ac:dyDescent="0.2">
      <c r="T99" s="63"/>
      <c r="U99" s="8"/>
      <c r="V99" s="63"/>
      <c r="W99" s="63"/>
      <c r="X99" s="63"/>
      <c r="Y99" s="63"/>
      <c r="Z99" s="63"/>
      <c r="AA99" s="63"/>
      <c r="AN99" s="63"/>
      <c r="AO99" s="8"/>
      <c r="AP99" s="63"/>
      <c r="AQ99" s="63"/>
      <c r="AR99" s="63"/>
      <c r="AS99" s="63"/>
      <c r="AT99" s="63"/>
      <c r="AU99" s="63"/>
      <c r="BH99" s="63"/>
      <c r="BI99" s="8"/>
      <c r="BJ99" s="63"/>
      <c r="BK99" s="63"/>
      <c r="BL99" s="63"/>
      <c r="BM99" s="63"/>
      <c r="BN99" s="63"/>
      <c r="BO99" s="63"/>
    </row>
    <row r="100" spans="17:67" x14ac:dyDescent="0.2">
      <c r="Q100" s="2" t="s">
        <v>782</v>
      </c>
      <c r="R100" s="2" t="s">
        <v>872</v>
      </c>
      <c r="S100" s="2" t="s">
        <v>836</v>
      </c>
      <c r="T100" s="63">
        <f>(T65+T50)/(W50+W65)</f>
        <v>0.2857142857142857</v>
      </c>
      <c r="U100" s="8" t="s">
        <v>613</v>
      </c>
      <c r="V100" s="63">
        <f>(V65+V50)/(W50+W65)</f>
        <v>0.5864661654135338</v>
      </c>
      <c r="W100" s="63"/>
      <c r="X100" s="63">
        <f>V100</f>
        <v>0.5864661654135338</v>
      </c>
      <c r="Y100" s="63">
        <f>(AA65+AA50)/(W50+W65)</f>
        <v>0.66165413533834583</v>
      </c>
      <c r="Z100" s="63">
        <f>(AB65+AB50)/(W50+W65)</f>
        <v>0.72932330827067671</v>
      </c>
      <c r="AA100" s="63">
        <f>(AC65+AC50)/(W50+W65)</f>
        <v>0.83458646616541354</v>
      </c>
      <c r="AK100" s="2" t="s">
        <v>782</v>
      </c>
      <c r="AL100" s="2" t="s">
        <v>872</v>
      </c>
      <c r="AM100" s="2" t="s">
        <v>836</v>
      </c>
      <c r="AN100" s="63">
        <f>(AN65+AN50)/(AQ50+AQ65)</f>
        <v>0.33082706766917291</v>
      </c>
      <c r="AO100" s="8" t="s">
        <v>613</v>
      </c>
      <c r="AP100" s="63">
        <f>(AP65+AP50)/(AQ50+AQ65)</f>
        <v>0.63909774436090228</v>
      </c>
      <c r="AQ100" s="63"/>
      <c r="AR100" s="63">
        <f>AP100</f>
        <v>0.63909774436090228</v>
      </c>
      <c r="AS100" s="63">
        <f>(AU65+AU50)/(AQ50+AQ65)</f>
        <v>0.70676691729323304</v>
      </c>
      <c r="AT100" s="63">
        <f>(AV65+AV50)/(AQ50+AQ65)</f>
        <v>0.77293233082706769</v>
      </c>
      <c r="AU100" s="63">
        <f>(AW65+AW50)/(AQ50+AQ65)</f>
        <v>0.86917293233082704</v>
      </c>
      <c r="BE100" s="2" t="s">
        <v>782</v>
      </c>
      <c r="BF100" s="2" t="s">
        <v>872</v>
      </c>
      <c r="BG100" s="2" t="s">
        <v>836</v>
      </c>
      <c r="BH100" s="63">
        <f>(BH65+BH50)/(BK50+BK65)</f>
        <v>0.34586466165413532</v>
      </c>
      <c r="BI100" s="8" t="s">
        <v>613</v>
      </c>
      <c r="BJ100" s="63">
        <f>(BJ65+BJ50)/(BK50+BK65)</f>
        <v>0.65413533834586468</v>
      </c>
      <c r="BK100" s="63"/>
      <c r="BL100" s="63">
        <f>BJ100</f>
        <v>0.65413533834586468</v>
      </c>
      <c r="BM100" s="63">
        <f>(BO65+BO50)/(BK50+BK65)</f>
        <v>0.72180451127819545</v>
      </c>
      <c r="BN100" s="63">
        <f>(BP65+BP50)/(BK50+BK65)</f>
        <v>0.7879699248120301</v>
      </c>
      <c r="BO100" s="63">
        <f>(BQ65+BQ50)/(BK50+BK65)</f>
        <v>0.86917293233082704</v>
      </c>
    </row>
    <row r="101" spans="17:67" x14ac:dyDescent="0.2">
      <c r="Q101" s="2" t="s">
        <v>781</v>
      </c>
      <c r="R101" s="2" t="s">
        <v>848</v>
      </c>
      <c r="S101" s="2" t="s">
        <v>837</v>
      </c>
      <c r="T101" s="63">
        <f>(T65+T10)/(W10+W65)</f>
        <v>0.48584698424653239</v>
      </c>
      <c r="U101" s="8" t="s">
        <v>613</v>
      </c>
      <c r="V101" s="63">
        <f>(V65+V10)/(W10+W65)</f>
        <v>0.62587589416061018</v>
      </c>
      <c r="W101" s="63"/>
      <c r="X101" s="63">
        <f>V101</f>
        <v>0.62587589416061018</v>
      </c>
      <c r="Y101" s="63">
        <f>(AA65+AA10)/(W10+W65)</f>
        <v>0.67310270850093856</v>
      </c>
      <c r="Z101" s="63">
        <f>(AB65+AB10)/(W10+W65)</f>
        <v>0.73085599113709476</v>
      </c>
      <c r="AA101" s="63">
        <f>(AC65+AC10)/(W10+W65)</f>
        <v>0.8064118772083374</v>
      </c>
      <c r="AK101" s="2" t="s">
        <v>781</v>
      </c>
      <c r="AL101" s="2" t="s">
        <v>848</v>
      </c>
      <c r="AM101" s="2" t="s">
        <v>837</v>
      </c>
      <c r="AN101" s="63">
        <f>(AN65+AN10)/(AQ10+AQ65)</f>
        <v>0.48770894788593905</v>
      </c>
      <c r="AO101" s="8" t="s">
        <v>613</v>
      </c>
      <c r="AP101" s="63">
        <f>(AP65+AP10)/(AQ10+AQ65)</f>
        <v>0.64019553677299701</v>
      </c>
      <c r="AQ101" s="63"/>
      <c r="AR101" s="63">
        <f>AP101</f>
        <v>0.64019553677299701</v>
      </c>
      <c r="AS101" s="63">
        <f>(AU65+AU10)/(AQ10+AQ65)</f>
        <v>0.68561439652885081</v>
      </c>
      <c r="AT101" s="63">
        <f>(AV65+AV10)/(AQ10+AQ65)</f>
        <v>0.73710006807351947</v>
      </c>
      <c r="AU101" s="63">
        <f>(AW65+AW10)/(AQ10+AQ65)</f>
        <v>0.80335351653469955</v>
      </c>
      <c r="BE101" s="2" t="s">
        <v>781</v>
      </c>
      <c r="BF101" s="2" t="s">
        <v>848</v>
      </c>
      <c r="BG101" s="2" t="s">
        <v>837</v>
      </c>
      <c r="BH101" s="63">
        <f>(BH65+BH10)/(BK10+BK65)</f>
        <v>0.48380002932121385</v>
      </c>
      <c r="BI101" s="8" t="s">
        <v>613</v>
      </c>
      <c r="BJ101" s="63">
        <f>(BJ65+BJ10)/(BK10+BK65)</f>
        <v>0.66606586924463385</v>
      </c>
      <c r="BK101" s="63"/>
      <c r="BL101" s="63">
        <f>BJ101</f>
        <v>0.66606586924463385</v>
      </c>
      <c r="BM101" s="63">
        <f>(BO65+BO10)/(BK10+BK65)</f>
        <v>0.7104277405314422</v>
      </c>
      <c r="BN101" s="63">
        <f>(BP65+BP10)/(BK10+BK65)</f>
        <v>0.75007295397267548</v>
      </c>
      <c r="BO101" s="63">
        <f>(BQ65+BQ10)/(BK10+BK65)</f>
        <v>0.80865977927435562</v>
      </c>
    </row>
    <row r="102" spans="17:67" x14ac:dyDescent="0.2">
      <c r="BH102" s="63"/>
      <c r="BI102" s="63"/>
      <c r="BJ102" s="63"/>
      <c r="BK102" s="63"/>
      <c r="BL102" s="63"/>
      <c r="BM102" s="63"/>
      <c r="BN102" s="63"/>
      <c r="BO102" s="63"/>
    </row>
    <row r="103" spans="17:67" ht="34" x14ac:dyDescent="0.2">
      <c r="Q103" s="2" t="s">
        <v>859</v>
      </c>
      <c r="R103" s="3" t="s">
        <v>868</v>
      </c>
      <c r="S103" s="2" t="s">
        <v>861</v>
      </c>
      <c r="T103" s="63">
        <f>(T89+T90+T92+T93+T94)/5</f>
        <v>0.30549396947543928</v>
      </c>
      <c r="U103" s="8" t="s">
        <v>613</v>
      </c>
      <c r="V103" s="63">
        <f>(V89+V90+V92+V93+V94)/5</f>
        <v>0.69745296909067589</v>
      </c>
      <c r="W103" s="63"/>
      <c r="X103" s="63">
        <f t="shared" ref="X103:AA103" si="255">(X89+X90+X92+X93+X94)/5</f>
        <v>0.69745296909067589</v>
      </c>
      <c r="Y103" s="63">
        <f t="shared" si="255"/>
        <v>0.74474982685648328</v>
      </c>
      <c r="Z103" s="63">
        <f t="shared" si="255"/>
        <v>0.79604668462229056</v>
      </c>
      <c r="AA103" s="63">
        <f t="shared" si="255"/>
        <v>0.87269534436321672</v>
      </c>
      <c r="AK103" s="2" t="s">
        <v>859</v>
      </c>
      <c r="AL103" s="3" t="s">
        <v>868</v>
      </c>
      <c r="AM103" s="2" t="s">
        <v>861</v>
      </c>
      <c r="AN103" s="63">
        <f>(AN89+AN90+AN92+AN93+AN94)/5</f>
        <v>0.32587343850198797</v>
      </c>
      <c r="AO103" s="8" t="s">
        <v>613</v>
      </c>
      <c r="AP103" s="63">
        <f>(AP89+AP90+AP92+AP93+AP94)/5</f>
        <v>0.70931845581633968</v>
      </c>
      <c r="AQ103" s="63"/>
      <c r="AR103" s="63">
        <f t="shared" ref="AR103:AU103" si="256">(AR89+AR90+AR92+AR93+AR94)/5</f>
        <v>0.70931845581633968</v>
      </c>
      <c r="AS103" s="63">
        <f t="shared" si="256"/>
        <v>0.75661531358214695</v>
      </c>
      <c r="AT103" s="63">
        <f t="shared" si="256"/>
        <v>0.8149918173656534</v>
      </c>
      <c r="AU103" s="63">
        <f t="shared" si="256"/>
        <v>0.89324047710657939</v>
      </c>
      <c r="BE103" s="2" t="s">
        <v>859</v>
      </c>
      <c r="BF103" s="3" t="s">
        <v>868</v>
      </c>
      <c r="BG103" s="2" t="s">
        <v>861</v>
      </c>
      <c r="BH103" s="63">
        <f>(BH89+BH90+BH92+BH93+BH94)/5</f>
        <v>0.3635017570860587</v>
      </c>
      <c r="BI103" s="8" t="s">
        <v>613</v>
      </c>
      <c r="BJ103" s="63">
        <f>(BJ89+BJ90+BJ92+BJ93+BJ94)/5</f>
        <v>0.74276567910734892</v>
      </c>
      <c r="BK103" s="63"/>
      <c r="BL103" s="63">
        <f t="shared" ref="BL103:BO103" si="257">(BL89+BL90+BL92+BL93+BL94)/5</f>
        <v>0.74276567910734892</v>
      </c>
      <c r="BM103" s="63">
        <f t="shared" si="257"/>
        <v>0.78404483775811207</v>
      </c>
      <c r="BN103" s="63">
        <f t="shared" si="257"/>
        <v>0.84242134154161863</v>
      </c>
      <c r="BO103" s="63">
        <f t="shared" si="257"/>
        <v>0.93022752340643833</v>
      </c>
    </row>
    <row r="104" spans="17:67" x14ac:dyDescent="0.2">
      <c r="R104" s="3"/>
      <c r="T104" s="63"/>
      <c r="U104" s="63"/>
      <c r="V104" s="63"/>
      <c r="W104" s="63"/>
      <c r="X104" s="63"/>
      <c r="Y104" s="63"/>
      <c r="Z104" s="63"/>
      <c r="AA104" s="63"/>
      <c r="AL104" s="3"/>
      <c r="AN104" s="63"/>
      <c r="AO104" s="63"/>
      <c r="AP104" s="63"/>
      <c r="AQ104" s="63"/>
      <c r="AR104" s="63"/>
      <c r="AS104" s="63"/>
      <c r="AT104" s="63"/>
      <c r="AU104" s="63"/>
      <c r="BF104" s="3"/>
      <c r="BH104" s="63"/>
      <c r="BI104" s="63"/>
      <c r="BJ104" s="63"/>
      <c r="BK104" s="63"/>
      <c r="BL104" s="63"/>
      <c r="BM104" s="63"/>
      <c r="BN104" s="63"/>
      <c r="BO104" s="63"/>
    </row>
    <row r="105" spans="17:67" ht="34" x14ac:dyDescent="0.2">
      <c r="Q105" s="2" t="s">
        <v>65</v>
      </c>
      <c r="R105" s="3" t="s">
        <v>869</v>
      </c>
      <c r="S105" s="2" t="s">
        <v>862</v>
      </c>
      <c r="T105" s="63">
        <f>(T98+T97+T96)/3</f>
        <v>0.30328681481560804</v>
      </c>
      <c r="U105" s="8" t="s">
        <v>613</v>
      </c>
      <c r="V105" s="63">
        <f>(V98+V97+V96)/3</f>
        <v>0.56699764150312015</v>
      </c>
      <c r="W105" s="63"/>
      <c r="X105" s="63">
        <f t="shared" ref="X105:AA105" si="258">(X98+X97+X96)/3</f>
        <v>0.56699764150312015</v>
      </c>
      <c r="Y105" s="63">
        <f t="shared" si="258"/>
        <v>0.63798842733262606</v>
      </c>
      <c r="Z105" s="63">
        <f t="shared" si="258"/>
        <v>0.71874872653364019</v>
      </c>
      <c r="AA105" s="63">
        <f t="shared" si="258"/>
        <v>0.82953085573667407</v>
      </c>
      <c r="AK105" s="2" t="s">
        <v>65</v>
      </c>
      <c r="AL105" s="3" t="s">
        <v>869</v>
      </c>
      <c r="AM105" s="2" t="s">
        <v>862</v>
      </c>
      <c r="AN105" s="63">
        <f>(AN98+AN97+AN96)/3</f>
        <v>0.34379144807663081</v>
      </c>
      <c r="AO105" s="8" t="s">
        <v>613</v>
      </c>
      <c r="AP105" s="63">
        <f>(AP98+AP97+AP96)/3</f>
        <v>0.63716745982241518</v>
      </c>
      <c r="AQ105" s="63"/>
      <c r="AR105" s="63">
        <f t="shared" ref="AR105:AU105" si="259">(AR98+AR97+AR96)/3</f>
        <v>0.63716745982241518</v>
      </c>
      <c r="AS105" s="63">
        <f t="shared" si="259"/>
        <v>0.69803208733666544</v>
      </c>
      <c r="AT105" s="63">
        <f t="shared" si="259"/>
        <v>0.75687148318786435</v>
      </c>
      <c r="AU105" s="63">
        <f t="shared" si="259"/>
        <v>0.85550222241259144</v>
      </c>
      <c r="BE105" s="2" t="s">
        <v>65</v>
      </c>
      <c r="BF105" s="3" t="s">
        <v>869</v>
      </c>
      <c r="BG105" s="2" t="s">
        <v>862</v>
      </c>
      <c r="BH105" s="63">
        <f>(BH98+BH97+BH96)/3</f>
        <v>0.34379144807663081</v>
      </c>
      <c r="BI105" s="8" t="s">
        <v>613</v>
      </c>
      <c r="BJ105" s="63">
        <f>(BJ98+BJ97+BJ96)/3</f>
        <v>0.63716745982241518</v>
      </c>
      <c r="BK105" s="63"/>
      <c r="BL105" s="63">
        <f t="shared" ref="BL105:BO105" si="260">(BL98+BL97+BL96)/3</f>
        <v>0.63716745982241518</v>
      </c>
      <c r="BM105" s="63">
        <f t="shared" si="260"/>
        <v>0.69803208733666544</v>
      </c>
      <c r="BN105" s="63">
        <f t="shared" si="260"/>
        <v>0.75687148318786435</v>
      </c>
      <c r="BO105" s="63">
        <f t="shared" si="260"/>
        <v>0.85550222241259144</v>
      </c>
    </row>
    <row r="106" spans="17:67" x14ac:dyDescent="0.2">
      <c r="T106" s="63"/>
      <c r="U106" s="63"/>
      <c r="V106" s="63"/>
      <c r="W106" s="63"/>
      <c r="X106" s="63"/>
      <c r="Y106" s="63"/>
      <c r="Z106" s="63"/>
      <c r="AA106" s="63"/>
      <c r="AN106" s="63"/>
      <c r="AO106" s="63"/>
      <c r="AP106" s="63"/>
      <c r="AQ106" s="63"/>
      <c r="AR106" s="63"/>
      <c r="AS106" s="63"/>
      <c r="AT106" s="63"/>
      <c r="AU106" s="63"/>
      <c r="BH106" s="63"/>
      <c r="BI106" s="63"/>
      <c r="BJ106" s="63"/>
      <c r="BK106" s="63"/>
      <c r="BL106" s="63"/>
      <c r="BM106" s="63"/>
      <c r="BN106" s="63"/>
      <c r="BO106" s="63"/>
    </row>
    <row r="107" spans="17:67" ht="34" x14ac:dyDescent="0.2">
      <c r="Q107" s="2" t="s">
        <v>860</v>
      </c>
      <c r="R107" s="3" t="s">
        <v>864</v>
      </c>
      <c r="S107" s="2" t="s">
        <v>863</v>
      </c>
      <c r="T107" s="63">
        <f>(T98+T97+T96+T94+T93+T92+T90+T89)/8</f>
        <v>0.30466628647800253</v>
      </c>
      <c r="U107" s="8" t="s">
        <v>613</v>
      </c>
      <c r="V107" s="63">
        <f>(V98+V97+V96+V94+V93+V92+V90+V89)/8</f>
        <v>0.64853222124534249</v>
      </c>
      <c r="W107" s="63"/>
      <c r="X107" s="63">
        <f>(X98+X97+X96+X94+X93+X92+X90+X89)/8</f>
        <v>0.64853222124534249</v>
      </c>
      <c r="Y107" s="63">
        <f t="shared" ref="Y107:AA107" si="261">(Y98+Y97+Y96+Y94+Y93+Y92+Y90+Y89)/8</f>
        <v>0.70471430203503682</v>
      </c>
      <c r="Z107" s="63">
        <f t="shared" si="261"/>
        <v>0.76705995033904673</v>
      </c>
      <c r="AA107" s="63">
        <f t="shared" si="261"/>
        <v>0.8565086611282634</v>
      </c>
      <c r="AK107" s="2" t="s">
        <v>860</v>
      </c>
      <c r="AL107" s="3" t="s">
        <v>864</v>
      </c>
      <c r="AM107" s="2" t="s">
        <v>863</v>
      </c>
      <c r="AN107" s="63">
        <f>(AN98+AN97+AN96+AN94+AN93+AN92+AN90+AN89)/8</f>
        <v>0.33259269209247899</v>
      </c>
      <c r="AO107" s="8" t="s">
        <v>613</v>
      </c>
      <c r="AP107" s="63">
        <f>(AP98+AP97+AP96+AP94+AP93+AP92+AP90+AP89)/8</f>
        <v>0.68226183231861803</v>
      </c>
      <c r="AQ107" s="63"/>
      <c r="AR107" s="63">
        <f>(AR98+AR97+AR96+AR94+AR93+AR92+AR90+AR89)/8</f>
        <v>0.68226183231861803</v>
      </c>
      <c r="AS107" s="63">
        <f t="shared" ref="AS107:AU107" si="262">(AS98+AS97+AS96+AS94+AS93+AS92+AS90+AS89)/8</f>
        <v>0.7346466037400915</v>
      </c>
      <c r="AT107" s="63">
        <f t="shared" si="262"/>
        <v>0.79319669204898269</v>
      </c>
      <c r="AU107" s="63">
        <f t="shared" si="262"/>
        <v>0.87908863159633399</v>
      </c>
      <c r="BE107" s="2" t="s">
        <v>860</v>
      </c>
      <c r="BF107" s="3" t="s">
        <v>864</v>
      </c>
      <c r="BG107" s="2" t="s">
        <v>863</v>
      </c>
      <c r="BH107" s="63">
        <f>(BH98+BH97+BH96+BH94+BH93+BH92+BH90+BH89)/8</f>
        <v>0.35611039120752319</v>
      </c>
      <c r="BI107" s="8" t="s">
        <v>613</v>
      </c>
      <c r="BJ107" s="63">
        <f>(BJ98+BJ97+BJ96+BJ94+BJ93+BJ92+BJ90+BJ89)/8</f>
        <v>0.70316634687549873</v>
      </c>
      <c r="BK107" s="63"/>
      <c r="BL107" s="63">
        <f>(BL98+BL97+BL96+BL94+BL93+BL92+BL90+BL89)/8</f>
        <v>0.70316634687549873</v>
      </c>
      <c r="BM107" s="63">
        <f t="shared" ref="BM107:BO107" si="263">(BM98+BM97+BM96+BM94+BM93+BM92+BM90+BM89)/8</f>
        <v>0.75179005635006968</v>
      </c>
      <c r="BN107" s="63">
        <f t="shared" si="263"/>
        <v>0.81034014465896076</v>
      </c>
      <c r="BO107" s="63">
        <f t="shared" si="263"/>
        <v>0.90220553553374583</v>
      </c>
    </row>
    <row r="109" spans="17:67" ht="51" x14ac:dyDescent="0.2">
      <c r="Q109" s="55" t="s">
        <v>1077</v>
      </c>
      <c r="R109" s="3" t="s">
        <v>1078</v>
      </c>
      <c r="S109" s="2" t="s">
        <v>763</v>
      </c>
      <c r="T109" s="84">
        <f>(T29/W29)*100</f>
        <v>31.764705882352938</v>
      </c>
      <c r="U109" s="84"/>
      <c r="V109" s="84">
        <f>(V29/W29)*100</f>
        <v>51.764705882352949</v>
      </c>
      <c r="W109" s="84"/>
      <c r="X109" s="84">
        <f>V109</f>
        <v>51.764705882352949</v>
      </c>
      <c r="Y109" s="84">
        <f>(AA29/$W29)*100</f>
        <v>55.294117647058826</v>
      </c>
      <c r="Z109" s="84">
        <f t="shared" ref="Z109:AA110" si="264">(AB29/$W29)*100</f>
        <v>60</v>
      </c>
      <c r="AA109" s="84">
        <f t="shared" si="264"/>
        <v>64.705882352941174</v>
      </c>
      <c r="AK109" s="55" t="s">
        <v>1077</v>
      </c>
      <c r="AL109" s="3" t="s">
        <v>1078</v>
      </c>
      <c r="AM109" s="2" t="s">
        <v>763</v>
      </c>
      <c r="AN109" s="84">
        <f>(AN29/AQ29)*100</f>
        <v>34.117647058823529</v>
      </c>
      <c r="AO109" s="84"/>
      <c r="AP109" s="84">
        <f>(AP29/AQ29)*100</f>
        <v>55.294117647058826</v>
      </c>
      <c r="AQ109" s="84"/>
      <c r="AR109" s="84">
        <f>AP109</f>
        <v>55.294117647058826</v>
      </c>
      <c r="AS109" s="84">
        <f>(AU29/$AQ29)*100</f>
        <v>58.82352941176471</v>
      </c>
      <c r="AT109" s="84">
        <f t="shared" ref="AT109:AU110" si="265">(AV29/$AQ29)*100</f>
        <v>63.529411764705877</v>
      </c>
      <c r="AU109" s="84">
        <f t="shared" si="265"/>
        <v>70.588235294117652</v>
      </c>
      <c r="BE109" s="55" t="s">
        <v>1077</v>
      </c>
      <c r="BF109" s="3" t="s">
        <v>1078</v>
      </c>
      <c r="BG109" s="2" t="s">
        <v>763</v>
      </c>
      <c r="BH109" s="84">
        <f>(BH29/BK29)*100</f>
        <v>36.470588235294116</v>
      </c>
      <c r="BI109" s="84"/>
      <c r="BJ109" s="84">
        <f>(BJ29/BK29)*100</f>
        <v>57.647058823529406</v>
      </c>
      <c r="BK109" s="84"/>
      <c r="BL109" s="84">
        <f>BJ109</f>
        <v>57.647058823529406</v>
      </c>
      <c r="BM109" s="84">
        <f>(BO29/$BK29)*100</f>
        <v>61.176470588235297</v>
      </c>
      <c r="BN109" s="84">
        <f t="shared" ref="BN109:BO110" si="266">(BP29/$BK29)*100</f>
        <v>65.882352941176464</v>
      </c>
      <c r="BO109" s="84">
        <f t="shared" si="266"/>
        <v>72.941176470588232</v>
      </c>
    </row>
    <row r="110" spans="17:67" ht="68" x14ac:dyDescent="0.2">
      <c r="R110" s="3" t="s">
        <v>1080</v>
      </c>
      <c r="S110" s="2" t="s">
        <v>760</v>
      </c>
      <c r="T110" s="84">
        <f>(T30/W30)*100</f>
        <v>42.650602409638552</v>
      </c>
      <c r="U110" s="8"/>
      <c r="V110" s="84">
        <f>(V30/W30)*100</f>
        <v>56.867469879518076</v>
      </c>
      <c r="W110" s="8"/>
      <c r="X110" s="84">
        <f>V110</f>
        <v>56.867469879518076</v>
      </c>
      <c r="Y110" s="84">
        <f>(AA30/$W30)*100</f>
        <v>59.397590361445786</v>
      </c>
      <c r="Z110" s="84">
        <f t="shared" si="264"/>
        <v>63.373493975903614</v>
      </c>
      <c r="AA110" s="84">
        <f t="shared" si="264"/>
        <v>67.951807228915655</v>
      </c>
      <c r="AL110" s="3" t="s">
        <v>1080</v>
      </c>
      <c r="AM110" s="2" t="s">
        <v>760</v>
      </c>
      <c r="AN110" s="84">
        <f>(AN30/AQ30)*100</f>
        <v>44.638554216867462</v>
      </c>
      <c r="AO110" s="8"/>
      <c r="AP110" s="84">
        <f>(AP30/AQ30)*100</f>
        <v>60.060240963855428</v>
      </c>
      <c r="AQ110" s="8"/>
      <c r="AR110" s="84">
        <f>AP110</f>
        <v>60.060240963855428</v>
      </c>
      <c r="AS110" s="84">
        <f>(AU30/$AQ30)*100</f>
        <v>62.590361445783138</v>
      </c>
      <c r="AT110" s="84">
        <f t="shared" si="265"/>
        <v>66.867469879518069</v>
      </c>
      <c r="AU110" s="84">
        <f t="shared" si="265"/>
        <v>71.44578313253011</v>
      </c>
      <c r="BF110" s="3" t="s">
        <v>1080</v>
      </c>
      <c r="BG110" s="2" t="s">
        <v>760</v>
      </c>
      <c r="BH110" s="84">
        <f>(BH30/BK30)*100</f>
        <v>46.144578313253007</v>
      </c>
      <c r="BI110" s="8"/>
      <c r="BJ110" s="84">
        <f>(BJ30/BK30)*100</f>
        <v>61.867469879518076</v>
      </c>
      <c r="BK110" s="8"/>
      <c r="BL110" s="84">
        <f>BJ110</f>
        <v>61.867469879518076</v>
      </c>
      <c r="BM110" s="84">
        <f>(BO30/$BK30)*100</f>
        <v>64.457831325301214</v>
      </c>
      <c r="BN110" s="84">
        <f t="shared" si="266"/>
        <v>68.433734939759034</v>
      </c>
      <c r="BO110" s="84">
        <f t="shared" si="266"/>
        <v>73.97590361445782</v>
      </c>
    </row>
    <row r="111" spans="17:67" ht="34" x14ac:dyDescent="0.2">
      <c r="R111" s="3" t="s">
        <v>1079</v>
      </c>
      <c r="S111" s="2" t="s">
        <v>759</v>
      </c>
      <c r="T111" s="8">
        <f>(T10/$W10)*100</f>
        <v>57.696577243293248</v>
      </c>
      <c r="U111" s="8"/>
      <c r="V111" s="8">
        <f>(V10/$W10)*100</f>
        <v>65.292142661063849</v>
      </c>
      <c r="W111" s="8"/>
      <c r="X111" s="84">
        <f>V111</f>
        <v>65.292142661063849</v>
      </c>
      <c r="Y111" s="8">
        <f>(AA10/$W10)*100</f>
        <v>68.77470355731225</v>
      </c>
      <c r="Z111" s="8">
        <f t="shared" ref="Z111:AA111" si="267">(AB10/$W10)*100</f>
        <v>73.373991737163095</v>
      </c>
      <c r="AA111" s="8">
        <f t="shared" si="267"/>
        <v>79.292881032011479</v>
      </c>
      <c r="AL111" s="3" t="s">
        <v>1079</v>
      </c>
      <c r="AM111" s="2" t="s">
        <v>759</v>
      </c>
      <c r="AN111" s="8">
        <f>(AN10/$AQ10)*100</f>
        <v>56.231884057971016</v>
      </c>
      <c r="AO111" s="8"/>
      <c r="AP111" s="8">
        <f>(AP10/$AQ10)*100</f>
        <v>64.359255202628702</v>
      </c>
      <c r="AQ111" s="8"/>
      <c r="AR111" s="84">
        <f>AP111</f>
        <v>64.359255202628702</v>
      </c>
      <c r="AS111" s="8">
        <f>(AU10/$AQ10)*100</f>
        <v>68.0101219231654</v>
      </c>
      <c r="AT111" s="8">
        <f t="shared" ref="AT111:AU111" si="268">(AV10/$AQ10)*100</f>
        <v>72.642140468227439</v>
      </c>
      <c r="AU111" s="8">
        <f t="shared" si="268"/>
        <v>77.711670480549202</v>
      </c>
      <c r="BF111" s="3" t="s">
        <v>1079</v>
      </c>
      <c r="BG111" s="2" t="s">
        <v>759</v>
      </c>
      <c r="BH111" s="8">
        <f>(BH10/$BK10)*100</f>
        <v>55.073684210526309</v>
      </c>
      <c r="BI111" s="8"/>
      <c r="BJ111" s="8">
        <f>(BJ10/$BK10)*100</f>
        <v>68.047058823529412</v>
      </c>
      <c r="BK111" s="8"/>
      <c r="BL111" s="84">
        <f>BJ111</f>
        <v>68.047058823529412</v>
      </c>
      <c r="BM111" s="8">
        <f>(BO10/$BK10)*100</f>
        <v>71.617423540315102</v>
      </c>
      <c r="BN111" s="8">
        <f t="shared" ref="BN111:BO111" si="269">(BP10/$BK10)*100</f>
        <v>74.590476190476195</v>
      </c>
      <c r="BO111" s="8">
        <f t="shared" si="269"/>
        <v>78.683544303797476</v>
      </c>
    </row>
    <row r="112" spans="17:67" ht="68" x14ac:dyDescent="0.2">
      <c r="R112" s="3" t="s">
        <v>1081</v>
      </c>
      <c r="S112" s="2" t="s">
        <v>1072</v>
      </c>
      <c r="T112" s="85">
        <f>((1-(T109/90)))</f>
        <v>0.6470588235294118</v>
      </c>
      <c r="U112" s="85"/>
      <c r="V112" s="85">
        <f>((1-(V109/90)))</f>
        <v>0.42483660130718948</v>
      </c>
      <c r="W112" s="85"/>
      <c r="X112" s="85">
        <f t="shared" ref="X112:AA112" si="270">((1-(X109/90)))</f>
        <v>0.42483660130718948</v>
      </c>
      <c r="Y112" s="85">
        <f t="shared" si="270"/>
        <v>0.3856209150326797</v>
      </c>
      <c r="Z112" s="85">
        <f t="shared" si="270"/>
        <v>0.33333333333333337</v>
      </c>
      <c r="AA112" s="85">
        <f t="shared" si="270"/>
        <v>0.28104575163398693</v>
      </c>
      <c r="AL112" s="3" t="s">
        <v>1081</v>
      </c>
      <c r="AM112" s="2" t="s">
        <v>1072</v>
      </c>
      <c r="AN112" s="85">
        <f>((1-(AN109/90)))</f>
        <v>0.62091503267973858</v>
      </c>
      <c r="AO112" s="85"/>
      <c r="AP112" s="85">
        <f>((1-(AP109/90)))</f>
        <v>0.3856209150326797</v>
      </c>
      <c r="AQ112" s="85"/>
      <c r="AR112" s="85">
        <f t="shared" ref="AR112:AU112" si="271">((1-(AR109/90)))</f>
        <v>0.3856209150326797</v>
      </c>
      <c r="AS112" s="85">
        <f t="shared" si="271"/>
        <v>0.34640522875816993</v>
      </c>
      <c r="AT112" s="85">
        <f t="shared" si="271"/>
        <v>0.29411764705882359</v>
      </c>
      <c r="AU112" s="85">
        <f t="shared" si="271"/>
        <v>0.21568627450980382</v>
      </c>
      <c r="BF112" s="3" t="s">
        <v>1081</v>
      </c>
      <c r="BG112" s="2" t="s">
        <v>1072</v>
      </c>
      <c r="BH112" s="85">
        <f>((1-(BH109/90)))</f>
        <v>0.59477124183006536</v>
      </c>
      <c r="BI112" s="85"/>
      <c r="BJ112" s="85">
        <f>((1-(BJ109/90)))</f>
        <v>0.35947712418300659</v>
      </c>
      <c r="BK112" s="85"/>
      <c r="BL112" s="85">
        <f t="shared" ref="BL112:BO112" si="272">((1-(BL109/90)))</f>
        <v>0.35947712418300659</v>
      </c>
      <c r="BM112" s="85">
        <f t="shared" si="272"/>
        <v>0.3202614379084967</v>
      </c>
      <c r="BN112" s="85">
        <f t="shared" si="272"/>
        <v>0.26797385620915037</v>
      </c>
      <c r="BO112" s="85">
        <f t="shared" si="272"/>
        <v>0.18954248366013071</v>
      </c>
    </row>
    <row r="114" spans="17:67" x14ac:dyDescent="0.2">
      <c r="R114" s="2" t="s">
        <v>1099</v>
      </c>
      <c r="S114" s="2" t="s">
        <v>1100</v>
      </c>
      <c r="T114" s="63">
        <f>T31/W31</f>
        <v>0.38474576271186439</v>
      </c>
      <c r="U114" s="63"/>
      <c r="V114" s="63">
        <f>V31/W31</f>
        <v>0.56101694915254241</v>
      </c>
      <c r="W114" s="63"/>
      <c r="X114" s="63">
        <f>V114</f>
        <v>0.56101694915254241</v>
      </c>
      <c r="Y114" s="63">
        <f>AA31/$W31</f>
        <v>0.59576271186440677</v>
      </c>
      <c r="Z114" s="63">
        <f t="shared" ref="Z114:AA114" si="273">AB31/$W31</f>
        <v>0.64067796610169492</v>
      </c>
      <c r="AA114" s="63">
        <f t="shared" si="273"/>
        <v>0.68983050847457628</v>
      </c>
      <c r="AL114" s="2" t="s">
        <v>1099</v>
      </c>
      <c r="AM114" s="2" t="s">
        <v>1100</v>
      </c>
      <c r="AN114" s="63">
        <f>AN31/AQ31</f>
        <v>0.40720338983050847</v>
      </c>
      <c r="AO114" s="63"/>
      <c r="AP114" s="63">
        <f>AP31/AQ31</f>
        <v>0.59194915254237279</v>
      </c>
      <c r="AQ114" s="63"/>
      <c r="AR114" s="63">
        <f>AP114</f>
        <v>0.59194915254237279</v>
      </c>
      <c r="AS114" s="63">
        <f>AU31/$AQ31</f>
        <v>0.62669491525423726</v>
      </c>
      <c r="AT114" s="63">
        <f t="shared" ref="AT114:AU114" si="274">AV31/$AQ31</f>
        <v>0.67372881355932202</v>
      </c>
      <c r="AU114" s="63">
        <f t="shared" si="274"/>
        <v>0.73983050847457621</v>
      </c>
      <c r="BF114" s="2" t="s">
        <v>1099</v>
      </c>
      <c r="BG114" s="2" t="s">
        <v>1100</v>
      </c>
      <c r="BH114" s="63">
        <f>BH31/BK31</f>
        <v>0.42627118644067796</v>
      </c>
      <c r="BI114" s="63"/>
      <c r="BJ114" s="63">
        <f>BJ31/BK31</f>
        <v>0.61313559322033895</v>
      </c>
      <c r="BK114" s="63"/>
      <c r="BL114" s="63">
        <f>BJ114</f>
        <v>0.61313559322033895</v>
      </c>
      <c r="BM114" s="63">
        <f>BO31/$BK31</f>
        <v>0.64830508474576276</v>
      </c>
      <c r="BN114" s="63">
        <f t="shared" ref="BN114:BO114" si="275">BP31/$BK31</f>
        <v>0.6932203389830508</v>
      </c>
      <c r="BO114" s="63">
        <f t="shared" si="275"/>
        <v>0.75762711864406784</v>
      </c>
    </row>
    <row r="116" spans="17:67" x14ac:dyDescent="0.2">
      <c r="Q116" s="55" t="s">
        <v>1143</v>
      </c>
      <c r="T116" s="63"/>
      <c r="U116" s="63"/>
      <c r="V116" s="63"/>
      <c r="W116" s="63"/>
      <c r="X116" s="63"/>
      <c r="Y116" s="63"/>
      <c r="Z116" s="63"/>
      <c r="AA116" s="63"/>
      <c r="AK116" s="55" t="s">
        <v>1143</v>
      </c>
      <c r="AN116" s="63"/>
      <c r="AO116" s="63"/>
      <c r="AP116" s="63"/>
      <c r="AQ116" s="63"/>
      <c r="AR116" s="63"/>
      <c r="AS116" s="63"/>
      <c r="AT116" s="63"/>
      <c r="AU116" s="63"/>
      <c r="BE116" s="55" t="s">
        <v>1143</v>
      </c>
      <c r="BH116" s="63"/>
      <c r="BI116" s="63"/>
      <c r="BJ116" s="63"/>
      <c r="BK116" s="63"/>
      <c r="BL116" s="63"/>
      <c r="BM116" s="63"/>
      <c r="BN116" s="63"/>
      <c r="BO116" s="63"/>
    </row>
    <row r="117" spans="17:67" x14ac:dyDescent="0.2">
      <c r="R117" s="2" t="s">
        <v>1144</v>
      </c>
      <c r="S117" s="8"/>
      <c r="T117" s="8">
        <f>T36/$W36*100</f>
        <v>33.684210526315788</v>
      </c>
      <c r="U117" s="8"/>
      <c r="V117" s="8">
        <f>V36/$W36*100</f>
        <v>57.894736842105267</v>
      </c>
      <c r="W117" s="8"/>
      <c r="X117" s="84">
        <f>V117</f>
        <v>57.894736842105267</v>
      </c>
      <c r="Y117" s="8">
        <f>AA36/$W36*100</f>
        <v>63.157894736842103</v>
      </c>
      <c r="Z117" s="8">
        <f t="shared" ref="Z117:AA117" si="276">AB36/$W36*100</f>
        <v>69.473684210526315</v>
      </c>
      <c r="AA117" s="8">
        <f t="shared" si="276"/>
        <v>75.789473684210535</v>
      </c>
      <c r="AL117" s="2" t="s">
        <v>1144</v>
      </c>
      <c r="AM117" s="8"/>
      <c r="AN117" s="8">
        <f>AN36/$AQ36*100</f>
        <v>38.461538461538467</v>
      </c>
      <c r="AO117" s="8"/>
      <c r="AP117" s="8">
        <f>AP36/$AQ36*100</f>
        <v>62.051282051282051</v>
      </c>
      <c r="AQ117" s="8"/>
      <c r="AR117" s="84">
        <f>AP117</f>
        <v>62.051282051282051</v>
      </c>
      <c r="AS117" s="8">
        <f>AU36/$AQ36*100</f>
        <v>68.717948717948715</v>
      </c>
      <c r="AT117" s="8">
        <f t="shared" ref="AT117:AU117" si="277">AV36/$AQ36*100</f>
        <v>73.846153846153854</v>
      </c>
      <c r="AU117" s="8">
        <f t="shared" si="277"/>
        <v>78.974358974358978</v>
      </c>
      <c r="BF117" s="2" t="s">
        <v>1144</v>
      </c>
      <c r="BG117" s="8"/>
      <c r="BH117" s="8">
        <f>BH36/$BK36*100</f>
        <v>39.5</v>
      </c>
      <c r="BI117" s="8"/>
      <c r="BJ117" s="8">
        <f>BJ36/$BK36*100</f>
        <v>63.5</v>
      </c>
      <c r="BK117" s="8"/>
      <c r="BL117" s="84">
        <f>BJ117</f>
        <v>63.5</v>
      </c>
      <c r="BM117" s="8">
        <f>BO36/$BK36*100</f>
        <v>69</v>
      </c>
      <c r="BN117" s="8">
        <f t="shared" ref="BN117:BO117" si="278">BP36/$BK36*100</f>
        <v>74</v>
      </c>
      <c r="BO117" s="8">
        <f t="shared" si="278"/>
        <v>79</v>
      </c>
    </row>
    <row r="118" spans="17:67" x14ac:dyDescent="0.2">
      <c r="R118" s="2" t="s">
        <v>1134</v>
      </c>
      <c r="S118" s="8"/>
      <c r="T118" s="8">
        <f>T32/$W32*100</f>
        <v>57.142857142857139</v>
      </c>
      <c r="U118" s="8"/>
      <c r="V118" s="8">
        <f>V32/$W32*100</f>
        <v>74.285714285714292</v>
      </c>
      <c r="W118" s="8"/>
      <c r="X118" s="84">
        <f>V118</f>
        <v>74.285714285714292</v>
      </c>
      <c r="Y118" s="8">
        <f>AA32/$W32*100</f>
        <v>80</v>
      </c>
      <c r="Z118" s="8">
        <f t="shared" ref="Z118:AA118" si="279">AB32/$W32*100</f>
        <v>85.714285714285708</v>
      </c>
      <c r="AA118" s="8">
        <f t="shared" si="279"/>
        <v>91.428571428571431</v>
      </c>
      <c r="AL118" s="2" t="s">
        <v>1134</v>
      </c>
      <c r="AM118" s="8"/>
      <c r="AN118" s="8">
        <f>AN32/$AQ32*100</f>
        <v>57.333333333333336</v>
      </c>
      <c r="AO118" s="8"/>
      <c r="AP118" s="8">
        <f>AP32/$AQ32*100</f>
        <v>73.333333333333329</v>
      </c>
      <c r="AQ118" s="8"/>
      <c r="AR118" s="84">
        <f>AP118</f>
        <v>73.333333333333329</v>
      </c>
      <c r="AS118" s="8">
        <f>AU32/$AQ32*100</f>
        <v>80</v>
      </c>
      <c r="AT118" s="8">
        <f t="shared" ref="AT118:AU118" si="280">AV32/$AQ32*100</f>
        <v>85.333333333333343</v>
      </c>
      <c r="AU118" s="8">
        <f t="shared" si="280"/>
        <v>90.666666666666657</v>
      </c>
      <c r="BF118" s="2" t="s">
        <v>1134</v>
      </c>
      <c r="BG118" s="8"/>
      <c r="BH118" s="8">
        <f>BH32/$BK32*100</f>
        <v>56.25</v>
      </c>
      <c r="BI118" s="8"/>
      <c r="BJ118" s="8">
        <f>BJ32/$BK32*100</f>
        <v>71.25</v>
      </c>
      <c r="BK118" s="8"/>
      <c r="BL118" s="84">
        <f>BJ118</f>
        <v>71.25</v>
      </c>
      <c r="BM118" s="8">
        <f>BO32/$BK32*100</f>
        <v>77.5</v>
      </c>
      <c r="BN118" s="8">
        <f t="shared" ref="BN118:BO118" si="281">BP32/$BK32*100</f>
        <v>82.5</v>
      </c>
      <c r="BO118" s="8">
        <f t="shared" si="281"/>
        <v>87.5</v>
      </c>
    </row>
    <row r="119" spans="17:67" x14ac:dyDescent="0.2">
      <c r="R119" s="2" t="s">
        <v>1161</v>
      </c>
      <c r="S119" s="8"/>
      <c r="T119" s="8">
        <f>K32</f>
        <v>40</v>
      </c>
      <c r="U119" s="8"/>
      <c r="V119" s="8">
        <f>M32</f>
        <v>52</v>
      </c>
      <c r="W119" s="8"/>
      <c r="X119" s="84">
        <f>V119</f>
        <v>52</v>
      </c>
      <c r="Y119" s="8">
        <f>O32</f>
        <v>56</v>
      </c>
      <c r="Z119" s="8">
        <f t="shared" ref="Z119" si="282">P32</f>
        <v>60</v>
      </c>
      <c r="AA119" s="8">
        <f t="shared" ref="AA119" si="283">Q32</f>
        <v>64</v>
      </c>
      <c r="AL119" s="2" t="s">
        <v>1161</v>
      </c>
      <c r="AM119" s="8"/>
      <c r="AN119" s="8">
        <f>AE32</f>
        <v>43</v>
      </c>
      <c r="AO119" s="8"/>
      <c r="AP119" s="8">
        <f>AG32</f>
        <v>55</v>
      </c>
      <c r="AQ119" s="8"/>
      <c r="AR119" s="84">
        <f>AP119</f>
        <v>55</v>
      </c>
      <c r="AS119" s="8">
        <f>AI32</f>
        <v>60</v>
      </c>
      <c r="AT119" s="8">
        <f t="shared" ref="AT119" si="284">AJ32</f>
        <v>64</v>
      </c>
      <c r="AU119" s="8">
        <f t="shared" ref="AU119" si="285">AK32</f>
        <v>68</v>
      </c>
      <c r="BF119" s="2" t="s">
        <v>1161</v>
      </c>
      <c r="BG119" s="8"/>
      <c r="BH119" s="8">
        <f>AY32</f>
        <v>45</v>
      </c>
      <c r="BI119" s="8"/>
      <c r="BJ119" s="8">
        <f>BA32</f>
        <v>57</v>
      </c>
      <c r="BK119" s="8"/>
      <c r="BL119" s="84">
        <f>BJ119</f>
        <v>57</v>
      </c>
      <c r="BM119" s="8">
        <f>BC32</f>
        <v>62</v>
      </c>
      <c r="BN119" s="8">
        <f t="shared" ref="BN119:BO119" si="286">BD32</f>
        <v>66</v>
      </c>
      <c r="BO119" s="8">
        <f t="shared" si="286"/>
        <v>70</v>
      </c>
    </row>
    <row r="120" spans="17:67" x14ac:dyDescent="0.2">
      <c r="R120" s="2" t="s">
        <v>1133</v>
      </c>
      <c r="S120" s="8"/>
      <c r="T120" s="8">
        <f>T33/$W33*100</f>
        <v>20</v>
      </c>
      <c r="U120" s="8"/>
      <c r="V120" s="8">
        <f>V33/$W33*100</f>
        <v>48.333333333333336</v>
      </c>
      <c r="W120" s="8"/>
      <c r="X120" s="84">
        <f>V120</f>
        <v>48.333333333333336</v>
      </c>
      <c r="Y120" s="8">
        <f>AA33/$W33*100</f>
        <v>53.333333333333336</v>
      </c>
      <c r="Z120" s="8">
        <f t="shared" ref="Z120:AA120" si="287">AB33/$W33*100</f>
        <v>60</v>
      </c>
      <c r="AA120" s="8">
        <f t="shared" si="287"/>
        <v>66.666666666666657</v>
      </c>
      <c r="AL120" s="2" t="s">
        <v>1133</v>
      </c>
      <c r="AM120" s="8"/>
      <c r="AN120" s="8">
        <f>AN33/$AQ33*100</f>
        <v>26.666666666666668</v>
      </c>
      <c r="AO120" s="8"/>
      <c r="AP120" s="8">
        <f>AP33/$AQ33*100</f>
        <v>55.000000000000007</v>
      </c>
      <c r="AQ120" s="8"/>
      <c r="AR120" s="84">
        <f>AP120</f>
        <v>55.000000000000007</v>
      </c>
      <c r="AS120" s="8">
        <f>AU33/$AQ33*100</f>
        <v>61.666666666666671</v>
      </c>
      <c r="AT120" s="8">
        <f t="shared" ref="AT120:AU120" si="288">AV33/$AQ33*100</f>
        <v>66.666666666666657</v>
      </c>
      <c r="AU120" s="8">
        <f t="shared" si="288"/>
        <v>71.666666666666671</v>
      </c>
      <c r="BF120" s="2" t="s">
        <v>1133</v>
      </c>
      <c r="BG120" s="8"/>
      <c r="BH120" s="8">
        <f>BH33/$BK33*100</f>
        <v>28.333333333333332</v>
      </c>
      <c r="BI120" s="8"/>
      <c r="BJ120" s="8">
        <f>BJ33/$BK33*100</f>
        <v>58.333333333333336</v>
      </c>
      <c r="BK120" s="8"/>
      <c r="BL120" s="84">
        <f>BJ120</f>
        <v>58.333333333333336</v>
      </c>
      <c r="BM120" s="8">
        <f>BO33/$BK33*100</f>
        <v>63.333333333333329</v>
      </c>
      <c r="BN120" s="8">
        <f t="shared" ref="BN120:BO120" si="289">BP33/$BK33*100</f>
        <v>68.333333333333329</v>
      </c>
      <c r="BO120" s="8">
        <f t="shared" si="289"/>
        <v>73.333333333333329</v>
      </c>
    </row>
    <row r="121" spans="17:67" x14ac:dyDescent="0.2">
      <c r="S121" s="8"/>
      <c r="T121" s="8"/>
      <c r="U121" s="8"/>
      <c r="V121" s="8"/>
      <c r="W121" s="8"/>
      <c r="X121" s="84"/>
      <c r="Y121" s="8"/>
      <c r="Z121" s="8"/>
      <c r="AA121" s="8"/>
      <c r="AM121" s="8"/>
      <c r="AN121" s="8"/>
      <c r="AO121" s="8"/>
      <c r="AP121" s="8"/>
      <c r="AQ121" s="8"/>
      <c r="AR121" s="84"/>
      <c r="AS121" s="8"/>
      <c r="AT121" s="8"/>
      <c r="AU121" s="8"/>
      <c r="BG121" s="8"/>
      <c r="BH121" s="8"/>
      <c r="BI121" s="8"/>
      <c r="BJ121" s="8"/>
      <c r="BK121" s="8"/>
      <c r="BL121" s="84"/>
      <c r="BM121" s="8"/>
      <c r="BN121" s="8"/>
      <c r="BO121" s="8"/>
    </row>
    <row r="122" spans="17:67" x14ac:dyDescent="0.2">
      <c r="S122" s="8"/>
      <c r="T122" s="8"/>
      <c r="U122" s="8"/>
      <c r="V122" s="8"/>
      <c r="W122" s="8"/>
      <c r="X122" s="84"/>
      <c r="Y122" s="8"/>
      <c r="Z122" s="8"/>
      <c r="AA122" s="8"/>
      <c r="AM122" s="8"/>
      <c r="AN122" s="8"/>
      <c r="AO122" s="8"/>
      <c r="AP122" s="8"/>
      <c r="AQ122" s="8"/>
      <c r="AR122" s="84"/>
      <c r="AS122" s="8"/>
      <c r="AT122" s="8"/>
      <c r="AU122" s="8"/>
      <c r="BG122" s="8"/>
      <c r="BH122" s="8"/>
      <c r="BI122" s="8"/>
      <c r="BJ122" s="8"/>
      <c r="BK122" s="8"/>
      <c r="BL122" s="84"/>
      <c r="BM122" s="8"/>
      <c r="BN122" s="8"/>
      <c r="BO122" s="8"/>
    </row>
    <row r="123" spans="17:67" x14ac:dyDescent="0.2">
      <c r="S123" s="8"/>
      <c r="T123" s="8"/>
      <c r="U123" s="8"/>
      <c r="V123" s="8"/>
      <c r="W123" s="8"/>
      <c r="X123" s="8"/>
      <c r="Y123" s="8"/>
      <c r="Z123" s="8"/>
      <c r="AA123" s="8"/>
      <c r="AM123" s="8"/>
      <c r="AN123" s="8"/>
      <c r="AO123" s="8"/>
      <c r="AP123" s="8"/>
      <c r="AQ123" s="8"/>
      <c r="AR123" s="8"/>
      <c r="AS123" s="8"/>
      <c r="AT123" s="8"/>
      <c r="AU123" s="8"/>
      <c r="BG123" s="8"/>
      <c r="BH123" s="8"/>
      <c r="BI123" s="8"/>
      <c r="BJ123" s="8"/>
      <c r="BK123" s="8"/>
      <c r="BL123" s="8"/>
      <c r="BM123" s="8"/>
      <c r="BN123" s="8"/>
      <c r="BO123" s="8"/>
    </row>
    <row r="124" spans="17:67" x14ac:dyDescent="0.2">
      <c r="R124" s="2" t="s">
        <v>1141</v>
      </c>
      <c r="S124" s="8"/>
      <c r="T124" s="63">
        <f>T132</f>
        <v>6.6608035575090679E-2</v>
      </c>
      <c r="U124" s="8"/>
      <c r="V124" s="63">
        <f>V132</f>
        <v>9.5375606875517743E-2</v>
      </c>
      <c r="W124" s="8"/>
      <c r="X124" s="63">
        <f>X132</f>
        <v>9.5375606875517743E-2</v>
      </c>
      <c r="Y124" s="63">
        <f>Y132</f>
        <v>0.11262115496115224</v>
      </c>
      <c r="Z124" s="63">
        <f>Z132</f>
        <v>0.13406854612497485</v>
      </c>
      <c r="AA124" s="63">
        <f>AA132</f>
        <v>0.15886910488091516</v>
      </c>
      <c r="AL124" s="2" t="s">
        <v>1141</v>
      </c>
      <c r="AM124" s="8"/>
      <c r="AN124" s="63">
        <f>AN132</f>
        <v>6.5375333425572627E-2</v>
      </c>
      <c r="AO124" s="8"/>
      <c r="AP124" s="63">
        <f>AP132</f>
        <v>0.10729861731827867</v>
      </c>
      <c r="AQ124" s="8"/>
      <c r="AR124" s="63">
        <f>AR132</f>
        <v>0.10178927099529333</v>
      </c>
      <c r="AS124" s="63">
        <f>AS132</f>
        <v>0.13380491510167675</v>
      </c>
      <c r="AT124" s="63">
        <f>AT132</f>
        <v>0.1584241788449558</v>
      </c>
      <c r="AU124" s="63">
        <f>AU132</f>
        <v>0.18659741637482749</v>
      </c>
      <c r="BF124" s="2" t="s">
        <v>1141</v>
      </c>
      <c r="BG124" s="8"/>
      <c r="BH124" s="63">
        <f>BH132</f>
        <v>6.117828239673781E-2</v>
      </c>
      <c r="BI124" s="8"/>
      <c r="BJ124" s="63">
        <f>BJ132</f>
        <v>0.10072755304658303</v>
      </c>
      <c r="BK124" s="8"/>
      <c r="BL124" s="63">
        <f>BL132</f>
        <v>0.10072755304658303</v>
      </c>
      <c r="BM124" s="63">
        <f>BM132</f>
        <v>0.12364753234710935</v>
      </c>
      <c r="BN124" s="63">
        <f>BN132</f>
        <v>0.14626926186283665</v>
      </c>
      <c r="BO124" s="63">
        <f>BO132</f>
        <v>0.17221639173387779</v>
      </c>
    </row>
    <row r="125" spans="17:67" x14ac:dyDescent="0.2">
      <c r="S125" s="8"/>
      <c r="T125" s="8"/>
      <c r="U125" s="8"/>
      <c r="V125" s="8"/>
      <c r="W125" s="8"/>
      <c r="X125" s="8"/>
      <c r="Y125" s="8"/>
      <c r="Z125" s="8"/>
      <c r="AA125" s="8"/>
      <c r="AM125" s="8"/>
      <c r="AN125" s="8"/>
      <c r="AO125" s="8"/>
      <c r="AP125" s="8"/>
      <c r="AQ125" s="8"/>
      <c r="AR125" s="8"/>
      <c r="AS125" s="8"/>
      <c r="AT125" s="8"/>
      <c r="AU125" s="8"/>
      <c r="BG125" s="8"/>
      <c r="BH125" s="8"/>
      <c r="BI125" s="8"/>
      <c r="BJ125" s="8"/>
      <c r="BK125" s="8"/>
      <c r="BL125" s="8"/>
      <c r="BM125" s="8"/>
      <c r="BN125" s="8"/>
      <c r="BO125" s="8"/>
    </row>
    <row r="126" spans="17:67" x14ac:dyDescent="0.2">
      <c r="Q126" s="2" t="s">
        <v>1162</v>
      </c>
      <c r="R126" s="2" t="s">
        <v>1145</v>
      </c>
      <c r="S126" s="8"/>
      <c r="T126" s="8">
        <f>MAX(0, MIN(1, (T119 - $S138) / ($T138 - $S138)))</f>
        <v>0</v>
      </c>
      <c r="U126" s="8"/>
      <c r="V126" s="8">
        <f>MAX(0, MIN(1, (V119 - $AM138) / ($AN138 - $AM138)))</f>
        <v>0.16363636363636364</v>
      </c>
      <c r="W126" s="8"/>
      <c r="X126" s="84">
        <f>V126</f>
        <v>0.16363636363636364</v>
      </c>
      <c r="Y126" s="8">
        <f t="shared" ref="Y126:AA126" si="290">MAX(0, MIN(1, (Y119 - $AM138) / ($AN138 - $AM138)))</f>
        <v>0.30909090909090908</v>
      </c>
      <c r="Z126" s="8">
        <f t="shared" si="290"/>
        <v>0.45454545454545453</v>
      </c>
      <c r="AA126" s="8">
        <f t="shared" si="290"/>
        <v>0.6</v>
      </c>
      <c r="AK126" s="2" t="s">
        <v>1162</v>
      </c>
      <c r="AL126" s="2" t="s">
        <v>1145</v>
      </c>
      <c r="AM126" s="8"/>
      <c r="AN126" s="8">
        <f>MAX(0, MIN(1, (AN119 - $AM138) / ($AN138 - $AM138)))</f>
        <v>0</v>
      </c>
      <c r="AO126" s="8"/>
      <c r="AP126" s="8">
        <f>MAX(0, MIN(1, (AP119 - $AM138) / ($AN138 - $AM138)))</f>
        <v>0.27272727272727271</v>
      </c>
      <c r="AQ126" s="8"/>
      <c r="AR126" s="84">
        <f>AP126</f>
        <v>0.27272727272727271</v>
      </c>
      <c r="AS126" s="8">
        <f t="shared" ref="AS126:AU126" si="291">MAX(0, MIN(1, (AS119 - $AM138) / ($AN138 - $AM138)))</f>
        <v>0.45454545454545453</v>
      </c>
      <c r="AT126" s="8">
        <f t="shared" si="291"/>
        <v>0.6</v>
      </c>
      <c r="AU126" s="8">
        <f t="shared" si="291"/>
        <v>0.74545454545454548</v>
      </c>
      <c r="BE126" s="2" t="s">
        <v>1162</v>
      </c>
      <c r="BF126" s="2" t="s">
        <v>1145</v>
      </c>
      <c r="BG126" s="8"/>
      <c r="BH126" s="8">
        <f>MAX(0, MIN(1, (BH119 - $BG138) / ($BH138 - $BG138)))</f>
        <v>0</v>
      </c>
      <c r="BI126" s="8"/>
      <c r="BJ126" s="8">
        <f>MAX(0, MIN(1, (BJ119 - $BG138) / ($BH138 - $BG138)))</f>
        <v>0.23333333333333334</v>
      </c>
      <c r="BK126" s="8"/>
      <c r="BL126" s="84">
        <f>BJ126</f>
        <v>0.23333333333333334</v>
      </c>
      <c r="BM126" s="8">
        <f t="shared" ref="BM126:BO126" si="292">MAX(0, MIN(1, (BM119 - $BG138) / ($BH138 - $BG138)))</f>
        <v>0.4</v>
      </c>
      <c r="BN126" s="8">
        <f t="shared" si="292"/>
        <v>0.53333333333333333</v>
      </c>
      <c r="BO126" s="8">
        <f t="shared" si="292"/>
        <v>0.66666666666666663</v>
      </c>
    </row>
    <row r="127" spans="17:67" x14ac:dyDescent="0.2">
      <c r="R127" s="2" t="s">
        <v>1129</v>
      </c>
      <c r="S127" s="8"/>
      <c r="T127" s="8">
        <f>T120/100</f>
        <v>0.2</v>
      </c>
      <c r="U127" s="8"/>
      <c r="V127" s="8">
        <f>V120/100</f>
        <v>0.48333333333333334</v>
      </c>
      <c r="W127" s="8"/>
      <c r="X127" s="8">
        <f>X120/100</f>
        <v>0.48333333333333334</v>
      </c>
      <c r="Y127" s="8">
        <f>Y120/100</f>
        <v>0.53333333333333333</v>
      </c>
      <c r="Z127" s="8">
        <f>Z120/100</f>
        <v>0.6</v>
      </c>
      <c r="AA127" s="8">
        <f>AA120/100</f>
        <v>0.66666666666666652</v>
      </c>
      <c r="AL127" s="2" t="s">
        <v>1129</v>
      </c>
      <c r="AM127" s="8"/>
      <c r="AN127" s="8">
        <f>AN120/100</f>
        <v>0.26666666666666666</v>
      </c>
      <c r="AO127" s="8"/>
      <c r="AP127" s="8">
        <f>AP120/100</f>
        <v>0.55000000000000004</v>
      </c>
      <c r="AQ127" s="8"/>
      <c r="AR127" s="8">
        <f>AR120/100</f>
        <v>0.55000000000000004</v>
      </c>
      <c r="AS127" s="8">
        <f>AS120/100</f>
        <v>0.6166666666666667</v>
      </c>
      <c r="AT127" s="8">
        <f>AT120/100</f>
        <v>0.66666666666666652</v>
      </c>
      <c r="AU127" s="8">
        <f>AU120/100</f>
        <v>0.71666666666666667</v>
      </c>
      <c r="BF127" s="2" t="s">
        <v>1129</v>
      </c>
      <c r="BG127" s="8"/>
      <c r="BH127" s="8">
        <f>BH120/100</f>
        <v>0.28333333333333333</v>
      </c>
      <c r="BI127" s="8"/>
      <c r="BJ127" s="8">
        <f>BJ120/100</f>
        <v>0.58333333333333337</v>
      </c>
      <c r="BK127" s="8"/>
      <c r="BL127" s="8">
        <f>BL120/100</f>
        <v>0.58333333333333337</v>
      </c>
      <c r="BM127" s="8">
        <f>BM120/100</f>
        <v>0.6333333333333333</v>
      </c>
      <c r="BN127" s="8">
        <f>BN120/100</f>
        <v>0.68333333333333324</v>
      </c>
      <c r="BO127" s="8">
        <f>BO120/100</f>
        <v>0.73333333333333328</v>
      </c>
    </row>
    <row r="128" spans="17:67" x14ac:dyDescent="0.2">
      <c r="S128" s="8"/>
      <c r="T128" s="91"/>
      <c r="U128" s="8"/>
      <c r="V128" s="91"/>
      <c r="W128" s="8"/>
      <c r="X128" s="91"/>
      <c r="Y128" s="91"/>
      <c r="Z128" s="91"/>
      <c r="AA128" s="91"/>
      <c r="AM128" s="8"/>
      <c r="AN128" s="91"/>
      <c r="AO128" s="8"/>
      <c r="AP128" s="91"/>
      <c r="AQ128" s="8"/>
      <c r="AR128" s="91"/>
      <c r="AS128" s="91"/>
      <c r="AT128" s="91"/>
      <c r="AU128" s="91"/>
      <c r="BG128" s="8"/>
      <c r="BH128" s="91"/>
      <c r="BI128" s="8"/>
      <c r="BJ128" s="91"/>
      <c r="BK128" s="8"/>
      <c r="BL128" s="91"/>
      <c r="BM128" s="91"/>
      <c r="BN128" s="91"/>
      <c r="BO128" s="91"/>
    </row>
    <row r="129" spans="18:67" x14ac:dyDescent="0.2">
      <c r="S129" s="8"/>
      <c r="T129" s="8"/>
      <c r="U129" s="8"/>
      <c r="V129" s="8"/>
      <c r="W129" s="8"/>
      <c r="X129" s="8"/>
      <c r="Y129" s="8"/>
      <c r="Z129" s="8"/>
      <c r="AA129" s="8"/>
      <c r="AM129" s="8"/>
      <c r="AN129" s="8"/>
      <c r="AO129" s="8"/>
      <c r="AP129" s="8"/>
      <c r="AQ129" s="8"/>
      <c r="AR129" s="8"/>
      <c r="AS129" s="8"/>
      <c r="AT129" s="8"/>
      <c r="AU129" s="8"/>
      <c r="BG129" s="8"/>
      <c r="BH129" s="8"/>
      <c r="BI129" s="8"/>
      <c r="BJ129" s="8"/>
      <c r="BK129" s="8"/>
      <c r="BL129" s="8"/>
      <c r="BM129" s="8"/>
      <c r="BN129" s="8"/>
      <c r="BO129" s="8"/>
    </row>
    <row r="130" spans="18:67" x14ac:dyDescent="0.2">
      <c r="R130" s="2" t="s">
        <v>1153</v>
      </c>
      <c r="S130" s="8"/>
      <c r="T130" s="8">
        <f>$S135+$T135*T126+$U135*T127</f>
        <v>-2.6399999999999997</v>
      </c>
      <c r="U130" s="8"/>
      <c r="V130" s="8">
        <f>$S135+$T135*V126+$U135*V127</f>
        <v>-2.2496969696969695</v>
      </c>
      <c r="W130" s="8"/>
      <c r="X130" s="8">
        <f t="shared" ref="X130:AA130" si="293">$S135+$T135*X126+$U135*X127</f>
        <v>-2.2496969696969695</v>
      </c>
      <c r="Y130" s="8">
        <f t="shared" si="293"/>
        <v>-2.064242424242424</v>
      </c>
      <c r="Z130" s="8">
        <f t="shared" si="293"/>
        <v>-1.8654545454545453</v>
      </c>
      <c r="AA130" s="8">
        <f t="shared" si="293"/>
        <v>-1.6666666666666665</v>
      </c>
      <c r="AL130" s="2" t="s">
        <v>1153</v>
      </c>
      <c r="AM130" s="8"/>
      <c r="AN130" s="8">
        <f>$AM135+$AN135*AN126+$AO135*AN127</f>
        <v>-2.66</v>
      </c>
      <c r="AO130" s="8"/>
      <c r="AP130" s="8">
        <f>$AM135+$AN135*AP126+$AO135*AP127</f>
        <v>-2.1186363636363632</v>
      </c>
      <c r="AQ130" s="8"/>
      <c r="AR130" s="8">
        <f>$BG135+$BH135*AR126+$BI135*AR127+$BJ135*AR128+$BK135*AR129</f>
        <v>-2.1775000000000002</v>
      </c>
      <c r="AS130" s="8">
        <f t="shared" ref="AS130:AU130" si="294">$AM135+$AN135*AS126+$AO135*AS127</f>
        <v>-1.8677272727272727</v>
      </c>
      <c r="AT130" s="8">
        <f t="shared" si="294"/>
        <v>-1.6700000000000002</v>
      </c>
      <c r="AU130" s="8">
        <f t="shared" si="294"/>
        <v>-1.4722727272727272</v>
      </c>
      <c r="BF130" s="2" t="s">
        <v>1153</v>
      </c>
      <c r="BG130" s="8"/>
      <c r="BH130" s="8">
        <f>$BG135+$BH135*BH126+$BI135*BH127</f>
        <v>-2.7308333333333334</v>
      </c>
      <c r="BI130" s="8"/>
      <c r="BJ130" s="8">
        <f>$BG135+$BH135*BJ126+$BI135*BJ127+$BJ135*BJ128+$BK135*BJ129</f>
        <v>-2.1891666666666665</v>
      </c>
      <c r="BK130" s="8"/>
      <c r="BL130" s="8">
        <f>$BG135+$BH135*BL126+$BI135*BL127+$BJ135*BL128+$BK135*BL129</f>
        <v>-2.1891666666666665</v>
      </c>
      <c r="BM130" s="8">
        <f>$BG135+$BH135*BM126+$BI135*BM127+$BJ135*BM128+$BK135*BM129</f>
        <v>-1.9583333333333335</v>
      </c>
      <c r="BN130" s="8">
        <f>$BG135+$BH135*BN126+$BI135*BN127+$BJ135*BN128+$BK135*BN129</f>
        <v>-1.7641666666666667</v>
      </c>
      <c r="BO130" s="8">
        <f>$BG135+$BH135*BO126+$BI135*BO127+$BJ135*BO128+$BK135*BO129</f>
        <v>-1.57</v>
      </c>
    </row>
    <row r="131" spans="18:67" x14ac:dyDescent="0.2">
      <c r="R131" s="2" t="s">
        <v>1154</v>
      </c>
      <c r="S131" s="8"/>
      <c r="T131" s="8">
        <f>EXP(-T130)</f>
        <v>14.013203607733608</v>
      </c>
      <c r="U131" s="8"/>
      <c r="V131" s="8">
        <f>EXP(-V130)</f>
        <v>9.4848612004658506</v>
      </c>
      <c r="W131" s="8"/>
      <c r="X131" s="8">
        <f>EXP(-X130)</f>
        <v>9.4848612004658506</v>
      </c>
      <c r="Y131" s="8">
        <f>EXP(-Y130)</f>
        <v>7.8793264493242141</v>
      </c>
      <c r="Z131" s="8">
        <f>EXP(-Z130)</f>
        <v>6.458871069339625</v>
      </c>
      <c r="AA131" s="8">
        <f>EXP(-AA130)</f>
        <v>5.2944900504700287</v>
      </c>
      <c r="AL131" s="2" t="s">
        <v>1154</v>
      </c>
      <c r="AM131" s="8"/>
      <c r="AN131" s="8">
        <f>EXP(-AN130)</f>
        <v>14.296289098677603</v>
      </c>
      <c r="AO131" s="8"/>
      <c r="AP131" s="8">
        <f>EXP(-AP130)</f>
        <v>8.3197845880316557</v>
      </c>
      <c r="AQ131" s="8"/>
      <c r="AR131" s="8">
        <f>EXP(-AR130)</f>
        <v>8.8242181147582759</v>
      </c>
      <c r="AS131" s="8">
        <f>EXP(-AS130)</f>
        <v>6.473567015382895</v>
      </c>
      <c r="AT131" s="8">
        <f>EXP(-AT130)</f>
        <v>5.3121677971811678</v>
      </c>
      <c r="AU131" s="8">
        <f>EXP(-AU130)</f>
        <v>4.3591310074264396</v>
      </c>
      <c r="BF131" s="2" t="s">
        <v>1154</v>
      </c>
      <c r="BG131" s="8"/>
      <c r="BH131" s="8">
        <f>EXP(-BH130)</f>
        <v>15.345669751155398</v>
      </c>
      <c r="BI131" s="8"/>
      <c r="BJ131" s="8">
        <f>EXP(-BJ130)</f>
        <v>8.9277702054127577</v>
      </c>
      <c r="BK131" s="8"/>
      <c r="BL131" s="8">
        <f>EXP(-BL130)</f>
        <v>8.9277702054127577</v>
      </c>
      <c r="BM131" s="8">
        <f>EXP(-BM130)</f>
        <v>7.0875047080822577</v>
      </c>
      <c r="BN131" s="8">
        <f>EXP(-BN130)</f>
        <v>5.8367064088813523</v>
      </c>
      <c r="BO131" s="8">
        <f>EXP(-BO130)</f>
        <v>4.8066481937751782</v>
      </c>
    </row>
    <row r="132" spans="18:67" x14ac:dyDescent="0.2">
      <c r="R132" s="2" t="s">
        <v>1155</v>
      </c>
      <c r="S132" s="8"/>
      <c r="T132" s="8">
        <f>(1/(1+T131))</f>
        <v>6.6608035575090679E-2</v>
      </c>
      <c r="U132" s="8"/>
      <c r="V132" s="8">
        <f>(1/(1+V131))</f>
        <v>9.5375606875517743E-2</v>
      </c>
      <c r="W132" s="8"/>
      <c r="X132" s="8">
        <f>(1/(1+X131))</f>
        <v>9.5375606875517743E-2</v>
      </c>
      <c r="Y132" s="8">
        <f>(1/(1+Y131))</f>
        <v>0.11262115496115224</v>
      </c>
      <c r="Z132" s="8">
        <f>(1/(1+Z131))</f>
        <v>0.13406854612497485</v>
      </c>
      <c r="AA132" s="8">
        <f>(1/(1+AA131))</f>
        <v>0.15886910488091516</v>
      </c>
      <c r="AL132" s="2" t="s">
        <v>1155</v>
      </c>
      <c r="AM132" s="8"/>
      <c r="AN132" s="8">
        <f>(1/(1+AN131))</f>
        <v>6.5375333425572627E-2</v>
      </c>
      <c r="AO132" s="8"/>
      <c r="AP132" s="8">
        <f>(1/(1+AP131))</f>
        <v>0.10729861731827867</v>
      </c>
      <c r="AQ132" s="8"/>
      <c r="AR132" s="8">
        <f>(1/(1+AR131))</f>
        <v>0.10178927099529333</v>
      </c>
      <c r="AS132" s="8">
        <f>(1/(1+AS131))</f>
        <v>0.13380491510167675</v>
      </c>
      <c r="AT132" s="8">
        <f>(1/(1+AT131))</f>
        <v>0.1584241788449558</v>
      </c>
      <c r="AU132" s="8">
        <f>(1/(1+AU131))</f>
        <v>0.18659741637482749</v>
      </c>
      <c r="BF132" s="2" t="s">
        <v>1155</v>
      </c>
      <c r="BG132" s="8"/>
      <c r="BH132" s="8">
        <f>(1/(1+BH131))</f>
        <v>6.117828239673781E-2</v>
      </c>
      <c r="BI132" s="8"/>
      <c r="BJ132" s="8">
        <f>(1/(1+BJ131))</f>
        <v>0.10072755304658303</v>
      </c>
      <c r="BK132" s="8"/>
      <c r="BL132" s="8">
        <f>(1/(1+BL131))</f>
        <v>0.10072755304658303</v>
      </c>
      <c r="BM132" s="8">
        <f>(1/(1+BM131))</f>
        <v>0.12364753234710935</v>
      </c>
      <c r="BN132" s="8">
        <f>(1/(1+BN131))</f>
        <v>0.14626926186283665</v>
      </c>
      <c r="BO132" s="8">
        <f>(1/(1+BO131))</f>
        <v>0.17221639173387779</v>
      </c>
    </row>
    <row r="133" spans="18:67" x14ac:dyDescent="0.2">
      <c r="T133" s="8"/>
      <c r="U133" s="8"/>
      <c r="V133" s="8"/>
      <c r="W133" s="8"/>
      <c r="X133" s="8"/>
      <c r="Y133" s="8"/>
      <c r="Z133" s="8"/>
      <c r="AN133" s="8"/>
      <c r="AO133" s="8"/>
      <c r="AP133" s="8"/>
      <c r="AQ133" s="8"/>
      <c r="AR133" s="8"/>
      <c r="AS133" s="8"/>
      <c r="AT133" s="8"/>
      <c r="BH133" s="8"/>
      <c r="BI133" s="8"/>
      <c r="BJ133" s="8"/>
      <c r="BK133" s="8"/>
      <c r="BL133" s="8"/>
      <c r="BM133" s="8"/>
      <c r="BN133" s="8"/>
    </row>
    <row r="134" spans="18:67" x14ac:dyDescent="0.2">
      <c r="R134" s="76" t="s">
        <v>1148</v>
      </c>
      <c r="S134" s="76" t="s">
        <v>1156</v>
      </c>
      <c r="T134" s="76" t="s">
        <v>1157</v>
      </c>
      <c r="U134" s="92" t="s">
        <v>1158</v>
      </c>
      <c r="V134" s="92"/>
      <c r="W134" s="92"/>
      <c r="AL134" s="76" t="s">
        <v>1148</v>
      </c>
      <c r="AM134" s="76" t="s">
        <v>1156</v>
      </c>
      <c r="AN134" s="76" t="s">
        <v>1157</v>
      </c>
      <c r="AO134" s="92" t="s">
        <v>1158</v>
      </c>
      <c r="AP134" s="92"/>
      <c r="AQ134" s="92"/>
      <c r="BF134" s="76" t="s">
        <v>1148</v>
      </c>
      <c r="BG134" s="76" t="s">
        <v>1156</v>
      </c>
      <c r="BH134" s="76" t="s">
        <v>1157</v>
      </c>
      <c r="BI134" s="92" t="s">
        <v>1158</v>
      </c>
      <c r="BJ134" s="92"/>
      <c r="BK134" s="92"/>
    </row>
    <row r="135" spans="18:67" x14ac:dyDescent="0.2">
      <c r="R135" s="76" t="s">
        <v>228</v>
      </c>
      <c r="S135" s="76">
        <v>-2.8</v>
      </c>
      <c r="T135" s="76">
        <v>1</v>
      </c>
      <c r="U135" s="92">
        <v>0.8</v>
      </c>
      <c r="V135" s="92"/>
      <c r="W135" s="92"/>
      <c r="AL135" s="76" t="s">
        <v>598</v>
      </c>
      <c r="AM135" s="76">
        <v>-2.9</v>
      </c>
      <c r="AN135" s="76">
        <v>1.05</v>
      </c>
      <c r="AO135" s="92">
        <v>0.9</v>
      </c>
      <c r="AP135" s="92"/>
      <c r="AQ135" s="92"/>
      <c r="BF135" s="76" t="s">
        <v>599</v>
      </c>
      <c r="BG135" s="76">
        <v>-3</v>
      </c>
      <c r="BH135" s="76">
        <v>1.1000000000000001</v>
      </c>
      <c r="BI135" s="92">
        <v>0.95</v>
      </c>
      <c r="BJ135" s="92"/>
      <c r="BK135" s="92"/>
    </row>
    <row r="137" spans="18:67" x14ac:dyDescent="0.2">
      <c r="R137" s="76" t="s">
        <v>1148</v>
      </c>
      <c r="S137" s="76" t="s">
        <v>1149</v>
      </c>
      <c r="T137" s="76" t="s">
        <v>1150</v>
      </c>
      <c r="U137" s="92"/>
      <c r="V137" s="92"/>
      <c r="W137" s="92"/>
      <c r="AL137" s="76" t="s">
        <v>1148</v>
      </c>
      <c r="AM137" s="76" t="s">
        <v>1149</v>
      </c>
      <c r="AN137" s="76" t="s">
        <v>1150</v>
      </c>
      <c r="AO137" s="92"/>
      <c r="AP137" s="92"/>
      <c r="AQ137" s="92"/>
      <c r="BF137" s="76" t="s">
        <v>1148</v>
      </c>
      <c r="BG137" s="76" t="s">
        <v>1149</v>
      </c>
      <c r="BH137" s="76" t="s">
        <v>1150</v>
      </c>
      <c r="BI137" s="92"/>
      <c r="BJ137" s="92"/>
      <c r="BK137" s="92"/>
    </row>
    <row r="138" spans="18:67" x14ac:dyDescent="0.2">
      <c r="R138" s="86" t="s">
        <v>228</v>
      </c>
      <c r="S138">
        <v>45</v>
      </c>
      <c r="T138" s="86">
        <v>70</v>
      </c>
      <c r="U138" s="92"/>
      <c r="V138" s="92"/>
      <c r="W138" s="92"/>
      <c r="AL138" s="76" t="s">
        <v>598</v>
      </c>
      <c r="AM138" s="76">
        <v>47.5</v>
      </c>
      <c r="AN138" s="76">
        <v>75</v>
      </c>
      <c r="AO138" s="92"/>
      <c r="AP138" s="92"/>
      <c r="AQ138" s="92"/>
      <c r="BF138" s="76" t="s">
        <v>599</v>
      </c>
      <c r="BG138" s="76">
        <v>50</v>
      </c>
      <c r="BH138" s="76">
        <v>80</v>
      </c>
      <c r="BI138" s="92"/>
      <c r="BJ138" s="92"/>
      <c r="BK138" s="92"/>
    </row>
    <row r="139" spans="18:67" x14ac:dyDescent="0.2">
      <c r="BF139" s="92"/>
      <c r="BG139" s="92"/>
      <c r="BH139" s="92"/>
      <c r="BI139" s="92"/>
      <c r="BJ139" s="92"/>
      <c r="BK139" s="92"/>
    </row>
  </sheetData>
  <mergeCells count="70">
    <mergeCell ref="BB10:BE10"/>
    <mergeCell ref="BB29:BE29"/>
    <mergeCell ref="BB30:BE30"/>
    <mergeCell ref="AH29:AK29"/>
    <mergeCell ref="AH30:AK30"/>
    <mergeCell ref="N29:Q29"/>
    <mergeCell ref="N30:Q30"/>
    <mergeCell ref="BB59:BE59"/>
    <mergeCell ref="BB64:BE64"/>
    <mergeCell ref="BB52:BB54"/>
    <mergeCell ref="BC52:BC54"/>
    <mergeCell ref="BD52:BD54"/>
    <mergeCell ref="BE52:BE54"/>
    <mergeCell ref="BB55:BB57"/>
    <mergeCell ref="BC55:BC57"/>
    <mergeCell ref="BD55:BD57"/>
    <mergeCell ref="BE55:BE57"/>
    <mergeCell ref="BB35:BE35"/>
    <mergeCell ref="BB40:BE40"/>
    <mergeCell ref="BB47:BE47"/>
    <mergeCell ref="BB49:BB51"/>
    <mergeCell ref="BC49:BC51"/>
    <mergeCell ref="BD49:BD51"/>
    <mergeCell ref="BE49:BE51"/>
    <mergeCell ref="BB34:BE34"/>
    <mergeCell ref="BB18:BE18"/>
    <mergeCell ref="BB15:BE15"/>
    <mergeCell ref="BB13:BE13"/>
    <mergeCell ref="AJ55:AJ57"/>
    <mergeCell ref="AK55:AK57"/>
    <mergeCell ref="N59:Q59"/>
    <mergeCell ref="AH59:AK59"/>
    <mergeCell ref="N64:Q64"/>
    <mergeCell ref="AH64:AK64"/>
    <mergeCell ref="N55:N57"/>
    <mergeCell ref="O55:O57"/>
    <mergeCell ref="P55:P57"/>
    <mergeCell ref="Q55:Q57"/>
    <mergeCell ref="AH55:AH57"/>
    <mergeCell ref="AI55:AI57"/>
    <mergeCell ref="AJ49:AJ51"/>
    <mergeCell ref="AK49:AK51"/>
    <mergeCell ref="N52:N54"/>
    <mergeCell ref="O52:O54"/>
    <mergeCell ref="P52:P54"/>
    <mergeCell ref="Q52:Q54"/>
    <mergeCell ref="AH52:AH54"/>
    <mergeCell ref="AI52:AI54"/>
    <mergeCell ref="AJ52:AJ54"/>
    <mergeCell ref="AK52:AK54"/>
    <mergeCell ref="N49:N51"/>
    <mergeCell ref="O49:O51"/>
    <mergeCell ref="P49:P51"/>
    <mergeCell ref="Q49:Q51"/>
    <mergeCell ref="AH49:AH51"/>
    <mergeCell ref="AI49:AI51"/>
    <mergeCell ref="N35:Q35"/>
    <mergeCell ref="AH35:AK35"/>
    <mergeCell ref="N40:Q40"/>
    <mergeCell ref="AH40:AK40"/>
    <mergeCell ref="N47:Q47"/>
    <mergeCell ref="AH47:AK47"/>
    <mergeCell ref="N34:Q34"/>
    <mergeCell ref="AH34:AK34"/>
    <mergeCell ref="O13:R13"/>
    <mergeCell ref="AI13:AL13"/>
    <mergeCell ref="O15:R15"/>
    <mergeCell ref="AI15:AL15"/>
    <mergeCell ref="O18:R18"/>
    <mergeCell ref="AI18:AL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8FAA-418F-C04B-9C12-307765B395B4}">
  <dimension ref="A1:AW133"/>
  <sheetViews>
    <sheetView topLeftCell="AI17" zoomScale="125" zoomScaleNormal="125" workbookViewId="0">
      <selection activeCell="T23" sqref="T23"/>
    </sheetView>
  </sheetViews>
  <sheetFormatPr baseColWidth="10" defaultRowHeight="16" x14ac:dyDescent="0.2"/>
  <cols>
    <col min="1" max="1" width="17.83203125" style="2" customWidth="1"/>
    <col min="2" max="2" width="22.1640625" style="2" customWidth="1"/>
    <col min="3" max="4" width="32.33203125" style="2" customWidth="1"/>
    <col min="5" max="5" width="45.83203125" style="3" customWidth="1"/>
    <col min="6" max="6" width="33" style="2" customWidth="1"/>
    <col min="7" max="7" width="18.6640625" style="2" customWidth="1"/>
    <col min="8" max="8" width="26" style="3" customWidth="1"/>
    <col min="9" max="9" width="29.1640625" style="2" customWidth="1"/>
    <col min="10" max="10" width="26.83203125" style="2" customWidth="1"/>
    <col min="11" max="11" width="18.6640625" style="2" customWidth="1"/>
    <col min="12" max="12" width="18.83203125" style="2" customWidth="1"/>
    <col min="13" max="13" width="18.33203125" style="2" customWidth="1"/>
    <col min="14" max="14" width="18" style="2" customWidth="1"/>
    <col min="15" max="15" width="17.5" style="2" customWidth="1"/>
    <col min="16" max="16" width="16.6640625" style="2" customWidth="1"/>
    <col min="17" max="17" width="18.6640625" style="2" customWidth="1"/>
    <col min="18" max="18" width="21.5" style="2" customWidth="1"/>
    <col min="19" max="19" width="23.5" style="2" customWidth="1"/>
    <col min="20" max="22" width="18.83203125" style="2" customWidth="1"/>
    <col min="23" max="23" width="18.33203125" style="2" customWidth="1"/>
    <col min="24" max="24" width="18" style="2" customWidth="1"/>
    <col min="25" max="26" width="17.5" style="2" customWidth="1"/>
    <col min="27" max="29" width="13.83203125" style="2" customWidth="1"/>
    <col min="30" max="30" width="20.33203125" style="2" customWidth="1"/>
    <col min="31" max="31" width="18.6640625" style="2" customWidth="1"/>
    <col min="32" max="32" width="18.83203125" style="2" customWidth="1"/>
    <col min="33" max="33" width="18.33203125" style="2" customWidth="1"/>
    <col min="34" max="34" width="18" style="2" customWidth="1"/>
    <col min="35" max="35" width="17.5" style="2" customWidth="1"/>
    <col min="36" max="36" width="16.6640625" style="2" customWidth="1"/>
    <col min="37" max="37" width="18.6640625" style="2" customWidth="1"/>
    <col min="38" max="38" width="22.33203125" style="2" customWidth="1"/>
    <col min="39" max="39" width="25.5" style="2" customWidth="1"/>
    <col min="40" max="42" width="15.33203125" style="2" customWidth="1"/>
    <col min="43" max="43" width="10.83203125" style="2"/>
    <col min="44" max="44" width="14.1640625" style="2" customWidth="1"/>
    <col min="45" max="45" width="22.1640625" style="2" customWidth="1"/>
    <col min="46" max="48" width="16.5" style="2" customWidth="1"/>
    <col min="49" max="16384" width="10.83203125" style="2"/>
  </cols>
  <sheetData>
    <row r="1" spans="1:49" ht="123" customHeight="1" x14ac:dyDescent="0.2">
      <c r="A1" s="2" t="e" vm="1">
        <v>#VALUE!</v>
      </c>
      <c r="C1" s="56" t="s">
        <v>634</v>
      </c>
    </row>
    <row r="2" spans="1:49" x14ac:dyDescent="0.2">
      <c r="K2" s="2" t="s">
        <v>325</v>
      </c>
      <c r="AE2" s="2" t="s">
        <v>326</v>
      </c>
    </row>
    <row r="3" spans="1:49" ht="51" x14ac:dyDescent="0.2">
      <c r="A3" s="2" t="s">
        <v>18</v>
      </c>
      <c r="B3" s="2" t="s">
        <v>19</v>
      </c>
      <c r="C3" s="2" t="s">
        <v>20</v>
      </c>
      <c r="D3" s="2" t="s">
        <v>349</v>
      </c>
      <c r="E3" s="3" t="s">
        <v>21</v>
      </c>
      <c r="F3" s="2" t="s">
        <v>22</v>
      </c>
      <c r="G3" s="2" t="s">
        <v>143</v>
      </c>
      <c r="H3" s="3" t="s">
        <v>24</v>
      </c>
      <c r="I3" s="2" t="s">
        <v>93</v>
      </c>
      <c r="K3" s="2" t="s">
        <v>94</v>
      </c>
      <c r="L3" s="2" t="s">
        <v>95</v>
      </c>
      <c r="M3" s="2" t="s">
        <v>96</v>
      </c>
      <c r="N3" s="2" t="s">
        <v>25</v>
      </c>
      <c r="O3" s="2" t="s">
        <v>26</v>
      </c>
      <c r="P3" s="2" t="s">
        <v>27</v>
      </c>
      <c r="Q3" s="2" t="s">
        <v>28</v>
      </c>
      <c r="R3" s="2" t="s">
        <v>348</v>
      </c>
      <c r="S3" s="3" t="s">
        <v>609</v>
      </c>
      <c r="T3" s="3" t="s">
        <v>610</v>
      </c>
      <c r="U3" s="3" t="s">
        <v>611</v>
      </c>
      <c r="V3" s="3" t="s">
        <v>612</v>
      </c>
      <c r="W3" s="3" t="s">
        <v>373</v>
      </c>
      <c r="X3" s="3" t="s">
        <v>378</v>
      </c>
      <c r="Y3" s="3" t="s">
        <v>820</v>
      </c>
      <c r="Z3" s="3" t="s">
        <v>668</v>
      </c>
      <c r="AA3" s="3" t="s">
        <v>664</v>
      </c>
      <c r="AB3" s="3" t="s">
        <v>665</v>
      </c>
      <c r="AC3" s="3" t="s">
        <v>666</v>
      </c>
      <c r="AE3" s="2" t="s">
        <v>94</v>
      </c>
      <c r="AF3" s="2" t="s">
        <v>95</v>
      </c>
      <c r="AG3" s="2" t="s">
        <v>96</v>
      </c>
      <c r="AH3" s="2" t="s">
        <v>25</v>
      </c>
      <c r="AI3" s="2" t="s">
        <v>26</v>
      </c>
      <c r="AJ3" s="2" t="s">
        <v>27</v>
      </c>
      <c r="AK3" s="2" t="s">
        <v>28</v>
      </c>
      <c r="AL3" s="3" t="s">
        <v>348</v>
      </c>
      <c r="AM3" s="3" t="s">
        <v>609</v>
      </c>
      <c r="AN3" s="3" t="s">
        <v>610</v>
      </c>
      <c r="AO3" s="3" t="s">
        <v>611</v>
      </c>
      <c r="AP3" s="3" t="s">
        <v>612</v>
      </c>
      <c r="AQ3" s="3" t="s">
        <v>373</v>
      </c>
      <c r="AR3" s="3" t="s">
        <v>378</v>
      </c>
      <c r="AS3" s="3" t="s">
        <v>820</v>
      </c>
      <c r="AT3" s="3" t="s">
        <v>668</v>
      </c>
      <c r="AU3" s="3" t="s">
        <v>664</v>
      </c>
      <c r="AV3" s="3" t="s">
        <v>665</v>
      </c>
      <c r="AW3" s="3" t="s">
        <v>666</v>
      </c>
    </row>
    <row r="5" spans="1:49" ht="68" x14ac:dyDescent="0.2">
      <c r="A5" s="2" t="s">
        <v>29</v>
      </c>
      <c r="B5" s="2" t="s">
        <v>30</v>
      </c>
      <c r="C5" s="2" t="s">
        <v>617</v>
      </c>
      <c r="D5" s="2" t="s">
        <v>350</v>
      </c>
      <c r="E5" s="3" t="s">
        <v>68</v>
      </c>
      <c r="F5" s="3" t="s">
        <v>603</v>
      </c>
      <c r="G5" s="52" t="s">
        <v>619</v>
      </c>
      <c r="H5" s="3" t="s">
        <v>604</v>
      </c>
      <c r="I5" s="2" t="s">
        <v>605</v>
      </c>
      <c r="K5" s="2">
        <v>3.76</v>
      </c>
      <c r="L5" s="2" t="s">
        <v>613</v>
      </c>
      <c r="M5" s="2">
        <v>3.55</v>
      </c>
      <c r="N5" s="2">
        <v>3.55</v>
      </c>
      <c r="O5" s="2">
        <v>3.5</v>
      </c>
      <c r="P5" s="2">
        <v>3.4</v>
      </c>
      <c r="Q5" s="2">
        <v>3.15</v>
      </c>
      <c r="R5" s="2" t="s">
        <v>614</v>
      </c>
      <c r="S5" s="8">
        <f>K6</f>
        <v>15.957446808510639</v>
      </c>
      <c r="T5" s="8">
        <f>(S5-7)*3</f>
        <v>26.872340425531917</v>
      </c>
      <c r="U5" s="8">
        <f>M6</f>
        <v>16.901408450704228</v>
      </c>
      <c r="V5" s="8">
        <f>(U5-7)*3</f>
        <v>29.704225352112683</v>
      </c>
      <c r="W5" s="8">
        <v>45</v>
      </c>
      <c r="AA5" s="8">
        <f>(O6-7)*3</f>
        <v>30.428571428571427</v>
      </c>
      <c r="AB5" s="8">
        <f>(P6-7)*3</f>
        <v>31.941176470588239</v>
      </c>
      <c r="AC5" s="8">
        <f>(Q6-7)*3</f>
        <v>36.142857142857139</v>
      </c>
      <c r="AE5" s="2">
        <v>4.26</v>
      </c>
      <c r="AF5" s="2" t="s">
        <v>613</v>
      </c>
      <c r="AG5" s="2">
        <v>3.95</v>
      </c>
      <c r="AH5" s="2">
        <v>3.95</v>
      </c>
      <c r="AI5" s="2">
        <v>3.85</v>
      </c>
      <c r="AJ5" s="2">
        <v>3.75</v>
      </c>
      <c r="AK5" s="2">
        <v>3.55</v>
      </c>
      <c r="AL5" s="2" t="s">
        <v>614</v>
      </c>
      <c r="AM5" s="8">
        <f>AE6</f>
        <v>16.431924882629108</v>
      </c>
      <c r="AN5" s="8">
        <f>(AM5-7)*3</f>
        <v>28.295774647887324</v>
      </c>
      <c r="AO5" s="8">
        <f>AG6</f>
        <v>17.721518987341771</v>
      </c>
      <c r="AP5" s="8">
        <f>(AO5-7)*3</f>
        <v>32.164556962025316</v>
      </c>
      <c r="AQ5" s="8">
        <v>45</v>
      </c>
      <c r="AU5" s="8">
        <f>(AI6-7)*3</f>
        <v>33.54545454545454</v>
      </c>
      <c r="AV5" s="8">
        <f>(AJ6-7)*3</f>
        <v>35</v>
      </c>
      <c r="AW5" s="8">
        <f>(AK6-7)*3</f>
        <v>38.154929577464799</v>
      </c>
    </row>
    <row r="6" spans="1:49" x14ac:dyDescent="0.2">
      <c r="F6" s="3"/>
      <c r="G6" s="4"/>
      <c r="J6" s="2" t="s">
        <v>607</v>
      </c>
      <c r="K6" s="8">
        <f>$K$9/K5</f>
        <v>15.957446808510639</v>
      </c>
      <c r="L6" s="2" t="s">
        <v>613</v>
      </c>
      <c r="M6" s="8">
        <f t="shared" ref="M6:Q6" si="0">$K$9/M5</f>
        <v>16.901408450704228</v>
      </c>
      <c r="N6" s="8">
        <f t="shared" si="0"/>
        <v>16.901408450704228</v>
      </c>
      <c r="O6" s="8">
        <f t="shared" si="0"/>
        <v>17.142857142857142</v>
      </c>
      <c r="P6" s="8">
        <f t="shared" si="0"/>
        <v>17.647058823529413</v>
      </c>
      <c r="Q6" s="8">
        <f t="shared" si="0"/>
        <v>19.047619047619047</v>
      </c>
      <c r="T6" s="8"/>
      <c r="U6" s="8"/>
      <c r="V6" s="8"/>
      <c r="W6" s="8"/>
      <c r="X6" s="8"/>
      <c r="Y6" s="8"/>
      <c r="Z6" s="8"/>
      <c r="AD6" s="2" t="s">
        <v>607</v>
      </c>
      <c r="AE6" s="8">
        <f>$AE$9/AE5</f>
        <v>16.431924882629108</v>
      </c>
      <c r="AF6" s="2" t="s">
        <v>613</v>
      </c>
      <c r="AG6" s="8">
        <f t="shared" ref="AG6:AK6" si="1">$AE$9/AG5</f>
        <v>17.721518987341771</v>
      </c>
      <c r="AH6" s="8">
        <f t="shared" si="1"/>
        <v>17.721518987341771</v>
      </c>
      <c r="AI6" s="8">
        <f t="shared" si="1"/>
        <v>18.18181818181818</v>
      </c>
      <c r="AJ6" s="8">
        <f t="shared" si="1"/>
        <v>18.666666666666668</v>
      </c>
      <c r="AK6" s="8">
        <f t="shared" si="1"/>
        <v>19.718309859154932</v>
      </c>
      <c r="AN6" s="8"/>
      <c r="AO6" s="8"/>
      <c r="AP6" s="8"/>
      <c r="AQ6" s="8"/>
      <c r="AR6" s="8"/>
      <c r="AS6" s="8"/>
    </row>
    <row r="7" spans="1:49" ht="68" x14ac:dyDescent="0.2">
      <c r="C7" s="2" t="s">
        <v>618</v>
      </c>
      <c r="D7" s="2" t="s">
        <v>602</v>
      </c>
      <c r="E7" s="3" t="s">
        <v>69</v>
      </c>
      <c r="F7" s="3" t="s">
        <v>603</v>
      </c>
      <c r="G7" s="52" t="s">
        <v>619</v>
      </c>
      <c r="H7" s="3" t="s">
        <v>604</v>
      </c>
      <c r="I7" s="2" t="s">
        <v>606</v>
      </c>
      <c r="K7" s="2">
        <v>16</v>
      </c>
      <c r="L7" s="2" t="s">
        <v>613</v>
      </c>
      <c r="M7" s="2">
        <v>14.5</v>
      </c>
      <c r="N7" s="2">
        <v>14.5</v>
      </c>
      <c r="O7" s="2">
        <v>14</v>
      </c>
      <c r="P7" s="2">
        <v>13</v>
      </c>
      <c r="Q7" s="2">
        <v>12</v>
      </c>
      <c r="R7" s="2" t="s">
        <v>615</v>
      </c>
      <c r="S7" s="8">
        <f>K8</f>
        <v>15</v>
      </c>
      <c r="T7" s="8">
        <f>(S7-7)*3</f>
        <v>24</v>
      </c>
      <c r="U7" s="8">
        <f>M8</f>
        <v>16.551724137931036</v>
      </c>
      <c r="V7" s="8">
        <f>(U7-7)*3</f>
        <v>28.655172413793107</v>
      </c>
      <c r="W7" s="8">
        <v>45</v>
      </c>
      <c r="AA7" s="8">
        <f>(O8-7)*3</f>
        <v>30.428571428571427</v>
      </c>
      <c r="AB7" s="8">
        <f>(P8-7)*3</f>
        <v>34.38461538461538</v>
      </c>
      <c r="AC7" s="8">
        <f>(Q8-7)*3</f>
        <v>39</v>
      </c>
      <c r="AE7" s="2">
        <v>17</v>
      </c>
      <c r="AF7" s="2" t="s">
        <v>613</v>
      </c>
      <c r="AG7" s="2">
        <v>15</v>
      </c>
      <c r="AH7" s="2">
        <v>15</v>
      </c>
      <c r="AI7" s="2">
        <v>14.5</v>
      </c>
      <c r="AJ7" s="2">
        <v>13.75</v>
      </c>
      <c r="AK7" s="2">
        <v>13</v>
      </c>
      <c r="AL7" s="2" t="s">
        <v>615</v>
      </c>
      <c r="AM7" s="8">
        <f>AE8</f>
        <v>16.470588235294116</v>
      </c>
      <c r="AN7" s="8">
        <f>(AM7-7)*3</f>
        <v>28.411764705882348</v>
      </c>
      <c r="AO7" s="8">
        <f>AG8</f>
        <v>18.666666666666668</v>
      </c>
      <c r="AP7" s="8">
        <f>(AO7-7)*3</f>
        <v>35</v>
      </c>
      <c r="AQ7" s="8">
        <v>45</v>
      </c>
      <c r="AU7" s="8">
        <f>(AI8-7)*3</f>
        <v>36.931034482758619</v>
      </c>
      <c r="AV7" s="8">
        <f>(AJ8-7)*3</f>
        <v>40.090909090909093</v>
      </c>
      <c r="AW7" s="8">
        <f>(AK8-7)*3</f>
        <v>43.61538461538462</v>
      </c>
    </row>
    <row r="8" spans="1:49" x14ac:dyDescent="0.2">
      <c r="F8" s="3"/>
      <c r="G8" s="4"/>
      <c r="J8" s="2" t="s">
        <v>607</v>
      </c>
      <c r="K8" s="8">
        <f>($K$9*4)/K7</f>
        <v>15</v>
      </c>
      <c r="L8" s="2" t="s">
        <v>613</v>
      </c>
      <c r="M8" s="8">
        <f t="shared" ref="M8:Q8" si="2">($K$9*4)/M7</f>
        <v>16.551724137931036</v>
      </c>
      <c r="N8" s="8">
        <f t="shared" si="2"/>
        <v>16.551724137931036</v>
      </c>
      <c r="O8" s="8">
        <f t="shared" si="2"/>
        <v>17.142857142857142</v>
      </c>
      <c r="P8" s="8">
        <f t="shared" si="2"/>
        <v>18.46153846153846</v>
      </c>
      <c r="Q8" s="8">
        <f t="shared" si="2"/>
        <v>20</v>
      </c>
      <c r="T8" s="8"/>
      <c r="U8" s="8"/>
      <c r="V8" s="8"/>
      <c r="W8" s="8"/>
      <c r="X8" s="8"/>
      <c r="Y8" s="8"/>
      <c r="Z8" s="8"/>
      <c r="AD8" s="2" t="s">
        <v>607</v>
      </c>
      <c r="AE8" s="8">
        <f>($AE$9*4)/AE7</f>
        <v>16.470588235294116</v>
      </c>
      <c r="AF8" s="2" t="s">
        <v>613</v>
      </c>
      <c r="AG8" s="8">
        <f t="shared" ref="AG8:AK8" si="3">($AE$9*4)/AG7</f>
        <v>18.666666666666668</v>
      </c>
      <c r="AH8" s="8">
        <f t="shared" si="3"/>
        <v>18.666666666666668</v>
      </c>
      <c r="AI8" s="8">
        <f t="shared" si="3"/>
        <v>19.310344827586206</v>
      </c>
      <c r="AJ8" s="8">
        <f t="shared" si="3"/>
        <v>20.363636363636363</v>
      </c>
      <c r="AK8" s="8">
        <f t="shared" si="3"/>
        <v>21.53846153846154</v>
      </c>
      <c r="AN8" s="8"/>
      <c r="AO8" s="8"/>
      <c r="AP8" s="8"/>
      <c r="AQ8" s="8"/>
      <c r="AR8" s="8"/>
      <c r="AS8" s="8"/>
    </row>
    <row r="9" spans="1:49" x14ac:dyDescent="0.2">
      <c r="F9" s="3"/>
      <c r="G9" s="4"/>
      <c r="J9" s="2" t="s">
        <v>601</v>
      </c>
      <c r="K9" s="8">
        <v>60</v>
      </c>
      <c r="M9" s="8"/>
      <c r="N9" s="8"/>
      <c r="O9" s="8"/>
      <c r="P9" s="8"/>
      <c r="Q9" s="8"/>
      <c r="T9" s="8"/>
      <c r="U9" s="8"/>
      <c r="V9" s="8"/>
      <c r="W9" s="8"/>
      <c r="X9" s="8"/>
      <c r="Y9" s="8"/>
      <c r="Z9" s="8"/>
      <c r="AD9" s="2" t="s">
        <v>601</v>
      </c>
      <c r="AE9" s="8">
        <v>70</v>
      </c>
      <c r="AN9" s="8"/>
      <c r="AO9" s="8"/>
      <c r="AP9" s="8"/>
      <c r="AQ9" s="8"/>
      <c r="AR9" s="8"/>
      <c r="AS9" s="8"/>
    </row>
    <row r="10" spans="1:49" s="13" customFormat="1" x14ac:dyDescent="0.2">
      <c r="B10" s="13" t="s">
        <v>341</v>
      </c>
      <c r="D10" s="13" t="s">
        <v>759</v>
      </c>
      <c r="F10" s="14"/>
      <c r="I10" s="14"/>
      <c r="N10" s="15" t="s">
        <v>1127</v>
      </c>
      <c r="O10" s="15"/>
      <c r="P10" s="15"/>
      <c r="Q10" s="15"/>
      <c r="T10" s="17">
        <f>SUM(T7,T5)</f>
        <v>50.872340425531917</v>
      </c>
      <c r="V10" s="17">
        <f>SUM(V7,V5)</f>
        <v>58.35939776590579</v>
      </c>
      <c r="W10" s="17">
        <f>SUM(W7,W5)</f>
        <v>90</v>
      </c>
      <c r="AA10" s="17">
        <f>SUM(AA7,AA5)</f>
        <v>60.857142857142854</v>
      </c>
      <c r="AB10" s="17">
        <f t="shared" ref="AB10:AC10" si="4">SUM(AB7,AB5)</f>
        <v>66.325791855203619</v>
      </c>
      <c r="AC10" s="17">
        <f t="shared" si="4"/>
        <v>75.142857142857139</v>
      </c>
      <c r="AH10" s="15" t="s">
        <v>471</v>
      </c>
      <c r="AI10" s="15"/>
      <c r="AJ10" s="15"/>
      <c r="AK10" s="15"/>
      <c r="AN10" s="17">
        <f>SUM(AN7,AN5)</f>
        <v>56.707539353769675</v>
      </c>
      <c r="AP10" s="17">
        <f>SUM(AP7,AP5)</f>
        <v>67.164556962025316</v>
      </c>
      <c r="AQ10" s="17">
        <f>SUM(AQ7,AQ5)</f>
        <v>90</v>
      </c>
      <c r="AU10" s="17">
        <f>SUM(AU7,AU5)</f>
        <v>70.476489028213166</v>
      </c>
      <c r="AV10" s="17">
        <f t="shared" ref="AV10:AW10" si="5">SUM(AV7,AV5)</f>
        <v>75.090909090909093</v>
      </c>
      <c r="AW10" s="17">
        <f t="shared" si="5"/>
        <v>81.770314192849412</v>
      </c>
    </row>
    <row r="11" spans="1:49" ht="34" x14ac:dyDescent="0.2">
      <c r="B11" s="2" t="s">
        <v>34</v>
      </c>
      <c r="C11" s="2" t="s">
        <v>36</v>
      </c>
      <c r="D11" s="2" t="s">
        <v>425</v>
      </c>
      <c r="E11" s="3" t="s">
        <v>225</v>
      </c>
      <c r="F11" s="2" t="s">
        <v>227</v>
      </c>
      <c r="H11" s="3" t="s">
        <v>79</v>
      </c>
      <c r="I11" s="2" t="s">
        <v>427</v>
      </c>
      <c r="K11" s="2">
        <v>12</v>
      </c>
      <c r="L11" s="2" t="s">
        <v>613</v>
      </c>
      <c r="M11" s="2">
        <v>21</v>
      </c>
      <c r="N11" s="2">
        <v>21</v>
      </c>
      <c r="O11" s="2">
        <v>24</v>
      </c>
      <c r="P11" s="2">
        <v>26</v>
      </c>
      <c r="Q11" s="2">
        <v>28</v>
      </c>
      <c r="R11" s="2" t="s">
        <v>428</v>
      </c>
      <c r="S11" s="2">
        <f>K11</f>
        <v>12</v>
      </c>
      <c r="T11" s="2">
        <f>S11/2</f>
        <v>6</v>
      </c>
      <c r="U11" s="2">
        <f t="shared" ref="U11:U12" si="6">M11</f>
        <v>21</v>
      </c>
      <c r="V11" s="2">
        <f>U11/2</f>
        <v>10.5</v>
      </c>
      <c r="W11" s="2">
        <f>40/2</f>
        <v>20</v>
      </c>
      <c r="AA11" s="8">
        <f>O11/2</f>
        <v>12</v>
      </c>
      <c r="AB11" s="8">
        <f>P11/2</f>
        <v>13</v>
      </c>
      <c r="AC11" s="8">
        <f>Q11/2</f>
        <v>14</v>
      </c>
      <c r="AE11" s="2">
        <v>14</v>
      </c>
      <c r="AF11" s="2" t="s">
        <v>613</v>
      </c>
      <c r="AG11" s="2">
        <v>24</v>
      </c>
      <c r="AH11" s="2">
        <v>24</v>
      </c>
      <c r="AI11" s="2">
        <v>25</v>
      </c>
      <c r="AJ11" s="2">
        <v>27</v>
      </c>
      <c r="AK11" s="2">
        <v>30</v>
      </c>
      <c r="AL11" s="2" t="s">
        <v>428</v>
      </c>
      <c r="AM11" s="2">
        <f>AE11</f>
        <v>14</v>
      </c>
      <c r="AN11" s="2">
        <f>AM11/2</f>
        <v>7</v>
      </c>
      <c r="AO11" s="2">
        <f t="shared" ref="AO11:AO12" si="7">AG11</f>
        <v>24</v>
      </c>
      <c r="AP11" s="2">
        <f>AO11/2</f>
        <v>12</v>
      </c>
      <c r="AQ11" s="2">
        <f>40/2</f>
        <v>20</v>
      </c>
      <c r="AU11" s="8">
        <f>AI11/2</f>
        <v>12.5</v>
      </c>
      <c r="AV11" s="8">
        <f>AJ11/2</f>
        <v>13.5</v>
      </c>
      <c r="AW11" s="8">
        <f>AK11/2</f>
        <v>15</v>
      </c>
    </row>
    <row r="12" spans="1:49" ht="34" x14ac:dyDescent="0.2">
      <c r="C12" s="2" t="s">
        <v>71</v>
      </c>
      <c r="D12" s="2" t="s">
        <v>426</v>
      </c>
      <c r="E12" s="3" t="s">
        <v>226</v>
      </c>
      <c r="F12" s="2" t="s">
        <v>227</v>
      </c>
      <c r="H12" s="3" t="s">
        <v>79</v>
      </c>
      <c r="I12" s="2" t="s">
        <v>427</v>
      </c>
      <c r="K12" s="2">
        <v>14</v>
      </c>
      <c r="L12" s="2" t="s">
        <v>613</v>
      </c>
      <c r="M12" s="2">
        <v>24</v>
      </c>
      <c r="N12" s="2">
        <v>24</v>
      </c>
      <c r="O12" s="2">
        <v>25</v>
      </c>
      <c r="P12" s="2">
        <v>27</v>
      </c>
      <c r="Q12" s="2">
        <v>30</v>
      </c>
      <c r="R12" s="2" t="s">
        <v>429</v>
      </c>
      <c r="S12" s="2">
        <f>K12</f>
        <v>14</v>
      </c>
      <c r="T12" s="8">
        <f>S12/3</f>
        <v>4.666666666666667</v>
      </c>
      <c r="U12" s="2">
        <f t="shared" si="6"/>
        <v>24</v>
      </c>
      <c r="V12" s="8">
        <f>U12/3</f>
        <v>8</v>
      </c>
      <c r="W12" s="2">
        <f>45/3</f>
        <v>15</v>
      </c>
      <c r="AA12" s="8">
        <f>O12/3</f>
        <v>8.3333333333333339</v>
      </c>
      <c r="AB12" s="8">
        <f>P12/3</f>
        <v>9</v>
      </c>
      <c r="AC12" s="8">
        <f>Q12/3</f>
        <v>10</v>
      </c>
      <c r="AE12" s="2">
        <v>16</v>
      </c>
      <c r="AF12" s="2" t="s">
        <v>613</v>
      </c>
      <c r="AG12" s="2">
        <v>26</v>
      </c>
      <c r="AH12" s="2">
        <v>26</v>
      </c>
      <c r="AI12" s="2">
        <v>27</v>
      </c>
      <c r="AJ12" s="2">
        <v>29</v>
      </c>
      <c r="AK12" s="2">
        <v>31</v>
      </c>
      <c r="AL12" s="2" t="s">
        <v>429</v>
      </c>
      <c r="AM12" s="2">
        <f>AE12</f>
        <v>16</v>
      </c>
      <c r="AN12" s="8">
        <f>AM12/3</f>
        <v>5.333333333333333</v>
      </c>
      <c r="AO12" s="2">
        <f t="shared" si="7"/>
        <v>26</v>
      </c>
      <c r="AP12" s="8">
        <f>AO12/3</f>
        <v>8.6666666666666661</v>
      </c>
      <c r="AQ12" s="2">
        <f>45/3</f>
        <v>15</v>
      </c>
      <c r="AU12" s="8">
        <f>AI12/3</f>
        <v>9</v>
      </c>
      <c r="AV12" s="8">
        <f>AJ12/3</f>
        <v>9.6666666666666661</v>
      </c>
      <c r="AW12" s="8">
        <f>AK12/3</f>
        <v>10.333333333333334</v>
      </c>
    </row>
    <row r="13" spans="1:49" s="13" customFormat="1" x14ac:dyDescent="0.2">
      <c r="B13" s="13" t="s">
        <v>397</v>
      </c>
      <c r="D13" s="13" t="s">
        <v>761</v>
      </c>
      <c r="F13" s="14"/>
      <c r="I13" s="14"/>
      <c r="N13" s="32" t="s">
        <v>440</v>
      </c>
      <c r="O13" s="32"/>
      <c r="P13" s="32"/>
      <c r="Q13" s="32"/>
      <c r="R13" s="59"/>
      <c r="T13" s="17">
        <f>SUM(T11:T12)</f>
        <v>10.666666666666668</v>
      </c>
      <c r="V13" s="17">
        <f t="shared" ref="V13" si="8">SUM(V11:V12)</f>
        <v>18.5</v>
      </c>
      <c r="W13" s="17">
        <f t="shared" ref="W13" si="9">SUM(W11:W12)</f>
        <v>35</v>
      </c>
      <c r="AA13" s="17">
        <f t="shared" ref="AA13" si="10">SUM(AA11:AA12)</f>
        <v>20.333333333333336</v>
      </c>
      <c r="AB13" s="17">
        <f t="shared" ref="AB13" si="11">SUM(AB11:AB12)</f>
        <v>22</v>
      </c>
      <c r="AC13" s="17">
        <f t="shared" ref="AC13" si="12">SUM(AC11:AC12)</f>
        <v>24</v>
      </c>
      <c r="AH13" s="32" t="s">
        <v>440</v>
      </c>
      <c r="AI13" s="32"/>
      <c r="AJ13" s="32"/>
      <c r="AK13" s="32"/>
      <c r="AL13" s="59"/>
      <c r="AN13" s="17">
        <f>SUM(AN11:AN12)</f>
        <v>12.333333333333332</v>
      </c>
      <c r="AP13" s="17">
        <f t="shared" ref="AP13:AQ13" si="13">SUM(AP11:AP12)</f>
        <v>20.666666666666664</v>
      </c>
      <c r="AQ13" s="17">
        <f t="shared" si="13"/>
        <v>35</v>
      </c>
      <c r="AU13" s="17">
        <f t="shared" ref="AU13:AW13" si="14">SUM(AU11:AU12)</f>
        <v>21.5</v>
      </c>
      <c r="AV13" s="17">
        <f t="shared" si="14"/>
        <v>23.166666666666664</v>
      </c>
      <c r="AW13" s="17">
        <f t="shared" si="14"/>
        <v>25.333333333333336</v>
      </c>
    </row>
    <row r="14" spans="1:49" ht="51" x14ac:dyDescent="0.2">
      <c r="B14" s="2" t="s">
        <v>37</v>
      </c>
      <c r="C14" s="2" t="s">
        <v>40</v>
      </c>
      <c r="D14" s="2" t="s">
        <v>408</v>
      </c>
      <c r="E14" s="3" t="s">
        <v>83</v>
      </c>
      <c r="F14" s="2" t="s">
        <v>77</v>
      </c>
      <c r="G14" s="3" t="s">
        <v>163</v>
      </c>
      <c r="H14" s="3" t="s">
        <v>84</v>
      </c>
      <c r="I14" s="2" t="s">
        <v>170</v>
      </c>
      <c r="K14" s="2">
        <v>9.75</v>
      </c>
      <c r="L14" s="2" t="s">
        <v>613</v>
      </c>
      <c r="M14" s="2">
        <v>14.75</v>
      </c>
      <c r="N14" s="2">
        <v>14.75</v>
      </c>
      <c r="O14" s="2">
        <v>16</v>
      </c>
      <c r="P14" s="2">
        <v>18</v>
      </c>
      <c r="Q14" s="2">
        <v>20</v>
      </c>
      <c r="R14" s="2" t="str">
        <f>D14</f>
        <v>ASPJUMP</v>
      </c>
      <c r="S14" s="2">
        <f>K14</f>
        <v>9.75</v>
      </c>
      <c r="T14" s="2">
        <f>S14</f>
        <v>9.75</v>
      </c>
      <c r="U14" s="2">
        <f>M14</f>
        <v>14.75</v>
      </c>
      <c r="V14" s="2">
        <f>U14</f>
        <v>14.75</v>
      </c>
      <c r="W14" s="2">
        <v>20</v>
      </c>
      <c r="AA14" s="2">
        <f>O14</f>
        <v>16</v>
      </c>
      <c r="AB14" s="2">
        <f>P14</f>
        <v>18</v>
      </c>
      <c r="AC14" s="2">
        <f>Q14</f>
        <v>20</v>
      </c>
      <c r="AE14" s="2">
        <v>9.75</v>
      </c>
      <c r="AF14" s="2" t="s">
        <v>613</v>
      </c>
      <c r="AG14" s="2">
        <v>14.75</v>
      </c>
      <c r="AH14" s="2">
        <v>14.75</v>
      </c>
      <c r="AI14" s="2">
        <v>16</v>
      </c>
      <c r="AJ14" s="2">
        <v>18</v>
      </c>
      <c r="AK14" s="2">
        <v>20</v>
      </c>
      <c r="AL14" s="2" t="str">
        <f>D14</f>
        <v>ASPJUMP</v>
      </c>
      <c r="AM14" s="2">
        <f>AE14</f>
        <v>9.75</v>
      </c>
      <c r="AN14" s="2">
        <f>AM14</f>
        <v>9.75</v>
      </c>
      <c r="AO14" s="2">
        <f>AG14</f>
        <v>14.75</v>
      </c>
      <c r="AP14" s="2">
        <f>AO14</f>
        <v>14.75</v>
      </c>
      <c r="AQ14" s="2">
        <v>20</v>
      </c>
      <c r="AU14" s="2">
        <f>AI14</f>
        <v>16</v>
      </c>
      <c r="AV14" s="2">
        <f>AJ14</f>
        <v>18</v>
      </c>
      <c r="AW14" s="2">
        <f>AK14</f>
        <v>20</v>
      </c>
    </row>
    <row r="15" spans="1:49" s="13" customFormat="1" x14ac:dyDescent="0.2">
      <c r="B15" s="13" t="s">
        <v>344</v>
      </c>
      <c r="D15" s="13" t="s">
        <v>760</v>
      </c>
      <c r="F15" s="14"/>
      <c r="G15" s="14"/>
      <c r="H15" s="14"/>
      <c r="I15" s="14"/>
      <c r="N15" s="32" t="s">
        <v>450</v>
      </c>
      <c r="O15" s="32"/>
      <c r="P15" s="32"/>
      <c r="Q15" s="32"/>
      <c r="R15" s="59"/>
      <c r="T15" s="13">
        <f>T14</f>
        <v>9.75</v>
      </c>
      <c r="V15" s="13">
        <f t="shared" ref="V15" si="15">V14</f>
        <v>14.75</v>
      </c>
      <c r="W15" s="13">
        <f t="shared" ref="W15" si="16">W14</f>
        <v>20</v>
      </c>
      <c r="AA15" s="13">
        <f t="shared" ref="AA15" si="17">AA14</f>
        <v>16</v>
      </c>
      <c r="AB15" s="13">
        <f t="shared" ref="AB15" si="18">AB14</f>
        <v>18</v>
      </c>
      <c r="AC15" s="13">
        <f t="shared" ref="AC15" si="19">AC14</f>
        <v>20</v>
      </c>
      <c r="AH15" s="32" t="s">
        <v>450</v>
      </c>
      <c r="AI15" s="32"/>
      <c r="AJ15" s="32"/>
      <c r="AK15" s="32"/>
      <c r="AL15" s="59"/>
      <c r="AN15" s="13">
        <f>AN14</f>
        <v>9.75</v>
      </c>
      <c r="AP15" s="13">
        <f t="shared" ref="AP15:AQ15" si="20">AP14</f>
        <v>14.75</v>
      </c>
      <c r="AQ15" s="13">
        <f t="shared" si="20"/>
        <v>20</v>
      </c>
      <c r="AU15" s="13">
        <f t="shared" ref="AU15:AW15" si="21">AU14</f>
        <v>16</v>
      </c>
      <c r="AV15" s="13">
        <f t="shared" si="21"/>
        <v>18</v>
      </c>
      <c r="AW15" s="13">
        <f t="shared" si="21"/>
        <v>20</v>
      </c>
    </row>
    <row r="16" spans="1:49" ht="68" x14ac:dyDescent="0.2">
      <c r="B16" s="2" t="s">
        <v>41</v>
      </c>
      <c r="C16" s="2" t="s">
        <v>42</v>
      </c>
      <c r="D16" s="2" t="s">
        <v>352</v>
      </c>
      <c r="E16" s="3" t="s">
        <v>85</v>
      </c>
      <c r="F16" s="3" t="s">
        <v>172</v>
      </c>
      <c r="G16" s="3" t="s">
        <v>171</v>
      </c>
      <c r="H16" s="3" t="s">
        <v>80</v>
      </c>
      <c r="I16" s="2" t="s">
        <v>173</v>
      </c>
      <c r="K16" s="2">
        <v>14.99</v>
      </c>
      <c r="L16" s="2" t="s">
        <v>613</v>
      </c>
      <c r="M16" s="2">
        <v>24</v>
      </c>
      <c r="N16" s="2">
        <v>24</v>
      </c>
      <c r="O16" s="2">
        <v>25</v>
      </c>
      <c r="P16" s="2">
        <v>27</v>
      </c>
      <c r="Q16" s="2">
        <v>29</v>
      </c>
      <c r="R16" s="2" t="s">
        <v>367</v>
      </c>
      <c r="S16" s="2">
        <v>14.99</v>
      </c>
      <c r="T16" s="8">
        <f>S16/3</f>
        <v>4.996666666666667</v>
      </c>
      <c r="U16" s="2">
        <f>M16</f>
        <v>24</v>
      </c>
      <c r="V16" s="8">
        <f>U16/3</f>
        <v>8</v>
      </c>
      <c r="W16" s="8">
        <f>30/3</f>
        <v>10</v>
      </c>
      <c r="AA16" s="8">
        <f>O16/3</f>
        <v>8.3333333333333339</v>
      </c>
      <c r="AB16" s="8">
        <f>P16/3</f>
        <v>9</v>
      </c>
      <c r="AC16" s="8">
        <f>Q16/3</f>
        <v>9.6666666666666661</v>
      </c>
      <c r="AE16" s="2">
        <v>14.99</v>
      </c>
      <c r="AF16" s="2" t="s">
        <v>613</v>
      </c>
      <c r="AG16" s="2">
        <v>24</v>
      </c>
      <c r="AH16" s="2">
        <v>24</v>
      </c>
      <c r="AI16" s="2">
        <v>25</v>
      </c>
      <c r="AJ16" s="2">
        <v>27</v>
      </c>
      <c r="AK16" s="2">
        <v>29</v>
      </c>
      <c r="AL16" s="2" t="s">
        <v>367</v>
      </c>
      <c r="AM16" s="2">
        <f t="shared" ref="AM16:AM17" si="22">AE16</f>
        <v>14.99</v>
      </c>
      <c r="AN16" s="8">
        <f>AM16/3</f>
        <v>4.996666666666667</v>
      </c>
      <c r="AO16" s="2">
        <f t="shared" ref="AO16:AO17" si="23">AG16</f>
        <v>24</v>
      </c>
      <c r="AP16" s="8">
        <f>AO16/3</f>
        <v>8</v>
      </c>
      <c r="AQ16" s="8">
        <f>30/3</f>
        <v>10</v>
      </c>
      <c r="AU16" s="8">
        <f>AI16/3</f>
        <v>8.3333333333333339</v>
      </c>
      <c r="AV16" s="8">
        <f>AJ16/3</f>
        <v>9</v>
      </c>
      <c r="AW16" s="8">
        <f>AK16/3</f>
        <v>9.6666666666666661</v>
      </c>
    </row>
    <row r="17" spans="1:49" ht="68" x14ac:dyDescent="0.2">
      <c r="C17" s="2" t="s">
        <v>43</v>
      </c>
      <c r="D17" s="2" t="s">
        <v>351</v>
      </c>
      <c r="E17" s="3" t="s">
        <v>86</v>
      </c>
      <c r="F17" s="3" t="s">
        <v>172</v>
      </c>
      <c r="G17" s="3" t="s">
        <v>171</v>
      </c>
      <c r="H17" s="3" t="s">
        <v>80</v>
      </c>
      <c r="I17" s="2" t="s">
        <v>173</v>
      </c>
      <c r="K17" s="9">
        <v>11.49</v>
      </c>
      <c r="L17" s="2" t="s">
        <v>613</v>
      </c>
      <c r="M17" s="9">
        <v>21.5</v>
      </c>
      <c r="N17" s="8">
        <v>21.5</v>
      </c>
      <c r="O17" s="2">
        <v>23</v>
      </c>
      <c r="P17" s="2">
        <v>25</v>
      </c>
      <c r="Q17" s="2">
        <v>27</v>
      </c>
      <c r="R17" s="2" t="s">
        <v>366</v>
      </c>
      <c r="S17" s="2">
        <f>K17</f>
        <v>11.49</v>
      </c>
      <c r="T17" s="8">
        <f>S17/2</f>
        <v>5.7450000000000001</v>
      </c>
      <c r="U17" s="2">
        <f>M17</f>
        <v>21.5</v>
      </c>
      <c r="V17" s="8">
        <f>U17/2</f>
        <v>10.75</v>
      </c>
      <c r="W17" s="8">
        <f>30/2</f>
        <v>15</v>
      </c>
      <c r="AA17" s="8">
        <f>O17/2</f>
        <v>11.5</v>
      </c>
      <c r="AB17" s="8">
        <f>P17/2</f>
        <v>12.5</v>
      </c>
      <c r="AC17" s="8">
        <f>Q17/2</f>
        <v>13.5</v>
      </c>
      <c r="AE17" s="9">
        <v>11.49</v>
      </c>
      <c r="AF17" s="2" t="s">
        <v>613</v>
      </c>
      <c r="AG17" s="9">
        <v>21.5</v>
      </c>
      <c r="AH17" s="8">
        <v>21.5</v>
      </c>
      <c r="AI17" s="2">
        <v>23</v>
      </c>
      <c r="AJ17" s="2">
        <v>25</v>
      </c>
      <c r="AK17" s="2">
        <v>27</v>
      </c>
      <c r="AL17" s="2" t="s">
        <v>366</v>
      </c>
      <c r="AM17" s="2">
        <f t="shared" si="22"/>
        <v>11.49</v>
      </c>
      <c r="AN17" s="8">
        <f>AM17/2</f>
        <v>5.7450000000000001</v>
      </c>
      <c r="AO17" s="2">
        <f t="shared" si="23"/>
        <v>21.5</v>
      </c>
      <c r="AP17" s="8">
        <f>AO17/2</f>
        <v>10.75</v>
      </c>
      <c r="AQ17" s="8">
        <f>30/2</f>
        <v>15</v>
      </c>
      <c r="AU17" s="8">
        <f>AI17/2</f>
        <v>11.5</v>
      </c>
      <c r="AV17" s="8">
        <f>AJ17/2</f>
        <v>12.5</v>
      </c>
      <c r="AW17" s="8">
        <f>AK17/2</f>
        <v>13.5</v>
      </c>
    </row>
    <row r="18" spans="1:49" s="13" customFormat="1" x14ac:dyDescent="0.2">
      <c r="B18" s="13" t="s">
        <v>342</v>
      </c>
      <c r="D18" s="13" t="s">
        <v>762</v>
      </c>
      <c r="F18" s="14"/>
      <c r="G18" s="14"/>
      <c r="H18" s="14"/>
      <c r="I18" s="14"/>
      <c r="N18" s="32" t="s">
        <v>441</v>
      </c>
      <c r="O18" s="32"/>
      <c r="P18" s="32"/>
      <c r="Q18" s="32"/>
      <c r="R18" s="59"/>
      <c r="T18" s="17">
        <f>SUM(T16:T17)</f>
        <v>10.741666666666667</v>
      </c>
      <c r="V18" s="17">
        <f t="shared" ref="V18" si="24">SUM(V16:V17)</f>
        <v>18.75</v>
      </c>
      <c r="W18" s="17">
        <f t="shared" ref="W18" si="25">SUM(W16:W17)</f>
        <v>25</v>
      </c>
      <c r="AA18" s="17">
        <f t="shared" ref="AA18" si="26">SUM(AA16:AA17)</f>
        <v>19.833333333333336</v>
      </c>
      <c r="AB18" s="17">
        <f t="shared" ref="AB18" si="27">SUM(AB16:AB17)</f>
        <v>21.5</v>
      </c>
      <c r="AC18" s="17">
        <f t="shared" ref="AC18" si="28">SUM(AC16:AC17)</f>
        <v>23.166666666666664</v>
      </c>
      <c r="AH18" s="32" t="s">
        <v>441</v>
      </c>
      <c r="AI18" s="32"/>
      <c r="AJ18" s="32"/>
      <c r="AK18" s="32"/>
      <c r="AL18" s="59"/>
      <c r="AN18" s="17">
        <f>SUM(AN16:AN17)</f>
        <v>10.741666666666667</v>
      </c>
      <c r="AP18" s="17">
        <f t="shared" ref="AP18:AQ18" si="29">SUM(AP16:AP17)</f>
        <v>18.75</v>
      </c>
      <c r="AQ18" s="17">
        <f t="shared" si="29"/>
        <v>25</v>
      </c>
      <c r="AU18" s="17">
        <f t="shared" ref="AU18:AW18" si="30">SUM(AU16:AU17)</f>
        <v>19.833333333333336</v>
      </c>
      <c r="AV18" s="17">
        <f t="shared" si="30"/>
        <v>21.5</v>
      </c>
      <c r="AW18" s="17">
        <f t="shared" si="30"/>
        <v>23.166666666666664</v>
      </c>
    </row>
    <row r="19" spans="1:49" ht="85" customHeight="1" x14ac:dyDescent="0.2">
      <c r="B19" s="2" t="s">
        <v>44</v>
      </c>
      <c r="C19" s="2" t="s">
        <v>45</v>
      </c>
      <c r="D19" s="2" t="s">
        <v>45</v>
      </c>
      <c r="E19" s="3" t="s">
        <v>89</v>
      </c>
      <c r="F19" s="3" t="s">
        <v>174</v>
      </c>
      <c r="G19" s="3" t="s">
        <v>175</v>
      </c>
      <c r="H19" s="3" t="s">
        <v>90</v>
      </c>
      <c r="I19" s="2" t="s">
        <v>182</v>
      </c>
      <c r="K19" s="3" t="s">
        <v>430</v>
      </c>
      <c r="L19" s="3" t="s">
        <v>432</v>
      </c>
      <c r="M19" s="3" t="s">
        <v>431</v>
      </c>
      <c r="N19" s="2" t="s">
        <v>181</v>
      </c>
      <c r="O19" s="2" t="s">
        <v>181</v>
      </c>
      <c r="P19" s="2" t="s">
        <v>181</v>
      </c>
      <c r="Q19" s="3" t="s">
        <v>431</v>
      </c>
      <c r="R19" s="3" t="s">
        <v>439</v>
      </c>
      <c r="S19" s="3" t="str">
        <f>K19</f>
        <v>Less than 180 Degrees Both Sides</v>
      </c>
      <c r="T19" s="8">
        <v>0</v>
      </c>
      <c r="U19" s="49" t="str">
        <f>L19</f>
        <v>This could be any combinantion between the low and high options</v>
      </c>
      <c r="V19" s="8">
        <v>4</v>
      </c>
      <c r="W19" s="8">
        <v>6</v>
      </c>
      <c r="AA19" s="2">
        <v>6</v>
      </c>
      <c r="AB19" s="2">
        <v>6</v>
      </c>
      <c r="AC19" s="2">
        <v>6</v>
      </c>
      <c r="AE19" s="3" t="s">
        <v>430</v>
      </c>
      <c r="AF19" s="3" t="s">
        <v>432</v>
      </c>
      <c r="AG19" s="3" t="s">
        <v>431</v>
      </c>
      <c r="AH19" s="2" t="s">
        <v>181</v>
      </c>
      <c r="AI19" s="2" t="s">
        <v>181</v>
      </c>
      <c r="AJ19" s="2" t="s">
        <v>181</v>
      </c>
      <c r="AK19" s="3" t="s">
        <v>431</v>
      </c>
      <c r="AL19" s="3" t="s">
        <v>439</v>
      </c>
      <c r="AM19" s="3" t="str">
        <f>AE19</f>
        <v>Less than 180 Degrees Both Sides</v>
      </c>
      <c r="AN19" s="8">
        <v>0</v>
      </c>
      <c r="AO19" s="49" t="str">
        <f>AF19</f>
        <v>This could be any combinantion between the low and high options</v>
      </c>
      <c r="AP19" s="8">
        <v>4</v>
      </c>
      <c r="AQ19" s="8">
        <v>6</v>
      </c>
      <c r="AU19" s="2">
        <v>6</v>
      </c>
      <c r="AV19" s="2">
        <v>6</v>
      </c>
      <c r="AW19" s="2">
        <v>6</v>
      </c>
    </row>
    <row r="20" spans="1:49" ht="55" customHeight="1" x14ac:dyDescent="0.2">
      <c r="C20" s="2" t="s">
        <v>46</v>
      </c>
      <c r="D20" s="2" t="s">
        <v>353</v>
      </c>
      <c r="E20" s="3" t="s">
        <v>87</v>
      </c>
      <c r="F20" s="3" t="s">
        <v>176</v>
      </c>
      <c r="G20" s="3"/>
      <c r="H20" s="3" t="s">
        <v>90</v>
      </c>
      <c r="I20" s="2" t="s">
        <v>182</v>
      </c>
      <c r="K20" s="2" t="s">
        <v>330</v>
      </c>
      <c r="L20" s="2" t="s">
        <v>329</v>
      </c>
      <c r="M20" s="2" t="s">
        <v>331</v>
      </c>
      <c r="N20" s="2" t="s">
        <v>181</v>
      </c>
      <c r="O20" s="2" t="s">
        <v>329</v>
      </c>
      <c r="P20" s="2" t="s">
        <v>181</v>
      </c>
      <c r="Q20" s="2" t="s">
        <v>331</v>
      </c>
      <c r="R20" s="3" t="s">
        <v>368</v>
      </c>
      <c r="S20" s="3" t="str">
        <f>K20</f>
        <v>Cannot Touch Toes</v>
      </c>
      <c r="T20" s="8">
        <v>0</v>
      </c>
      <c r="U20" s="8" t="str">
        <f>L20</f>
        <v>Touches Toes</v>
      </c>
      <c r="V20" s="8">
        <v>3</v>
      </c>
      <c r="W20" s="8">
        <v>6</v>
      </c>
      <c r="AA20" s="2">
        <v>6</v>
      </c>
      <c r="AB20" s="2">
        <v>6</v>
      </c>
      <c r="AC20" s="2">
        <v>6</v>
      </c>
      <c r="AE20" s="2" t="s">
        <v>330</v>
      </c>
      <c r="AF20" s="2" t="s">
        <v>329</v>
      </c>
      <c r="AG20" s="2" t="s">
        <v>331</v>
      </c>
      <c r="AH20" s="2" t="s">
        <v>181</v>
      </c>
      <c r="AI20" s="2" t="s">
        <v>329</v>
      </c>
      <c r="AJ20" s="2" t="s">
        <v>181</v>
      </c>
      <c r="AK20" s="2" t="s">
        <v>331</v>
      </c>
      <c r="AL20" s="3" t="s">
        <v>368</v>
      </c>
      <c r="AM20" s="3" t="str">
        <f>AE20</f>
        <v>Cannot Touch Toes</v>
      </c>
      <c r="AN20" s="8">
        <v>0</v>
      </c>
      <c r="AO20" s="8" t="str">
        <f>AF20</f>
        <v>Touches Toes</v>
      </c>
      <c r="AP20" s="8">
        <v>3</v>
      </c>
      <c r="AQ20" s="8">
        <v>6</v>
      </c>
      <c r="AU20" s="2">
        <v>6</v>
      </c>
      <c r="AV20" s="2">
        <v>6</v>
      </c>
      <c r="AW20" s="2">
        <v>6</v>
      </c>
    </row>
    <row r="21" spans="1:49" ht="115" customHeight="1" x14ac:dyDescent="0.2">
      <c r="C21" s="2" t="s">
        <v>47</v>
      </c>
      <c r="D21" s="2" t="s">
        <v>354</v>
      </c>
      <c r="E21" s="3" t="s">
        <v>88</v>
      </c>
      <c r="F21" s="3" t="s">
        <v>177</v>
      </c>
      <c r="G21" s="3" t="s">
        <v>91</v>
      </c>
      <c r="H21" s="3" t="s">
        <v>92</v>
      </c>
      <c r="I21" s="2" t="s">
        <v>182</v>
      </c>
      <c r="K21" s="3" t="s">
        <v>333</v>
      </c>
      <c r="L21" s="3" t="s">
        <v>334</v>
      </c>
      <c r="M21" s="3" t="s">
        <v>332</v>
      </c>
      <c r="N21" s="2" t="s">
        <v>181</v>
      </c>
      <c r="O21" s="2" t="s">
        <v>181</v>
      </c>
      <c r="P21" s="2" t="s">
        <v>181</v>
      </c>
      <c r="Q21" s="3" t="s">
        <v>332</v>
      </c>
      <c r="R21" s="3" t="s">
        <v>369</v>
      </c>
      <c r="S21" s="3" t="str">
        <f>K21</f>
        <v>2 or more of Arms move forward of head, Pelvis not below the hips, Ankles Flare</v>
      </c>
      <c r="T21" s="8">
        <v>3</v>
      </c>
      <c r="U21" s="49" t="str">
        <f>L21</f>
        <v>1 or less of Arms move forward of head, Pelvis not below the hips, Ankles Flare</v>
      </c>
      <c r="V21" s="8">
        <v>3</v>
      </c>
      <c r="W21" s="8">
        <v>9</v>
      </c>
      <c r="AA21" s="2">
        <v>9</v>
      </c>
      <c r="AB21" s="2">
        <v>9</v>
      </c>
      <c r="AC21" s="2">
        <v>9</v>
      </c>
      <c r="AE21" s="3" t="s">
        <v>333</v>
      </c>
      <c r="AF21" s="3" t="s">
        <v>334</v>
      </c>
      <c r="AG21" s="3" t="s">
        <v>332</v>
      </c>
      <c r="AH21" s="2" t="s">
        <v>181</v>
      </c>
      <c r="AI21" s="2" t="s">
        <v>181</v>
      </c>
      <c r="AJ21" s="2" t="s">
        <v>181</v>
      </c>
      <c r="AK21" s="3" t="s">
        <v>332</v>
      </c>
      <c r="AL21" s="3" t="s">
        <v>369</v>
      </c>
      <c r="AM21" s="3" t="str">
        <f>AE21</f>
        <v>2 or more of Arms move forward of head, Pelvis not below the hips, Ankles Flare</v>
      </c>
      <c r="AN21" s="8">
        <v>3</v>
      </c>
      <c r="AO21" s="49" t="str">
        <f>AF21</f>
        <v>1 or less of Arms move forward of head, Pelvis not below the hips, Ankles Flare</v>
      </c>
      <c r="AP21" s="8">
        <v>3</v>
      </c>
      <c r="AQ21" s="8">
        <v>9</v>
      </c>
      <c r="AU21" s="2">
        <v>9</v>
      </c>
      <c r="AV21" s="2">
        <v>9</v>
      </c>
      <c r="AW21" s="2">
        <v>9</v>
      </c>
    </row>
    <row r="22" spans="1:49" s="13" customFormat="1" ht="83" customHeight="1" x14ac:dyDescent="0.2">
      <c r="B22" s="13" t="s">
        <v>343</v>
      </c>
      <c r="F22" s="14"/>
      <c r="I22" s="14"/>
      <c r="N22" s="14" t="s">
        <v>434</v>
      </c>
      <c r="O22" s="14" t="s">
        <v>433</v>
      </c>
      <c r="P22" s="14" t="s">
        <v>435</v>
      </c>
      <c r="Q22" s="14" t="s">
        <v>436</v>
      </c>
      <c r="T22" s="17">
        <f>SUM(T19:T21)</f>
        <v>3</v>
      </c>
      <c r="V22" s="17">
        <f>SUM(V19:V21)</f>
        <v>10</v>
      </c>
      <c r="W22" s="17">
        <f>SUM(W19:W21)</f>
        <v>21</v>
      </c>
      <c r="AA22" s="17">
        <f t="shared" ref="AA22" si="31">SUM(AA19:AA21)</f>
        <v>21</v>
      </c>
      <c r="AB22" s="17">
        <f t="shared" ref="AB22" si="32">SUM(AB19:AB21)</f>
        <v>21</v>
      </c>
      <c r="AC22" s="17">
        <f t="shared" ref="AC22" si="33">SUM(AC19:AC21)</f>
        <v>21</v>
      </c>
      <c r="AH22" s="14" t="s">
        <v>434</v>
      </c>
      <c r="AI22" s="14" t="s">
        <v>433</v>
      </c>
      <c r="AJ22" s="14" t="s">
        <v>435</v>
      </c>
      <c r="AK22" s="14" t="s">
        <v>436</v>
      </c>
      <c r="AN22" s="17">
        <f>SUM(AN19:AN21)</f>
        <v>3</v>
      </c>
      <c r="AP22" s="17">
        <f>SUM(AP19:AP21)</f>
        <v>10</v>
      </c>
      <c r="AQ22" s="17">
        <f>SUM(AQ19:AQ21)</f>
        <v>21</v>
      </c>
      <c r="AU22" s="17">
        <f t="shared" ref="AU22:AW22" si="34">SUM(AU19:AU21)</f>
        <v>21</v>
      </c>
      <c r="AV22" s="17">
        <f t="shared" si="34"/>
        <v>21</v>
      </c>
      <c r="AW22" s="17">
        <f t="shared" si="34"/>
        <v>21</v>
      </c>
    </row>
    <row r="23" spans="1:49" s="23" customFormat="1" x14ac:dyDescent="0.2">
      <c r="B23" s="23" t="s">
        <v>376</v>
      </c>
      <c r="D23" s="23" t="s">
        <v>758</v>
      </c>
      <c r="F23" s="24"/>
      <c r="I23" s="24"/>
      <c r="S23" s="26"/>
      <c r="T23" s="26">
        <f>SUM(T22,T18,T15,T13,T10)</f>
        <v>85.030673758865248</v>
      </c>
      <c r="U23" s="26"/>
      <c r="V23" s="26">
        <f t="shared" ref="V23:W23" si="35">SUM(V22,V18,V15,V13,V10)</f>
        <v>120.35939776590578</v>
      </c>
      <c r="W23" s="26">
        <f t="shared" si="35"/>
        <v>191</v>
      </c>
      <c r="X23" s="26">
        <v>50</v>
      </c>
      <c r="Y23" s="26">
        <f>(T23/W23)*X23</f>
        <v>22.259338680331219</v>
      </c>
      <c r="Z23" s="26">
        <f>(V23/W23)*X23</f>
        <v>31.507695750237115</v>
      </c>
      <c r="AA23" s="26">
        <f t="shared" ref="AA23:AC23" si="36">SUM(AA22,AA18,AA15,AA13,AA10)</f>
        <v>138.02380952380952</v>
      </c>
      <c r="AB23" s="26">
        <f t="shared" si="36"/>
        <v>148.82579185520362</v>
      </c>
      <c r="AC23" s="26">
        <f t="shared" si="36"/>
        <v>163.3095238095238</v>
      </c>
      <c r="AM23" s="26"/>
      <c r="AN23" s="26">
        <f>SUM(AN22,AN18,AN15,AN13,AN10)</f>
        <v>92.532539353769678</v>
      </c>
      <c r="AO23" s="26"/>
      <c r="AP23" s="26">
        <f t="shared" ref="AP23:AQ23" si="37">SUM(AP22,AP18,AP15,AP13,AP10)</f>
        <v>131.33122362869199</v>
      </c>
      <c r="AQ23" s="26">
        <f t="shared" si="37"/>
        <v>191</v>
      </c>
      <c r="AR23" s="26">
        <v>50</v>
      </c>
      <c r="AS23" s="26">
        <f>(AN23/AQ23)*AR23</f>
        <v>24.223177841300963</v>
      </c>
      <c r="AT23" s="26">
        <f>(AP23/AQ23)*AR23</f>
        <v>34.379901473479578</v>
      </c>
      <c r="AU23" s="26">
        <f t="shared" ref="AU23:AW23" si="38">SUM(AU22,AU18,AU15,AU13,AU10)</f>
        <v>148.80982236154651</v>
      </c>
      <c r="AV23" s="26">
        <f t="shared" si="38"/>
        <v>158.75757575757575</v>
      </c>
      <c r="AW23" s="26">
        <f t="shared" si="38"/>
        <v>171.27031419284941</v>
      </c>
    </row>
    <row r="24" spans="1:49" ht="51" x14ac:dyDescent="0.2">
      <c r="A24" s="2" t="s">
        <v>48</v>
      </c>
      <c r="B24" s="2" t="s">
        <v>255</v>
      </c>
      <c r="C24" s="2" t="s">
        <v>49</v>
      </c>
      <c r="D24" s="2" t="s">
        <v>384</v>
      </c>
      <c r="E24" s="3" t="s">
        <v>97</v>
      </c>
      <c r="F24" s="2" t="s">
        <v>77</v>
      </c>
      <c r="H24" s="3" t="s">
        <v>79</v>
      </c>
      <c r="I24" s="2" t="s">
        <v>183</v>
      </c>
      <c r="K24" s="2">
        <v>4</v>
      </c>
      <c r="L24" s="2" t="s">
        <v>613</v>
      </c>
      <c r="M24" s="2">
        <v>7</v>
      </c>
      <c r="N24" s="2">
        <v>7</v>
      </c>
      <c r="O24" s="2">
        <v>8</v>
      </c>
      <c r="P24" s="2">
        <v>9</v>
      </c>
      <c r="Q24" s="2">
        <v>10</v>
      </c>
      <c r="R24" s="3" t="str">
        <f>D24</f>
        <v>HC10LD</v>
      </c>
      <c r="S24" s="2">
        <f t="shared" ref="S24:S27" si="39">K24</f>
        <v>4</v>
      </c>
      <c r="T24" s="2">
        <f>S24</f>
        <v>4</v>
      </c>
      <c r="U24" s="2">
        <f t="shared" ref="U24:U27" si="40">M24</f>
        <v>7</v>
      </c>
      <c r="V24" s="2">
        <f>U24</f>
        <v>7</v>
      </c>
      <c r="W24" s="2">
        <v>10</v>
      </c>
      <c r="AA24" s="8">
        <f>O24</f>
        <v>8</v>
      </c>
      <c r="AB24" s="8">
        <f t="shared" ref="AB24" si="41">P24</f>
        <v>9</v>
      </c>
      <c r="AC24" s="8">
        <f t="shared" ref="AC24" si="42">Q24</f>
        <v>10</v>
      </c>
      <c r="AE24" s="2">
        <v>4</v>
      </c>
      <c r="AF24" s="2" t="s">
        <v>613</v>
      </c>
      <c r="AG24" s="2">
        <v>7</v>
      </c>
      <c r="AH24" s="2">
        <v>7</v>
      </c>
      <c r="AI24" s="2">
        <v>8</v>
      </c>
      <c r="AJ24" s="2">
        <v>9</v>
      </c>
      <c r="AK24" s="2">
        <v>10</v>
      </c>
      <c r="AL24" s="2" t="str">
        <f>D24</f>
        <v>HC10LD</v>
      </c>
      <c r="AM24" s="2">
        <f t="shared" ref="AM24:AM26" si="43">AE24</f>
        <v>4</v>
      </c>
      <c r="AN24" s="2">
        <f>AM24</f>
        <v>4</v>
      </c>
      <c r="AO24" s="2">
        <f t="shared" ref="AO24:AO27" si="44">AG24</f>
        <v>7</v>
      </c>
      <c r="AP24" s="2">
        <f>AO24</f>
        <v>7</v>
      </c>
      <c r="AQ24" s="2">
        <v>10</v>
      </c>
      <c r="AU24" s="8">
        <f>AI24</f>
        <v>8</v>
      </c>
      <c r="AV24" s="8">
        <f t="shared" ref="AV24:AW24" si="45">AJ24</f>
        <v>9</v>
      </c>
      <c r="AW24" s="8">
        <f t="shared" si="45"/>
        <v>10</v>
      </c>
    </row>
    <row r="25" spans="1:49" ht="51" x14ac:dyDescent="0.2">
      <c r="B25" s="2" t="s">
        <v>37</v>
      </c>
      <c r="C25" s="2" t="s">
        <v>67</v>
      </c>
      <c r="D25" s="2" t="s">
        <v>385</v>
      </c>
      <c r="E25" s="3" t="s">
        <v>245</v>
      </c>
      <c r="F25" s="3" t="s">
        <v>179</v>
      </c>
      <c r="G25" s="3" t="s">
        <v>180</v>
      </c>
      <c r="H25" s="3" t="s">
        <v>109</v>
      </c>
      <c r="I25" s="2" t="s">
        <v>184</v>
      </c>
      <c r="K25" s="2">
        <v>38</v>
      </c>
      <c r="L25" s="2" t="s">
        <v>613</v>
      </c>
      <c r="M25" s="2">
        <v>49</v>
      </c>
      <c r="N25" s="2">
        <v>49</v>
      </c>
      <c r="O25" s="2">
        <v>51</v>
      </c>
      <c r="P25" s="2">
        <v>54</v>
      </c>
      <c r="Q25" s="2">
        <v>58</v>
      </c>
      <c r="R25" s="3" t="s">
        <v>448</v>
      </c>
      <c r="S25" s="2">
        <f t="shared" si="39"/>
        <v>38</v>
      </c>
      <c r="T25" s="8">
        <f>S25/5</f>
        <v>7.6</v>
      </c>
      <c r="U25" s="2">
        <f t="shared" si="40"/>
        <v>49</v>
      </c>
      <c r="V25" s="8">
        <f>U25/5</f>
        <v>9.8000000000000007</v>
      </c>
      <c r="W25" s="2">
        <v>15</v>
      </c>
      <c r="AA25" s="8">
        <f>O25/5</f>
        <v>10.199999999999999</v>
      </c>
      <c r="AB25" s="8">
        <f t="shared" ref="AB25" si="46">P25/5</f>
        <v>10.8</v>
      </c>
      <c r="AC25" s="8">
        <f t="shared" ref="AC25" si="47">Q25/5</f>
        <v>11.6</v>
      </c>
      <c r="AE25" s="2">
        <v>40</v>
      </c>
      <c r="AF25" s="2" t="s">
        <v>613</v>
      </c>
      <c r="AG25" s="2">
        <v>51</v>
      </c>
      <c r="AH25" s="2">
        <v>51</v>
      </c>
      <c r="AI25" s="2">
        <v>53</v>
      </c>
      <c r="AJ25" s="2">
        <v>56</v>
      </c>
      <c r="AK25" s="2">
        <v>60</v>
      </c>
      <c r="AL25" s="3" t="s">
        <v>448</v>
      </c>
      <c r="AM25" s="2">
        <f t="shared" si="43"/>
        <v>40</v>
      </c>
      <c r="AN25" s="8">
        <f>AM25/5</f>
        <v>8</v>
      </c>
      <c r="AO25" s="2">
        <f t="shared" si="44"/>
        <v>51</v>
      </c>
      <c r="AP25" s="8">
        <f>AO25/5</f>
        <v>10.199999999999999</v>
      </c>
      <c r="AQ25" s="2">
        <v>15</v>
      </c>
      <c r="AU25" s="8">
        <f>AI25/5</f>
        <v>10.6</v>
      </c>
      <c r="AV25" s="8">
        <f t="shared" ref="AV25:AW25" si="48">AJ25/5</f>
        <v>11.2</v>
      </c>
      <c r="AW25" s="8">
        <f t="shared" si="48"/>
        <v>12</v>
      </c>
    </row>
    <row r="26" spans="1:49" ht="187" x14ac:dyDescent="0.2">
      <c r="B26" s="2" t="s">
        <v>256</v>
      </c>
      <c r="C26" s="2" t="s">
        <v>100</v>
      </c>
      <c r="D26" s="2" t="s">
        <v>409</v>
      </c>
      <c r="E26" s="3" t="s">
        <v>105</v>
      </c>
      <c r="F26" s="3" t="s">
        <v>145</v>
      </c>
      <c r="G26" s="3" t="s">
        <v>104</v>
      </c>
      <c r="H26" s="3" t="s">
        <v>144</v>
      </c>
      <c r="I26" s="2" t="s">
        <v>193</v>
      </c>
      <c r="K26" s="2">
        <v>17</v>
      </c>
      <c r="L26" s="2" t="s">
        <v>613</v>
      </c>
      <c r="M26" s="2">
        <v>25</v>
      </c>
      <c r="N26" s="2">
        <v>25</v>
      </c>
      <c r="O26" s="2">
        <v>26</v>
      </c>
      <c r="P26" s="2">
        <v>28</v>
      </c>
      <c r="Q26" s="2">
        <v>30</v>
      </c>
      <c r="R26" s="3" t="str">
        <f>D26</f>
        <v>H10FAST</v>
      </c>
      <c r="S26" s="2">
        <f t="shared" si="39"/>
        <v>17</v>
      </c>
      <c r="T26" s="2">
        <f>S26</f>
        <v>17</v>
      </c>
      <c r="U26" s="2">
        <f t="shared" si="40"/>
        <v>25</v>
      </c>
      <c r="V26" s="2">
        <f>U26</f>
        <v>25</v>
      </c>
      <c r="W26" s="2">
        <v>50</v>
      </c>
      <c r="AA26" s="8">
        <f>O26</f>
        <v>26</v>
      </c>
      <c r="AB26" s="8">
        <f t="shared" ref="AB26" si="49">P26</f>
        <v>28</v>
      </c>
      <c r="AC26" s="8">
        <f t="shared" ref="AC26" si="50">Q26</f>
        <v>30</v>
      </c>
      <c r="AE26" s="2">
        <v>18</v>
      </c>
      <c r="AF26" s="2" t="s">
        <v>613</v>
      </c>
      <c r="AG26" s="2">
        <v>27</v>
      </c>
      <c r="AH26" s="2">
        <v>27</v>
      </c>
      <c r="AI26" s="2">
        <v>28</v>
      </c>
      <c r="AJ26" s="2">
        <v>30</v>
      </c>
      <c r="AK26" s="2">
        <v>32</v>
      </c>
      <c r="AL26" s="2" t="str">
        <f>D26</f>
        <v>H10FAST</v>
      </c>
      <c r="AM26" s="2">
        <f t="shared" si="43"/>
        <v>18</v>
      </c>
      <c r="AN26" s="2">
        <f>AM26</f>
        <v>18</v>
      </c>
      <c r="AO26" s="2">
        <f t="shared" si="44"/>
        <v>27</v>
      </c>
      <c r="AP26" s="2">
        <f>AO26</f>
        <v>27</v>
      </c>
      <c r="AQ26" s="2">
        <v>50</v>
      </c>
      <c r="AU26" s="8">
        <f>AI26</f>
        <v>28</v>
      </c>
      <c r="AV26" s="8">
        <f t="shared" ref="AV26:AW26" si="51">AJ26</f>
        <v>30</v>
      </c>
      <c r="AW26" s="8">
        <f t="shared" si="51"/>
        <v>32</v>
      </c>
    </row>
    <row r="27" spans="1:49" ht="51" x14ac:dyDescent="0.2">
      <c r="B27" s="2" t="s">
        <v>37</v>
      </c>
      <c r="C27" s="2" t="s">
        <v>98</v>
      </c>
      <c r="D27" s="2" t="s">
        <v>386</v>
      </c>
      <c r="E27" s="3" t="s">
        <v>99</v>
      </c>
      <c r="F27" s="2" t="s">
        <v>77</v>
      </c>
      <c r="G27" s="3" t="s">
        <v>180</v>
      </c>
      <c r="H27" s="3" t="s">
        <v>108</v>
      </c>
      <c r="I27" s="2" t="s">
        <v>187</v>
      </c>
      <c r="K27" s="2">
        <v>35</v>
      </c>
      <c r="L27" s="2" t="s">
        <v>613</v>
      </c>
      <c r="M27" s="2">
        <v>45</v>
      </c>
      <c r="N27" s="2">
        <v>45</v>
      </c>
      <c r="O27" s="2">
        <v>47</v>
      </c>
      <c r="P27" s="2">
        <v>50</v>
      </c>
      <c r="Q27" s="2">
        <v>54</v>
      </c>
      <c r="R27" s="2" t="s">
        <v>449</v>
      </c>
      <c r="S27" s="2">
        <f t="shared" si="39"/>
        <v>35</v>
      </c>
      <c r="T27" s="8">
        <f>S27/4</f>
        <v>8.75</v>
      </c>
      <c r="U27" s="2">
        <f t="shared" si="40"/>
        <v>45</v>
      </c>
      <c r="V27" s="8">
        <f>U27/4</f>
        <v>11.25</v>
      </c>
      <c r="W27" s="8">
        <v>18</v>
      </c>
      <c r="AA27" s="8">
        <f>O27/4</f>
        <v>11.75</v>
      </c>
      <c r="AB27" s="8">
        <f t="shared" ref="AB27" si="52">P27/4</f>
        <v>12.5</v>
      </c>
      <c r="AC27" s="8">
        <f t="shared" ref="AC27" si="53">Q27/4</f>
        <v>13.5</v>
      </c>
      <c r="AE27" s="2">
        <v>37</v>
      </c>
      <c r="AF27" s="2" t="s">
        <v>613</v>
      </c>
      <c r="AG27" s="2">
        <v>47</v>
      </c>
      <c r="AH27" s="2">
        <v>47</v>
      </c>
      <c r="AI27" s="2">
        <v>50</v>
      </c>
      <c r="AJ27" s="2">
        <v>53</v>
      </c>
      <c r="AK27" s="2">
        <v>56</v>
      </c>
      <c r="AL27" s="2" t="s">
        <v>881</v>
      </c>
      <c r="AM27" s="2">
        <f>AE27</f>
        <v>37</v>
      </c>
      <c r="AN27" s="8">
        <f>AM27/4</f>
        <v>9.25</v>
      </c>
      <c r="AO27" s="2">
        <f t="shared" si="44"/>
        <v>47</v>
      </c>
      <c r="AP27" s="8">
        <f>AO27/4</f>
        <v>11.75</v>
      </c>
      <c r="AQ27" s="8">
        <v>18</v>
      </c>
      <c r="AU27" s="8">
        <f>AI27/4</f>
        <v>12.5</v>
      </c>
      <c r="AV27" s="8">
        <f t="shared" ref="AV27:AW27" si="54">AJ27/4</f>
        <v>13.25</v>
      </c>
      <c r="AW27" s="8">
        <f t="shared" si="54"/>
        <v>14</v>
      </c>
    </row>
    <row r="28" spans="1:49" s="13" customFormat="1" x14ac:dyDescent="0.2">
      <c r="B28" s="13" t="s">
        <v>398</v>
      </c>
      <c r="D28" s="13" t="s">
        <v>763</v>
      </c>
      <c r="F28" s="14"/>
      <c r="H28" s="14"/>
      <c r="I28" s="14"/>
      <c r="N28" s="15" t="s">
        <v>498</v>
      </c>
      <c r="O28" s="15"/>
      <c r="P28" s="15"/>
      <c r="Q28" s="15"/>
      <c r="R28" s="33"/>
      <c r="T28" s="13">
        <f>SUM(T24,T26)</f>
        <v>21</v>
      </c>
      <c r="V28" s="13">
        <f>SUM(V24,V26)</f>
        <v>32</v>
      </c>
      <c r="W28" s="13">
        <f>SUM(W24,W26)</f>
        <v>60</v>
      </c>
      <c r="AA28" s="13">
        <f t="shared" ref="AA28:AC28" si="55">SUM(AA24,AA26)</f>
        <v>34</v>
      </c>
      <c r="AB28" s="13">
        <f t="shared" si="55"/>
        <v>37</v>
      </c>
      <c r="AC28" s="13">
        <f t="shared" si="55"/>
        <v>40</v>
      </c>
      <c r="AH28" s="15" t="s">
        <v>498</v>
      </c>
      <c r="AI28" s="15"/>
      <c r="AJ28" s="15"/>
      <c r="AK28" s="15"/>
      <c r="AL28" s="33"/>
      <c r="AN28" s="13">
        <f>SUM(AN24,AN26)</f>
        <v>22</v>
      </c>
      <c r="AP28" s="13">
        <f t="shared" ref="AP28:AQ28" si="56">SUM(AP24,AP26)</f>
        <v>34</v>
      </c>
      <c r="AQ28" s="13">
        <f t="shared" si="56"/>
        <v>60</v>
      </c>
      <c r="AU28" s="13">
        <f t="shared" ref="AU28:AW28" si="57">SUM(AU24,AU26)</f>
        <v>36</v>
      </c>
      <c r="AV28" s="13">
        <f t="shared" si="57"/>
        <v>39</v>
      </c>
      <c r="AW28" s="13">
        <f t="shared" si="57"/>
        <v>42</v>
      </c>
    </row>
    <row r="29" spans="1:49" s="30" customFormat="1" x14ac:dyDescent="0.2">
      <c r="B29" s="30" t="s">
        <v>399</v>
      </c>
      <c r="D29" s="30" t="s">
        <v>764</v>
      </c>
      <c r="F29" s="31"/>
      <c r="H29" s="31"/>
      <c r="I29" s="31"/>
      <c r="N29" s="35" t="s">
        <v>1126</v>
      </c>
      <c r="O29" s="35"/>
      <c r="P29" s="35"/>
      <c r="Q29" s="35"/>
      <c r="R29" s="69"/>
      <c r="T29" s="36">
        <f>SUM(T25:T27)</f>
        <v>33.35</v>
      </c>
      <c r="V29" s="36">
        <f>SUM(V25:V27)</f>
        <v>46.05</v>
      </c>
      <c r="W29" s="36">
        <f>SUM(W25:W27)</f>
        <v>83</v>
      </c>
      <c r="AA29" s="36">
        <f t="shared" ref="AA29:AC29" si="58">SUM(AA25:AA27)</f>
        <v>47.95</v>
      </c>
      <c r="AB29" s="36">
        <f t="shared" si="58"/>
        <v>51.3</v>
      </c>
      <c r="AC29" s="36">
        <f t="shared" si="58"/>
        <v>55.1</v>
      </c>
      <c r="AH29" s="35" t="s">
        <v>499</v>
      </c>
      <c r="AI29" s="35"/>
      <c r="AJ29" s="35"/>
      <c r="AK29" s="35"/>
      <c r="AL29" s="69"/>
      <c r="AN29" s="36">
        <f>SUM(AN25:AN27)</f>
        <v>35.25</v>
      </c>
      <c r="AP29" s="36">
        <f t="shared" ref="AP29:AQ29" si="59">SUM(AP25:AP27)</f>
        <v>48.95</v>
      </c>
      <c r="AQ29" s="36">
        <f t="shared" si="59"/>
        <v>83</v>
      </c>
      <c r="AU29" s="36">
        <f t="shared" ref="AU29:AW29" si="60">SUM(AU25:AU27)</f>
        <v>51.1</v>
      </c>
      <c r="AV29" s="36">
        <f t="shared" si="60"/>
        <v>54.45</v>
      </c>
      <c r="AW29" s="36">
        <f t="shared" si="60"/>
        <v>58</v>
      </c>
    </row>
    <row r="30" spans="1:49" s="23" customFormat="1" x14ac:dyDescent="0.2">
      <c r="B30" s="23" t="s">
        <v>400</v>
      </c>
      <c r="D30" s="23" t="s">
        <v>656</v>
      </c>
      <c r="F30" s="24"/>
      <c r="I30" s="24"/>
      <c r="T30" s="23">
        <f>SUM(T24:T27)</f>
        <v>37.35</v>
      </c>
      <c r="V30" s="23">
        <f>SUM(V24:V27)</f>
        <v>53.05</v>
      </c>
      <c r="W30" s="23">
        <f>SUM(W24:W27)</f>
        <v>93</v>
      </c>
      <c r="X30" s="26">
        <v>50</v>
      </c>
      <c r="Y30" s="26">
        <f>(T30/W30)*X30</f>
        <v>20.080645161290324</v>
      </c>
      <c r="Z30" s="26">
        <f>(V30/W30)*X30</f>
        <v>28.521505376344088</v>
      </c>
      <c r="AA30" s="23">
        <f t="shared" ref="AA30:AC30" si="61">SUM(AA24:AA27)</f>
        <v>55.95</v>
      </c>
      <c r="AB30" s="23">
        <f t="shared" si="61"/>
        <v>60.3</v>
      </c>
      <c r="AC30" s="23">
        <f t="shared" si="61"/>
        <v>65.099999999999994</v>
      </c>
      <c r="AD30" s="26"/>
      <c r="AN30" s="23">
        <f>SUM(AN24:AN27)</f>
        <v>39.25</v>
      </c>
      <c r="AP30" s="23">
        <f t="shared" ref="AP30:AQ30" si="62">SUM(AP24:AP27)</f>
        <v>55.95</v>
      </c>
      <c r="AQ30" s="23">
        <f t="shared" si="62"/>
        <v>93</v>
      </c>
      <c r="AR30" s="26">
        <v>50</v>
      </c>
      <c r="AS30" s="26">
        <f>(AN30/AQ30)*AR30</f>
        <v>21.102150537634408</v>
      </c>
      <c r="AT30" s="26">
        <f>(AP30/AQ30)*AR30</f>
        <v>30.080645161290327</v>
      </c>
      <c r="AU30" s="23">
        <f t="shared" ref="AU30:AW30" si="63">SUM(AU24:AU27)</f>
        <v>59.1</v>
      </c>
      <c r="AV30" s="23">
        <f t="shared" si="63"/>
        <v>63.45</v>
      </c>
      <c r="AW30" s="23">
        <f t="shared" si="63"/>
        <v>68</v>
      </c>
    </row>
    <row r="31" spans="1:49" ht="51" x14ac:dyDescent="0.2">
      <c r="A31" s="2" t="s">
        <v>52</v>
      </c>
      <c r="B31" s="2" t="s">
        <v>53</v>
      </c>
      <c r="C31" s="2" t="s">
        <v>50</v>
      </c>
      <c r="D31" s="2" t="s">
        <v>357</v>
      </c>
      <c r="E31" s="3" t="s">
        <v>242</v>
      </c>
      <c r="F31" s="2" t="s">
        <v>77</v>
      </c>
      <c r="G31" s="3" t="s">
        <v>186</v>
      </c>
      <c r="H31" s="3" t="s">
        <v>108</v>
      </c>
      <c r="I31" s="2" t="s">
        <v>187</v>
      </c>
      <c r="K31" s="2">
        <v>30</v>
      </c>
      <c r="L31" s="2" t="s">
        <v>613</v>
      </c>
      <c r="M31" s="2">
        <v>46</v>
      </c>
      <c r="N31" s="2">
        <v>46</v>
      </c>
      <c r="O31" s="2">
        <v>48</v>
      </c>
      <c r="P31" s="2">
        <v>50</v>
      </c>
      <c r="Q31" s="2">
        <v>53</v>
      </c>
      <c r="R31" s="2" t="s">
        <v>455</v>
      </c>
      <c r="S31" s="2">
        <f t="shared" ref="S31:S32" si="64">K31</f>
        <v>30</v>
      </c>
      <c r="T31" s="8">
        <f>S31/2</f>
        <v>15</v>
      </c>
      <c r="U31" s="2">
        <f t="shared" ref="U31:U32" si="65">M31</f>
        <v>46</v>
      </c>
      <c r="V31" s="8">
        <f>U31/2</f>
        <v>23</v>
      </c>
      <c r="W31" s="8">
        <f>65/2</f>
        <v>32.5</v>
      </c>
      <c r="AA31" s="2">
        <f>O31/2</f>
        <v>24</v>
      </c>
      <c r="AB31" s="2">
        <f t="shared" ref="AB31" si="66">P31/2</f>
        <v>25</v>
      </c>
      <c r="AC31" s="2">
        <f t="shared" ref="AC31" si="67">Q31/2</f>
        <v>26.5</v>
      </c>
      <c r="AE31" s="2">
        <v>35</v>
      </c>
      <c r="AF31" s="2" t="s">
        <v>613</v>
      </c>
      <c r="AG31" s="2">
        <v>51</v>
      </c>
      <c r="AH31" s="2">
        <v>51</v>
      </c>
      <c r="AI31" s="2">
        <v>54</v>
      </c>
      <c r="AJ31" s="2">
        <v>56</v>
      </c>
      <c r="AK31" s="2">
        <v>58</v>
      </c>
      <c r="AL31" s="2" t="s">
        <v>455</v>
      </c>
      <c r="AM31" s="2">
        <f t="shared" ref="AM31:AM32" si="68">AE31</f>
        <v>35</v>
      </c>
      <c r="AN31" s="8">
        <f>AM31/2</f>
        <v>17.5</v>
      </c>
      <c r="AO31" s="2">
        <f t="shared" ref="AO31:AO32" si="69">AG31</f>
        <v>51</v>
      </c>
      <c r="AP31" s="8">
        <f>AO31/2</f>
        <v>25.5</v>
      </c>
      <c r="AQ31" s="8">
        <f>68.5/2</f>
        <v>34.25</v>
      </c>
      <c r="AU31" s="2">
        <f>AI31/2</f>
        <v>27</v>
      </c>
      <c r="AV31" s="2">
        <f t="shared" ref="AV31:AW31" si="70">AJ31/2</f>
        <v>28</v>
      </c>
      <c r="AW31" s="2">
        <f t="shared" si="70"/>
        <v>29</v>
      </c>
    </row>
    <row r="32" spans="1:49" ht="102" x14ac:dyDescent="0.2">
      <c r="B32" s="2" t="s">
        <v>53</v>
      </c>
      <c r="C32" s="2" t="s">
        <v>246</v>
      </c>
      <c r="D32" s="2" t="s">
        <v>493</v>
      </c>
      <c r="E32" s="3" t="s">
        <v>243</v>
      </c>
      <c r="F32" s="3" t="s">
        <v>387</v>
      </c>
      <c r="G32" s="3" t="s">
        <v>110</v>
      </c>
      <c r="H32" s="3" t="s">
        <v>147</v>
      </c>
      <c r="I32" s="3" t="s">
        <v>188</v>
      </c>
      <c r="J32" s="3"/>
      <c r="K32" s="2">
        <v>6</v>
      </c>
      <c r="L32" s="2" t="s">
        <v>613</v>
      </c>
      <c r="M32" s="2">
        <v>15</v>
      </c>
      <c r="N32" s="2">
        <v>15</v>
      </c>
      <c r="O32" s="2">
        <v>16</v>
      </c>
      <c r="P32" s="2">
        <v>18</v>
      </c>
      <c r="Q32" s="2">
        <v>20</v>
      </c>
      <c r="R32" s="2" t="str">
        <f>D32</f>
        <v>TPITCH1050</v>
      </c>
      <c r="S32" s="2">
        <f t="shared" si="64"/>
        <v>6</v>
      </c>
      <c r="T32" s="2">
        <f>S32</f>
        <v>6</v>
      </c>
      <c r="U32" s="2">
        <f t="shared" si="65"/>
        <v>15</v>
      </c>
      <c r="V32" s="2">
        <f>U32</f>
        <v>15</v>
      </c>
      <c r="W32" s="2">
        <v>30</v>
      </c>
      <c r="AA32" s="2">
        <f>O32</f>
        <v>16</v>
      </c>
      <c r="AB32" s="2">
        <f t="shared" ref="AB32" si="71">P32</f>
        <v>18</v>
      </c>
      <c r="AC32" s="2">
        <f t="shared" ref="AC32" si="72">Q32</f>
        <v>20</v>
      </c>
      <c r="AE32" s="2">
        <v>6</v>
      </c>
      <c r="AF32" s="2" t="s">
        <v>613</v>
      </c>
      <c r="AG32" s="2">
        <v>17</v>
      </c>
      <c r="AH32" s="2">
        <v>17</v>
      </c>
      <c r="AI32" s="2">
        <v>18</v>
      </c>
      <c r="AJ32" s="2">
        <v>20</v>
      </c>
      <c r="AK32" s="2">
        <v>22</v>
      </c>
      <c r="AL32" s="2" t="str">
        <f>D32</f>
        <v>TPITCH1050</v>
      </c>
      <c r="AM32" s="2">
        <f t="shared" si="68"/>
        <v>6</v>
      </c>
      <c r="AN32" s="2">
        <f>AM32</f>
        <v>6</v>
      </c>
      <c r="AO32" s="2">
        <f t="shared" si="69"/>
        <v>17</v>
      </c>
      <c r="AP32" s="2">
        <f>AO32</f>
        <v>17</v>
      </c>
      <c r="AQ32" s="2">
        <v>30</v>
      </c>
      <c r="AU32" s="2">
        <f>AI32</f>
        <v>18</v>
      </c>
      <c r="AV32" s="2">
        <f t="shared" ref="AV32:AW32" si="73">AJ32</f>
        <v>20</v>
      </c>
      <c r="AW32" s="2">
        <f t="shared" si="73"/>
        <v>22</v>
      </c>
    </row>
    <row r="33" spans="2:49" s="30" customFormat="1" x14ac:dyDescent="0.2">
      <c r="B33" s="30" t="s">
        <v>457</v>
      </c>
      <c r="E33" s="31"/>
      <c r="F33" s="31"/>
      <c r="G33" s="31"/>
      <c r="H33" s="31"/>
      <c r="N33" s="35" t="s">
        <v>459</v>
      </c>
      <c r="O33" s="35"/>
      <c r="P33" s="35"/>
      <c r="Q33" s="35"/>
      <c r="AH33" s="35" t="s">
        <v>459</v>
      </c>
      <c r="AI33" s="35"/>
      <c r="AJ33" s="35"/>
      <c r="AK33" s="35"/>
    </row>
    <row r="34" spans="2:49" s="39" customFormat="1" x14ac:dyDescent="0.2">
      <c r="B34" s="39" t="s">
        <v>458</v>
      </c>
      <c r="E34" s="40"/>
      <c r="F34" s="40"/>
      <c r="G34" s="40"/>
      <c r="H34" s="40"/>
      <c r="N34" s="41" t="s">
        <v>460</v>
      </c>
      <c r="O34" s="41"/>
      <c r="P34" s="41"/>
      <c r="Q34" s="41"/>
      <c r="AH34" s="41" t="s">
        <v>460</v>
      </c>
      <c r="AI34" s="41"/>
      <c r="AJ34" s="41"/>
      <c r="AK34" s="41"/>
    </row>
    <row r="35" spans="2:49" s="23" customFormat="1" x14ac:dyDescent="0.2">
      <c r="B35" s="23" t="s">
        <v>486</v>
      </c>
      <c r="D35" s="23" t="s">
        <v>650</v>
      </c>
      <c r="E35" s="24"/>
      <c r="F35" s="24"/>
      <c r="G35" s="24"/>
      <c r="H35" s="24"/>
      <c r="I35" s="24"/>
      <c r="J35" s="24"/>
      <c r="T35" s="26">
        <f>SUM(T31:T32)</f>
        <v>21</v>
      </c>
      <c r="U35" s="26"/>
      <c r="V35" s="26">
        <f>SUM(V31:V32)</f>
        <v>38</v>
      </c>
      <c r="W35" s="26">
        <f>SUM(W31:W32)</f>
        <v>62.5</v>
      </c>
      <c r="X35" s="26">
        <v>50</v>
      </c>
      <c r="Y35" s="26">
        <f>(T35/W35)*X35</f>
        <v>16.8</v>
      </c>
      <c r="Z35" s="26">
        <f>(V35/W35)*X35</f>
        <v>30.4</v>
      </c>
      <c r="AA35" s="26">
        <f t="shared" ref="AA35:AC35" si="74">SUM(AA31:AA32)</f>
        <v>40</v>
      </c>
      <c r="AB35" s="26">
        <f t="shared" si="74"/>
        <v>43</v>
      </c>
      <c r="AC35" s="26">
        <f t="shared" si="74"/>
        <v>46.5</v>
      </c>
      <c r="AN35" s="26">
        <f>SUM(AN31:AN32)</f>
        <v>23.5</v>
      </c>
      <c r="AO35" s="26"/>
      <c r="AP35" s="26">
        <f>SUM(AP31:AP32)</f>
        <v>42.5</v>
      </c>
      <c r="AQ35" s="26">
        <f>SUM(AQ31:AQ32)</f>
        <v>64.25</v>
      </c>
      <c r="AR35" s="26">
        <v>50</v>
      </c>
      <c r="AS35" s="26">
        <f>(AN35/AQ35)*AR35</f>
        <v>18.28793774319066</v>
      </c>
      <c r="AT35" s="26">
        <f>(AP35/AQ35)*AR35</f>
        <v>33.07392996108949</v>
      </c>
      <c r="AU35" s="26">
        <f t="shared" ref="AU35:AW35" si="75">SUM(AU31:AU32)</f>
        <v>45</v>
      </c>
      <c r="AV35" s="26">
        <f t="shared" si="75"/>
        <v>48</v>
      </c>
      <c r="AW35" s="26">
        <f t="shared" si="75"/>
        <v>51</v>
      </c>
    </row>
    <row r="36" spans="2:49" ht="119" x14ac:dyDescent="0.2">
      <c r="B36" s="2" t="s">
        <v>54</v>
      </c>
      <c r="C36" s="2" t="s">
        <v>494</v>
      </c>
      <c r="D36" s="2" t="s">
        <v>495</v>
      </c>
      <c r="E36" s="3" t="s">
        <v>233</v>
      </c>
      <c r="F36" s="3" t="s">
        <v>151</v>
      </c>
      <c r="G36" s="3" t="s">
        <v>110</v>
      </c>
      <c r="H36" s="3" t="s">
        <v>150</v>
      </c>
      <c r="I36" s="2" t="s">
        <v>200</v>
      </c>
      <c r="K36" s="2">
        <v>6</v>
      </c>
      <c r="L36" s="2" t="s">
        <v>613</v>
      </c>
      <c r="M36" s="2">
        <v>14</v>
      </c>
      <c r="N36" s="2">
        <v>14</v>
      </c>
      <c r="O36" s="2">
        <v>15</v>
      </c>
      <c r="P36" s="2">
        <v>16</v>
      </c>
      <c r="Q36" s="2">
        <v>18</v>
      </c>
      <c r="R36" s="2" t="str">
        <f>D36</f>
        <v>C10PCS</v>
      </c>
      <c r="S36" s="2">
        <f t="shared" ref="S36:S37" si="76">K36</f>
        <v>6</v>
      </c>
      <c r="T36" s="2">
        <f>S36</f>
        <v>6</v>
      </c>
      <c r="U36" s="2">
        <f t="shared" ref="U36:U37" si="77">M36</f>
        <v>14</v>
      </c>
      <c r="V36" s="2">
        <f>U36</f>
        <v>14</v>
      </c>
      <c r="W36" s="2">
        <v>20</v>
      </c>
      <c r="AA36" s="2">
        <f>O36</f>
        <v>15</v>
      </c>
      <c r="AB36" s="2">
        <f t="shared" ref="AB36" si="78">P36</f>
        <v>16</v>
      </c>
      <c r="AC36" s="2">
        <f t="shared" ref="AC36" si="79">Q36</f>
        <v>18</v>
      </c>
      <c r="AE36" s="2">
        <v>6</v>
      </c>
      <c r="AF36" s="2" t="s">
        <v>613</v>
      </c>
      <c r="AG36" s="2">
        <v>14</v>
      </c>
      <c r="AH36" s="2">
        <v>14</v>
      </c>
      <c r="AI36" s="2">
        <v>15</v>
      </c>
      <c r="AJ36" s="2">
        <v>16</v>
      </c>
      <c r="AK36" s="2">
        <v>18</v>
      </c>
      <c r="AL36" s="2" t="str">
        <f>D36</f>
        <v>C10PCS</v>
      </c>
      <c r="AM36" s="2">
        <f t="shared" ref="AM36:AM37" si="80">AE36</f>
        <v>6</v>
      </c>
      <c r="AN36" s="2">
        <f>AM36</f>
        <v>6</v>
      </c>
      <c r="AO36" s="2">
        <f t="shared" ref="AO36:AO37" si="81">AG36</f>
        <v>14</v>
      </c>
      <c r="AP36" s="2">
        <f>AO36</f>
        <v>14</v>
      </c>
      <c r="AQ36" s="2">
        <v>20</v>
      </c>
      <c r="AU36" s="2">
        <f>AI36</f>
        <v>15</v>
      </c>
      <c r="AV36" s="2">
        <f t="shared" ref="AV36:AW36" si="82">AJ36</f>
        <v>16</v>
      </c>
      <c r="AW36" s="2">
        <f t="shared" si="82"/>
        <v>18</v>
      </c>
    </row>
    <row r="37" spans="2:49" ht="68" x14ac:dyDescent="0.2">
      <c r="B37" s="2" t="s">
        <v>54</v>
      </c>
      <c r="C37" s="2" t="s">
        <v>56</v>
      </c>
      <c r="D37" s="2" t="s">
        <v>475</v>
      </c>
      <c r="E37" s="3" t="s">
        <v>114</v>
      </c>
      <c r="F37" s="2" t="s">
        <v>116</v>
      </c>
      <c r="H37" s="3" t="s">
        <v>80</v>
      </c>
      <c r="I37" s="2" t="s">
        <v>194</v>
      </c>
      <c r="K37" s="2">
        <v>2.5099999999999998</v>
      </c>
      <c r="L37" s="2" t="s">
        <v>613</v>
      </c>
      <c r="M37" s="2">
        <v>1.6</v>
      </c>
      <c r="N37" s="2">
        <v>1.6</v>
      </c>
      <c r="O37" s="2">
        <v>1.55</v>
      </c>
      <c r="P37" s="2">
        <v>1.5</v>
      </c>
      <c r="Q37" s="2">
        <v>1.45</v>
      </c>
      <c r="R37" s="2" t="s">
        <v>800</v>
      </c>
      <c r="S37" s="2">
        <f t="shared" si="76"/>
        <v>2.5099999999999998</v>
      </c>
      <c r="T37" s="2">
        <f>(5-S37)*4</f>
        <v>9.9600000000000009</v>
      </c>
      <c r="U37" s="2">
        <f t="shared" si="77"/>
        <v>1.6</v>
      </c>
      <c r="V37" s="2">
        <f>(5-U37)*4</f>
        <v>13.6</v>
      </c>
      <c r="W37" s="2">
        <v>15</v>
      </c>
      <c r="AA37" s="2">
        <f>(5-O37)*4</f>
        <v>13.8</v>
      </c>
      <c r="AB37" s="2">
        <f t="shared" ref="AB37" si="83">(5-P37)*2.5</f>
        <v>8.75</v>
      </c>
      <c r="AC37" s="2">
        <f>(5-Q37)*4</f>
        <v>14.2</v>
      </c>
      <c r="AE37" s="2">
        <v>2.4</v>
      </c>
      <c r="AF37" s="2" t="s">
        <v>613</v>
      </c>
      <c r="AG37" s="2">
        <v>1.5</v>
      </c>
      <c r="AH37" s="2">
        <v>1.5</v>
      </c>
      <c r="AI37" s="2">
        <v>1.45</v>
      </c>
      <c r="AJ37" s="2">
        <v>1.4</v>
      </c>
      <c r="AK37" s="2">
        <v>1.25</v>
      </c>
      <c r="AL37" s="2" t="s">
        <v>800</v>
      </c>
      <c r="AM37" s="2">
        <f t="shared" si="80"/>
        <v>2.4</v>
      </c>
      <c r="AN37" s="2">
        <f>(5-AM37)*4</f>
        <v>10.4</v>
      </c>
      <c r="AO37" s="2">
        <f t="shared" si="81"/>
        <v>1.5</v>
      </c>
      <c r="AP37" s="2">
        <f>(5-AO37)*4</f>
        <v>14</v>
      </c>
      <c r="AQ37" s="2">
        <v>15</v>
      </c>
      <c r="AU37" s="2">
        <f>(5-AI37)*4</f>
        <v>14.2</v>
      </c>
      <c r="AV37" s="2">
        <f t="shared" ref="AV37" si="84">(5-AJ37)*2.5</f>
        <v>9</v>
      </c>
      <c r="AW37" s="2">
        <f>(5-AK37)*4</f>
        <v>15</v>
      </c>
    </row>
    <row r="38" spans="2:49" s="44" customFormat="1" x14ac:dyDescent="0.2">
      <c r="B38" s="44" t="s">
        <v>487</v>
      </c>
      <c r="E38" s="45"/>
      <c r="F38" s="45"/>
      <c r="G38" s="45"/>
      <c r="H38" s="45"/>
      <c r="N38" s="46" t="s">
        <v>501</v>
      </c>
      <c r="O38" s="46"/>
      <c r="P38" s="46"/>
      <c r="Q38" s="46"/>
      <c r="AH38" s="46" t="s">
        <v>501</v>
      </c>
      <c r="AI38" s="46"/>
      <c r="AJ38" s="46"/>
      <c r="AK38" s="46"/>
    </row>
    <row r="39" spans="2:49" s="23" customFormat="1" x14ac:dyDescent="0.2">
      <c r="B39" s="23" t="s">
        <v>488</v>
      </c>
      <c r="D39" s="23" t="s">
        <v>651</v>
      </c>
      <c r="E39" s="24"/>
      <c r="F39" s="24"/>
      <c r="G39" s="24"/>
      <c r="H39" s="24"/>
      <c r="I39" s="24"/>
      <c r="J39" s="24"/>
      <c r="T39" s="26">
        <f>SUM(T36:T37)</f>
        <v>15.96</v>
      </c>
      <c r="U39" s="26"/>
      <c r="V39" s="26">
        <f>SUM(V36:V37)</f>
        <v>27.6</v>
      </c>
      <c r="W39" s="26">
        <f>SUM(W36:W37)</f>
        <v>35</v>
      </c>
      <c r="X39" s="26">
        <v>50</v>
      </c>
      <c r="Y39" s="26">
        <f>(T39/W39)*X39</f>
        <v>22.8</v>
      </c>
      <c r="Z39" s="26">
        <f>(V39/W39)*X39</f>
        <v>39.428571428571431</v>
      </c>
      <c r="AA39" s="26">
        <f t="shared" ref="AA39:AC39" si="85">SUM(AA36:AA37)</f>
        <v>28.8</v>
      </c>
      <c r="AB39" s="26">
        <f t="shared" si="85"/>
        <v>24.75</v>
      </c>
      <c r="AC39" s="26">
        <f t="shared" si="85"/>
        <v>32.200000000000003</v>
      </c>
      <c r="AN39" s="26">
        <f>SUM(AN36:AN37)</f>
        <v>16.399999999999999</v>
      </c>
      <c r="AO39" s="26"/>
      <c r="AP39" s="26">
        <f>SUM(AP36:AP37)</f>
        <v>28</v>
      </c>
      <c r="AQ39" s="26">
        <f>SUM(AQ36:AQ37)</f>
        <v>35</v>
      </c>
      <c r="AR39" s="26">
        <v>50</v>
      </c>
      <c r="AS39" s="26">
        <f>(AN39/AQ39)*AR39</f>
        <v>23.428571428571427</v>
      </c>
      <c r="AT39" s="26">
        <f>(AP39/AQ39)*AR39</f>
        <v>40</v>
      </c>
      <c r="AU39" s="26">
        <f t="shared" ref="AU39:AW39" si="86">SUM(AU36:AU37)</f>
        <v>29.2</v>
      </c>
      <c r="AV39" s="26">
        <f t="shared" si="86"/>
        <v>25</v>
      </c>
      <c r="AW39" s="26">
        <f t="shared" si="86"/>
        <v>33</v>
      </c>
    </row>
    <row r="40" spans="2:49" ht="119" x14ac:dyDescent="0.2">
      <c r="B40" s="2" t="s">
        <v>58</v>
      </c>
      <c r="C40" s="2" t="s">
        <v>196</v>
      </c>
      <c r="D40" s="2" t="s">
        <v>502</v>
      </c>
      <c r="E40" s="3" t="s">
        <v>250</v>
      </c>
      <c r="F40" s="3" t="s">
        <v>149</v>
      </c>
      <c r="G40" s="3" t="s">
        <v>141</v>
      </c>
      <c r="H40" s="3" t="s">
        <v>150</v>
      </c>
      <c r="I40" s="2" t="s">
        <v>188</v>
      </c>
      <c r="K40" s="2">
        <v>5</v>
      </c>
      <c r="L40" s="2" t="s">
        <v>613</v>
      </c>
      <c r="M40" s="2">
        <v>16</v>
      </c>
      <c r="N40" s="2">
        <v>16</v>
      </c>
      <c r="O40" s="2">
        <v>18</v>
      </c>
      <c r="P40" s="2">
        <v>20</v>
      </c>
      <c r="Q40" s="2">
        <v>24</v>
      </c>
      <c r="R40" s="2" t="str">
        <f>D40</f>
        <v>C101B</v>
      </c>
      <c r="S40" s="2">
        <f t="shared" ref="S40:S41" si="87">K40</f>
        <v>5</v>
      </c>
      <c r="T40" s="2">
        <f>S40</f>
        <v>5</v>
      </c>
      <c r="U40" s="2">
        <f t="shared" ref="U40:U41" si="88">M40</f>
        <v>16</v>
      </c>
      <c r="V40" s="2">
        <f>U40</f>
        <v>16</v>
      </c>
      <c r="W40" s="2">
        <v>30</v>
      </c>
      <c r="AA40" s="2">
        <f>O40</f>
        <v>18</v>
      </c>
      <c r="AB40" s="2">
        <f t="shared" ref="AB40:AB41" si="89">P40</f>
        <v>20</v>
      </c>
      <c r="AC40" s="2">
        <f t="shared" ref="AC40:AC41" si="90">Q40</f>
        <v>24</v>
      </c>
      <c r="AE40" s="2">
        <v>5</v>
      </c>
      <c r="AF40" s="2" t="s">
        <v>613</v>
      </c>
      <c r="AG40" s="2">
        <v>17</v>
      </c>
      <c r="AH40" s="2">
        <v>17</v>
      </c>
      <c r="AI40" s="2">
        <v>19</v>
      </c>
      <c r="AJ40" s="2">
        <v>21</v>
      </c>
      <c r="AK40" s="2">
        <v>25</v>
      </c>
      <c r="AL40" s="2" t="str">
        <f>D40</f>
        <v>C101B</v>
      </c>
      <c r="AM40" s="2">
        <f t="shared" ref="AM40:AM41" si="91">AE40</f>
        <v>5</v>
      </c>
      <c r="AN40" s="2">
        <f>AM40</f>
        <v>5</v>
      </c>
      <c r="AO40" s="2">
        <f t="shared" ref="AO40:AO41" si="92">AG40</f>
        <v>17</v>
      </c>
      <c r="AP40" s="2">
        <f>AO40</f>
        <v>17</v>
      </c>
      <c r="AQ40" s="2">
        <v>30</v>
      </c>
      <c r="AU40" s="2">
        <f>AI40</f>
        <v>19</v>
      </c>
      <c r="AV40" s="2">
        <f t="shared" ref="AV40:AW41" si="93">AJ40</f>
        <v>21</v>
      </c>
      <c r="AW40" s="2">
        <f t="shared" si="93"/>
        <v>25</v>
      </c>
    </row>
    <row r="41" spans="2:49" ht="85" x14ac:dyDescent="0.2">
      <c r="B41" s="2" t="s">
        <v>58</v>
      </c>
      <c r="C41" s="2" t="s">
        <v>59</v>
      </c>
      <c r="D41" s="2" t="s">
        <v>463</v>
      </c>
      <c r="E41" s="3" t="s">
        <v>235</v>
      </c>
      <c r="F41" s="3" t="s">
        <v>153</v>
      </c>
      <c r="G41" s="3" t="s">
        <v>141</v>
      </c>
      <c r="H41" s="3" t="s">
        <v>147</v>
      </c>
      <c r="I41" s="2" t="s">
        <v>195</v>
      </c>
      <c r="K41" s="2">
        <v>2</v>
      </c>
      <c r="L41" s="2" t="s">
        <v>613</v>
      </c>
      <c r="M41" s="2">
        <v>8</v>
      </c>
      <c r="N41" s="2">
        <v>8</v>
      </c>
      <c r="O41" s="2">
        <v>9</v>
      </c>
      <c r="P41" s="2">
        <v>10</v>
      </c>
      <c r="Q41" s="2">
        <v>12</v>
      </c>
      <c r="R41" s="2" t="str">
        <f t="shared" ref="R41" si="94">D41</f>
        <v>C1BST</v>
      </c>
      <c r="S41" s="2">
        <f t="shared" si="87"/>
        <v>2</v>
      </c>
      <c r="T41" s="2">
        <f t="shared" ref="T41:V41" si="95">S41</f>
        <v>2</v>
      </c>
      <c r="U41" s="2">
        <f t="shared" si="88"/>
        <v>8</v>
      </c>
      <c r="V41" s="2">
        <f t="shared" si="95"/>
        <v>8</v>
      </c>
      <c r="W41" s="2">
        <v>15</v>
      </c>
      <c r="AA41" s="2">
        <f t="shared" ref="AA41" si="96">O41</f>
        <v>9</v>
      </c>
      <c r="AB41" s="2">
        <f t="shared" si="89"/>
        <v>10</v>
      </c>
      <c r="AC41" s="2">
        <f t="shared" si="90"/>
        <v>12</v>
      </c>
      <c r="AE41" s="2">
        <v>2</v>
      </c>
      <c r="AF41" s="2" t="s">
        <v>613</v>
      </c>
      <c r="AG41" s="2">
        <v>8</v>
      </c>
      <c r="AH41" s="2">
        <v>8</v>
      </c>
      <c r="AI41" s="2">
        <v>9</v>
      </c>
      <c r="AJ41" s="2">
        <v>10</v>
      </c>
      <c r="AK41" s="2">
        <v>12</v>
      </c>
      <c r="AL41" s="2" t="str">
        <f>D41</f>
        <v>C1BST</v>
      </c>
      <c r="AM41" s="2">
        <f t="shared" si="91"/>
        <v>2</v>
      </c>
      <c r="AN41" s="2">
        <f t="shared" ref="AN41:AP41" si="97">AM41</f>
        <v>2</v>
      </c>
      <c r="AO41" s="2">
        <f t="shared" si="92"/>
        <v>8</v>
      </c>
      <c r="AP41" s="2">
        <f t="shared" ref="AP41:AR41" si="98">AO41</f>
        <v>8</v>
      </c>
      <c r="AQ41" s="2">
        <v>15</v>
      </c>
      <c r="AU41" s="2">
        <f t="shared" ref="AU41" si="99">AI41</f>
        <v>9</v>
      </c>
      <c r="AV41" s="2">
        <f t="shared" si="93"/>
        <v>10</v>
      </c>
      <c r="AW41" s="2">
        <f t="shared" si="93"/>
        <v>12</v>
      </c>
    </row>
    <row r="42" spans="2:49" s="30" customFormat="1" x14ac:dyDescent="0.2">
      <c r="B42" s="30" t="s">
        <v>461</v>
      </c>
      <c r="E42" s="31"/>
      <c r="F42" s="31"/>
      <c r="G42" s="31"/>
      <c r="H42" s="31"/>
      <c r="I42" s="31"/>
      <c r="N42" s="35" t="s">
        <v>503</v>
      </c>
      <c r="O42" s="35"/>
      <c r="P42" s="35"/>
      <c r="Q42" s="35"/>
      <c r="AH42" s="35" t="s">
        <v>503</v>
      </c>
      <c r="AI42" s="35"/>
      <c r="AJ42" s="35"/>
      <c r="AK42" s="35"/>
    </row>
    <row r="43" spans="2:49" s="23" customFormat="1" x14ac:dyDescent="0.2">
      <c r="B43" s="23" t="s">
        <v>505</v>
      </c>
      <c r="D43" s="23" t="s">
        <v>652</v>
      </c>
      <c r="E43" s="24"/>
      <c r="F43" s="24"/>
      <c r="G43" s="24"/>
      <c r="H43" s="24"/>
      <c r="I43" s="24"/>
      <c r="J43" s="24"/>
      <c r="T43" s="26">
        <f>SUM(T40:T41)</f>
        <v>7</v>
      </c>
      <c r="U43" s="26"/>
      <c r="V43" s="26">
        <f>SUM(V40:V41)</f>
        <v>24</v>
      </c>
      <c r="W43" s="26">
        <f>SUM(W40:W41)</f>
        <v>45</v>
      </c>
      <c r="X43" s="26">
        <v>50</v>
      </c>
      <c r="Y43" s="26">
        <f>(T43/W43)*X43</f>
        <v>7.7777777777777777</v>
      </c>
      <c r="Z43" s="26">
        <f>(V43/W43)*X43</f>
        <v>26.666666666666668</v>
      </c>
      <c r="AA43" s="26">
        <f t="shared" ref="AA43:AC43" si="100">SUM(AA40:AA41)</f>
        <v>27</v>
      </c>
      <c r="AB43" s="26">
        <f t="shared" si="100"/>
        <v>30</v>
      </c>
      <c r="AC43" s="26">
        <f t="shared" si="100"/>
        <v>36</v>
      </c>
      <c r="AN43" s="26">
        <f>SUM(AN40:AN41)</f>
        <v>7</v>
      </c>
      <c r="AO43" s="26"/>
      <c r="AP43" s="26">
        <f>SUM(AP40:AP41)</f>
        <v>25</v>
      </c>
      <c r="AQ43" s="26">
        <f>SUM(AQ40:AQ41)</f>
        <v>45</v>
      </c>
      <c r="AR43" s="26">
        <v>50</v>
      </c>
      <c r="AS43" s="26">
        <f>(AN43/AQ43)*AR43</f>
        <v>7.7777777777777777</v>
      </c>
      <c r="AT43" s="26">
        <f>(AP43/AQ43)*AR43</f>
        <v>27.777777777777779</v>
      </c>
      <c r="AU43" s="26">
        <f t="shared" ref="AU43:AW43" si="101">SUM(AU40:AU41)</f>
        <v>28</v>
      </c>
      <c r="AV43" s="26">
        <f t="shared" si="101"/>
        <v>31</v>
      </c>
      <c r="AW43" s="26">
        <f t="shared" si="101"/>
        <v>37</v>
      </c>
    </row>
    <row r="44" spans="2:49" ht="119" x14ac:dyDescent="0.2">
      <c r="B44" s="2" t="s">
        <v>63</v>
      </c>
      <c r="C44" s="2" t="s">
        <v>121</v>
      </c>
      <c r="D44" s="2" t="s">
        <v>393</v>
      </c>
      <c r="E44" s="3" t="s">
        <v>311</v>
      </c>
      <c r="F44" s="3" t="s">
        <v>155</v>
      </c>
      <c r="G44" s="3" t="s">
        <v>154</v>
      </c>
      <c r="H44" s="3" t="s">
        <v>150</v>
      </c>
      <c r="I44" s="2" t="s">
        <v>197</v>
      </c>
      <c r="K44" s="2">
        <v>3</v>
      </c>
      <c r="L44" s="2" t="s">
        <v>613</v>
      </c>
      <c r="M44" s="2">
        <v>8</v>
      </c>
      <c r="N44" s="38">
        <v>21</v>
      </c>
      <c r="O44" s="38">
        <v>24</v>
      </c>
      <c r="P44" s="38">
        <v>26</v>
      </c>
      <c r="Q44" s="38">
        <v>28</v>
      </c>
      <c r="R44" s="2" t="str">
        <f>$D44</f>
        <v>RLCG2B</v>
      </c>
      <c r="S44" s="2">
        <f>K44</f>
        <v>3</v>
      </c>
      <c r="T44" s="2">
        <f>S44</f>
        <v>3</v>
      </c>
      <c r="U44" s="2">
        <f t="shared" ref="U44:U52" si="102">M44</f>
        <v>8</v>
      </c>
      <c r="V44" s="2">
        <f>U44</f>
        <v>8</v>
      </c>
      <c r="W44" s="2">
        <v>12</v>
      </c>
      <c r="AA44" s="74">
        <v>8</v>
      </c>
      <c r="AB44" s="74">
        <v>9</v>
      </c>
      <c r="AC44" s="74">
        <v>10</v>
      </c>
      <c r="AE44" s="2">
        <v>4</v>
      </c>
      <c r="AF44" s="2" t="s">
        <v>613</v>
      </c>
      <c r="AG44" s="2">
        <v>8</v>
      </c>
      <c r="AH44" s="38">
        <v>24</v>
      </c>
      <c r="AI44" s="38">
        <v>26</v>
      </c>
      <c r="AJ44" s="38">
        <v>28</v>
      </c>
      <c r="AK44" s="38">
        <v>30</v>
      </c>
      <c r="AL44" s="2" t="str">
        <f>$D44</f>
        <v>RLCG2B</v>
      </c>
      <c r="AM44" s="2">
        <f>AE44</f>
        <v>4</v>
      </c>
      <c r="AN44" s="2">
        <f>AM44</f>
        <v>4</v>
      </c>
      <c r="AO44" s="2">
        <f t="shared" ref="AO44:AO52" si="103">AG44</f>
        <v>8</v>
      </c>
      <c r="AP44" s="2">
        <f>AO44</f>
        <v>8</v>
      </c>
      <c r="AQ44" s="2">
        <v>12</v>
      </c>
      <c r="AU44" s="74">
        <v>9</v>
      </c>
      <c r="AV44" s="74">
        <v>10</v>
      </c>
      <c r="AW44" s="74">
        <v>11</v>
      </c>
    </row>
    <row r="45" spans="2:49" ht="119" x14ac:dyDescent="0.2">
      <c r="B45" s="2" t="s">
        <v>63</v>
      </c>
      <c r="C45" s="2" t="s">
        <v>122</v>
      </c>
      <c r="D45" s="2" t="s">
        <v>394</v>
      </c>
      <c r="E45" s="3" t="s">
        <v>312</v>
      </c>
      <c r="F45" s="3" t="s">
        <v>155</v>
      </c>
      <c r="G45" s="3" t="s">
        <v>154</v>
      </c>
      <c r="H45" s="3" t="s">
        <v>150</v>
      </c>
      <c r="I45" s="2" t="s">
        <v>197</v>
      </c>
      <c r="K45" s="2">
        <v>3</v>
      </c>
      <c r="L45" s="2" t="s">
        <v>613</v>
      </c>
      <c r="M45" s="2">
        <v>7</v>
      </c>
      <c r="N45" s="38"/>
      <c r="O45" s="38"/>
      <c r="P45" s="38"/>
      <c r="Q45" s="38"/>
      <c r="R45" s="2" t="str">
        <f t="shared" ref="R45:R52" si="104">$D45</f>
        <v>RLCGSS</v>
      </c>
      <c r="S45" s="2">
        <f t="shared" ref="S45:S52" si="105">K45</f>
        <v>3</v>
      </c>
      <c r="T45" s="2">
        <f t="shared" ref="T45:T52" si="106">S45</f>
        <v>3</v>
      </c>
      <c r="U45" s="2">
        <f t="shared" si="102"/>
        <v>7</v>
      </c>
      <c r="V45" s="2">
        <f t="shared" ref="V45:V52" si="107">U45</f>
        <v>7</v>
      </c>
      <c r="W45" s="2">
        <v>12</v>
      </c>
      <c r="AA45" s="74">
        <v>8</v>
      </c>
      <c r="AB45" s="74">
        <v>9</v>
      </c>
      <c r="AC45" s="74">
        <v>9</v>
      </c>
      <c r="AE45" s="2">
        <v>3</v>
      </c>
      <c r="AF45" s="2" t="s">
        <v>613</v>
      </c>
      <c r="AG45" s="2">
        <v>8</v>
      </c>
      <c r="AH45" s="38"/>
      <c r="AI45" s="38"/>
      <c r="AJ45" s="38"/>
      <c r="AK45" s="38"/>
      <c r="AL45" s="2" t="str">
        <f t="shared" ref="AL45:AL52" si="108">$D45</f>
        <v>RLCGSS</v>
      </c>
      <c r="AM45" s="2">
        <f t="shared" ref="AM45:AM52" si="109">AE45</f>
        <v>3</v>
      </c>
      <c r="AN45" s="2">
        <f t="shared" ref="AN45:AN52" si="110">AM45</f>
        <v>3</v>
      </c>
      <c r="AO45" s="2">
        <f t="shared" si="103"/>
        <v>8</v>
      </c>
      <c r="AP45" s="2">
        <f t="shared" ref="AP45:AP52" si="111">AO45</f>
        <v>8</v>
      </c>
      <c r="AQ45" s="2">
        <v>12</v>
      </c>
      <c r="AU45" s="74">
        <v>9</v>
      </c>
      <c r="AV45" s="74">
        <v>9</v>
      </c>
      <c r="AW45" s="74">
        <v>10</v>
      </c>
    </row>
    <row r="46" spans="2:49" ht="119" x14ac:dyDescent="0.2">
      <c r="B46" s="2" t="s">
        <v>63</v>
      </c>
      <c r="C46" s="2" t="s">
        <v>123</v>
      </c>
      <c r="D46" s="2" t="s">
        <v>395</v>
      </c>
      <c r="E46" s="3" t="s">
        <v>313</v>
      </c>
      <c r="F46" s="3" t="s">
        <v>155</v>
      </c>
      <c r="G46" s="3" t="s">
        <v>154</v>
      </c>
      <c r="H46" s="3" t="s">
        <v>150</v>
      </c>
      <c r="I46" s="2" t="s">
        <v>197</v>
      </c>
      <c r="K46" s="2">
        <v>3</v>
      </c>
      <c r="L46" s="2" t="s">
        <v>613</v>
      </c>
      <c r="M46" s="2">
        <v>7</v>
      </c>
      <c r="N46" s="38"/>
      <c r="O46" s="38"/>
      <c r="P46" s="38"/>
      <c r="Q46" s="38"/>
      <c r="R46" s="2" t="str">
        <f t="shared" si="104"/>
        <v>RLCG3B</v>
      </c>
      <c r="S46" s="2">
        <f t="shared" si="105"/>
        <v>3</v>
      </c>
      <c r="T46" s="2">
        <f t="shared" si="106"/>
        <v>3</v>
      </c>
      <c r="U46" s="2">
        <f t="shared" si="102"/>
        <v>7</v>
      </c>
      <c r="V46" s="2">
        <f t="shared" si="107"/>
        <v>7</v>
      </c>
      <c r="W46" s="2">
        <v>12</v>
      </c>
      <c r="AA46" s="74">
        <v>8</v>
      </c>
      <c r="AB46" s="74">
        <v>8</v>
      </c>
      <c r="AC46" s="74">
        <v>9</v>
      </c>
      <c r="AE46" s="2">
        <v>3</v>
      </c>
      <c r="AF46" s="2" t="s">
        <v>613</v>
      </c>
      <c r="AG46" s="2">
        <v>8</v>
      </c>
      <c r="AH46" s="38"/>
      <c r="AI46" s="38"/>
      <c r="AJ46" s="38"/>
      <c r="AK46" s="38"/>
      <c r="AL46" s="2" t="str">
        <f t="shared" si="108"/>
        <v>RLCG3B</v>
      </c>
      <c r="AM46" s="2">
        <f t="shared" si="109"/>
        <v>3</v>
      </c>
      <c r="AN46" s="2">
        <f t="shared" si="110"/>
        <v>3</v>
      </c>
      <c r="AO46" s="2">
        <f t="shared" si="103"/>
        <v>8</v>
      </c>
      <c r="AP46" s="2">
        <f t="shared" si="111"/>
        <v>8</v>
      </c>
      <c r="AQ46" s="2">
        <v>12</v>
      </c>
      <c r="AU46" s="74">
        <v>8</v>
      </c>
      <c r="AV46" s="74">
        <v>9</v>
      </c>
      <c r="AW46" s="74">
        <v>9</v>
      </c>
    </row>
    <row r="47" spans="2:49" ht="51" x14ac:dyDescent="0.2">
      <c r="B47" s="2" t="s">
        <v>63</v>
      </c>
      <c r="C47" s="2" t="s">
        <v>125</v>
      </c>
      <c r="D47" s="2" t="s">
        <v>464</v>
      </c>
      <c r="E47" s="3" t="s">
        <v>124</v>
      </c>
      <c r="F47" s="2" t="s">
        <v>156</v>
      </c>
      <c r="G47" s="3" t="s">
        <v>157</v>
      </c>
      <c r="H47" s="3" t="s">
        <v>147</v>
      </c>
      <c r="I47" s="2" t="s">
        <v>198</v>
      </c>
      <c r="K47" s="2">
        <v>0</v>
      </c>
      <c r="L47" s="2" t="s">
        <v>613</v>
      </c>
      <c r="M47" s="2">
        <v>4</v>
      </c>
      <c r="N47" s="38">
        <v>12</v>
      </c>
      <c r="O47" s="38">
        <v>13</v>
      </c>
      <c r="P47" s="38">
        <v>14</v>
      </c>
      <c r="Q47" s="38">
        <v>15</v>
      </c>
      <c r="R47" s="2" t="str">
        <f t="shared" si="104"/>
        <v>CIFF2B</v>
      </c>
      <c r="S47" s="2">
        <f t="shared" si="105"/>
        <v>0</v>
      </c>
      <c r="T47" s="2">
        <f t="shared" si="106"/>
        <v>0</v>
      </c>
      <c r="U47" s="2">
        <f t="shared" si="102"/>
        <v>4</v>
      </c>
      <c r="V47" s="2">
        <f t="shared" si="107"/>
        <v>4</v>
      </c>
      <c r="W47" s="2">
        <v>6</v>
      </c>
      <c r="AA47" s="74">
        <v>5</v>
      </c>
      <c r="AB47" s="74">
        <v>5</v>
      </c>
      <c r="AC47" s="74">
        <v>5</v>
      </c>
      <c r="AE47" s="2">
        <v>0</v>
      </c>
      <c r="AF47" s="2" t="s">
        <v>613</v>
      </c>
      <c r="AG47" s="2">
        <v>4</v>
      </c>
      <c r="AH47" s="38">
        <v>12</v>
      </c>
      <c r="AI47" s="38">
        <v>13</v>
      </c>
      <c r="AJ47" s="38">
        <v>14</v>
      </c>
      <c r="AK47" s="38">
        <v>15</v>
      </c>
      <c r="AL47" s="2" t="str">
        <f t="shared" si="108"/>
        <v>CIFF2B</v>
      </c>
      <c r="AM47" s="2">
        <f t="shared" si="109"/>
        <v>0</v>
      </c>
      <c r="AN47" s="2">
        <f t="shared" si="110"/>
        <v>0</v>
      </c>
      <c r="AO47" s="2">
        <f t="shared" si="103"/>
        <v>4</v>
      </c>
      <c r="AP47" s="2">
        <f t="shared" si="111"/>
        <v>4</v>
      </c>
      <c r="AQ47" s="2">
        <v>6</v>
      </c>
      <c r="AU47" s="74">
        <v>5</v>
      </c>
      <c r="AV47" s="74">
        <v>5</v>
      </c>
      <c r="AW47" s="74">
        <v>5</v>
      </c>
    </row>
    <row r="48" spans="2:49" ht="51" x14ac:dyDescent="0.2">
      <c r="B48" s="2" t="s">
        <v>63</v>
      </c>
      <c r="C48" s="2" t="s">
        <v>126</v>
      </c>
      <c r="D48" s="2" t="s">
        <v>465</v>
      </c>
      <c r="E48" s="3" t="s">
        <v>132</v>
      </c>
      <c r="F48" s="2" t="s">
        <v>156</v>
      </c>
      <c r="G48" s="3" t="s">
        <v>157</v>
      </c>
      <c r="H48" s="3" t="s">
        <v>147</v>
      </c>
      <c r="I48" s="2" t="s">
        <v>198</v>
      </c>
      <c r="K48" s="2">
        <v>0</v>
      </c>
      <c r="L48" s="2" t="s">
        <v>613</v>
      </c>
      <c r="M48" s="2">
        <v>4</v>
      </c>
      <c r="N48" s="38"/>
      <c r="O48" s="38"/>
      <c r="P48" s="38"/>
      <c r="Q48" s="38"/>
      <c r="R48" s="2" t="str">
        <f t="shared" si="104"/>
        <v>CIFFSS</v>
      </c>
      <c r="S48" s="2">
        <f t="shared" si="105"/>
        <v>0</v>
      </c>
      <c r="T48" s="2">
        <f t="shared" si="106"/>
        <v>0</v>
      </c>
      <c r="U48" s="2">
        <f t="shared" si="102"/>
        <v>4</v>
      </c>
      <c r="V48" s="2">
        <f t="shared" si="107"/>
        <v>4</v>
      </c>
      <c r="W48" s="2">
        <v>6</v>
      </c>
      <c r="AA48" s="74">
        <v>4</v>
      </c>
      <c r="AB48" s="74">
        <v>5</v>
      </c>
      <c r="AC48" s="74">
        <v>5</v>
      </c>
      <c r="AE48" s="2">
        <v>0</v>
      </c>
      <c r="AF48" s="2" t="s">
        <v>613</v>
      </c>
      <c r="AG48" s="2">
        <v>4</v>
      </c>
      <c r="AH48" s="38"/>
      <c r="AI48" s="38"/>
      <c r="AJ48" s="38"/>
      <c r="AK48" s="38"/>
      <c r="AL48" s="2" t="str">
        <f t="shared" si="108"/>
        <v>CIFFSS</v>
      </c>
      <c r="AM48" s="2">
        <f t="shared" si="109"/>
        <v>0</v>
      </c>
      <c r="AN48" s="2">
        <f t="shared" si="110"/>
        <v>0</v>
      </c>
      <c r="AO48" s="2">
        <f t="shared" si="103"/>
        <v>4</v>
      </c>
      <c r="AP48" s="2">
        <f t="shared" si="111"/>
        <v>4</v>
      </c>
      <c r="AQ48" s="2">
        <v>6</v>
      </c>
      <c r="AU48" s="74">
        <v>4</v>
      </c>
      <c r="AV48" s="74">
        <v>5</v>
      </c>
      <c r="AW48" s="74">
        <v>5</v>
      </c>
    </row>
    <row r="49" spans="2:49" ht="51" x14ac:dyDescent="0.2">
      <c r="B49" s="2" t="s">
        <v>63</v>
      </c>
      <c r="C49" s="2" t="s">
        <v>127</v>
      </c>
      <c r="D49" s="2" t="s">
        <v>466</v>
      </c>
      <c r="E49" s="3" t="s">
        <v>133</v>
      </c>
      <c r="F49" s="2" t="s">
        <v>156</v>
      </c>
      <c r="G49" s="3" t="s">
        <v>157</v>
      </c>
      <c r="H49" s="3" t="s">
        <v>147</v>
      </c>
      <c r="I49" s="2" t="s">
        <v>198</v>
      </c>
      <c r="K49" s="2">
        <v>0</v>
      </c>
      <c r="L49" s="2" t="s">
        <v>613</v>
      </c>
      <c r="M49" s="2">
        <v>4</v>
      </c>
      <c r="N49" s="38"/>
      <c r="O49" s="38"/>
      <c r="P49" s="38"/>
      <c r="Q49" s="38"/>
      <c r="R49" s="2" t="str">
        <f t="shared" si="104"/>
        <v>CIFF3B</v>
      </c>
      <c r="S49" s="2">
        <f t="shared" si="105"/>
        <v>0</v>
      </c>
      <c r="T49" s="2">
        <f t="shared" si="106"/>
        <v>0</v>
      </c>
      <c r="U49" s="2">
        <f t="shared" si="102"/>
        <v>4</v>
      </c>
      <c r="V49" s="2">
        <f t="shared" si="107"/>
        <v>4</v>
      </c>
      <c r="W49" s="2">
        <v>6</v>
      </c>
      <c r="AA49" s="74">
        <v>4</v>
      </c>
      <c r="AB49" s="74">
        <v>4</v>
      </c>
      <c r="AC49" s="74">
        <v>5</v>
      </c>
      <c r="AE49" s="2">
        <v>0</v>
      </c>
      <c r="AF49" s="2" t="s">
        <v>613</v>
      </c>
      <c r="AG49" s="2">
        <v>4</v>
      </c>
      <c r="AH49" s="38"/>
      <c r="AI49" s="38"/>
      <c r="AJ49" s="38"/>
      <c r="AK49" s="38"/>
      <c r="AL49" s="2" t="str">
        <f t="shared" si="108"/>
        <v>CIFF3B</v>
      </c>
      <c r="AM49" s="2">
        <f t="shared" si="109"/>
        <v>0</v>
      </c>
      <c r="AN49" s="2">
        <f t="shared" si="110"/>
        <v>0</v>
      </c>
      <c r="AO49" s="2">
        <f t="shared" si="103"/>
        <v>4</v>
      </c>
      <c r="AP49" s="2">
        <f t="shared" si="111"/>
        <v>4</v>
      </c>
      <c r="AQ49" s="2">
        <v>6</v>
      </c>
      <c r="AU49" s="74">
        <v>4</v>
      </c>
      <c r="AV49" s="74">
        <v>4</v>
      </c>
      <c r="AW49" s="74">
        <v>5</v>
      </c>
    </row>
    <row r="50" spans="2:49" ht="51" x14ac:dyDescent="0.2">
      <c r="B50" s="2" t="s">
        <v>63</v>
      </c>
      <c r="C50" s="2" t="s">
        <v>128</v>
      </c>
      <c r="D50" s="2" t="s">
        <v>467</v>
      </c>
      <c r="E50" s="3" t="s">
        <v>134</v>
      </c>
      <c r="F50" s="2" t="s">
        <v>156</v>
      </c>
      <c r="G50" s="3" t="s">
        <v>158</v>
      </c>
      <c r="H50" s="3" t="s">
        <v>147</v>
      </c>
      <c r="I50" s="2" t="s">
        <v>198</v>
      </c>
      <c r="K50" s="2">
        <v>0</v>
      </c>
      <c r="L50" s="2" t="s">
        <v>613</v>
      </c>
      <c r="M50" s="2">
        <v>4</v>
      </c>
      <c r="N50" s="38">
        <v>12</v>
      </c>
      <c r="O50" s="38">
        <v>13</v>
      </c>
      <c r="P50" s="38">
        <v>14</v>
      </c>
      <c r="Q50" s="38">
        <v>15</v>
      </c>
      <c r="R50" s="2" t="str">
        <f t="shared" si="104"/>
        <v>CLD2B</v>
      </c>
      <c r="S50" s="2">
        <f t="shared" si="105"/>
        <v>0</v>
      </c>
      <c r="T50" s="2">
        <f t="shared" si="106"/>
        <v>0</v>
      </c>
      <c r="U50" s="2">
        <f t="shared" si="102"/>
        <v>4</v>
      </c>
      <c r="V50" s="2">
        <f t="shared" si="107"/>
        <v>4</v>
      </c>
      <c r="W50" s="2">
        <v>6</v>
      </c>
      <c r="AA50" s="74">
        <v>5</v>
      </c>
      <c r="AB50" s="74">
        <v>5</v>
      </c>
      <c r="AC50" s="74">
        <v>5</v>
      </c>
      <c r="AE50" s="2">
        <v>0</v>
      </c>
      <c r="AF50" s="2" t="s">
        <v>613</v>
      </c>
      <c r="AG50" s="2">
        <v>4</v>
      </c>
      <c r="AH50" s="38">
        <v>12</v>
      </c>
      <c r="AI50" s="38">
        <v>13</v>
      </c>
      <c r="AJ50" s="38">
        <v>14</v>
      </c>
      <c r="AK50" s="38">
        <v>15</v>
      </c>
      <c r="AL50" s="2" t="str">
        <f t="shared" si="108"/>
        <v>CLD2B</v>
      </c>
      <c r="AM50" s="2">
        <f t="shared" si="109"/>
        <v>0</v>
      </c>
      <c r="AN50" s="2">
        <f t="shared" si="110"/>
        <v>0</v>
      </c>
      <c r="AO50" s="2">
        <f t="shared" si="103"/>
        <v>4</v>
      </c>
      <c r="AP50" s="2">
        <f t="shared" si="111"/>
        <v>4</v>
      </c>
      <c r="AQ50" s="2">
        <v>6</v>
      </c>
      <c r="AU50" s="74">
        <v>5</v>
      </c>
      <c r="AV50" s="74">
        <v>5</v>
      </c>
      <c r="AW50" s="74">
        <v>5</v>
      </c>
    </row>
    <row r="51" spans="2:49" ht="51" x14ac:dyDescent="0.2">
      <c r="B51" s="2" t="s">
        <v>63</v>
      </c>
      <c r="C51" s="2" t="s">
        <v>129</v>
      </c>
      <c r="D51" s="2" t="s">
        <v>468</v>
      </c>
      <c r="E51" s="3" t="s">
        <v>135</v>
      </c>
      <c r="F51" s="2" t="s">
        <v>156</v>
      </c>
      <c r="G51" s="3" t="s">
        <v>158</v>
      </c>
      <c r="H51" s="3" t="s">
        <v>147</v>
      </c>
      <c r="I51" s="2" t="s">
        <v>198</v>
      </c>
      <c r="K51" s="2">
        <v>0</v>
      </c>
      <c r="L51" s="2" t="s">
        <v>613</v>
      </c>
      <c r="M51" s="2">
        <v>4</v>
      </c>
      <c r="N51" s="38"/>
      <c r="O51" s="38"/>
      <c r="P51" s="38"/>
      <c r="Q51" s="38"/>
      <c r="R51" s="2" t="str">
        <f t="shared" si="104"/>
        <v>CLDSS</v>
      </c>
      <c r="S51" s="2">
        <f t="shared" si="105"/>
        <v>0</v>
      </c>
      <c r="T51" s="2">
        <f t="shared" si="106"/>
        <v>0</v>
      </c>
      <c r="U51" s="2">
        <f t="shared" si="102"/>
        <v>4</v>
      </c>
      <c r="V51" s="2">
        <f t="shared" si="107"/>
        <v>4</v>
      </c>
      <c r="W51" s="2">
        <v>6</v>
      </c>
      <c r="AA51" s="74">
        <v>4</v>
      </c>
      <c r="AB51" s="74">
        <v>5</v>
      </c>
      <c r="AC51" s="74">
        <v>5</v>
      </c>
      <c r="AE51" s="2">
        <v>0</v>
      </c>
      <c r="AF51" s="2" t="s">
        <v>613</v>
      </c>
      <c r="AG51" s="2">
        <v>4</v>
      </c>
      <c r="AH51" s="38"/>
      <c r="AI51" s="38"/>
      <c r="AJ51" s="38"/>
      <c r="AK51" s="38"/>
      <c r="AL51" s="2" t="str">
        <f t="shared" si="108"/>
        <v>CLDSS</v>
      </c>
      <c r="AM51" s="2">
        <f t="shared" si="109"/>
        <v>0</v>
      </c>
      <c r="AN51" s="2">
        <f t="shared" si="110"/>
        <v>0</v>
      </c>
      <c r="AO51" s="2">
        <f t="shared" si="103"/>
        <v>4</v>
      </c>
      <c r="AP51" s="2">
        <f t="shared" si="111"/>
        <v>4</v>
      </c>
      <c r="AQ51" s="2">
        <v>6</v>
      </c>
      <c r="AU51" s="74">
        <v>4</v>
      </c>
      <c r="AV51" s="74">
        <v>5</v>
      </c>
      <c r="AW51" s="74">
        <v>5</v>
      </c>
    </row>
    <row r="52" spans="2:49" ht="51" x14ac:dyDescent="0.2">
      <c r="B52" s="2" t="s">
        <v>63</v>
      </c>
      <c r="C52" s="2" t="s">
        <v>130</v>
      </c>
      <c r="D52" s="2" t="s">
        <v>469</v>
      </c>
      <c r="E52" s="3" t="s">
        <v>136</v>
      </c>
      <c r="F52" s="2" t="s">
        <v>156</v>
      </c>
      <c r="G52" s="3" t="s">
        <v>158</v>
      </c>
      <c r="H52" s="3" t="s">
        <v>147</v>
      </c>
      <c r="I52" s="2" t="s">
        <v>198</v>
      </c>
      <c r="K52" s="2">
        <v>0</v>
      </c>
      <c r="L52" s="2" t="s">
        <v>613</v>
      </c>
      <c r="M52" s="2">
        <v>4</v>
      </c>
      <c r="N52" s="38"/>
      <c r="O52" s="38"/>
      <c r="P52" s="38"/>
      <c r="Q52" s="38"/>
      <c r="R52" s="2" t="str">
        <f t="shared" si="104"/>
        <v>CLD3B</v>
      </c>
      <c r="S52" s="2">
        <f t="shared" si="105"/>
        <v>0</v>
      </c>
      <c r="T52" s="2">
        <f t="shared" si="106"/>
        <v>0</v>
      </c>
      <c r="U52" s="2">
        <f t="shared" si="102"/>
        <v>4</v>
      </c>
      <c r="V52" s="2">
        <f t="shared" si="107"/>
        <v>4</v>
      </c>
      <c r="W52" s="2">
        <v>6</v>
      </c>
      <c r="AA52" s="74">
        <v>4</v>
      </c>
      <c r="AB52" s="74">
        <v>4</v>
      </c>
      <c r="AC52" s="74">
        <v>5</v>
      </c>
      <c r="AE52" s="2">
        <v>0</v>
      </c>
      <c r="AF52" s="2" t="s">
        <v>613</v>
      </c>
      <c r="AG52" s="2">
        <v>4</v>
      </c>
      <c r="AH52" s="38"/>
      <c r="AI52" s="38"/>
      <c r="AJ52" s="38"/>
      <c r="AK52" s="38"/>
      <c r="AL52" s="2" t="str">
        <f t="shared" si="108"/>
        <v>CLD3B</v>
      </c>
      <c r="AM52" s="2">
        <f t="shared" si="109"/>
        <v>0</v>
      </c>
      <c r="AN52" s="2">
        <f t="shared" si="110"/>
        <v>0</v>
      </c>
      <c r="AO52" s="2">
        <f t="shared" si="103"/>
        <v>4</v>
      </c>
      <c r="AP52" s="2">
        <f t="shared" si="111"/>
        <v>4</v>
      </c>
      <c r="AQ52" s="2">
        <v>6</v>
      </c>
      <c r="AU52" s="74">
        <v>4</v>
      </c>
      <c r="AV52" s="74">
        <v>4</v>
      </c>
      <c r="AW52" s="74">
        <v>5</v>
      </c>
    </row>
    <row r="53" spans="2:49" ht="68" x14ac:dyDescent="0.2">
      <c r="B53" s="2" t="s">
        <v>63</v>
      </c>
      <c r="C53" s="2" t="s">
        <v>64</v>
      </c>
      <c r="D53" s="2" t="s">
        <v>470</v>
      </c>
      <c r="E53" s="3" t="s">
        <v>263</v>
      </c>
      <c r="F53" s="2" t="s">
        <v>76</v>
      </c>
      <c r="H53" s="3" t="s">
        <v>80</v>
      </c>
      <c r="I53" s="2" t="s">
        <v>199</v>
      </c>
      <c r="K53" s="2">
        <v>4.21</v>
      </c>
      <c r="L53" s="2" t="s">
        <v>506</v>
      </c>
      <c r="M53" s="2">
        <v>3.65</v>
      </c>
      <c r="N53" s="2">
        <v>3.65</v>
      </c>
      <c r="O53" s="2">
        <v>3.55</v>
      </c>
      <c r="P53" s="2">
        <v>3.45</v>
      </c>
      <c r="Q53" s="2">
        <v>3.3</v>
      </c>
      <c r="R53" s="2" t="s">
        <v>472</v>
      </c>
      <c r="S53" s="2">
        <f t="shared" ref="S44:S53" si="112">K53</f>
        <v>4.21</v>
      </c>
      <c r="T53" s="2">
        <f>(10-S53)*2</f>
        <v>11.58</v>
      </c>
      <c r="U53" s="2">
        <f t="shared" ref="U44:U53" si="113">M53</f>
        <v>3.65</v>
      </c>
      <c r="V53" s="2">
        <f>(10-U53)*2</f>
        <v>12.7</v>
      </c>
      <c r="W53" s="2">
        <f>(10-2.75)*2</f>
        <v>14.5</v>
      </c>
      <c r="AA53" s="2">
        <f>(10-O53)*2</f>
        <v>12.9</v>
      </c>
      <c r="AB53" s="2">
        <f t="shared" ref="AB53" si="114">(10-P53)*2</f>
        <v>13.1</v>
      </c>
      <c r="AC53" s="2">
        <f t="shared" ref="AC53" si="115">(10-Q53)*2</f>
        <v>13.4</v>
      </c>
      <c r="AE53" s="2">
        <v>4.0599999999999996</v>
      </c>
      <c r="AF53" s="2" t="s">
        <v>613</v>
      </c>
      <c r="AG53" s="2">
        <v>3.45</v>
      </c>
      <c r="AH53" s="2">
        <v>3.3</v>
      </c>
      <c r="AI53" s="2">
        <v>3.25</v>
      </c>
      <c r="AJ53" s="2">
        <v>3.15</v>
      </c>
      <c r="AK53" s="2">
        <v>3.05</v>
      </c>
      <c r="AL53" s="2" t="s">
        <v>472</v>
      </c>
      <c r="AM53" s="2">
        <f t="shared" ref="AM44:AM53" si="116">AE53</f>
        <v>4.0599999999999996</v>
      </c>
      <c r="AN53" s="2">
        <f>(10-AM53)*2</f>
        <v>11.88</v>
      </c>
      <c r="AO53" s="2">
        <f t="shared" ref="AO44:AO53" si="117">AG53</f>
        <v>3.45</v>
      </c>
      <c r="AP53" s="2">
        <f>(10-AO53)*2</f>
        <v>13.1</v>
      </c>
      <c r="AQ53" s="2">
        <f>(10-2.75)*2</f>
        <v>14.5</v>
      </c>
      <c r="AU53" s="2">
        <f>(10-AI53)*2</f>
        <v>13.5</v>
      </c>
      <c r="AV53" s="2">
        <f t="shared" ref="AV53:AW53" si="118">(10-AJ53)*2</f>
        <v>13.7</v>
      </c>
      <c r="AW53" s="2">
        <f t="shared" si="118"/>
        <v>13.9</v>
      </c>
    </row>
    <row r="54" spans="2:49" s="13" customFormat="1" x14ac:dyDescent="0.2">
      <c r="B54" s="13" t="s">
        <v>489</v>
      </c>
      <c r="E54" s="14"/>
      <c r="H54" s="14"/>
      <c r="N54" s="15" t="s">
        <v>471</v>
      </c>
      <c r="O54" s="15"/>
      <c r="P54" s="15"/>
      <c r="Q54" s="15"/>
      <c r="AH54" s="15" t="s">
        <v>471</v>
      </c>
      <c r="AI54" s="15"/>
      <c r="AJ54" s="15"/>
      <c r="AK54" s="15"/>
    </row>
    <row r="55" spans="2:49" s="23" customFormat="1" x14ac:dyDescent="0.2">
      <c r="B55" s="23" t="s">
        <v>490</v>
      </c>
      <c r="D55" s="23" t="s">
        <v>653</v>
      </c>
      <c r="E55" s="24"/>
      <c r="F55" s="24"/>
      <c r="G55" s="24"/>
      <c r="H55" s="24"/>
      <c r="I55" s="24"/>
      <c r="J55" s="24"/>
      <c r="T55" s="26">
        <f>SUM(T44:T53)</f>
        <v>20.58</v>
      </c>
      <c r="U55" s="26"/>
      <c r="V55" s="26">
        <f>SUM(V44:V53)</f>
        <v>58.7</v>
      </c>
      <c r="W55" s="26">
        <f>SUM(W44:W53)</f>
        <v>86.5</v>
      </c>
      <c r="X55" s="26">
        <v>50</v>
      </c>
      <c r="Y55" s="26">
        <f>(T55/W55)*X55</f>
        <v>11.895953757225433</v>
      </c>
      <c r="Z55" s="26">
        <f>(V55/W55)*X55</f>
        <v>33.930635838150295</v>
      </c>
      <c r="AA55" s="26">
        <f t="shared" ref="AA55:AC55" si="119">SUM(AA44:AA53)</f>
        <v>62.9</v>
      </c>
      <c r="AB55" s="26">
        <f t="shared" si="119"/>
        <v>67.099999999999994</v>
      </c>
      <c r="AC55" s="26">
        <f t="shared" si="119"/>
        <v>71.400000000000006</v>
      </c>
      <c r="AN55" s="26">
        <f>SUM(AN44:AN53)</f>
        <v>21.880000000000003</v>
      </c>
      <c r="AO55" s="26"/>
      <c r="AP55" s="26">
        <f>SUM(AP44:AP53)</f>
        <v>61.1</v>
      </c>
      <c r="AQ55" s="26">
        <f>SUM(AQ44:AQ53)</f>
        <v>86.5</v>
      </c>
      <c r="AR55" s="26">
        <v>50</v>
      </c>
      <c r="AS55" s="26">
        <f>(AN55/AQ55)*AR55</f>
        <v>12.647398843930638</v>
      </c>
      <c r="AT55" s="26">
        <f>(AP55/AQ55)*AR55</f>
        <v>35.317919075144509</v>
      </c>
      <c r="AU55" s="26">
        <f t="shared" ref="AU55:AW55" si="120">SUM(AU44:AU53)</f>
        <v>65.5</v>
      </c>
      <c r="AV55" s="26">
        <f t="shared" si="120"/>
        <v>69.7</v>
      </c>
      <c r="AW55" s="26">
        <f t="shared" si="120"/>
        <v>73.900000000000006</v>
      </c>
    </row>
    <row r="56" spans="2:49" ht="68" x14ac:dyDescent="0.2">
      <c r="B56" s="2" t="s">
        <v>65</v>
      </c>
      <c r="C56" s="2" t="s">
        <v>237</v>
      </c>
      <c r="D56" s="2" t="s">
        <v>497</v>
      </c>
      <c r="E56" s="3" t="s">
        <v>268</v>
      </c>
      <c r="F56" s="2" t="s">
        <v>156</v>
      </c>
      <c r="G56" s="3" t="s">
        <v>160</v>
      </c>
      <c r="H56" s="3" t="s">
        <v>147</v>
      </c>
      <c r="I56" s="2" t="s">
        <v>200</v>
      </c>
      <c r="K56" s="2">
        <v>4</v>
      </c>
      <c r="L56" s="7" t="s">
        <v>335</v>
      </c>
      <c r="M56" s="2">
        <v>12</v>
      </c>
      <c r="N56" s="2">
        <v>12</v>
      </c>
      <c r="O56" s="2">
        <v>14</v>
      </c>
      <c r="P56" s="2">
        <v>16</v>
      </c>
      <c r="Q56" s="2">
        <v>18</v>
      </c>
      <c r="R56" s="2" t="str">
        <f t="shared" ref="R56" si="121">D56</f>
        <v>C20X20M</v>
      </c>
      <c r="S56" s="2">
        <f t="shared" ref="S56:S58" si="122">K56</f>
        <v>4</v>
      </c>
      <c r="T56" s="2">
        <f>S56</f>
        <v>4</v>
      </c>
      <c r="U56" s="2">
        <f t="shared" ref="U56:U58" si="123">M56</f>
        <v>12</v>
      </c>
      <c r="V56" s="2">
        <f>U56</f>
        <v>12</v>
      </c>
      <c r="W56" s="2">
        <v>20</v>
      </c>
      <c r="AA56" s="2">
        <f>O56</f>
        <v>14</v>
      </c>
      <c r="AB56" s="2">
        <f t="shared" ref="AB56:AB57" si="124">P56</f>
        <v>16</v>
      </c>
      <c r="AC56" s="2">
        <f t="shared" ref="AC56:AC57" si="125">Q56</f>
        <v>18</v>
      </c>
      <c r="AE56" s="2">
        <v>4</v>
      </c>
      <c r="AF56" s="2" t="s">
        <v>613</v>
      </c>
      <c r="AG56" s="2">
        <v>12</v>
      </c>
      <c r="AH56" s="2">
        <v>12</v>
      </c>
      <c r="AI56" s="2">
        <v>14</v>
      </c>
      <c r="AJ56" s="2">
        <v>16</v>
      </c>
      <c r="AK56" s="2">
        <v>18</v>
      </c>
      <c r="AL56" s="2" t="str">
        <f t="shared" ref="AL56:AL57" si="126">D56</f>
        <v>C20X20M</v>
      </c>
      <c r="AM56" s="2">
        <f t="shared" ref="AM56:AM58" si="127">AE56</f>
        <v>4</v>
      </c>
      <c r="AN56" s="2">
        <f>AM56</f>
        <v>4</v>
      </c>
      <c r="AO56" s="2">
        <f t="shared" ref="AO56:AO58" si="128">AG56</f>
        <v>12</v>
      </c>
      <c r="AP56" s="2">
        <f>AO56</f>
        <v>12</v>
      </c>
      <c r="AQ56" s="2">
        <v>20</v>
      </c>
      <c r="AU56" s="2">
        <f>AI56</f>
        <v>14</v>
      </c>
      <c r="AV56" s="2">
        <f t="shared" ref="AV56:AW57" si="129">AJ56</f>
        <v>16</v>
      </c>
      <c r="AW56" s="2">
        <f t="shared" si="129"/>
        <v>18</v>
      </c>
    </row>
    <row r="57" spans="2:49" ht="153" x14ac:dyDescent="0.2">
      <c r="B57" s="2" t="s">
        <v>65</v>
      </c>
      <c r="C57" s="2" t="s">
        <v>251</v>
      </c>
      <c r="D57" s="2" t="s">
        <v>451</v>
      </c>
      <c r="E57" s="3" t="s">
        <v>452</v>
      </c>
      <c r="F57" s="3" t="s">
        <v>161</v>
      </c>
      <c r="G57" s="3" t="s">
        <v>162</v>
      </c>
      <c r="H57" s="3" t="s">
        <v>147</v>
      </c>
      <c r="I57" s="2" t="s">
        <v>200</v>
      </c>
      <c r="K57" s="2">
        <v>4</v>
      </c>
      <c r="L57" s="7" t="s">
        <v>444</v>
      </c>
      <c r="M57" s="2">
        <v>8</v>
      </c>
      <c r="N57" s="2">
        <v>8</v>
      </c>
      <c r="O57" s="2">
        <v>9</v>
      </c>
      <c r="P57" s="2">
        <v>11</v>
      </c>
      <c r="Q57" s="2">
        <v>14</v>
      </c>
      <c r="R57" s="2" t="str">
        <f>D57</f>
        <v>T80FT</v>
      </c>
      <c r="S57" s="2">
        <f t="shared" si="122"/>
        <v>4</v>
      </c>
      <c r="T57" s="2">
        <f>S57</f>
        <v>4</v>
      </c>
      <c r="U57" s="2">
        <f t="shared" si="123"/>
        <v>8</v>
      </c>
      <c r="V57" s="2">
        <f>U57</f>
        <v>8</v>
      </c>
      <c r="W57" s="2">
        <v>20</v>
      </c>
      <c r="AA57" s="2">
        <f t="shared" ref="AA57" si="130">O57</f>
        <v>9</v>
      </c>
      <c r="AB57" s="2">
        <f t="shared" si="124"/>
        <v>11</v>
      </c>
      <c r="AC57" s="2">
        <f t="shared" si="125"/>
        <v>14</v>
      </c>
      <c r="AE57" s="2">
        <v>4</v>
      </c>
      <c r="AF57" s="2" t="s">
        <v>613</v>
      </c>
      <c r="AG57" s="2">
        <v>10</v>
      </c>
      <c r="AH57" s="2">
        <v>10</v>
      </c>
      <c r="AI57" s="2">
        <v>11</v>
      </c>
      <c r="AJ57" s="2">
        <v>12</v>
      </c>
      <c r="AK57" s="2">
        <v>15</v>
      </c>
      <c r="AL57" s="2" t="str">
        <f t="shared" si="126"/>
        <v>T80FT</v>
      </c>
      <c r="AM57" s="2">
        <f t="shared" si="127"/>
        <v>4</v>
      </c>
      <c r="AN57" s="2">
        <f>AM57</f>
        <v>4</v>
      </c>
      <c r="AO57" s="2">
        <f t="shared" si="128"/>
        <v>10</v>
      </c>
      <c r="AP57" s="2">
        <f>AO57</f>
        <v>10</v>
      </c>
      <c r="AQ57" s="2">
        <v>20</v>
      </c>
      <c r="AU57" s="2">
        <f t="shared" ref="AU57" si="131">AI57</f>
        <v>11</v>
      </c>
      <c r="AV57" s="2">
        <f t="shared" si="129"/>
        <v>12</v>
      </c>
      <c r="AW57" s="2">
        <f t="shared" si="129"/>
        <v>15</v>
      </c>
    </row>
    <row r="58" spans="2:49" ht="85" x14ac:dyDescent="0.2">
      <c r="B58" s="2" t="s">
        <v>65</v>
      </c>
      <c r="C58" s="2" t="s">
        <v>139</v>
      </c>
      <c r="D58" s="2" t="s">
        <v>496</v>
      </c>
      <c r="E58" s="3" t="s">
        <v>140</v>
      </c>
      <c r="F58" s="2" t="s">
        <v>76</v>
      </c>
      <c r="H58" s="3" t="s">
        <v>80</v>
      </c>
      <c r="I58" s="2" t="s">
        <v>201</v>
      </c>
      <c r="K58" s="2">
        <v>8</v>
      </c>
      <c r="L58" s="2" t="s">
        <v>553</v>
      </c>
      <c r="M58" s="2">
        <v>6.5</v>
      </c>
      <c r="N58" s="2">
        <v>6.5</v>
      </c>
      <c r="O58" s="2">
        <v>6</v>
      </c>
      <c r="P58" s="2">
        <v>5.75</v>
      </c>
      <c r="Q58" s="2">
        <v>5.25</v>
      </c>
      <c r="R58" s="2" t="s">
        <v>507</v>
      </c>
      <c r="S58" s="2">
        <f t="shared" si="122"/>
        <v>8</v>
      </c>
      <c r="T58" s="2">
        <f>(12-S58)*2</f>
        <v>8</v>
      </c>
      <c r="U58" s="2">
        <f t="shared" si="123"/>
        <v>6.5</v>
      </c>
      <c r="V58" s="2">
        <f>(12-U58)*2</f>
        <v>11</v>
      </c>
      <c r="W58" s="2">
        <f>(10-2.75)*2</f>
        <v>14.5</v>
      </c>
      <c r="AA58" s="2">
        <f>(12-O58)*2</f>
        <v>12</v>
      </c>
      <c r="AB58" s="2">
        <f t="shared" ref="AB58" si="132">(12-P58)*2</f>
        <v>12.5</v>
      </c>
      <c r="AC58" s="2">
        <f t="shared" ref="AC58" si="133">(12-Q58)*2</f>
        <v>13.5</v>
      </c>
      <c r="AE58" s="2">
        <v>7</v>
      </c>
      <c r="AF58" s="2" t="s">
        <v>613</v>
      </c>
      <c r="AG58" s="2">
        <v>5.75</v>
      </c>
      <c r="AH58" s="2">
        <v>5.75</v>
      </c>
      <c r="AI58" s="2">
        <v>5.5</v>
      </c>
      <c r="AJ58" s="2">
        <v>5.3</v>
      </c>
      <c r="AK58" s="2">
        <v>5.0999999999999996</v>
      </c>
      <c r="AL58" s="2" t="s">
        <v>507</v>
      </c>
      <c r="AM58" s="2">
        <f t="shared" si="127"/>
        <v>7</v>
      </c>
      <c r="AN58" s="2">
        <f>(12-AM58)*2</f>
        <v>10</v>
      </c>
      <c r="AO58" s="2">
        <f t="shared" si="128"/>
        <v>5.75</v>
      </c>
      <c r="AP58" s="2">
        <f>(12-AO58)*2</f>
        <v>12.5</v>
      </c>
      <c r="AQ58" s="2">
        <f>(10-2.75)*2</f>
        <v>14.5</v>
      </c>
      <c r="AU58" s="2">
        <f>(12-AI58)*2</f>
        <v>13</v>
      </c>
      <c r="AV58" s="2">
        <f t="shared" ref="AV58:AW58" si="134">(12-AJ58)*2</f>
        <v>13.4</v>
      </c>
      <c r="AW58" s="2">
        <f t="shared" si="134"/>
        <v>13.8</v>
      </c>
    </row>
    <row r="59" spans="2:49" s="13" customFormat="1" x14ac:dyDescent="0.2">
      <c r="B59" s="13" t="s">
        <v>491</v>
      </c>
      <c r="E59" s="14"/>
      <c r="H59" s="14"/>
      <c r="N59" s="15" t="s">
        <v>471</v>
      </c>
      <c r="O59" s="15"/>
      <c r="P59" s="15"/>
      <c r="Q59" s="15"/>
      <c r="AH59" s="15" t="s">
        <v>471</v>
      </c>
      <c r="AI59" s="15"/>
      <c r="AJ59" s="15"/>
      <c r="AK59" s="15"/>
    </row>
    <row r="60" spans="2:49" s="23" customFormat="1" x14ac:dyDescent="0.2">
      <c r="B60" s="23" t="s">
        <v>492</v>
      </c>
      <c r="D60" s="23" t="s">
        <v>654</v>
      </c>
      <c r="E60" s="24"/>
      <c r="F60" s="24"/>
      <c r="G60" s="24"/>
      <c r="H60" s="24"/>
      <c r="I60" s="24"/>
      <c r="J60" s="24"/>
      <c r="T60" s="26">
        <f>SUM(T56:T58)</f>
        <v>16</v>
      </c>
      <c r="U60" s="26"/>
      <c r="V60" s="26">
        <f>SUM(V56:V58)</f>
        <v>31</v>
      </c>
      <c r="W60" s="26">
        <f>SUM(W56:W58)</f>
        <v>54.5</v>
      </c>
      <c r="X60" s="26">
        <v>50</v>
      </c>
      <c r="Y60" s="26">
        <f>(T60/W60)*X60</f>
        <v>14.678899082568808</v>
      </c>
      <c r="Z60" s="26">
        <f>(V60/W60)*X60</f>
        <v>28.440366972477065</v>
      </c>
      <c r="AA60" s="26">
        <f t="shared" ref="AA60:AC60" si="135">SUM(AA56:AA58)</f>
        <v>35</v>
      </c>
      <c r="AB60" s="26">
        <f t="shared" si="135"/>
        <v>39.5</v>
      </c>
      <c r="AC60" s="26">
        <f t="shared" si="135"/>
        <v>45.5</v>
      </c>
      <c r="AN60" s="26">
        <f>SUM(AN56:AN58)</f>
        <v>18</v>
      </c>
      <c r="AO60" s="26"/>
      <c r="AP60" s="26">
        <f>SUM(AP56:AP58)</f>
        <v>34.5</v>
      </c>
      <c r="AQ60" s="26">
        <f>SUM(AQ56:AQ58)</f>
        <v>54.5</v>
      </c>
      <c r="AR60" s="26">
        <v>50</v>
      </c>
      <c r="AS60" s="26">
        <f>(AN60/AQ60)*AR60</f>
        <v>16.513761467889911</v>
      </c>
      <c r="AT60" s="26">
        <f>(AP60/AQ60)*AR60</f>
        <v>31.651376146788991</v>
      </c>
      <c r="AU60" s="26">
        <f t="shared" ref="AU60:AW60" si="136">SUM(AU56:AU58)</f>
        <v>38</v>
      </c>
      <c r="AV60" s="26">
        <f t="shared" si="136"/>
        <v>41.4</v>
      </c>
      <c r="AW60" s="26">
        <f t="shared" si="136"/>
        <v>46.8</v>
      </c>
    </row>
    <row r="62" spans="2:49" x14ac:dyDescent="0.2">
      <c r="S62" s="2" t="s">
        <v>381</v>
      </c>
      <c r="T62" s="8">
        <f>SUM(T60,T55,T43,T39,T35,T30,T23)</f>
        <v>202.92067375886523</v>
      </c>
      <c r="V62" s="8">
        <f>SUM(V60,V55,V43,V39,V35,V30,V23)</f>
        <v>352.70939776590581</v>
      </c>
      <c r="W62" s="8">
        <f>SUM(W60,W55,W43,W39,W35,W30,W23)</f>
        <v>567.5</v>
      </c>
      <c r="X62" s="8">
        <f>SUM(X60,X55,X43,X39,X35,X30,X23)</f>
        <v>350</v>
      </c>
      <c r="Y62" s="8">
        <f>SUM(Y60,Y55,Y43,Y39,Y35,Y30,Y23)</f>
        <v>116.29261445919354</v>
      </c>
      <c r="Z62" s="8">
        <f>SUM(Z60,Z55,Z43,Z39,Z35,Z30,Z23)</f>
        <v>218.89544203244665</v>
      </c>
      <c r="AA62" s="8">
        <f t="shared" ref="AA62:AC62" si="137">SUM(AA60,AA55,AA43,AA39,AA35,AA30,AA23)</f>
        <v>387.67380952380955</v>
      </c>
      <c r="AB62" s="8">
        <f t="shared" si="137"/>
        <v>413.47579185520362</v>
      </c>
      <c r="AC62" s="8">
        <f t="shared" si="137"/>
        <v>460.00952380952384</v>
      </c>
      <c r="AM62" s="2" t="s">
        <v>381</v>
      </c>
      <c r="AN62" s="8">
        <f>SUM(AN60,AN55,AN43,AN39,AN35,AN30,AN23)</f>
        <v>218.56253935376969</v>
      </c>
      <c r="AP62" s="8">
        <f>SUM(AP60,AP55,AP43,AP39,AP35,AP30,AP23)</f>
        <v>378.381223628692</v>
      </c>
      <c r="AQ62" s="8">
        <f>SUM(AQ60,AQ55,AQ43,AQ39,AQ35,AQ30,AQ23)</f>
        <v>569.25</v>
      </c>
      <c r="AR62" s="8">
        <f>SUM(AR60,AR55,AR43,AR39,AR35,AR30,AR23)</f>
        <v>350</v>
      </c>
      <c r="AS62" s="8">
        <f>SUM(AS60,AS55,AS43,AS39,AS35,AS30,AS23)</f>
        <v>123.98077564029579</v>
      </c>
      <c r="AT62" s="8">
        <f>SUM(AT60,AT55,AT43,AT39,AT35,AT30,AT23)</f>
        <v>232.28154959557065</v>
      </c>
      <c r="AU62" s="8">
        <f t="shared" ref="AU62:AW62" si="138">SUM(AU60,AU55,AU43,AU39,AU35,AU30,AU23)</f>
        <v>413.60982236154655</v>
      </c>
      <c r="AV62" s="8">
        <f t="shared" si="138"/>
        <v>437.30757575757576</v>
      </c>
      <c r="AW62" s="8">
        <f t="shared" si="138"/>
        <v>480.9703141928494</v>
      </c>
    </row>
    <row r="64" spans="2:49" x14ac:dyDescent="0.2">
      <c r="X64" s="2" t="s">
        <v>681</v>
      </c>
      <c r="AR64" s="2" t="s">
        <v>681</v>
      </c>
    </row>
    <row r="65" spans="19:47" x14ac:dyDescent="0.2">
      <c r="T65" s="47" t="s">
        <v>510</v>
      </c>
      <c r="U65" s="51" t="s">
        <v>616</v>
      </c>
      <c r="V65" s="50" t="s">
        <v>511</v>
      </c>
      <c r="W65" s="12"/>
      <c r="X65" s="64" t="s">
        <v>327</v>
      </c>
      <c r="Y65" s="60" t="s">
        <v>670</v>
      </c>
      <c r="Z65" s="61" t="s">
        <v>671</v>
      </c>
      <c r="AA65" s="62" t="s">
        <v>672</v>
      </c>
      <c r="AN65" s="47" t="s">
        <v>510</v>
      </c>
      <c r="AO65" s="51" t="s">
        <v>616</v>
      </c>
      <c r="AP65" s="50" t="s">
        <v>511</v>
      </c>
      <c r="AQ65" s="12"/>
      <c r="AR65" s="64" t="s">
        <v>327</v>
      </c>
      <c r="AS65" s="60" t="s">
        <v>670</v>
      </c>
      <c r="AT65" s="61" t="s">
        <v>671</v>
      </c>
      <c r="AU65" s="62" t="s">
        <v>672</v>
      </c>
    </row>
    <row r="66" spans="19:47" x14ac:dyDescent="0.2">
      <c r="S66" s="11" t="s">
        <v>542</v>
      </c>
      <c r="T66" s="48">
        <f>(T62/W62)*X62</f>
        <v>125.149314212516</v>
      </c>
      <c r="U66" s="48" t="s">
        <v>613</v>
      </c>
      <c r="V66" s="48">
        <f>(V62/W62)*X62</f>
        <v>217.5300250538626</v>
      </c>
      <c r="W66" s="48"/>
      <c r="X66" s="63">
        <f>V62/W62</f>
        <v>0.62151435729675031</v>
      </c>
      <c r="Y66" s="63">
        <f>AA62/$W$62</f>
        <v>0.68312565554856308</v>
      </c>
      <c r="Z66" s="63">
        <f t="shared" ref="Z66" si="139">AB62/$AQ$62</f>
        <v>0.7263518521830542</v>
      </c>
      <c r="AA66" s="63">
        <f t="shared" ref="AA66" si="140">AC62/$AQ$62</f>
        <v>0.80809753853232125</v>
      </c>
      <c r="AM66" s="11" t="s">
        <v>542</v>
      </c>
      <c r="AN66" s="48">
        <f>(AN62/AQ62)*AR62</f>
        <v>134.38188629568623</v>
      </c>
      <c r="AO66" s="48" t="s">
        <v>613</v>
      </c>
      <c r="AP66" s="48">
        <f>(AP62/AQ62)*AR62</f>
        <v>232.64546028992922</v>
      </c>
      <c r="AQ66" s="48"/>
      <c r="AR66" s="63">
        <f>AP62/AQ62</f>
        <v>0.66470131511408348</v>
      </c>
      <c r="AS66" s="63">
        <f>AU62/$AQ$62</f>
        <v>0.72658730322625653</v>
      </c>
      <c r="AT66" s="63">
        <f t="shared" ref="AT66:AU66" si="141">AV62/$AQ$62</f>
        <v>0.7682170852131327</v>
      </c>
      <c r="AU66" s="63">
        <f t="shared" si="141"/>
        <v>0.84491930468660414</v>
      </c>
    </row>
    <row r="67" spans="19:47" x14ac:dyDescent="0.2">
      <c r="T67" s="11"/>
      <c r="U67" s="11"/>
      <c r="V67" s="11"/>
      <c r="W67" s="11"/>
      <c r="X67" s="63"/>
      <c r="Y67" s="63"/>
      <c r="Z67" s="63"/>
      <c r="AA67" s="63"/>
      <c r="AN67" s="11"/>
      <c r="AO67" s="11"/>
      <c r="AP67" s="11"/>
      <c r="AQ67" s="11"/>
      <c r="AR67" s="63"/>
      <c r="AS67" s="63"/>
      <c r="AT67" s="63"/>
      <c r="AU67" s="63"/>
    </row>
    <row r="68" spans="19:47" x14ac:dyDescent="0.2">
      <c r="S68" s="11" t="s">
        <v>543</v>
      </c>
      <c r="T68" s="48">
        <f>Y23</f>
        <v>22.259338680331219</v>
      </c>
      <c r="U68" s="48" t="s">
        <v>613</v>
      </c>
      <c r="V68" s="48">
        <f>Z23</f>
        <v>31.507695750237115</v>
      </c>
      <c r="W68" s="48"/>
      <c r="X68" s="63">
        <f>V23/W23</f>
        <v>0.63015391500474227</v>
      </c>
      <c r="Y68" s="63">
        <f>AA23/$W$23</f>
        <v>0.72263774619795562</v>
      </c>
      <c r="Z68" s="63">
        <f t="shared" ref="Z68:AA68" si="142">AB23/$W$23</f>
        <v>0.77919262751415508</v>
      </c>
      <c r="AA68" s="63">
        <f t="shared" si="142"/>
        <v>0.85502368486661673</v>
      </c>
      <c r="AM68" s="11" t="s">
        <v>543</v>
      </c>
      <c r="AN68" s="48">
        <f>AS23</f>
        <v>24.223177841300963</v>
      </c>
      <c r="AO68" s="48" t="s">
        <v>613</v>
      </c>
      <c r="AP68" s="48">
        <f>AT23</f>
        <v>34.379901473479578</v>
      </c>
      <c r="AQ68" s="48"/>
      <c r="AR68" s="63">
        <f>AP23/AQ23</f>
        <v>0.68759802946959159</v>
      </c>
      <c r="AS68" s="63">
        <f>AU23/$AQ$23</f>
        <v>0.77910901759971996</v>
      </c>
      <c r="AT68" s="63">
        <f t="shared" ref="AT68:AU68" si="143">AV23/$AQ$23</f>
        <v>0.83119149611296206</v>
      </c>
      <c r="AU68" s="63">
        <f t="shared" si="143"/>
        <v>0.89670321566936861</v>
      </c>
    </row>
    <row r="69" spans="19:47" x14ac:dyDescent="0.2">
      <c r="T69" s="11"/>
      <c r="U69" s="11"/>
      <c r="V69" s="11"/>
      <c r="W69" s="11"/>
      <c r="X69" s="63"/>
      <c r="Y69" s="63"/>
      <c r="Z69" s="63"/>
      <c r="AA69" s="63"/>
      <c r="AN69" s="11"/>
      <c r="AO69" s="11"/>
      <c r="AP69" s="11"/>
      <c r="AQ69" s="11"/>
      <c r="AR69" s="63"/>
      <c r="AS69" s="63"/>
      <c r="AT69" s="63"/>
      <c r="AU69" s="63"/>
    </row>
    <row r="70" spans="19:47" x14ac:dyDescent="0.2">
      <c r="S70" s="11" t="s">
        <v>544</v>
      </c>
      <c r="T70" s="48">
        <f>Y30</f>
        <v>20.080645161290324</v>
      </c>
      <c r="U70" s="48" t="s">
        <v>613</v>
      </c>
      <c r="V70" s="48">
        <f>Z30</f>
        <v>28.521505376344088</v>
      </c>
      <c r="W70" s="48"/>
      <c r="X70" s="63">
        <f>V26/W26</f>
        <v>0.5</v>
      </c>
      <c r="Y70" s="63">
        <f>AA30/$W$30</f>
        <v>0.60161290322580652</v>
      </c>
      <c r="Z70" s="63">
        <f t="shared" ref="Z70:AA70" si="144">AB30/$W$30</f>
        <v>0.64838709677419348</v>
      </c>
      <c r="AA70" s="63">
        <f t="shared" si="144"/>
        <v>0.7</v>
      </c>
      <c r="AM70" s="11" t="s">
        <v>544</v>
      </c>
      <c r="AN70" s="48">
        <f>AS30</f>
        <v>21.102150537634408</v>
      </c>
      <c r="AO70" s="48" t="s">
        <v>613</v>
      </c>
      <c r="AP70" s="48">
        <f>AT30</f>
        <v>30.080645161290327</v>
      </c>
      <c r="AQ70" s="48"/>
      <c r="AR70" s="63">
        <f>AP26/AQ26</f>
        <v>0.54</v>
      </c>
      <c r="AS70" s="63">
        <f>AU30/$AQ$30</f>
        <v>0.63548387096774195</v>
      </c>
      <c r="AT70" s="63">
        <f t="shared" ref="AT70:AU70" si="145">AV30/$AQ$30</f>
        <v>0.68225806451612903</v>
      </c>
      <c r="AU70" s="63">
        <f t="shared" si="145"/>
        <v>0.73118279569892475</v>
      </c>
    </row>
    <row r="71" spans="19:47" x14ac:dyDescent="0.2">
      <c r="S71" s="11"/>
      <c r="T71" s="11"/>
      <c r="U71" s="11"/>
      <c r="V71" s="11"/>
      <c r="W71" s="11"/>
      <c r="X71" s="63"/>
      <c r="Y71" s="63"/>
      <c r="Z71" s="63"/>
      <c r="AA71" s="63"/>
      <c r="AM71" s="11"/>
      <c r="AN71" s="11"/>
      <c r="AO71" s="11"/>
      <c r="AP71" s="11"/>
      <c r="AQ71" s="11"/>
      <c r="AR71" s="63"/>
      <c r="AS71" s="63"/>
      <c r="AT71" s="63"/>
      <c r="AU71" s="63"/>
    </row>
    <row r="72" spans="19:47" x14ac:dyDescent="0.2">
      <c r="S72" s="11" t="s">
        <v>545</v>
      </c>
      <c r="T72" s="48">
        <f>Y35</f>
        <v>16.8</v>
      </c>
      <c r="U72" s="48" t="s">
        <v>613</v>
      </c>
      <c r="V72" s="48">
        <f>Z35</f>
        <v>30.4</v>
      </c>
      <c r="W72" s="48"/>
      <c r="X72" s="63">
        <f>V31/W31</f>
        <v>0.70769230769230773</v>
      </c>
      <c r="Y72" s="63">
        <f>AA35/$W$35</f>
        <v>0.64</v>
      </c>
      <c r="Z72" s="63">
        <f t="shared" ref="Z72:AA72" si="146">AB35/$W$35</f>
        <v>0.68799999999999994</v>
      </c>
      <c r="AA72" s="63">
        <f t="shared" si="146"/>
        <v>0.74399999999999999</v>
      </c>
      <c r="AM72" s="11" t="s">
        <v>545</v>
      </c>
      <c r="AN72" s="48">
        <f>AS35</f>
        <v>18.28793774319066</v>
      </c>
      <c r="AO72" s="48" t="s">
        <v>613</v>
      </c>
      <c r="AP72" s="48">
        <f>AT35</f>
        <v>33.07392996108949</v>
      </c>
      <c r="AQ72" s="48"/>
      <c r="AR72" s="63">
        <f>AP31/AQ31</f>
        <v>0.74452554744525545</v>
      </c>
      <c r="AS72" s="63">
        <f>AU35/$AQ$35</f>
        <v>0.70038910505836571</v>
      </c>
      <c r="AT72" s="63">
        <f t="shared" ref="AT72:AU72" si="147">AV35/$AQ$35</f>
        <v>0.74708171206225682</v>
      </c>
      <c r="AU72" s="63">
        <f t="shared" si="147"/>
        <v>0.79377431906614782</v>
      </c>
    </row>
    <row r="73" spans="19:47" x14ac:dyDescent="0.2">
      <c r="S73" s="11"/>
      <c r="T73" s="11"/>
      <c r="U73" s="11"/>
      <c r="V73" s="11"/>
      <c r="W73" s="11"/>
      <c r="X73" s="63"/>
      <c r="Y73" s="63"/>
      <c r="Z73" s="63"/>
      <c r="AA73" s="63"/>
      <c r="AM73" s="11"/>
      <c r="AN73" s="11"/>
      <c r="AO73" s="11"/>
      <c r="AP73" s="11"/>
      <c r="AQ73" s="11"/>
      <c r="AR73" s="63"/>
      <c r="AS73" s="63"/>
      <c r="AT73" s="63"/>
      <c r="AU73" s="63"/>
    </row>
    <row r="74" spans="19:47" x14ac:dyDescent="0.2">
      <c r="S74" s="11" t="s">
        <v>546</v>
      </c>
      <c r="T74" s="48">
        <f>Y39</f>
        <v>22.8</v>
      </c>
      <c r="U74" s="48" t="s">
        <v>613</v>
      </c>
      <c r="V74" s="48">
        <f>Z39</f>
        <v>39.428571428571431</v>
      </c>
      <c r="W74" s="48"/>
      <c r="X74" s="63">
        <f>V36/W36</f>
        <v>0.7</v>
      </c>
      <c r="Y74" s="63">
        <f>AA39/$W$39</f>
        <v>0.82285714285714284</v>
      </c>
      <c r="Z74" s="63">
        <f t="shared" ref="Z74:AA74" si="148">AB39/$W$39</f>
        <v>0.70714285714285718</v>
      </c>
      <c r="AA74" s="63">
        <f t="shared" si="148"/>
        <v>0.92</v>
      </c>
      <c r="AM74" s="11" t="s">
        <v>546</v>
      </c>
      <c r="AN74" s="48">
        <f>AS39</f>
        <v>23.428571428571427</v>
      </c>
      <c r="AO74" s="48" t="s">
        <v>613</v>
      </c>
      <c r="AP74" s="48">
        <f>AT39</f>
        <v>40</v>
      </c>
      <c r="AQ74" s="48"/>
      <c r="AR74" s="63">
        <f>AP36/AQ36</f>
        <v>0.7</v>
      </c>
      <c r="AS74" s="63">
        <f>AU39/$AQ$39</f>
        <v>0.8342857142857143</v>
      </c>
      <c r="AT74" s="63">
        <f t="shared" ref="AT74:AU74" si="149">AV39/$AQ$39</f>
        <v>0.7142857142857143</v>
      </c>
      <c r="AU74" s="63">
        <f t="shared" si="149"/>
        <v>0.94285714285714284</v>
      </c>
    </row>
    <row r="75" spans="19:47" x14ac:dyDescent="0.2">
      <c r="S75" s="11"/>
      <c r="T75" s="11"/>
      <c r="U75" s="11"/>
      <c r="V75" s="11"/>
      <c r="W75" s="11"/>
      <c r="X75" s="63"/>
      <c r="Y75" s="63"/>
      <c r="Z75" s="63"/>
      <c r="AA75" s="63"/>
      <c r="AM75" s="11"/>
      <c r="AN75" s="11"/>
      <c r="AO75" s="11"/>
      <c r="AP75" s="11"/>
      <c r="AQ75" s="11"/>
      <c r="AR75" s="63"/>
      <c r="AS75" s="63"/>
      <c r="AT75" s="63"/>
      <c r="AU75" s="63"/>
    </row>
    <row r="76" spans="19:47" x14ac:dyDescent="0.2">
      <c r="S76" s="11" t="s">
        <v>549</v>
      </c>
      <c r="T76" s="48">
        <f>Y43</f>
        <v>7.7777777777777777</v>
      </c>
      <c r="U76" s="48" t="s">
        <v>613</v>
      </c>
      <c r="V76" s="48">
        <f>Z43</f>
        <v>26.666666666666668</v>
      </c>
      <c r="W76" s="48"/>
      <c r="X76" s="63">
        <f>V43/W43</f>
        <v>0.53333333333333333</v>
      </c>
      <c r="Y76" s="63">
        <f>AA43/$W$43</f>
        <v>0.6</v>
      </c>
      <c r="Z76" s="63">
        <f t="shared" ref="Z76:AA76" si="150">AB43/$W$43</f>
        <v>0.66666666666666663</v>
      </c>
      <c r="AA76" s="63">
        <f t="shared" si="150"/>
        <v>0.8</v>
      </c>
      <c r="AM76" s="11" t="s">
        <v>549</v>
      </c>
      <c r="AN76" s="48">
        <f>AS43</f>
        <v>7.7777777777777777</v>
      </c>
      <c r="AO76" s="48" t="s">
        <v>613</v>
      </c>
      <c r="AP76" s="48">
        <f>AT43</f>
        <v>27.777777777777779</v>
      </c>
      <c r="AQ76" s="48"/>
      <c r="AR76" s="63">
        <f>AP43/AQ43</f>
        <v>0.55555555555555558</v>
      </c>
      <c r="AS76" s="63">
        <f>AU43/$AQ$43</f>
        <v>0.62222222222222223</v>
      </c>
      <c r="AT76" s="63">
        <f t="shared" ref="AT76:AU76" si="151">AV43/$AQ$43</f>
        <v>0.68888888888888888</v>
      </c>
      <c r="AU76" s="63">
        <f t="shared" si="151"/>
        <v>0.82222222222222219</v>
      </c>
    </row>
    <row r="77" spans="19:47" x14ac:dyDescent="0.2">
      <c r="S77" s="11"/>
      <c r="T77" s="11"/>
      <c r="U77" s="11"/>
      <c r="V77" s="11"/>
      <c r="W77" s="11"/>
      <c r="X77" s="63"/>
      <c r="Y77" s="63"/>
      <c r="Z77" s="63"/>
      <c r="AA77" s="63"/>
      <c r="AM77" s="11"/>
      <c r="AN77" s="11"/>
      <c r="AO77" s="11"/>
      <c r="AP77" s="11"/>
      <c r="AQ77" s="11"/>
      <c r="AR77" s="63"/>
      <c r="AS77" s="63"/>
      <c r="AT77" s="63"/>
      <c r="AU77" s="63"/>
    </row>
    <row r="78" spans="19:47" x14ac:dyDescent="0.2">
      <c r="S78" s="11" t="s">
        <v>547</v>
      </c>
      <c r="T78" s="48">
        <f>Y55</f>
        <v>11.895953757225433</v>
      </c>
      <c r="U78" s="48" t="s">
        <v>613</v>
      </c>
      <c r="V78" s="48">
        <f>Z55</f>
        <v>33.930635838150295</v>
      </c>
      <c r="W78" s="48"/>
      <c r="X78" s="63">
        <f>V55/W55</f>
        <v>0.67861271676300583</v>
      </c>
      <c r="Y78" s="63">
        <f>AA55/$W$55</f>
        <v>0.72716763005780349</v>
      </c>
      <c r="Z78" s="63">
        <f t="shared" ref="Z78:AA78" si="152">AB55/$W$55</f>
        <v>0.77572254335260105</v>
      </c>
      <c r="AA78" s="63">
        <f t="shared" si="152"/>
        <v>0.82543352601156073</v>
      </c>
      <c r="AM78" s="11" t="s">
        <v>547</v>
      </c>
      <c r="AN78" s="48">
        <f>AS55</f>
        <v>12.647398843930638</v>
      </c>
      <c r="AO78" s="48" t="s">
        <v>613</v>
      </c>
      <c r="AP78" s="48">
        <f>AT55</f>
        <v>35.317919075144509</v>
      </c>
      <c r="AQ78" s="48"/>
      <c r="AR78" s="63">
        <f>AP55/AQ55</f>
        <v>0.70635838150289021</v>
      </c>
      <c r="AS78" s="63">
        <f>AU55/$AQ$55</f>
        <v>0.75722543352601157</v>
      </c>
      <c r="AT78" s="63">
        <f t="shared" ref="AT78:AU78" si="153">AV55/$AQ$55</f>
        <v>0.80578034682080923</v>
      </c>
      <c r="AU78" s="63">
        <f t="shared" si="153"/>
        <v>0.85433526011560701</v>
      </c>
    </row>
    <row r="79" spans="19:47" x14ac:dyDescent="0.2">
      <c r="U79" s="11"/>
      <c r="W79" s="11"/>
      <c r="X79" s="63"/>
      <c r="Y79" s="63"/>
      <c r="Z79" s="63"/>
      <c r="AA79" s="63"/>
      <c r="AO79" s="11"/>
      <c r="AQ79" s="11"/>
      <c r="AR79" s="63"/>
      <c r="AS79" s="63"/>
      <c r="AT79" s="63"/>
      <c r="AU79" s="63"/>
    </row>
    <row r="80" spans="19:47" x14ac:dyDescent="0.2">
      <c r="S80" s="2" t="s">
        <v>548</v>
      </c>
      <c r="T80" s="48">
        <f>Y60</f>
        <v>14.678899082568808</v>
      </c>
      <c r="U80" s="48" t="s">
        <v>613</v>
      </c>
      <c r="V80" s="48">
        <f>Z60</f>
        <v>28.440366972477065</v>
      </c>
      <c r="W80" s="48"/>
      <c r="X80" s="63">
        <f>V62/W62</f>
        <v>0.62151435729675031</v>
      </c>
      <c r="Y80" s="63">
        <f>AA62/$W$62</f>
        <v>0.68312565554856308</v>
      </c>
      <c r="Z80" s="63">
        <f t="shared" ref="Z80:AA80" si="154">AB62/$W$62</f>
        <v>0.72859170370960991</v>
      </c>
      <c r="AA80" s="63">
        <f t="shared" si="154"/>
        <v>0.81058946926788344</v>
      </c>
      <c r="AM80" s="2" t="s">
        <v>548</v>
      </c>
      <c r="AN80" s="48">
        <f>AS60</f>
        <v>16.513761467889911</v>
      </c>
      <c r="AO80" s="48" t="s">
        <v>613</v>
      </c>
      <c r="AP80" s="48">
        <f>AT60</f>
        <v>31.651376146788991</v>
      </c>
      <c r="AQ80" s="48"/>
      <c r="AR80" s="63">
        <f>AP62/AQ62</f>
        <v>0.66470131511408348</v>
      </c>
      <c r="AS80" s="63">
        <f>AU62/$AQ$62</f>
        <v>0.72658730322625653</v>
      </c>
      <c r="AT80" s="63">
        <f t="shared" ref="AT80:AU80" si="155">AV62/$AQ$62</f>
        <v>0.7682170852131327</v>
      </c>
      <c r="AU80" s="63">
        <f t="shared" si="155"/>
        <v>0.84491930468660414</v>
      </c>
    </row>
    <row r="81" spans="17:47" x14ac:dyDescent="0.2">
      <c r="U81" s="11"/>
      <c r="W81" s="11"/>
    </row>
    <row r="82" spans="17:47" x14ac:dyDescent="0.2">
      <c r="Q82" s="2" t="s">
        <v>828</v>
      </c>
      <c r="R82" s="2" t="s">
        <v>839</v>
      </c>
      <c r="S82" s="2" t="s">
        <v>838</v>
      </c>
      <c r="W82" s="11"/>
      <c r="X82" s="63"/>
      <c r="Y82" s="63"/>
      <c r="Z82" s="63"/>
      <c r="AK82" s="2" t="s">
        <v>828</v>
      </c>
      <c r="AL82" s="2" t="s">
        <v>839</v>
      </c>
      <c r="AM82" s="2" t="s">
        <v>838</v>
      </c>
      <c r="AQ82" s="11"/>
      <c r="AR82" s="63"/>
      <c r="AS82" s="63"/>
      <c r="AT82" s="63"/>
    </row>
    <row r="83" spans="17:47" x14ac:dyDescent="0.2">
      <c r="Q83" s="2" t="s">
        <v>53</v>
      </c>
      <c r="R83" s="2" t="s">
        <v>840</v>
      </c>
      <c r="S83" s="2" t="s">
        <v>650</v>
      </c>
      <c r="T83" s="63">
        <f>T31/W31</f>
        <v>0.46153846153846156</v>
      </c>
      <c r="U83" s="8" t="s">
        <v>613</v>
      </c>
      <c r="V83" s="63">
        <f>V31/W31</f>
        <v>0.70769230769230773</v>
      </c>
      <c r="W83" s="63"/>
      <c r="X83" s="63">
        <f>X72</f>
        <v>0.70769230769230773</v>
      </c>
      <c r="Y83" s="63">
        <f t="shared" ref="Y83:AA83" si="156">Y72</f>
        <v>0.64</v>
      </c>
      <c r="Z83" s="63">
        <f t="shared" si="156"/>
        <v>0.68799999999999994</v>
      </c>
      <c r="AA83" s="63">
        <f t="shared" si="156"/>
        <v>0.74399999999999999</v>
      </c>
      <c r="AK83" s="2" t="s">
        <v>53</v>
      </c>
      <c r="AL83" s="2" t="s">
        <v>840</v>
      </c>
      <c r="AM83" s="2" t="s">
        <v>650</v>
      </c>
      <c r="AN83" s="63">
        <f>AN31/AQ31</f>
        <v>0.51094890510948909</v>
      </c>
      <c r="AO83" s="8" t="s">
        <v>613</v>
      </c>
      <c r="AP83" s="63">
        <f>AP31/AQ31</f>
        <v>0.74452554744525545</v>
      </c>
      <c r="AQ83" s="63"/>
      <c r="AR83" s="63">
        <f>AR72</f>
        <v>0.74452554744525545</v>
      </c>
      <c r="AS83" s="63">
        <f t="shared" ref="AS83:AU83" si="157">AS72</f>
        <v>0.70038910505836571</v>
      </c>
      <c r="AT83" s="63">
        <f t="shared" si="157"/>
        <v>0.74708171206225682</v>
      </c>
      <c r="AU83" s="63">
        <f t="shared" si="157"/>
        <v>0.79377431906614782</v>
      </c>
    </row>
    <row r="84" spans="17:47" x14ac:dyDescent="0.2">
      <c r="Q84" s="2" t="s">
        <v>54</v>
      </c>
      <c r="R84" s="2" t="s">
        <v>841</v>
      </c>
      <c r="S84" s="2" t="s">
        <v>651</v>
      </c>
      <c r="T84" s="63">
        <f>T36/W36</f>
        <v>0.3</v>
      </c>
      <c r="U84" s="8" t="s">
        <v>613</v>
      </c>
      <c r="V84" s="63">
        <f>V36/W36</f>
        <v>0.7</v>
      </c>
      <c r="W84" s="63"/>
      <c r="X84" s="63">
        <f>X74</f>
        <v>0.7</v>
      </c>
      <c r="Y84" s="63">
        <f t="shared" ref="Y84:AA84" si="158">Y74</f>
        <v>0.82285714285714284</v>
      </c>
      <c r="Z84" s="63">
        <f t="shared" si="158"/>
        <v>0.70714285714285718</v>
      </c>
      <c r="AA84" s="63">
        <f t="shared" si="158"/>
        <v>0.92</v>
      </c>
      <c r="AK84" s="2" t="s">
        <v>54</v>
      </c>
      <c r="AL84" s="2" t="s">
        <v>841</v>
      </c>
      <c r="AM84" s="2" t="s">
        <v>651</v>
      </c>
      <c r="AN84" s="63">
        <f>AN36/AQ36</f>
        <v>0.3</v>
      </c>
      <c r="AO84" s="8" t="s">
        <v>613</v>
      </c>
      <c r="AP84" s="63">
        <f>AP36/AQ36</f>
        <v>0.7</v>
      </c>
      <c r="AQ84" s="63"/>
      <c r="AR84" s="63">
        <f>AR74</f>
        <v>0.7</v>
      </c>
      <c r="AS84" s="63">
        <f t="shared" ref="AS84:AU84" si="159">AS74</f>
        <v>0.8342857142857143</v>
      </c>
      <c r="AT84" s="63">
        <f t="shared" si="159"/>
        <v>0.7142857142857143</v>
      </c>
      <c r="AU84" s="63">
        <f t="shared" si="159"/>
        <v>0.94285714285714284</v>
      </c>
    </row>
    <row r="85" spans="17:47" x14ac:dyDescent="0.2">
      <c r="Q85" s="2" t="s">
        <v>643</v>
      </c>
      <c r="R85" s="2" t="s">
        <v>842</v>
      </c>
      <c r="S85" s="2" t="s">
        <v>652</v>
      </c>
      <c r="T85" s="63">
        <f>T43/W43</f>
        <v>0.15555555555555556</v>
      </c>
      <c r="U85" s="8" t="s">
        <v>613</v>
      </c>
      <c r="V85" s="63">
        <f>V43/W43</f>
        <v>0.53333333333333333</v>
      </c>
      <c r="W85" s="63"/>
      <c r="X85" s="63">
        <f>X76</f>
        <v>0.53333333333333333</v>
      </c>
      <c r="Y85" s="63">
        <f t="shared" ref="Y85:AA85" si="160">Y76</f>
        <v>0.6</v>
      </c>
      <c r="Z85" s="63">
        <f t="shared" si="160"/>
        <v>0.66666666666666663</v>
      </c>
      <c r="AA85" s="63">
        <f t="shared" si="160"/>
        <v>0.8</v>
      </c>
      <c r="AK85" s="2" t="s">
        <v>643</v>
      </c>
      <c r="AL85" s="2" t="s">
        <v>842</v>
      </c>
      <c r="AM85" s="2" t="s">
        <v>652</v>
      </c>
      <c r="AN85" s="63">
        <f>AN43/AQ43</f>
        <v>0.15555555555555556</v>
      </c>
      <c r="AO85" s="8" t="s">
        <v>613</v>
      </c>
      <c r="AP85" s="63">
        <f>AP43/AQ43</f>
        <v>0.55555555555555558</v>
      </c>
      <c r="AQ85" s="63"/>
      <c r="AR85" s="63">
        <f>AR76</f>
        <v>0.55555555555555558</v>
      </c>
      <c r="AS85" s="63">
        <f t="shared" ref="AS85:AU85" si="161">AS76</f>
        <v>0.62222222222222223</v>
      </c>
      <c r="AT85" s="63">
        <f t="shared" si="161"/>
        <v>0.68888888888888888</v>
      </c>
      <c r="AU85" s="63">
        <f t="shared" si="161"/>
        <v>0.82222222222222219</v>
      </c>
    </row>
    <row r="86" spans="17:47" x14ac:dyDescent="0.2">
      <c r="T86" s="63"/>
      <c r="U86" s="63"/>
      <c r="V86" s="63"/>
      <c r="W86" s="63"/>
      <c r="X86" s="63"/>
      <c r="Y86" s="63"/>
      <c r="Z86" s="63"/>
      <c r="AA86" s="63"/>
      <c r="AN86" s="63"/>
      <c r="AO86" s="63"/>
      <c r="AP86" s="63"/>
      <c r="AQ86" s="63"/>
      <c r="AR86" s="63"/>
      <c r="AS86" s="63"/>
      <c r="AT86" s="63"/>
      <c r="AU86" s="63"/>
    </row>
    <row r="87" spans="17:47" ht="34" x14ac:dyDescent="0.2">
      <c r="Q87" s="2" t="s">
        <v>645</v>
      </c>
      <c r="R87" s="3" t="s">
        <v>843</v>
      </c>
      <c r="S87" s="2" t="s">
        <v>829</v>
      </c>
      <c r="T87" s="63">
        <f>(T55+T44+T53)/(W55+W53+W44)</f>
        <v>0.3111504424778761</v>
      </c>
      <c r="U87" s="8" t="s">
        <v>613</v>
      </c>
      <c r="V87" s="63">
        <f>(V55+V53+V44)/(W44+W53+W55)</f>
        <v>0.70265486725663717</v>
      </c>
      <c r="W87" s="63"/>
      <c r="X87" s="63">
        <f>V87</f>
        <v>0.70265486725663717</v>
      </c>
      <c r="Y87" s="63">
        <f>(AA55+AA53+AA44)/(W55+W53+W44)</f>
        <v>0.74159292035398228</v>
      </c>
      <c r="Z87" s="63">
        <f>(AB55+AB53+AB44)/(W55+W53+W44)</f>
        <v>0.78938053097345118</v>
      </c>
      <c r="AA87" s="63">
        <f>(AC55+AC53+AC44)/(W55+W53+W44)</f>
        <v>0.83893805309734526</v>
      </c>
      <c r="AK87" s="2" t="s">
        <v>645</v>
      </c>
      <c r="AL87" s="3" t="s">
        <v>843</v>
      </c>
      <c r="AM87" s="2" t="s">
        <v>829</v>
      </c>
      <c r="AN87" s="63">
        <f>(AN55+AN44+AN53)/(AQ55+AQ53+AQ44)</f>
        <v>0.33415929203539829</v>
      </c>
      <c r="AO87" s="8" t="s">
        <v>613</v>
      </c>
      <c r="AP87" s="63">
        <f>(AP55+AP53+AP44)/(AQ44+AQ53+AQ55)</f>
        <v>0.72743362831858405</v>
      </c>
      <c r="AQ87" s="63"/>
      <c r="AR87" s="63">
        <f>AP87</f>
        <v>0.72743362831858405</v>
      </c>
      <c r="AS87" s="63">
        <f>(AU55+AU53+AU44)/(AQ55+AQ53+AQ44)</f>
        <v>0.77876106194690264</v>
      </c>
      <c r="AT87" s="63">
        <f>(AV55+AV53+AV44)/(AQ55+AQ53+AQ44)</f>
        <v>0.82654867256637177</v>
      </c>
      <c r="AU87" s="63">
        <f>(AW55+AW53+AW44)/(AQ55+AQ53+AQ44)</f>
        <v>0.87433628318584078</v>
      </c>
    </row>
    <row r="88" spans="17:47" ht="34" x14ac:dyDescent="0.2">
      <c r="Q88" s="2" t="s">
        <v>646</v>
      </c>
      <c r="R88" s="3" t="s">
        <v>844</v>
      </c>
      <c r="S88" s="2" t="s">
        <v>830</v>
      </c>
      <c r="T88" s="63">
        <f>(T55+T53+T46)/(W55+W53+W46)</f>
        <v>0.3111504424778761</v>
      </c>
      <c r="U88" s="8" t="s">
        <v>613</v>
      </c>
      <c r="V88" s="63">
        <f>(V55+V53+V46)/(W55+W53+W46)</f>
        <v>0.69380530973451338</v>
      </c>
      <c r="W88" s="63"/>
      <c r="X88" s="63">
        <f>V88</f>
        <v>0.69380530973451338</v>
      </c>
      <c r="Y88" s="63">
        <f>(AA55+AA53+AA46)/(W55+W53+W46)</f>
        <v>0.74159292035398228</v>
      </c>
      <c r="Z88" s="63">
        <f>(AB55+AB53+AB46)/(W55+W53+W46)</f>
        <v>0.78053097345132738</v>
      </c>
      <c r="AA88" s="63">
        <f>(AC55+AC53+AC46)/(W55+W53+W46)</f>
        <v>0.83008849557522135</v>
      </c>
      <c r="AK88" s="2" t="s">
        <v>646</v>
      </c>
      <c r="AL88" s="3" t="s">
        <v>844</v>
      </c>
      <c r="AM88" s="2" t="s">
        <v>830</v>
      </c>
      <c r="AN88" s="63">
        <f>(AN55+AN53+AN46)/(AQ55+AQ53+AQ46)</f>
        <v>0.32530973451327438</v>
      </c>
      <c r="AO88" s="8" t="s">
        <v>613</v>
      </c>
      <c r="AP88" s="63">
        <f>(AP55+AP53+AP46)/(AQ55+AQ53+AQ46)</f>
        <v>0.72743362831858405</v>
      </c>
      <c r="AQ88" s="63"/>
      <c r="AR88" s="63">
        <f>AP88</f>
        <v>0.72743362831858405</v>
      </c>
      <c r="AS88" s="63">
        <f>(AU55+AU53+AU46)/(AQ55+AQ53+AQ46)</f>
        <v>0.76991150442477874</v>
      </c>
      <c r="AT88" s="63">
        <f>(AV55+AV53+AV46)/(AQ55+AQ53+AQ46)</f>
        <v>0.81769911504424786</v>
      </c>
      <c r="AU88" s="63">
        <f>(AW55+AW53+AW46)/(AQ55+AQ53+AQ46)</f>
        <v>0.85663716814159307</v>
      </c>
    </row>
    <row r="89" spans="17:47" ht="34" x14ac:dyDescent="0.2">
      <c r="Q89" s="2" t="s">
        <v>642</v>
      </c>
      <c r="R89" s="3" t="s">
        <v>845</v>
      </c>
      <c r="S89" s="2" t="s">
        <v>831</v>
      </c>
      <c r="T89" s="63">
        <f>(T55+T53+T45)/(W55+W53+W45)</f>
        <v>0.3111504424778761</v>
      </c>
      <c r="U89" s="8" t="s">
        <v>613</v>
      </c>
      <c r="V89" s="63">
        <f>(V55+V53+V45)/(W55+W53+W45)</f>
        <v>0.69380530973451338</v>
      </c>
      <c r="W89" s="63"/>
      <c r="X89" s="63">
        <f>V89</f>
        <v>0.69380530973451338</v>
      </c>
      <c r="Y89" s="63">
        <f>(AA55+AA53+AA45)/(W55+W53+W45)</f>
        <v>0.74159292035398228</v>
      </c>
      <c r="Z89" s="63">
        <f>(AB55+AB53+AB45)/(W55+W53+W45)</f>
        <v>0.78938053097345118</v>
      </c>
      <c r="AA89" s="63">
        <f>(AC55+AC53+AC45)/(W55+W53+W45)</f>
        <v>0.83008849557522135</v>
      </c>
      <c r="AK89" s="2" t="s">
        <v>642</v>
      </c>
      <c r="AL89" s="3" t="s">
        <v>845</v>
      </c>
      <c r="AM89" s="2" t="s">
        <v>831</v>
      </c>
      <c r="AN89" s="63">
        <f>(AN55+AN53+AN45)/(AQ55+AQ53+AQ45)</f>
        <v>0.32530973451327438</v>
      </c>
      <c r="AO89" s="8" t="s">
        <v>613</v>
      </c>
      <c r="AP89" s="63">
        <f>(AP55+AP53+AP45)/(AQ55+AQ53+AQ45)</f>
        <v>0.72743362831858405</v>
      </c>
      <c r="AQ89" s="63"/>
      <c r="AR89" s="63">
        <f>AP89</f>
        <v>0.72743362831858405</v>
      </c>
      <c r="AS89" s="63">
        <f>(AU55+AU53+AU45)/(AQ55+AQ53+AQ45)</f>
        <v>0.77876106194690264</v>
      </c>
      <c r="AT89" s="63">
        <f>(AV55+AV53+AV45)/(AQ55+AQ53+AQ45)</f>
        <v>0.81769911504424786</v>
      </c>
      <c r="AU89" s="63">
        <f>(AW55+AW53+AW45)/(AQ55+AQ53+AQ45)</f>
        <v>0.86548672566371687</v>
      </c>
    </row>
    <row r="90" spans="17:47" x14ac:dyDescent="0.2">
      <c r="T90" s="63"/>
      <c r="U90" s="63"/>
      <c r="V90" s="63"/>
      <c r="W90" s="63"/>
      <c r="X90" s="63"/>
      <c r="Y90" s="63"/>
      <c r="Z90" s="63"/>
      <c r="AA90" s="63"/>
      <c r="AN90" s="63"/>
      <c r="AO90" s="63"/>
      <c r="AP90" s="63"/>
      <c r="AQ90" s="63"/>
      <c r="AR90" s="63"/>
      <c r="AS90" s="63"/>
      <c r="AT90" s="63"/>
      <c r="AU90" s="63"/>
    </row>
    <row r="91" spans="17:47" x14ac:dyDescent="0.2">
      <c r="Q91" s="2" t="s">
        <v>648</v>
      </c>
      <c r="R91" s="2" t="s">
        <v>882</v>
      </c>
      <c r="S91" s="2" t="s">
        <v>832</v>
      </c>
      <c r="T91" s="63">
        <f>(T60+T57)/(W60+W57)</f>
        <v>0.26845637583892618</v>
      </c>
      <c r="U91" s="8" t="s">
        <v>613</v>
      </c>
      <c r="V91" s="63">
        <f>(V60+V57)/(W60+W57)</f>
        <v>0.52348993288590606</v>
      </c>
      <c r="W91" s="63"/>
      <c r="X91" s="63">
        <f>V91</f>
        <v>0.52348993288590606</v>
      </c>
      <c r="Y91" s="63">
        <f>(AA60+AA57)/(W60+W57)</f>
        <v>0.59060402684563762</v>
      </c>
      <c r="Z91" s="63">
        <f>(AB60+AB57)/(W60+W57)</f>
        <v>0.67785234899328861</v>
      </c>
      <c r="AA91" s="63">
        <f>(AC60+AC57)/(W60+W57)</f>
        <v>0.79865771812080533</v>
      </c>
      <c r="AK91" s="2" t="s">
        <v>648</v>
      </c>
      <c r="AL91" s="2" t="s">
        <v>882</v>
      </c>
      <c r="AM91" s="2" t="s">
        <v>832</v>
      </c>
      <c r="AN91" s="63">
        <f>(AN60+AN57)/(AQ60+AQ57)</f>
        <v>0.29530201342281881</v>
      </c>
      <c r="AO91" s="8" t="s">
        <v>613</v>
      </c>
      <c r="AP91" s="63">
        <f>(AP60+AP57)/(AQ60+AQ57)</f>
        <v>0.59731543624161076</v>
      </c>
      <c r="AQ91" s="63"/>
      <c r="AR91" s="63">
        <f>AP91</f>
        <v>0.59731543624161076</v>
      </c>
      <c r="AS91" s="63">
        <f>(AU60+AU57)/(AQ60+AQ57)</f>
        <v>0.65771812080536918</v>
      </c>
      <c r="AT91" s="63">
        <f>(AV60+AV57)/(AQ60+AQ57)</f>
        <v>0.71677852348993287</v>
      </c>
      <c r="AU91" s="63">
        <f>(AW60+AW57)/(AQ60+AQ57)</f>
        <v>0.82953020134228184</v>
      </c>
    </row>
    <row r="92" spans="17:47" x14ac:dyDescent="0.2">
      <c r="Q92" s="2" t="s">
        <v>647</v>
      </c>
      <c r="R92" s="2" t="s">
        <v>847</v>
      </c>
      <c r="S92" s="2" t="s">
        <v>833</v>
      </c>
      <c r="T92" s="63">
        <f>(T60+T58)/(W60+W58)</f>
        <v>0.34782608695652173</v>
      </c>
      <c r="U92" s="8" t="s">
        <v>613</v>
      </c>
      <c r="V92" s="63">
        <f>(V60+V58)/(W60+W58)</f>
        <v>0.60869565217391308</v>
      </c>
      <c r="W92" s="63"/>
      <c r="X92" s="63">
        <f>V92</f>
        <v>0.60869565217391308</v>
      </c>
      <c r="Y92" s="63">
        <f>(AA60+AA58)/(W60+W58)</f>
        <v>0.6811594202898551</v>
      </c>
      <c r="Z92" s="63">
        <f>(AB60+AB58)/(W60+W58)</f>
        <v>0.75362318840579712</v>
      </c>
      <c r="AA92" s="63">
        <f>(AC60+AC58)/(W60+W58)</f>
        <v>0.85507246376811596</v>
      </c>
      <c r="AK92" s="2" t="s">
        <v>647</v>
      </c>
      <c r="AL92" s="2" t="s">
        <v>847</v>
      </c>
      <c r="AM92" s="2" t="s">
        <v>833</v>
      </c>
      <c r="AN92" s="63">
        <f>(AN60+AN58)/(AQ60+AQ58)</f>
        <v>0.40579710144927539</v>
      </c>
      <c r="AO92" s="8" t="s">
        <v>613</v>
      </c>
      <c r="AP92" s="63">
        <f>(AP60+AP58)/(AQ60+AQ58)</f>
        <v>0.6811594202898551</v>
      </c>
      <c r="AQ92" s="63"/>
      <c r="AR92" s="63">
        <f>AP92</f>
        <v>0.6811594202898551</v>
      </c>
      <c r="AS92" s="63">
        <f>(AU60+AU58)/(AQ60+AQ58)</f>
        <v>0.73913043478260865</v>
      </c>
      <c r="AT92" s="63">
        <f>(AV60+AV58)/(AQ60+AQ58)</f>
        <v>0.79420289855072457</v>
      </c>
      <c r="AU92" s="63">
        <f>(AW60+AW58)/(AQ60+AQ58)</f>
        <v>0.87826086956521732</v>
      </c>
    </row>
    <row r="93" spans="17:47" x14ac:dyDescent="0.2">
      <c r="Q93" s="2" t="s">
        <v>649</v>
      </c>
      <c r="R93" s="2" t="s">
        <v>848</v>
      </c>
      <c r="S93" s="2" t="s">
        <v>835</v>
      </c>
      <c r="T93" s="63">
        <f>(T60+T10)/(W10+W60)</f>
        <v>0.46278436280644925</v>
      </c>
      <c r="U93" s="8" t="s">
        <v>613</v>
      </c>
      <c r="V93" s="63">
        <f>(V60+V10)/(W10+W60)</f>
        <v>0.61840413678827533</v>
      </c>
      <c r="W93" s="63"/>
      <c r="X93" s="63">
        <f>V93</f>
        <v>0.61840413678827533</v>
      </c>
      <c r="Y93" s="63">
        <f>(AA60+AA10)/(W10+W60)</f>
        <v>0.66337123084527927</v>
      </c>
      <c r="Z93" s="63">
        <f>(AB60+AB10)/(W10+W60)</f>
        <v>0.73235842114327765</v>
      </c>
      <c r="AA93" s="63">
        <f>(AC60+AC10)/(W10+W60)</f>
        <v>0.83489866534849233</v>
      </c>
      <c r="AK93" s="2" t="s">
        <v>649</v>
      </c>
      <c r="AL93" s="2" t="s">
        <v>848</v>
      </c>
      <c r="AM93" s="2" t="s">
        <v>835</v>
      </c>
      <c r="AN93" s="63">
        <f>(AN60+AN10)/(AQ10+AQ60)</f>
        <v>0.51700719275965168</v>
      </c>
      <c r="AO93" s="8" t="s">
        <v>613</v>
      </c>
      <c r="AP93" s="63">
        <f>(AP60+AP10)/(AQ10+AQ60)</f>
        <v>0.70356094783408518</v>
      </c>
      <c r="AQ93" s="63"/>
      <c r="AR93" s="63">
        <f>AP93</f>
        <v>0.70356094783408518</v>
      </c>
      <c r="AS93" s="63">
        <f>(AU60+AU10)/(AQ10+AQ60)</f>
        <v>0.75070234621600807</v>
      </c>
      <c r="AT93" s="63">
        <f>(AV60+AV10)/(AQ10+AQ60)</f>
        <v>0.80616546083674112</v>
      </c>
      <c r="AU93" s="63">
        <f>(AW60+AW10)/(AQ10+AQ60)</f>
        <v>0.88975995981210676</v>
      </c>
    </row>
    <row r="94" spans="17:47" x14ac:dyDescent="0.2">
      <c r="T94" s="63"/>
      <c r="U94" s="8"/>
      <c r="V94" s="63"/>
      <c r="W94" s="63"/>
      <c r="X94" s="63"/>
      <c r="Y94" s="63"/>
      <c r="Z94" s="63"/>
      <c r="AA94" s="63"/>
      <c r="AN94" s="63"/>
      <c r="AO94" s="8"/>
      <c r="AP94" s="63"/>
      <c r="AQ94" s="63"/>
      <c r="AR94" s="63"/>
      <c r="AS94" s="63"/>
      <c r="AT94" s="63"/>
      <c r="AU94" s="63"/>
    </row>
    <row r="95" spans="17:47" x14ac:dyDescent="0.2">
      <c r="Q95" s="2" t="s">
        <v>782</v>
      </c>
      <c r="R95" s="2" t="s">
        <v>872</v>
      </c>
      <c r="S95" s="2" t="s">
        <v>836</v>
      </c>
      <c r="T95" s="63">
        <f>(T60+T45)/(W45+W60)</f>
        <v>0.2857142857142857</v>
      </c>
      <c r="U95" s="8" t="s">
        <v>613</v>
      </c>
      <c r="V95" s="63">
        <f>(V60+V45)/(W45+W60)</f>
        <v>0.5714285714285714</v>
      </c>
      <c r="W95" s="63"/>
      <c r="X95" s="63">
        <f>V95</f>
        <v>0.5714285714285714</v>
      </c>
      <c r="Y95" s="63">
        <f>(AA60+AA45)/(W45+W60)</f>
        <v>0.64661654135338342</v>
      </c>
      <c r="Z95" s="63">
        <f>(AB60+AB45)/(W45+W60)</f>
        <v>0.72932330827067671</v>
      </c>
      <c r="AA95" s="63">
        <f>(AC60+AC45)/(W45+W60)</f>
        <v>0.81954887218045114</v>
      </c>
      <c r="AK95" s="2" t="s">
        <v>782</v>
      </c>
      <c r="AL95" s="2" t="s">
        <v>872</v>
      </c>
      <c r="AM95" s="2" t="s">
        <v>836</v>
      </c>
      <c r="AN95" s="63">
        <f>(AN60+AN45)/(AQ45+AQ60)</f>
        <v>0.31578947368421051</v>
      </c>
      <c r="AO95" s="8" t="s">
        <v>613</v>
      </c>
      <c r="AP95" s="63">
        <f>(AP60+AP45)/(AQ45+AQ60)</f>
        <v>0.63909774436090228</v>
      </c>
      <c r="AQ95" s="63"/>
      <c r="AR95" s="63">
        <f>AP95</f>
        <v>0.63909774436090228</v>
      </c>
      <c r="AS95" s="63">
        <f>(AU60+AU45)/(AQ45+AQ60)</f>
        <v>0.70676691729323304</v>
      </c>
      <c r="AT95" s="63">
        <f>(AV60+AV45)/(AQ45+AQ60)</f>
        <v>0.75789473684210529</v>
      </c>
      <c r="AU95" s="63">
        <f>(AW60+AW45)/(AQ45+AQ60)</f>
        <v>0.85413533834586464</v>
      </c>
    </row>
    <row r="96" spans="17:47" x14ac:dyDescent="0.2">
      <c r="Q96" s="2" t="s">
        <v>781</v>
      </c>
      <c r="R96" s="2" t="s">
        <v>848</v>
      </c>
      <c r="S96" s="2" t="s">
        <v>837</v>
      </c>
      <c r="T96" s="63">
        <f>(T60+T5)/(W5+W60)</f>
        <v>0.43087779322142628</v>
      </c>
      <c r="U96" s="8" t="s">
        <v>613</v>
      </c>
      <c r="V96" s="63">
        <f>(V60+V5)/(W5+W60)</f>
        <v>0.61009271710666013</v>
      </c>
      <c r="W96" s="63"/>
      <c r="X96" s="63">
        <f>V96</f>
        <v>0.61009271710666013</v>
      </c>
      <c r="Y96" s="63">
        <f>(AA60+AA5)/(W5+W60)</f>
        <v>0.65757358219669781</v>
      </c>
      <c r="Z96" s="63">
        <f>(AB60+AB5)/(W5+W60)</f>
        <v>0.71800177357375106</v>
      </c>
      <c r="AA96" s="63">
        <f>(AC60+AC5)/(W5+W60)</f>
        <v>0.8205312275664034</v>
      </c>
      <c r="AK96" s="2" t="s">
        <v>781</v>
      </c>
      <c r="AL96" s="2" t="s">
        <v>848</v>
      </c>
      <c r="AM96" s="2" t="s">
        <v>837</v>
      </c>
      <c r="AN96" s="63">
        <f>(AN60+AN5)/(AQ5+AQ60)</f>
        <v>0.46528416731545053</v>
      </c>
      <c r="AO96" s="8" t="s">
        <v>613</v>
      </c>
      <c r="AP96" s="63">
        <f>(AP60+AP5)/(AQ5+AQ60)</f>
        <v>0.66999554735703837</v>
      </c>
      <c r="AQ96" s="63"/>
      <c r="AR96" s="63">
        <f>AP96</f>
        <v>0.66999554735703837</v>
      </c>
      <c r="AS96" s="63">
        <f>(AU60+AU5)/(AQ5+AQ60)</f>
        <v>0.71904979442667871</v>
      </c>
      <c r="AT96" s="63">
        <f>(AV60+AV5)/(AQ5+AQ60)</f>
        <v>0.76783919597989958</v>
      </c>
      <c r="AU96" s="63">
        <f>(AW60+AW5)/(AQ5+AQ60)</f>
        <v>0.85381838771321406</v>
      </c>
    </row>
    <row r="98" spans="17:47" ht="34" x14ac:dyDescent="0.2">
      <c r="Q98" s="2" t="s">
        <v>859</v>
      </c>
      <c r="R98" s="3" t="s">
        <v>868</v>
      </c>
      <c r="S98" s="2" t="s">
        <v>861</v>
      </c>
      <c r="T98" s="63">
        <f>(T84+T85+T87+T88+T89)/5</f>
        <v>0.27780137659783677</v>
      </c>
      <c r="U98" s="8" t="s">
        <v>613</v>
      </c>
      <c r="V98" s="63">
        <f>(V84+V85+V87+V88+V89)/5</f>
        <v>0.66471976401179944</v>
      </c>
      <c r="W98" s="63"/>
      <c r="X98" s="63">
        <f t="shared" ref="X98:AA98" si="162">(X84+X85+X87+X88+X89)/5</f>
        <v>0.66471976401179944</v>
      </c>
      <c r="Y98" s="63">
        <f t="shared" si="162"/>
        <v>0.72952718078381795</v>
      </c>
      <c r="Z98" s="63">
        <f t="shared" si="162"/>
        <v>0.74662031184155064</v>
      </c>
      <c r="AA98" s="63">
        <f t="shared" si="162"/>
        <v>0.84382300884955763</v>
      </c>
      <c r="AK98" s="2" t="s">
        <v>859</v>
      </c>
      <c r="AL98" s="3" t="s">
        <v>868</v>
      </c>
      <c r="AM98" s="2" t="s">
        <v>861</v>
      </c>
      <c r="AN98" s="63">
        <f>(AN84+AN85+AN87+AN88+AN89)/5</f>
        <v>0.28806686332350057</v>
      </c>
      <c r="AO98" s="8" t="s">
        <v>613</v>
      </c>
      <c r="AP98" s="63">
        <f>(AP84+AP85+AP87+AP88+AP89)/5</f>
        <v>0.68757128810226154</v>
      </c>
      <c r="AQ98" s="63"/>
      <c r="AR98" s="63">
        <f t="shared" ref="AR98:AU98" si="163">(AR84+AR85+AR87+AR88+AR89)/5</f>
        <v>0.68757128810226154</v>
      </c>
      <c r="AS98" s="63">
        <f t="shared" si="163"/>
        <v>0.75678831296530413</v>
      </c>
      <c r="AT98" s="63">
        <f t="shared" si="163"/>
        <v>0.77302430116589416</v>
      </c>
      <c r="AU98" s="63">
        <f t="shared" si="163"/>
        <v>0.87230790841410299</v>
      </c>
    </row>
    <row r="99" spans="17:47" x14ac:dyDescent="0.2">
      <c r="R99" s="3"/>
      <c r="T99" s="63"/>
      <c r="U99" s="63"/>
      <c r="V99" s="63"/>
      <c r="W99" s="63"/>
      <c r="X99" s="63"/>
      <c r="Y99" s="63"/>
      <c r="Z99" s="63"/>
      <c r="AA99" s="63"/>
      <c r="AL99" s="3"/>
      <c r="AN99" s="63"/>
      <c r="AO99" s="63"/>
      <c r="AP99" s="63"/>
      <c r="AQ99" s="63"/>
      <c r="AR99" s="63"/>
      <c r="AS99" s="63"/>
      <c r="AT99" s="63"/>
      <c r="AU99" s="63"/>
    </row>
    <row r="100" spans="17:47" ht="34" x14ac:dyDescent="0.2">
      <c r="Q100" s="2" t="s">
        <v>65</v>
      </c>
      <c r="R100" s="3" t="s">
        <v>869</v>
      </c>
      <c r="S100" s="2" t="s">
        <v>862</v>
      </c>
      <c r="T100" s="63">
        <f>(T93+T92+T91)/3</f>
        <v>0.35968894186729905</v>
      </c>
      <c r="U100" s="8" t="s">
        <v>613</v>
      </c>
      <c r="V100" s="63">
        <f>(V93+V92+V91)/3</f>
        <v>0.58352990728269816</v>
      </c>
      <c r="W100" s="63"/>
      <c r="X100" s="63">
        <f t="shared" ref="X100:AA100" si="164">(X93+X92+X91)/3</f>
        <v>0.58352990728269816</v>
      </c>
      <c r="Y100" s="63">
        <f t="shared" si="164"/>
        <v>0.64504489266025733</v>
      </c>
      <c r="Z100" s="63">
        <f t="shared" si="164"/>
        <v>0.72127798618078776</v>
      </c>
      <c r="AA100" s="63">
        <f t="shared" si="164"/>
        <v>0.82954294907913795</v>
      </c>
      <c r="AK100" s="2" t="s">
        <v>65</v>
      </c>
      <c r="AL100" s="3" t="s">
        <v>869</v>
      </c>
      <c r="AM100" s="2" t="s">
        <v>862</v>
      </c>
      <c r="AN100" s="63">
        <f>(AN93+AN92+AN91)/3</f>
        <v>0.40603543587724866</v>
      </c>
      <c r="AO100" s="8" t="s">
        <v>613</v>
      </c>
      <c r="AP100" s="63">
        <f>(AP93+AP92+AP91)/3</f>
        <v>0.66067860145518376</v>
      </c>
      <c r="AQ100" s="63"/>
      <c r="AR100" s="63">
        <f t="shared" ref="AR100:AU100" si="165">(AR93+AR92+AR91)/3</f>
        <v>0.66067860145518376</v>
      </c>
      <c r="AS100" s="63">
        <f t="shared" si="165"/>
        <v>0.7158503006013287</v>
      </c>
      <c r="AT100" s="63">
        <f t="shared" si="165"/>
        <v>0.77238229429246619</v>
      </c>
      <c r="AU100" s="63">
        <f t="shared" si="165"/>
        <v>0.8658503435732019</v>
      </c>
    </row>
    <row r="101" spans="17:47" x14ac:dyDescent="0.2">
      <c r="T101" s="63"/>
      <c r="U101" s="63"/>
      <c r="V101" s="63"/>
      <c r="W101" s="63"/>
      <c r="X101" s="63"/>
      <c r="Y101" s="63"/>
      <c r="Z101" s="63"/>
      <c r="AA101" s="63"/>
      <c r="AN101" s="63"/>
      <c r="AO101" s="63"/>
      <c r="AP101" s="63"/>
      <c r="AQ101" s="63"/>
      <c r="AR101" s="63"/>
      <c r="AS101" s="63"/>
      <c r="AT101" s="63"/>
      <c r="AU101" s="63"/>
    </row>
    <row r="102" spans="17:47" ht="34" x14ac:dyDescent="0.2">
      <c r="Q102" s="2" t="s">
        <v>860</v>
      </c>
      <c r="R102" s="3" t="s">
        <v>864</v>
      </c>
      <c r="S102" s="2" t="s">
        <v>863</v>
      </c>
      <c r="T102" s="63">
        <f>(T93+T92+T91+T89+T88+T87+T85+T84)/8</f>
        <v>0.30850921357388511</v>
      </c>
      <c r="U102" s="8" t="s">
        <v>613</v>
      </c>
      <c r="V102" s="63">
        <f>(V93+V92+V91+V89+V88+V87+V85+V84)/8</f>
        <v>0.6342735677383865</v>
      </c>
      <c r="W102" s="63"/>
      <c r="X102" s="63">
        <f>(X93+X92+X91+X89+X88+X87+X85+X84)/8</f>
        <v>0.6342735677383865</v>
      </c>
      <c r="Y102" s="63">
        <f t="shared" ref="Y102:AA102" si="166">(Y93+Y92+Y91+Y89+Y88+Y87+Y85+Y84)/8</f>
        <v>0.6978463227374827</v>
      </c>
      <c r="Z102" s="63">
        <f t="shared" si="166"/>
        <v>0.73711693971876469</v>
      </c>
      <c r="AA102" s="63">
        <f t="shared" si="166"/>
        <v>0.83846798643565013</v>
      </c>
      <c r="AK102" s="2" t="s">
        <v>860</v>
      </c>
      <c r="AL102" s="3" t="s">
        <v>864</v>
      </c>
      <c r="AM102" s="2" t="s">
        <v>863</v>
      </c>
      <c r="AN102" s="63">
        <f>(AN93+AN92+AN91+AN89+AN88+AN87+AN85+AN84)/8</f>
        <v>0.33230507803115605</v>
      </c>
      <c r="AO102" s="8" t="s">
        <v>613</v>
      </c>
      <c r="AP102" s="63">
        <f>(AP93+AP92+AP91+AP89+AP88+AP87+AP85+AP84)/8</f>
        <v>0.6774865306096074</v>
      </c>
      <c r="AQ102" s="63"/>
      <c r="AR102" s="63">
        <f>(AR93+AR92+AR91+AR89+AR88+AR87+AR85+AR84)/8</f>
        <v>0.6774865306096074</v>
      </c>
      <c r="AS102" s="63">
        <f t="shared" ref="AS102:AU102" si="167">(AS93+AS92+AS91+AS89+AS88+AS87+AS85+AS84)/8</f>
        <v>0.74143655832881339</v>
      </c>
      <c r="AT102" s="63">
        <f t="shared" si="167"/>
        <v>0.77278354858835874</v>
      </c>
      <c r="AU102" s="63">
        <f t="shared" si="167"/>
        <v>0.86988632159876511</v>
      </c>
    </row>
    <row r="104" spans="17:47" ht="51" x14ac:dyDescent="0.2">
      <c r="Q104" s="55" t="s">
        <v>1077</v>
      </c>
      <c r="R104" s="3" t="s">
        <v>1078</v>
      </c>
      <c r="S104" s="2" t="s">
        <v>763</v>
      </c>
      <c r="T104" s="84">
        <f>(T28/W28)*100</f>
        <v>35</v>
      </c>
      <c r="U104" s="84"/>
      <c r="V104" s="84">
        <f>(V28/W28)*100</f>
        <v>53.333333333333336</v>
      </c>
      <c r="W104" s="84"/>
      <c r="X104" s="84">
        <f>V104</f>
        <v>53.333333333333336</v>
      </c>
      <c r="Y104" s="84">
        <f>(AA28/$W28)*100</f>
        <v>56.666666666666664</v>
      </c>
      <c r="Z104" s="84">
        <f t="shared" ref="Z104:AA104" si="168">(AB28/$W28)*100</f>
        <v>61.666666666666671</v>
      </c>
      <c r="AA104" s="84">
        <f t="shared" si="168"/>
        <v>66.666666666666657</v>
      </c>
      <c r="AK104" s="55" t="s">
        <v>1077</v>
      </c>
      <c r="AL104" s="3" t="s">
        <v>1078</v>
      </c>
      <c r="AM104" s="2" t="s">
        <v>763</v>
      </c>
      <c r="AN104" s="84">
        <f>(AN28/AQ28)*100</f>
        <v>36.666666666666664</v>
      </c>
      <c r="AO104" s="84"/>
      <c r="AP104" s="84">
        <f>(AP28/AQ28)*100</f>
        <v>56.666666666666664</v>
      </c>
      <c r="AQ104" s="84"/>
      <c r="AR104" s="84">
        <f>AP104</f>
        <v>56.666666666666664</v>
      </c>
      <c r="AS104" s="84">
        <f>(AU28/$AQ28)*100</f>
        <v>60</v>
      </c>
      <c r="AT104" s="84">
        <f t="shared" ref="AT104:AU104" si="169">(AV28/$AQ28)*100</f>
        <v>65</v>
      </c>
      <c r="AU104" s="84">
        <f t="shared" si="169"/>
        <v>70</v>
      </c>
    </row>
    <row r="105" spans="17:47" ht="68" x14ac:dyDescent="0.2">
      <c r="R105" s="3" t="s">
        <v>1080</v>
      </c>
      <c r="S105" s="2" t="s">
        <v>760</v>
      </c>
      <c r="T105" s="84">
        <f>(T29/W29)*100</f>
        <v>40.180722891566269</v>
      </c>
      <c r="U105" s="8"/>
      <c r="V105" s="84">
        <f>(V29/W29)*100</f>
        <v>55.481927710843372</v>
      </c>
      <c r="W105" s="8"/>
      <c r="X105" s="84">
        <f>V105</f>
        <v>55.481927710843372</v>
      </c>
      <c r="Y105" s="84">
        <f>(AA29/$W29)*100</f>
        <v>57.7710843373494</v>
      </c>
      <c r="Z105" s="84">
        <f t="shared" ref="Z105:AA105" si="170">(AB29/$W29)*100</f>
        <v>61.807228915662648</v>
      </c>
      <c r="AA105" s="84">
        <f t="shared" si="170"/>
        <v>66.385542168674704</v>
      </c>
      <c r="AL105" s="3" t="s">
        <v>1080</v>
      </c>
      <c r="AM105" s="2" t="s">
        <v>760</v>
      </c>
      <c r="AN105" s="84">
        <f>(AN29/AQ29)*100</f>
        <v>42.46987951807229</v>
      </c>
      <c r="AO105" s="8"/>
      <c r="AP105" s="84">
        <f>(AP29/AQ29)*100</f>
        <v>58.975903614457835</v>
      </c>
      <c r="AQ105" s="8"/>
      <c r="AR105" s="84">
        <f>AP105</f>
        <v>58.975903614457835</v>
      </c>
      <c r="AS105" s="84">
        <f>(AU29/$AQ29)*100</f>
        <v>61.566265060240966</v>
      </c>
      <c r="AT105" s="84">
        <f t="shared" ref="AT105:AU105" si="171">(AV29/$AQ29)*100</f>
        <v>65.602409638554221</v>
      </c>
      <c r="AU105" s="84">
        <f t="shared" si="171"/>
        <v>69.879518072289159</v>
      </c>
    </row>
    <row r="106" spans="17:47" ht="34" x14ac:dyDescent="0.2">
      <c r="R106" s="3" t="s">
        <v>1079</v>
      </c>
      <c r="S106" s="2" t="s">
        <v>759</v>
      </c>
      <c r="T106" s="8">
        <f>(T10/$W10)*100</f>
        <v>56.524822695035461</v>
      </c>
      <c r="U106" s="8"/>
      <c r="V106" s="8">
        <f>(V10/$W10)*100</f>
        <v>64.843775295450882</v>
      </c>
      <c r="W106" s="8"/>
      <c r="X106" s="84">
        <f>V106</f>
        <v>64.843775295450882</v>
      </c>
      <c r="Y106" s="8">
        <f>(AA10/$W10)*100</f>
        <v>67.619047619047606</v>
      </c>
      <c r="Z106" s="8">
        <f t="shared" ref="Z106:AA106" si="172">(AB10/$W10)*100</f>
        <v>73.695324283559572</v>
      </c>
      <c r="AA106" s="8">
        <f t="shared" si="172"/>
        <v>83.49206349206348</v>
      </c>
      <c r="AL106" s="3" t="s">
        <v>1079</v>
      </c>
      <c r="AM106" s="2" t="s">
        <v>759</v>
      </c>
      <c r="AN106" s="8">
        <f>(AN10/$AQ10)*100</f>
        <v>63.008377059744078</v>
      </c>
      <c r="AO106" s="8"/>
      <c r="AP106" s="8">
        <f>(AP10/$AQ10)*100</f>
        <v>74.627285513361457</v>
      </c>
      <c r="AQ106" s="8"/>
      <c r="AR106" s="84">
        <f>AP106</f>
        <v>74.627285513361457</v>
      </c>
      <c r="AS106" s="8">
        <f>(AU10/$AQ10)*100</f>
        <v>78.307210031347964</v>
      </c>
      <c r="AT106" s="8">
        <f t="shared" ref="AT106:AU106" si="173">(AV10/$AQ10)*100</f>
        <v>83.434343434343432</v>
      </c>
      <c r="AU106" s="8">
        <f t="shared" si="173"/>
        <v>90.85590465872157</v>
      </c>
    </row>
    <row r="107" spans="17:47" ht="68" x14ac:dyDescent="0.2">
      <c r="R107" s="3" t="s">
        <v>1081</v>
      </c>
      <c r="S107" s="2" t="s">
        <v>1072</v>
      </c>
      <c r="T107" s="85">
        <f>((1-(T104/90)))</f>
        <v>0.61111111111111116</v>
      </c>
      <c r="U107" s="85"/>
      <c r="V107" s="85">
        <f>((1-(V104/90)))</f>
        <v>0.40740740740740733</v>
      </c>
      <c r="W107" s="85"/>
      <c r="X107" s="85">
        <f t="shared" ref="X107:AA107" si="174">((1-(X104/90)))</f>
        <v>0.40740740740740733</v>
      </c>
      <c r="Y107" s="85">
        <f t="shared" si="174"/>
        <v>0.37037037037037035</v>
      </c>
      <c r="Z107" s="85">
        <f t="shared" si="174"/>
        <v>0.31481481481481477</v>
      </c>
      <c r="AA107" s="85">
        <f t="shared" si="174"/>
        <v>0.25925925925925941</v>
      </c>
      <c r="AL107" s="3" t="s">
        <v>1081</v>
      </c>
      <c r="AM107" s="2" t="s">
        <v>1072</v>
      </c>
      <c r="AN107" s="85">
        <f>((1-(AN104/90)))</f>
        <v>0.59259259259259256</v>
      </c>
      <c r="AO107" s="85"/>
      <c r="AP107" s="85">
        <f>((1-(AP104/90)))</f>
        <v>0.37037037037037035</v>
      </c>
      <c r="AQ107" s="85"/>
      <c r="AR107" s="85">
        <f t="shared" ref="AR107:AU107" si="175">((1-(AR104/90)))</f>
        <v>0.37037037037037035</v>
      </c>
      <c r="AS107" s="85">
        <f t="shared" si="175"/>
        <v>0.33333333333333337</v>
      </c>
      <c r="AT107" s="85">
        <f t="shared" si="175"/>
        <v>0.27777777777777779</v>
      </c>
      <c r="AU107" s="85">
        <f t="shared" si="175"/>
        <v>0.22222222222222221</v>
      </c>
    </row>
    <row r="109" spans="17:47" x14ac:dyDescent="0.2">
      <c r="R109" s="2" t="s">
        <v>1099</v>
      </c>
      <c r="S109" s="2" t="s">
        <v>1100</v>
      </c>
      <c r="T109" s="63">
        <f>T30/$W30</f>
        <v>0.40161290322580645</v>
      </c>
      <c r="U109" s="63"/>
      <c r="V109" s="63">
        <f>V30/$W30</f>
        <v>0.57043010752688172</v>
      </c>
      <c r="W109" s="63"/>
      <c r="X109" s="63">
        <f>V109</f>
        <v>0.57043010752688172</v>
      </c>
      <c r="Y109" s="63">
        <f>AA30/$W30</f>
        <v>0.60161290322580652</v>
      </c>
      <c r="Z109" s="63">
        <f t="shared" ref="Z109:AA109" si="176">AB30/$W30</f>
        <v>0.64838709677419348</v>
      </c>
      <c r="AA109" s="63">
        <f t="shared" si="176"/>
        <v>0.7</v>
      </c>
      <c r="AL109" s="2" t="s">
        <v>1099</v>
      </c>
      <c r="AM109" s="2" t="s">
        <v>1100</v>
      </c>
      <c r="AN109" s="63">
        <f>AN30/$AQ30</f>
        <v>0.42204301075268819</v>
      </c>
      <c r="AO109" s="63"/>
      <c r="AP109" s="63">
        <f>AP30/$AQ30</f>
        <v>0.60161290322580652</v>
      </c>
      <c r="AQ109" s="63"/>
      <c r="AR109" s="63">
        <f>AP109</f>
        <v>0.60161290322580652</v>
      </c>
      <c r="AS109" s="63">
        <f>AU30/$AQ30</f>
        <v>0.63548387096774195</v>
      </c>
      <c r="AT109" s="63">
        <f t="shared" ref="AT109:AU109" si="177">AV30/$AQ30</f>
        <v>0.68225806451612903</v>
      </c>
      <c r="AU109" s="63">
        <f t="shared" si="177"/>
        <v>0.73118279569892475</v>
      </c>
    </row>
    <row r="111" spans="17:47" x14ac:dyDescent="0.2">
      <c r="Q111" s="55" t="s">
        <v>1143</v>
      </c>
      <c r="T111" s="63"/>
      <c r="U111" s="63"/>
      <c r="V111" s="63"/>
      <c r="W111" s="63"/>
      <c r="X111" s="63"/>
      <c r="Y111" s="63"/>
      <c r="Z111" s="63"/>
      <c r="AA111" s="63"/>
      <c r="AK111" s="55" t="s">
        <v>1143</v>
      </c>
      <c r="AN111" s="63"/>
      <c r="AO111" s="63"/>
      <c r="AP111" s="63"/>
      <c r="AQ111" s="63"/>
      <c r="AR111" s="63"/>
      <c r="AS111" s="63"/>
      <c r="AT111" s="63"/>
      <c r="AU111" s="63"/>
    </row>
    <row r="112" spans="17:47" x14ac:dyDescent="0.2">
      <c r="R112" s="2" t="s">
        <v>1144</v>
      </c>
      <c r="S112" s="8"/>
      <c r="T112" s="8">
        <f>T35/$W35*100</f>
        <v>33.6</v>
      </c>
      <c r="U112" s="8"/>
      <c r="V112" s="8">
        <f>V35/$W35*100</f>
        <v>60.8</v>
      </c>
      <c r="W112" s="8"/>
      <c r="X112" s="84">
        <f>V112</f>
        <v>60.8</v>
      </c>
      <c r="Y112" s="8">
        <f>AA35/$W35*100</f>
        <v>64</v>
      </c>
      <c r="Z112" s="8">
        <f t="shared" ref="Z112:AA112" si="178">AB35/$W35*100</f>
        <v>68.8</v>
      </c>
      <c r="AA112" s="8">
        <f t="shared" si="178"/>
        <v>74.400000000000006</v>
      </c>
      <c r="AL112" s="2" t="s">
        <v>1144</v>
      </c>
      <c r="AM112" s="8"/>
      <c r="AN112" s="8">
        <f>AN35/$AQ35*100</f>
        <v>36.575875486381321</v>
      </c>
      <c r="AO112" s="8"/>
      <c r="AP112" s="8">
        <f>AP35/$AQ35*100</f>
        <v>66.147859922178981</v>
      </c>
      <c r="AQ112" s="8"/>
      <c r="AR112" s="84">
        <f>AP112</f>
        <v>66.147859922178981</v>
      </c>
      <c r="AS112" s="8">
        <f>AU35/$AQ35*100</f>
        <v>70.038910505836569</v>
      </c>
      <c r="AT112" s="8">
        <f t="shared" ref="AT112:AU112" si="179">AV35/$AQ35*100</f>
        <v>74.708171206225686</v>
      </c>
      <c r="AU112" s="8">
        <f t="shared" si="179"/>
        <v>79.377431906614788</v>
      </c>
    </row>
    <row r="113" spans="17:47" x14ac:dyDescent="0.2">
      <c r="R113" s="2" t="s">
        <v>1134</v>
      </c>
      <c r="S113" s="8"/>
      <c r="T113" s="8">
        <f>T31/$W31*100</f>
        <v>46.153846153846153</v>
      </c>
      <c r="U113" s="8"/>
      <c r="V113" s="8">
        <f>V31/$W31*100</f>
        <v>70.769230769230774</v>
      </c>
      <c r="W113" s="8"/>
      <c r="X113" s="84">
        <f>V113</f>
        <v>70.769230769230774</v>
      </c>
      <c r="Y113" s="8">
        <f>AA31/$W31*100</f>
        <v>73.846153846153854</v>
      </c>
      <c r="Z113" s="8">
        <f t="shared" ref="Z113:AA113" si="180">AB31/$W31*100</f>
        <v>76.923076923076934</v>
      </c>
      <c r="AA113" s="8">
        <f t="shared" si="180"/>
        <v>81.538461538461533</v>
      </c>
      <c r="AL113" s="2" t="s">
        <v>1134</v>
      </c>
      <c r="AM113" s="8"/>
      <c r="AN113" s="8">
        <f>AN31/$AQ31*100</f>
        <v>51.094890510948908</v>
      </c>
      <c r="AO113" s="8"/>
      <c r="AP113" s="8">
        <f>AP31/$AQ31*100</f>
        <v>74.452554744525543</v>
      </c>
      <c r="AQ113" s="8"/>
      <c r="AR113" s="84">
        <f>AP113</f>
        <v>74.452554744525543</v>
      </c>
      <c r="AS113" s="8">
        <f>AU31/$AQ31*100</f>
        <v>78.832116788321173</v>
      </c>
      <c r="AT113" s="8">
        <f t="shared" ref="AT113:AU113" si="181">AV31/$AQ31*100</f>
        <v>81.751824817518255</v>
      </c>
      <c r="AU113" s="8">
        <f t="shared" si="181"/>
        <v>84.671532846715323</v>
      </c>
    </row>
    <row r="114" spans="17:47" x14ac:dyDescent="0.2">
      <c r="R114" s="2" t="s">
        <v>1161</v>
      </c>
      <c r="S114" s="8"/>
      <c r="T114" s="8">
        <f>K31</f>
        <v>30</v>
      </c>
      <c r="U114" s="8"/>
      <c r="V114" s="8">
        <f>M31</f>
        <v>46</v>
      </c>
      <c r="W114" s="8"/>
      <c r="X114" s="84">
        <f>V114</f>
        <v>46</v>
      </c>
      <c r="Y114" s="8">
        <f>O31</f>
        <v>48</v>
      </c>
      <c r="Z114" s="8">
        <f t="shared" ref="Z114" si="182">P31</f>
        <v>50</v>
      </c>
      <c r="AA114" s="8">
        <f t="shared" ref="AA114" si="183">Q31</f>
        <v>53</v>
      </c>
      <c r="AL114" s="2" t="s">
        <v>1161</v>
      </c>
      <c r="AM114" s="8"/>
      <c r="AN114" s="8">
        <f>AE31</f>
        <v>35</v>
      </c>
      <c r="AO114" s="8"/>
      <c r="AP114" s="8">
        <f>AG31</f>
        <v>51</v>
      </c>
      <c r="AQ114" s="8"/>
      <c r="AR114" s="84">
        <f>AP114</f>
        <v>51</v>
      </c>
      <c r="AS114" s="8">
        <f>AI31</f>
        <v>54</v>
      </c>
      <c r="AT114" s="8">
        <f t="shared" ref="AT114:AU114" si="184">AJ31</f>
        <v>56</v>
      </c>
      <c r="AU114" s="8">
        <f t="shared" si="184"/>
        <v>58</v>
      </c>
    </row>
    <row r="115" spans="17:47" x14ac:dyDescent="0.2">
      <c r="R115" s="2" t="s">
        <v>1133</v>
      </c>
      <c r="S115" s="8"/>
      <c r="T115" s="8">
        <f>T32/$W32*100</f>
        <v>20</v>
      </c>
      <c r="U115" s="8"/>
      <c r="V115" s="8">
        <f>V32/$W32*100</f>
        <v>50</v>
      </c>
      <c r="W115" s="8"/>
      <c r="X115" s="84">
        <f>V115</f>
        <v>50</v>
      </c>
      <c r="Y115" s="8">
        <f>AA32/$W32*100</f>
        <v>53.333333333333336</v>
      </c>
      <c r="Z115" s="8">
        <f t="shared" ref="Z115:AA115" si="185">AB32/$W32*100</f>
        <v>60</v>
      </c>
      <c r="AA115" s="8">
        <f t="shared" si="185"/>
        <v>66.666666666666657</v>
      </c>
      <c r="AL115" s="2" t="s">
        <v>1133</v>
      </c>
      <c r="AM115" s="8"/>
      <c r="AN115" s="8">
        <f>AN32/$AQ32*100</f>
        <v>20</v>
      </c>
      <c r="AO115" s="8"/>
      <c r="AP115" s="8">
        <f>AP32/$AQ32*100</f>
        <v>56.666666666666664</v>
      </c>
      <c r="AQ115" s="8"/>
      <c r="AR115" s="84">
        <f>AP115</f>
        <v>56.666666666666664</v>
      </c>
      <c r="AS115" s="8">
        <f>AU32/$AQ32*100</f>
        <v>60</v>
      </c>
      <c r="AT115" s="8">
        <f t="shared" ref="AT115:AU115" si="186">AV32/$AQ32*100</f>
        <v>66.666666666666657</v>
      </c>
      <c r="AU115" s="8">
        <f t="shared" si="186"/>
        <v>73.333333333333329</v>
      </c>
    </row>
    <row r="116" spans="17:47" x14ac:dyDescent="0.2">
      <c r="S116" s="8"/>
      <c r="T116" s="8"/>
      <c r="U116" s="8"/>
      <c r="V116" s="8"/>
      <c r="W116" s="8"/>
      <c r="X116" s="84"/>
      <c r="Y116" s="8"/>
      <c r="Z116" s="8"/>
      <c r="AA116" s="8"/>
      <c r="AM116" s="8"/>
      <c r="AN116" s="8"/>
      <c r="AO116" s="8"/>
      <c r="AP116" s="8"/>
      <c r="AQ116" s="8"/>
      <c r="AR116" s="84"/>
      <c r="AS116" s="8"/>
      <c r="AT116" s="8"/>
      <c r="AU116" s="8"/>
    </row>
    <row r="117" spans="17:47" x14ac:dyDescent="0.2">
      <c r="S117" s="8"/>
      <c r="T117" s="8"/>
      <c r="U117" s="8"/>
      <c r="V117" s="8"/>
      <c r="W117" s="8"/>
      <c r="X117" s="84"/>
      <c r="Y117" s="8"/>
      <c r="Z117" s="8"/>
      <c r="AA117" s="8"/>
      <c r="AM117" s="8"/>
      <c r="AN117" s="8"/>
      <c r="AO117" s="8"/>
      <c r="AP117" s="8"/>
      <c r="AQ117" s="8"/>
      <c r="AR117" s="84"/>
      <c r="AS117" s="8"/>
      <c r="AT117" s="8"/>
      <c r="AU117" s="8"/>
    </row>
    <row r="118" spans="17:47" x14ac:dyDescent="0.2">
      <c r="S118" s="8"/>
      <c r="T118" s="8"/>
      <c r="U118" s="8"/>
      <c r="V118" s="8"/>
      <c r="W118" s="8"/>
      <c r="X118" s="8"/>
      <c r="Y118" s="8"/>
      <c r="Z118" s="8"/>
      <c r="AA118" s="8"/>
      <c r="AM118" s="8"/>
      <c r="AN118" s="8"/>
      <c r="AO118" s="8"/>
      <c r="AP118" s="8"/>
      <c r="AQ118" s="8"/>
      <c r="AR118" s="8"/>
      <c r="AS118" s="8"/>
      <c r="AT118" s="8"/>
      <c r="AU118" s="8"/>
    </row>
    <row r="119" spans="17:47" x14ac:dyDescent="0.2">
      <c r="R119" s="2" t="s">
        <v>1141</v>
      </c>
      <c r="S119" s="8"/>
      <c r="T119" s="63">
        <f>T127</f>
        <v>8.6274194495916695E-2</v>
      </c>
      <c r="U119" s="8"/>
      <c r="V119" s="63">
        <f>V127</f>
        <v>0.12630850125206297</v>
      </c>
      <c r="W119" s="8"/>
      <c r="X119" s="63">
        <f>X127</f>
        <v>0.12630850125206297</v>
      </c>
      <c r="Y119" s="63">
        <f>Y127</f>
        <v>0.13720905988171173</v>
      </c>
      <c r="Z119" s="63">
        <f>Z127</f>
        <v>0.15187116365665926</v>
      </c>
      <c r="AA119" s="63">
        <f>AA127</f>
        <v>0.17288267994571771</v>
      </c>
      <c r="AL119" s="2" t="s">
        <v>1141</v>
      </c>
      <c r="AM119" s="8"/>
      <c r="AN119" s="63">
        <f>AN127</f>
        <v>6.9138420343346815E-2</v>
      </c>
      <c r="AO119" s="8"/>
      <c r="AP119" s="63">
        <f>AP127</f>
        <v>0.1189555179512891</v>
      </c>
      <c r="AQ119" s="8"/>
      <c r="AR119" s="63">
        <f>AR127</f>
        <v>0.5</v>
      </c>
      <c r="AS119" s="63">
        <f>AS127</f>
        <v>0.1335635558033097</v>
      </c>
      <c r="AT119" s="63">
        <f>AT127</f>
        <v>0.14828533576940206</v>
      </c>
      <c r="AU119" s="63">
        <f>AU127</f>
        <v>0.16432204938117731</v>
      </c>
    </row>
    <row r="120" spans="17:47" x14ac:dyDescent="0.2">
      <c r="S120" s="8"/>
      <c r="T120" s="8"/>
      <c r="U120" s="8"/>
      <c r="V120" s="8"/>
      <c r="W120" s="8"/>
      <c r="X120" s="8"/>
      <c r="Y120" s="8"/>
      <c r="Z120" s="8"/>
      <c r="AA120" s="8"/>
      <c r="AM120" s="8"/>
      <c r="AN120" s="8"/>
      <c r="AO120" s="8"/>
      <c r="AP120" s="8"/>
      <c r="AQ120" s="8"/>
      <c r="AR120" s="8"/>
      <c r="AS120" s="8"/>
      <c r="AT120" s="8"/>
      <c r="AU120" s="8"/>
    </row>
    <row r="121" spans="17:47" x14ac:dyDescent="0.2">
      <c r="Q121" s="2" t="s">
        <v>1162</v>
      </c>
      <c r="R121" s="2" t="s">
        <v>1145</v>
      </c>
      <c r="S121" s="8"/>
      <c r="T121" s="8">
        <f>MAX(0, MIN(1, (T114 - $S133) / ($T133 - $S133)))</f>
        <v>0</v>
      </c>
      <c r="U121" s="8"/>
      <c r="V121" s="8">
        <f>MAX(0, MIN(1, (V114 - $S133) / ($T133 - $S133)))</f>
        <v>0.24</v>
      </c>
      <c r="W121" s="8"/>
      <c r="X121" s="8">
        <f t="shared" ref="X121:AA121" si="187">MAX(0, MIN(1, (X114 - $S133) / ($T133 - $S133)))</f>
        <v>0.24</v>
      </c>
      <c r="Y121" s="8">
        <f t="shared" si="187"/>
        <v>0.32</v>
      </c>
      <c r="Z121" s="8">
        <f t="shared" si="187"/>
        <v>0.4</v>
      </c>
      <c r="AA121" s="8">
        <f t="shared" si="187"/>
        <v>0.52</v>
      </c>
      <c r="AK121" s="2" t="s">
        <v>1162</v>
      </c>
      <c r="AL121" s="2" t="s">
        <v>1145</v>
      </c>
      <c r="AM121" s="8"/>
      <c r="AN121" s="8">
        <f>MAX(0, MIN(1, (AN114 - $AM133) / ($AN133 - $AM133)))</f>
        <v>0</v>
      </c>
      <c r="AO121" s="8"/>
      <c r="AP121" s="8">
        <f>MAX(0, MIN(1, (AP114 - $AM133) / ($AN133 - $AM133)))</f>
        <v>0.33962264150943394</v>
      </c>
      <c r="AQ121" s="8"/>
      <c r="AR121" s="84">
        <f>AP121</f>
        <v>0.33962264150943394</v>
      </c>
      <c r="AS121" s="8">
        <f t="shared" ref="AS121:AU121" si="188">MAX(0, MIN(1, (AS114 - $AM133) / ($AN133 - $AM133)))</f>
        <v>0.45283018867924529</v>
      </c>
      <c r="AT121" s="8">
        <f t="shared" si="188"/>
        <v>0.52830188679245282</v>
      </c>
      <c r="AU121" s="8">
        <f t="shared" si="188"/>
        <v>0.60377358490566035</v>
      </c>
    </row>
    <row r="122" spans="17:47" x14ac:dyDescent="0.2">
      <c r="R122" s="2" t="s">
        <v>1129</v>
      </c>
      <c r="S122" s="8"/>
      <c r="T122" s="8">
        <f>T115/100</f>
        <v>0.2</v>
      </c>
      <c r="U122" s="8"/>
      <c r="V122" s="8">
        <f>V115/100</f>
        <v>0.5</v>
      </c>
      <c r="W122" s="8"/>
      <c r="X122" s="8">
        <f>X115/100</f>
        <v>0.5</v>
      </c>
      <c r="Y122" s="8">
        <f>Y115/100</f>
        <v>0.53333333333333333</v>
      </c>
      <c r="Z122" s="8">
        <f>Z115/100</f>
        <v>0.6</v>
      </c>
      <c r="AA122" s="8">
        <f>AA115/100</f>
        <v>0.66666666666666652</v>
      </c>
      <c r="AL122" s="2" t="s">
        <v>1129</v>
      </c>
      <c r="AM122" s="8"/>
      <c r="AN122" s="8">
        <f>AN115/100</f>
        <v>0.2</v>
      </c>
      <c r="AO122" s="8"/>
      <c r="AP122" s="8">
        <f>AP115/100</f>
        <v>0.56666666666666665</v>
      </c>
      <c r="AQ122" s="8"/>
      <c r="AR122" s="8">
        <f>AR115/100</f>
        <v>0.56666666666666665</v>
      </c>
      <c r="AS122" s="8">
        <f>AS115/100</f>
        <v>0.6</v>
      </c>
      <c r="AT122" s="8">
        <f>AT115/100</f>
        <v>0.66666666666666652</v>
      </c>
      <c r="AU122" s="8">
        <f>AU115/100</f>
        <v>0.73333333333333328</v>
      </c>
    </row>
    <row r="123" spans="17:47" x14ac:dyDescent="0.2">
      <c r="S123" s="8"/>
      <c r="T123" s="91"/>
      <c r="U123" s="8"/>
      <c r="V123" s="91"/>
      <c r="W123" s="8"/>
      <c r="X123" s="91"/>
      <c r="Y123" s="91"/>
      <c r="Z123" s="91"/>
      <c r="AA123" s="91"/>
      <c r="AM123" s="8"/>
      <c r="AN123" s="91"/>
      <c r="AO123" s="8"/>
      <c r="AP123" s="91"/>
      <c r="AQ123" s="8"/>
      <c r="AR123" s="91"/>
      <c r="AS123" s="91"/>
      <c r="AT123" s="91"/>
      <c r="AU123" s="91"/>
    </row>
    <row r="124" spans="17:47" x14ac:dyDescent="0.2">
      <c r="S124" s="8"/>
      <c r="T124" s="8"/>
      <c r="U124" s="8"/>
      <c r="V124" s="8"/>
      <c r="W124" s="8"/>
      <c r="X124" s="8"/>
      <c r="Y124" s="8"/>
      <c r="Z124" s="8"/>
      <c r="AA124" s="8"/>
      <c r="AM124" s="8"/>
      <c r="AN124" s="8"/>
      <c r="AO124" s="8"/>
      <c r="AP124" s="8"/>
      <c r="AQ124" s="8"/>
      <c r="AR124" s="8"/>
      <c r="AS124" s="8"/>
      <c r="AT124" s="8"/>
      <c r="AU124" s="8"/>
    </row>
    <row r="125" spans="17:47" x14ac:dyDescent="0.2">
      <c r="R125" s="2" t="s">
        <v>1153</v>
      </c>
      <c r="S125" s="8"/>
      <c r="T125" s="8">
        <f>$S130+$T130*T121+$U130*T122</f>
        <v>-2.36</v>
      </c>
      <c r="U125" s="8"/>
      <c r="V125" s="8">
        <f>$S130+$T130*V121+$U130*V122</f>
        <v>-1.9339999999999997</v>
      </c>
      <c r="W125" s="8"/>
      <c r="X125" s="8">
        <f t="shared" ref="X125:AA125" si="189">$S130+$T130*X121+$U130*X122</f>
        <v>-1.9339999999999997</v>
      </c>
      <c r="Y125" s="8">
        <f t="shared" si="189"/>
        <v>-1.8386666666666664</v>
      </c>
      <c r="Z125" s="8">
        <f t="shared" si="189"/>
        <v>-1.7200000000000002</v>
      </c>
      <c r="AA125" s="8">
        <f t="shared" si="189"/>
        <v>-1.5653333333333335</v>
      </c>
      <c r="AL125" s="2" t="s">
        <v>1153</v>
      </c>
      <c r="AM125" s="8"/>
      <c r="AN125" s="8">
        <f>$AM130+$AN130*AN121+$AO130*AN122</f>
        <v>-2.6</v>
      </c>
      <c r="AO125" s="8"/>
      <c r="AP125" s="8">
        <f>$AM130+$AN130*AP121+$AO130*AP122</f>
        <v>-2.0023584905660381</v>
      </c>
      <c r="AQ125" s="8"/>
      <c r="AR125" s="8">
        <f>$BG130+$BH130*AR121+$BI130*AR122+$BJ130*AR123+$BK130*AR124</f>
        <v>0</v>
      </c>
      <c r="AS125" s="8">
        <f t="shared" ref="AS125:AU125" si="190">$AM130+$AN130*AS121+$AO130*AS122</f>
        <v>-1.8698113207547171</v>
      </c>
      <c r="AT125" s="8">
        <f t="shared" si="190"/>
        <v>-1.7481132075471697</v>
      </c>
      <c r="AU125" s="8">
        <f t="shared" si="190"/>
        <v>-1.6264150943396229</v>
      </c>
    </row>
    <row r="126" spans="17:47" x14ac:dyDescent="0.2">
      <c r="R126" s="2" t="s">
        <v>1154</v>
      </c>
      <c r="S126" s="8"/>
      <c r="T126" s="8">
        <f>EXP(-T125)</f>
        <v>10.59095145243378</v>
      </c>
      <c r="U126" s="8"/>
      <c r="V126" s="8">
        <f>EXP(-V125)</f>
        <v>6.9171234721912054</v>
      </c>
      <c r="W126" s="8"/>
      <c r="X126" s="8">
        <f>EXP(-X125)</f>
        <v>6.9171234721912054</v>
      </c>
      <c r="Y126" s="8">
        <f>EXP(-Y125)</f>
        <v>6.2881484711148259</v>
      </c>
      <c r="Z126" s="8">
        <f>EXP(-Z125)</f>
        <v>5.5845284642760555</v>
      </c>
      <c r="AA126" s="8">
        <f>EXP(-AA125)</f>
        <v>4.7842694266075894</v>
      </c>
      <c r="AL126" s="2" t="s">
        <v>1154</v>
      </c>
      <c r="AM126" s="8"/>
      <c r="AN126" s="8">
        <f>EXP(-AN125)</f>
        <v>13.463738035001692</v>
      </c>
      <c r="AO126" s="8"/>
      <c r="AP126" s="8">
        <f>EXP(-AP125)</f>
        <v>7.4065036849277419</v>
      </c>
      <c r="AQ126" s="8"/>
      <c r="AR126" s="8">
        <f>EXP(-AR125)</f>
        <v>1</v>
      </c>
      <c r="AS126" s="8">
        <f>EXP(-AS125)</f>
        <v>6.4870723079028725</v>
      </c>
      <c r="AT126" s="8">
        <f>EXP(-AT125)</f>
        <v>5.7437551718202</v>
      </c>
      <c r="AU126" s="8">
        <f>EXP(-AU125)</f>
        <v>5.0856105663598639</v>
      </c>
    </row>
    <row r="127" spans="17:47" x14ac:dyDescent="0.2">
      <c r="R127" s="2" t="s">
        <v>1155</v>
      </c>
      <c r="S127" s="8"/>
      <c r="T127" s="8">
        <f>(1/(1+T126))</f>
        <v>8.6274194495916695E-2</v>
      </c>
      <c r="U127" s="8"/>
      <c r="V127" s="8">
        <f>(1/(1+V126))</f>
        <v>0.12630850125206297</v>
      </c>
      <c r="W127" s="8"/>
      <c r="X127" s="8">
        <f>(1/(1+X126))</f>
        <v>0.12630850125206297</v>
      </c>
      <c r="Y127" s="8">
        <f>(1/(1+Y126))</f>
        <v>0.13720905988171173</v>
      </c>
      <c r="Z127" s="8">
        <f>(1/(1+Z126))</f>
        <v>0.15187116365665926</v>
      </c>
      <c r="AA127" s="8">
        <f>(1/(1+AA126))</f>
        <v>0.17288267994571771</v>
      </c>
      <c r="AL127" s="2" t="s">
        <v>1155</v>
      </c>
      <c r="AM127" s="8"/>
      <c r="AN127" s="8">
        <f>(1/(1+AN126))</f>
        <v>6.9138420343346815E-2</v>
      </c>
      <c r="AO127" s="8"/>
      <c r="AP127" s="8">
        <f>(1/(1+AP126))</f>
        <v>0.1189555179512891</v>
      </c>
      <c r="AQ127" s="8"/>
      <c r="AR127" s="8">
        <f>(1/(1+AR126))</f>
        <v>0.5</v>
      </c>
      <c r="AS127" s="8">
        <f>(1/(1+AS126))</f>
        <v>0.1335635558033097</v>
      </c>
      <c r="AT127" s="8">
        <f>(1/(1+AT126))</f>
        <v>0.14828533576940206</v>
      </c>
      <c r="AU127" s="8">
        <f>(1/(1+AU126))</f>
        <v>0.16432204938117731</v>
      </c>
    </row>
    <row r="128" spans="17:47" x14ac:dyDescent="0.2">
      <c r="T128" s="8"/>
      <c r="U128" s="8"/>
      <c r="V128" s="8"/>
      <c r="W128" s="8"/>
      <c r="X128" s="8"/>
      <c r="Y128" s="8"/>
      <c r="Z128" s="8"/>
      <c r="AN128" s="8"/>
      <c r="AO128" s="8"/>
      <c r="AP128" s="8"/>
      <c r="AQ128" s="8"/>
      <c r="AR128" s="8"/>
      <c r="AS128" s="8"/>
      <c r="AT128" s="8"/>
    </row>
    <row r="129" spans="18:43" x14ac:dyDescent="0.2">
      <c r="R129" s="76" t="s">
        <v>1148</v>
      </c>
      <c r="S129" s="76" t="s">
        <v>1156</v>
      </c>
      <c r="T129" s="76" t="s">
        <v>1157</v>
      </c>
      <c r="U129" s="92" t="s">
        <v>1158</v>
      </c>
      <c r="V129" s="92"/>
      <c r="W129" s="92"/>
      <c r="AL129" s="76" t="s">
        <v>1148</v>
      </c>
      <c r="AM129" s="76" t="s">
        <v>1156</v>
      </c>
      <c r="AN129" s="76" t="s">
        <v>1157</v>
      </c>
      <c r="AO129" s="92" t="s">
        <v>1158</v>
      </c>
      <c r="AP129" s="92"/>
      <c r="AQ129" s="92"/>
    </row>
    <row r="130" spans="18:43" x14ac:dyDescent="0.2">
      <c r="R130" s="76" t="s">
        <v>596</v>
      </c>
      <c r="S130" s="76">
        <v>-2.5</v>
      </c>
      <c r="T130" s="76">
        <v>0.9</v>
      </c>
      <c r="U130" s="92">
        <v>0.7</v>
      </c>
      <c r="V130" s="92"/>
      <c r="W130" s="92"/>
      <c r="AL130" s="76" t="s">
        <v>597</v>
      </c>
      <c r="AM130" s="76">
        <v>-2.75</v>
      </c>
      <c r="AN130" s="76">
        <v>0.95</v>
      </c>
      <c r="AO130" s="92">
        <v>0.75</v>
      </c>
      <c r="AP130" s="92"/>
      <c r="AQ130" s="92"/>
    </row>
    <row r="132" spans="18:43" x14ac:dyDescent="0.2">
      <c r="R132" s="76" t="s">
        <v>1148</v>
      </c>
      <c r="S132" s="76" t="s">
        <v>1149</v>
      </c>
      <c r="T132" s="76" t="s">
        <v>1150</v>
      </c>
      <c r="U132" s="92"/>
      <c r="V132" s="92"/>
      <c r="W132" s="92"/>
      <c r="AL132" s="76" t="s">
        <v>1148</v>
      </c>
      <c r="AM132" s="76" t="s">
        <v>1149</v>
      </c>
      <c r="AN132" s="76" t="s">
        <v>1150</v>
      </c>
      <c r="AO132" s="92"/>
      <c r="AP132" s="92"/>
      <c r="AQ132" s="92"/>
    </row>
    <row r="133" spans="18:43" x14ac:dyDescent="0.2">
      <c r="R133" s="86" t="s">
        <v>596</v>
      </c>
      <c r="S133">
        <v>40</v>
      </c>
      <c r="T133" s="86">
        <v>65</v>
      </c>
      <c r="U133" s="92"/>
      <c r="V133" s="92"/>
      <c r="W133" s="92"/>
      <c r="AL133" s="76" t="s">
        <v>597</v>
      </c>
      <c r="AM133" s="76">
        <v>42</v>
      </c>
      <c r="AN133" s="76">
        <v>68.5</v>
      </c>
      <c r="AO133" s="92"/>
      <c r="AP133" s="92"/>
      <c r="AQ133" s="92"/>
    </row>
  </sheetData>
  <mergeCells count="48">
    <mergeCell ref="N10:Q10"/>
    <mergeCell ref="N13:Q13"/>
    <mergeCell ref="N15:Q15"/>
    <mergeCell ref="N18:Q18"/>
    <mergeCell ref="AH10:AK10"/>
    <mergeCell ref="AH18:AK18"/>
    <mergeCell ref="AH15:AK15"/>
    <mergeCell ref="AH13:AK13"/>
    <mergeCell ref="AH28:AK28"/>
    <mergeCell ref="AH29:AK29"/>
    <mergeCell ref="AH54:AK54"/>
    <mergeCell ref="AH59:AK59"/>
    <mergeCell ref="AH47:AH49"/>
    <mergeCell ref="AI47:AI49"/>
    <mergeCell ref="AJ47:AJ49"/>
    <mergeCell ref="AK47:AK49"/>
    <mergeCell ref="AH50:AH52"/>
    <mergeCell ref="AI50:AI52"/>
    <mergeCell ref="AJ50:AJ52"/>
    <mergeCell ref="AK50:AK52"/>
    <mergeCell ref="AH34:AK34"/>
    <mergeCell ref="AH38:AK38"/>
    <mergeCell ref="AH42:AK42"/>
    <mergeCell ref="AH44:AH46"/>
    <mergeCell ref="AI44:AI46"/>
    <mergeCell ref="AJ44:AJ46"/>
    <mergeCell ref="AK44:AK46"/>
    <mergeCell ref="AH33:AK33"/>
    <mergeCell ref="O50:O52"/>
    <mergeCell ref="P50:P52"/>
    <mergeCell ref="Q50:Q52"/>
    <mergeCell ref="N44:N46"/>
    <mergeCell ref="O44:O46"/>
    <mergeCell ref="P44:P46"/>
    <mergeCell ref="Q44:Q46"/>
    <mergeCell ref="N34:Q34"/>
    <mergeCell ref="N38:Q38"/>
    <mergeCell ref="N42:Q42"/>
    <mergeCell ref="N54:Q54"/>
    <mergeCell ref="N59:Q59"/>
    <mergeCell ref="N47:N49"/>
    <mergeCell ref="O47:O49"/>
    <mergeCell ref="P47:P49"/>
    <mergeCell ref="Q47:Q49"/>
    <mergeCell ref="N50:N52"/>
    <mergeCell ref="N33:Q33"/>
    <mergeCell ref="N28:Q28"/>
    <mergeCell ref="N29:Q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8F14F-FB04-174F-8E48-8638FF91FE57}">
  <dimension ref="A1:AQ128"/>
  <sheetViews>
    <sheetView topLeftCell="N19" zoomScale="125" zoomScaleNormal="125" workbookViewId="0">
      <selection activeCell="T23" sqref="T23"/>
    </sheetView>
  </sheetViews>
  <sheetFormatPr baseColWidth="10" defaultRowHeight="16" x14ac:dyDescent="0.2"/>
  <cols>
    <col min="1" max="1" width="17.83203125" style="2" customWidth="1"/>
    <col min="2" max="2" width="22.1640625" style="2" customWidth="1"/>
    <col min="3" max="4" width="32.33203125" style="2" customWidth="1"/>
    <col min="5" max="5" width="45.83203125" style="3" customWidth="1"/>
    <col min="6" max="6" width="33" style="2" customWidth="1"/>
    <col min="7" max="7" width="18.6640625" style="2" customWidth="1"/>
    <col min="8" max="8" width="26" style="3" customWidth="1"/>
    <col min="9" max="9" width="29.1640625" style="2" customWidth="1"/>
    <col min="10" max="10" width="20.6640625" style="2" customWidth="1"/>
    <col min="11" max="11" width="18.6640625" style="2" customWidth="1"/>
    <col min="12" max="12" width="18.83203125" style="2" customWidth="1"/>
    <col min="13" max="13" width="18.33203125" style="2" customWidth="1"/>
    <col min="14" max="14" width="18" style="2" customWidth="1"/>
    <col min="15" max="15" width="17.5" style="2" customWidth="1"/>
    <col min="16" max="16" width="23" style="2" customWidth="1"/>
    <col min="17" max="17" width="27.33203125" style="2" customWidth="1"/>
    <col min="18" max="18" width="23" style="2" customWidth="1"/>
    <col min="19" max="19" width="18.6640625" style="2" customWidth="1"/>
    <col min="20" max="20" width="18.83203125" style="2" customWidth="1"/>
    <col min="21" max="21" width="18.6640625" style="2" customWidth="1"/>
    <col min="22" max="22" width="18.83203125" style="2" customWidth="1"/>
    <col min="23" max="23" width="18.33203125" style="2" customWidth="1"/>
    <col min="24" max="24" width="18" style="2" customWidth="1"/>
    <col min="25" max="25" width="17.5" style="2" customWidth="1"/>
    <col min="26" max="27" width="16.6640625" style="2" customWidth="1"/>
    <col min="28" max="28" width="18.6640625" style="2" customWidth="1"/>
    <col min="29" max="29" width="20.5" style="2" customWidth="1"/>
    <col min="30" max="30" width="18.6640625" style="2" customWidth="1"/>
    <col min="31" max="31" width="18.83203125" style="2" customWidth="1"/>
    <col min="32" max="32" width="18.33203125" style="2" customWidth="1"/>
    <col min="33" max="33" width="18" style="2" customWidth="1"/>
    <col min="34" max="34" width="17.5" style="2" customWidth="1"/>
    <col min="35" max="35" width="16.6640625" style="2" customWidth="1"/>
    <col min="36" max="36" width="18.6640625" style="2" customWidth="1"/>
    <col min="37" max="16384" width="10.83203125" style="2"/>
  </cols>
  <sheetData>
    <row r="1" spans="1:43" ht="123" customHeight="1" x14ac:dyDescent="0.2">
      <c r="A1" s="43" t="e" vm="6">
        <v>#VALUE!</v>
      </c>
      <c r="B1" s="43"/>
      <c r="C1" s="57" t="s">
        <v>635</v>
      </c>
    </row>
    <row r="2" spans="1:43" x14ac:dyDescent="0.2">
      <c r="K2" s="2" t="s">
        <v>324</v>
      </c>
    </row>
    <row r="3" spans="1:43" ht="51" x14ac:dyDescent="0.2">
      <c r="A3" s="2" t="s">
        <v>18</v>
      </c>
      <c r="B3" s="2" t="s">
        <v>19</v>
      </c>
      <c r="C3" s="2" t="s">
        <v>20</v>
      </c>
      <c r="D3" s="2" t="s">
        <v>407</v>
      </c>
      <c r="E3" s="3" t="s">
        <v>21</v>
      </c>
      <c r="F3" s="2" t="s">
        <v>22</v>
      </c>
      <c r="G3" s="2" t="s">
        <v>143</v>
      </c>
      <c r="H3" s="3" t="s">
        <v>24</v>
      </c>
      <c r="I3" s="2" t="s">
        <v>93</v>
      </c>
      <c r="K3" s="2" t="s">
        <v>94</v>
      </c>
      <c r="L3" s="3" t="s">
        <v>990</v>
      </c>
      <c r="M3" s="2" t="s">
        <v>96</v>
      </c>
      <c r="N3" s="2" t="s">
        <v>25</v>
      </c>
      <c r="O3" s="2" t="s">
        <v>26</v>
      </c>
      <c r="P3" s="2" t="s">
        <v>27</v>
      </c>
      <c r="Q3" s="2" t="s">
        <v>28</v>
      </c>
      <c r="R3" s="2" t="s">
        <v>348</v>
      </c>
      <c r="S3" s="3" t="s">
        <v>609</v>
      </c>
      <c r="T3" s="3" t="s">
        <v>610</v>
      </c>
      <c r="U3" s="3" t="s">
        <v>611</v>
      </c>
      <c r="V3" s="3" t="s">
        <v>612</v>
      </c>
      <c r="W3" s="2" t="s">
        <v>373</v>
      </c>
      <c r="X3" s="3" t="s">
        <v>378</v>
      </c>
      <c r="Y3" s="3" t="s">
        <v>820</v>
      </c>
      <c r="Z3" s="3" t="s">
        <v>668</v>
      </c>
      <c r="AA3" s="3" t="s">
        <v>989</v>
      </c>
      <c r="AB3" s="3" t="s">
        <v>664</v>
      </c>
      <c r="AC3" s="3" t="s">
        <v>665</v>
      </c>
      <c r="AD3" s="3" t="s">
        <v>666</v>
      </c>
    </row>
    <row r="5" spans="1:43" ht="68" x14ac:dyDescent="0.2">
      <c r="A5" s="2" t="s">
        <v>29</v>
      </c>
      <c r="B5" s="2" t="s">
        <v>30</v>
      </c>
      <c r="C5" s="2" t="s">
        <v>617</v>
      </c>
      <c r="D5" s="2" t="s">
        <v>350</v>
      </c>
      <c r="E5" s="3" t="s">
        <v>68</v>
      </c>
      <c r="F5" s="3" t="s">
        <v>603</v>
      </c>
      <c r="G5" s="52" t="s">
        <v>619</v>
      </c>
      <c r="H5" s="3" t="s">
        <v>604</v>
      </c>
      <c r="I5" s="2" t="s">
        <v>605</v>
      </c>
      <c r="K5" s="2">
        <v>4.26</v>
      </c>
      <c r="L5" s="2">
        <v>4.26</v>
      </c>
      <c r="M5" s="2">
        <v>3.95</v>
      </c>
      <c r="N5" s="2">
        <v>3.95</v>
      </c>
      <c r="O5" s="2">
        <v>3.85</v>
      </c>
      <c r="P5" s="2">
        <v>3.75</v>
      </c>
      <c r="Q5" s="2">
        <v>3.55</v>
      </c>
      <c r="R5" s="2" t="s">
        <v>614</v>
      </c>
      <c r="S5" s="8">
        <f>K6</f>
        <v>14.084507042253522</v>
      </c>
      <c r="T5" s="8">
        <f>(S5-7)*3</f>
        <v>21.253521126760567</v>
      </c>
      <c r="U5" s="8">
        <f>M6</f>
        <v>15.189873417721518</v>
      </c>
      <c r="V5" s="8">
        <f>(U5-7)*3</f>
        <v>24.569620253164555</v>
      </c>
      <c r="W5" s="8">
        <v>40</v>
      </c>
      <c r="AA5" s="8">
        <f>(L6-7)*3</f>
        <v>21.253521126760567</v>
      </c>
      <c r="AB5" s="8">
        <f>(O6-7)*3</f>
        <v>25.753246753246753</v>
      </c>
      <c r="AC5" s="8">
        <f>(P6-7)*3</f>
        <v>27</v>
      </c>
      <c r="AD5" s="8">
        <f>(Q6-7)*3</f>
        <v>29.704225352112683</v>
      </c>
    </row>
    <row r="6" spans="1:43" x14ac:dyDescent="0.2">
      <c r="F6" s="3"/>
      <c r="G6" s="4"/>
      <c r="J6" s="2" t="s">
        <v>607</v>
      </c>
      <c r="K6" s="8">
        <f>$K$9/K5</f>
        <v>14.084507042253522</v>
      </c>
      <c r="L6" s="8">
        <f>$K$9/L5</f>
        <v>14.084507042253522</v>
      </c>
      <c r="M6" s="8">
        <f t="shared" ref="M6:Q6" si="0">$K$9/M5</f>
        <v>15.189873417721518</v>
      </c>
      <c r="N6" s="8">
        <f t="shared" si="0"/>
        <v>15.189873417721518</v>
      </c>
      <c r="O6" s="8">
        <f t="shared" si="0"/>
        <v>15.584415584415584</v>
      </c>
      <c r="P6" s="8">
        <f t="shared" si="0"/>
        <v>16</v>
      </c>
      <c r="Q6" s="8">
        <f t="shared" si="0"/>
        <v>16.901408450704228</v>
      </c>
      <c r="T6" s="8"/>
      <c r="U6" s="8"/>
      <c r="V6" s="8"/>
      <c r="W6" s="8"/>
      <c r="X6" s="8"/>
      <c r="Y6" s="8"/>
      <c r="Z6" s="8"/>
      <c r="AA6" s="8"/>
      <c r="AE6" s="8"/>
      <c r="AF6" s="8"/>
      <c r="AG6" s="8"/>
      <c r="AH6" s="8"/>
      <c r="AI6" s="8"/>
      <c r="AL6" s="8"/>
      <c r="AM6" s="8"/>
      <c r="AN6" s="8"/>
      <c r="AO6" s="8"/>
      <c r="AP6" s="8"/>
      <c r="AQ6" s="8"/>
    </row>
    <row r="7" spans="1:43" ht="68" x14ac:dyDescent="0.2">
      <c r="B7" s="2" t="s">
        <v>30</v>
      </c>
      <c r="C7" s="2" t="s">
        <v>618</v>
      </c>
      <c r="D7" s="2" t="s">
        <v>602</v>
      </c>
      <c r="E7" s="3" t="s">
        <v>69</v>
      </c>
      <c r="F7" s="3" t="s">
        <v>603</v>
      </c>
      <c r="G7" s="52" t="s">
        <v>619</v>
      </c>
      <c r="H7" s="3" t="s">
        <v>604</v>
      </c>
      <c r="I7" s="2" t="s">
        <v>606</v>
      </c>
      <c r="K7" s="2">
        <v>17</v>
      </c>
      <c r="L7" s="2">
        <v>17</v>
      </c>
      <c r="M7" s="2">
        <v>15</v>
      </c>
      <c r="N7" s="2">
        <v>15</v>
      </c>
      <c r="O7" s="2">
        <v>14.5</v>
      </c>
      <c r="P7" s="2">
        <v>13.75</v>
      </c>
      <c r="Q7" s="2">
        <v>13</v>
      </c>
      <c r="R7" s="2" t="s">
        <v>615</v>
      </c>
      <c r="S7" s="8">
        <f>K8</f>
        <v>14.117647058823529</v>
      </c>
      <c r="T7" s="8">
        <f>(S7-7)*3</f>
        <v>21.352941176470587</v>
      </c>
      <c r="U7" s="8">
        <f>M8</f>
        <v>16</v>
      </c>
      <c r="V7" s="8">
        <f>(U7-7)*3</f>
        <v>27</v>
      </c>
      <c r="W7" s="8">
        <v>45</v>
      </c>
      <c r="AA7" s="8">
        <f>(L8-7)*3</f>
        <v>21.352941176470587</v>
      </c>
      <c r="AB7" s="8">
        <f>(O8-7)*3</f>
        <v>28.655172413793107</v>
      </c>
      <c r="AC7" s="8">
        <f>(P8-7)*3</f>
        <v>31.36363636363636</v>
      </c>
      <c r="AD7" s="8">
        <f>(Q8-7)*3</f>
        <v>34.38461538461538</v>
      </c>
    </row>
    <row r="8" spans="1:43" x14ac:dyDescent="0.2">
      <c r="F8" s="3"/>
      <c r="G8" s="4"/>
      <c r="J8" s="2" t="s">
        <v>607</v>
      </c>
      <c r="K8" s="8">
        <f>($K$9*4)/K7</f>
        <v>14.117647058823529</v>
      </c>
      <c r="L8" s="8">
        <f>($K$9*4)/L7</f>
        <v>14.117647058823529</v>
      </c>
      <c r="M8" s="8">
        <f t="shared" ref="M8:Q8" si="1">($K$9*4)/M7</f>
        <v>16</v>
      </c>
      <c r="N8" s="8">
        <f t="shared" si="1"/>
        <v>16</v>
      </c>
      <c r="O8" s="8">
        <f t="shared" si="1"/>
        <v>16.551724137931036</v>
      </c>
      <c r="P8" s="8">
        <f t="shared" si="1"/>
        <v>17.454545454545453</v>
      </c>
      <c r="Q8" s="8">
        <f t="shared" si="1"/>
        <v>18.46153846153846</v>
      </c>
      <c r="T8" s="8"/>
      <c r="U8" s="8"/>
      <c r="V8" s="8"/>
      <c r="W8" s="8"/>
      <c r="X8" s="8"/>
      <c r="Y8" s="8"/>
      <c r="Z8" s="8"/>
      <c r="AA8" s="8"/>
      <c r="AE8" s="8"/>
      <c r="AF8" s="8"/>
      <c r="AG8" s="8"/>
      <c r="AH8" s="8"/>
      <c r="AI8" s="8"/>
      <c r="AL8" s="8"/>
      <c r="AM8" s="8"/>
      <c r="AN8" s="8"/>
      <c r="AO8" s="8"/>
      <c r="AP8" s="8"/>
      <c r="AQ8" s="8"/>
    </row>
    <row r="9" spans="1:43" x14ac:dyDescent="0.2">
      <c r="F9" s="3"/>
      <c r="G9" s="4"/>
      <c r="J9" s="2" t="s">
        <v>601</v>
      </c>
      <c r="K9" s="8">
        <v>60</v>
      </c>
      <c r="M9" s="8"/>
      <c r="N9" s="8"/>
      <c r="O9" s="8"/>
      <c r="P9" s="8"/>
      <c r="Q9" s="8"/>
      <c r="T9" s="8"/>
      <c r="U9" s="8"/>
      <c r="V9" s="8"/>
      <c r="W9" s="8"/>
      <c r="X9" s="8"/>
      <c r="Y9" s="8"/>
      <c r="Z9" s="8"/>
      <c r="AA9" s="8"/>
      <c r="AC9" s="8"/>
      <c r="AL9" s="8"/>
      <c r="AM9" s="8"/>
      <c r="AN9" s="8"/>
      <c r="AO9" s="8"/>
      <c r="AP9" s="8"/>
      <c r="AQ9" s="8"/>
    </row>
    <row r="10" spans="1:43" s="13" customFormat="1" x14ac:dyDescent="0.2">
      <c r="B10" s="13" t="s">
        <v>341</v>
      </c>
      <c r="D10" s="13" t="s">
        <v>759</v>
      </c>
      <c r="F10" s="14"/>
      <c r="I10" s="14"/>
      <c r="N10" s="15" t="s">
        <v>471</v>
      </c>
      <c r="O10" s="15"/>
      <c r="P10" s="15"/>
      <c r="Q10" s="15"/>
      <c r="T10" s="17">
        <f>SUM(T5,T7)</f>
        <v>42.606462303231154</v>
      </c>
      <c r="V10" s="17">
        <f>SUM(V5,V7)</f>
        <v>51.569620253164558</v>
      </c>
      <c r="W10" s="17">
        <f>SUM(W5,W7)</f>
        <v>85</v>
      </c>
      <c r="AA10" s="17">
        <f t="shared" ref="AA10:AD10" si="2">SUM(AA5,AA7)</f>
        <v>42.606462303231154</v>
      </c>
      <c r="AB10" s="17">
        <f t="shared" si="2"/>
        <v>54.40841916703986</v>
      </c>
      <c r="AC10" s="17">
        <f t="shared" si="2"/>
        <v>58.36363636363636</v>
      </c>
      <c r="AD10" s="17">
        <f t="shared" si="2"/>
        <v>64.088840736728059</v>
      </c>
    </row>
    <row r="11" spans="1:43" ht="34" x14ac:dyDescent="0.2">
      <c r="B11" s="2" t="s">
        <v>34</v>
      </c>
      <c r="C11" s="2" t="s">
        <v>36</v>
      </c>
      <c r="D11" s="2" t="s">
        <v>425</v>
      </c>
      <c r="E11" s="3" t="s">
        <v>225</v>
      </c>
      <c r="F11" s="2" t="s">
        <v>227</v>
      </c>
      <c r="H11" s="3" t="s">
        <v>79</v>
      </c>
      <c r="I11" s="2" t="s">
        <v>427</v>
      </c>
      <c r="K11" s="2">
        <v>10</v>
      </c>
      <c r="L11" s="8">
        <v>12</v>
      </c>
      <c r="M11" s="2">
        <v>19</v>
      </c>
      <c r="N11" s="2">
        <v>20</v>
      </c>
      <c r="O11" s="2">
        <v>21</v>
      </c>
      <c r="P11" s="2">
        <v>22</v>
      </c>
      <c r="Q11" s="2">
        <v>24</v>
      </c>
      <c r="R11" s="2" t="s">
        <v>428</v>
      </c>
      <c r="S11" s="2">
        <f>K11</f>
        <v>10</v>
      </c>
      <c r="T11" s="2">
        <f>S11/2</f>
        <v>5</v>
      </c>
      <c r="U11" s="2">
        <f t="shared" ref="U11:U12" si="3">M11</f>
        <v>19</v>
      </c>
      <c r="V11" s="2">
        <f>U11/2</f>
        <v>9.5</v>
      </c>
      <c r="W11" s="2">
        <f>40/2</f>
        <v>20</v>
      </c>
      <c r="AA11" s="8">
        <f>L11/2</f>
        <v>6</v>
      </c>
      <c r="AB11" s="8">
        <f>O11/2</f>
        <v>10.5</v>
      </c>
      <c r="AC11" s="8">
        <f>P11/2</f>
        <v>11</v>
      </c>
      <c r="AD11" s="8">
        <f>Q11/2</f>
        <v>12</v>
      </c>
    </row>
    <row r="12" spans="1:43" ht="34" x14ac:dyDescent="0.2">
      <c r="B12" s="2" t="s">
        <v>34</v>
      </c>
      <c r="C12" s="2" t="s">
        <v>71</v>
      </c>
      <c r="D12" s="2" t="s">
        <v>426</v>
      </c>
      <c r="E12" s="3" t="s">
        <v>226</v>
      </c>
      <c r="F12" s="2" t="s">
        <v>227</v>
      </c>
      <c r="H12" s="3" t="s">
        <v>79</v>
      </c>
      <c r="I12" s="2" t="s">
        <v>427</v>
      </c>
      <c r="K12" s="2">
        <v>12</v>
      </c>
      <c r="L12" s="8">
        <v>14</v>
      </c>
      <c r="M12" s="2">
        <v>22</v>
      </c>
      <c r="N12" s="2">
        <v>23</v>
      </c>
      <c r="O12" s="2">
        <v>24</v>
      </c>
      <c r="P12" s="2">
        <v>26</v>
      </c>
      <c r="Q12" s="2">
        <v>28</v>
      </c>
      <c r="R12" s="2" t="s">
        <v>429</v>
      </c>
      <c r="S12" s="2">
        <f>K12</f>
        <v>12</v>
      </c>
      <c r="T12" s="8">
        <f>S12/3</f>
        <v>4</v>
      </c>
      <c r="U12" s="2">
        <f t="shared" si="3"/>
        <v>22</v>
      </c>
      <c r="V12" s="8">
        <f>U12/3</f>
        <v>7.333333333333333</v>
      </c>
      <c r="W12" s="2">
        <f>45/3</f>
        <v>15</v>
      </c>
      <c r="AA12" s="8">
        <f>L12/3</f>
        <v>4.666666666666667</v>
      </c>
      <c r="AB12" s="8">
        <f>O12/3</f>
        <v>8</v>
      </c>
      <c r="AC12" s="8">
        <f>P12/3</f>
        <v>8.6666666666666661</v>
      </c>
      <c r="AD12" s="8">
        <f>Q12/3</f>
        <v>9.3333333333333339</v>
      </c>
    </row>
    <row r="13" spans="1:43" s="13" customFormat="1" x14ac:dyDescent="0.2">
      <c r="B13" s="13" t="s">
        <v>397</v>
      </c>
      <c r="D13" s="13" t="s">
        <v>761</v>
      </c>
      <c r="F13" s="14"/>
      <c r="I13" s="14"/>
      <c r="N13" s="32" t="s">
        <v>440</v>
      </c>
      <c r="O13" s="32"/>
      <c r="P13" s="32"/>
      <c r="Q13" s="32"/>
      <c r="R13" s="59"/>
      <c r="T13" s="13">
        <f>SUM(T11:T12)</f>
        <v>9</v>
      </c>
      <c r="V13" s="17">
        <f t="shared" ref="V13:W13" si="4">SUM(V11:V12)</f>
        <v>16.833333333333332</v>
      </c>
      <c r="W13" s="17">
        <f t="shared" si="4"/>
        <v>35</v>
      </c>
      <c r="AA13" s="17">
        <f t="shared" ref="AA13:AB13" si="5">SUM(AA11:AA12)</f>
        <v>10.666666666666668</v>
      </c>
      <c r="AB13" s="17">
        <f t="shared" si="5"/>
        <v>18.5</v>
      </c>
      <c r="AC13" s="17">
        <f t="shared" ref="AC13" si="6">SUM(AC11:AC12)</f>
        <v>19.666666666666664</v>
      </c>
      <c r="AD13" s="17">
        <f t="shared" ref="AD13" si="7">SUM(AD11:AD12)</f>
        <v>21.333333333333336</v>
      </c>
    </row>
    <row r="14" spans="1:43" ht="51" x14ac:dyDescent="0.2">
      <c r="B14" s="2" t="s">
        <v>37</v>
      </c>
      <c r="C14" s="2" t="s">
        <v>40</v>
      </c>
      <c r="D14" s="2" t="s">
        <v>408</v>
      </c>
      <c r="E14" s="3" t="s">
        <v>83</v>
      </c>
      <c r="F14" s="2" t="s">
        <v>77</v>
      </c>
      <c r="G14" s="3" t="s">
        <v>163</v>
      </c>
      <c r="H14" s="3" t="s">
        <v>84</v>
      </c>
      <c r="I14" s="2" t="s">
        <v>170</v>
      </c>
      <c r="K14" s="2">
        <v>8.75</v>
      </c>
      <c r="L14" s="2">
        <v>9</v>
      </c>
      <c r="M14" s="2">
        <v>13</v>
      </c>
      <c r="N14" s="2">
        <v>13</v>
      </c>
      <c r="O14" s="2">
        <v>14</v>
      </c>
      <c r="P14" s="2">
        <v>16</v>
      </c>
      <c r="Q14" s="2">
        <v>18</v>
      </c>
      <c r="R14" s="2" t="str">
        <f>D14</f>
        <v>ASPJUMP</v>
      </c>
      <c r="S14" s="2">
        <f>K14</f>
        <v>8.75</v>
      </c>
      <c r="T14" s="2">
        <f>S14</f>
        <v>8.75</v>
      </c>
      <c r="U14" s="2">
        <f>M14</f>
        <v>13</v>
      </c>
      <c r="V14" s="2">
        <f>U14</f>
        <v>13</v>
      </c>
      <c r="W14" s="2">
        <v>20</v>
      </c>
      <c r="AA14" s="2">
        <f>L14</f>
        <v>9</v>
      </c>
      <c r="AB14" s="2">
        <f>O14</f>
        <v>14</v>
      </c>
      <c r="AC14" s="2">
        <f>P14</f>
        <v>16</v>
      </c>
      <c r="AD14" s="2">
        <f>Q14</f>
        <v>18</v>
      </c>
    </row>
    <row r="15" spans="1:43" s="13" customFormat="1" x14ac:dyDescent="0.2">
      <c r="B15" s="13" t="s">
        <v>344</v>
      </c>
      <c r="D15" s="13" t="s">
        <v>760</v>
      </c>
      <c r="F15" s="14"/>
      <c r="G15" s="14"/>
      <c r="H15" s="14"/>
      <c r="I15" s="14"/>
      <c r="N15" s="32" t="s">
        <v>450</v>
      </c>
      <c r="O15" s="32"/>
      <c r="P15" s="32"/>
      <c r="Q15" s="32"/>
      <c r="R15" s="59"/>
      <c r="T15" s="13">
        <f>T14</f>
        <v>8.75</v>
      </c>
      <c r="V15" s="13">
        <f t="shared" ref="V15:W15" si="8">V14</f>
        <v>13</v>
      </c>
      <c r="W15" s="13">
        <f t="shared" si="8"/>
        <v>20</v>
      </c>
      <c r="AA15" s="13">
        <f t="shared" ref="AA15:AD15" si="9">AA14</f>
        <v>9</v>
      </c>
      <c r="AB15" s="13">
        <f t="shared" si="9"/>
        <v>14</v>
      </c>
      <c r="AC15" s="13">
        <f t="shared" si="9"/>
        <v>16</v>
      </c>
      <c r="AD15" s="13">
        <f t="shared" si="9"/>
        <v>18</v>
      </c>
    </row>
    <row r="16" spans="1:43" ht="68" x14ac:dyDescent="0.2">
      <c r="B16" s="2" t="s">
        <v>41</v>
      </c>
      <c r="C16" s="2" t="s">
        <v>42</v>
      </c>
      <c r="D16" s="2" t="s">
        <v>352</v>
      </c>
      <c r="E16" s="3" t="s">
        <v>85</v>
      </c>
      <c r="F16" s="3" t="s">
        <v>172</v>
      </c>
      <c r="G16" s="3" t="s">
        <v>171</v>
      </c>
      <c r="H16" s="3" t="s">
        <v>80</v>
      </c>
      <c r="I16" s="2" t="s">
        <v>173</v>
      </c>
      <c r="K16" s="2">
        <v>12.49</v>
      </c>
      <c r="L16" s="2">
        <v>13</v>
      </c>
      <c r="M16" s="2">
        <v>22</v>
      </c>
      <c r="N16" s="2">
        <v>22</v>
      </c>
      <c r="O16" s="2">
        <v>24</v>
      </c>
      <c r="P16" s="2">
        <v>26</v>
      </c>
      <c r="Q16" s="2">
        <v>29</v>
      </c>
      <c r="R16" s="2" t="s">
        <v>367</v>
      </c>
      <c r="S16" s="2">
        <f t="shared" ref="S16:S17" si="10">K16</f>
        <v>12.49</v>
      </c>
      <c r="T16" s="8">
        <f>S16/3</f>
        <v>4.1633333333333331</v>
      </c>
      <c r="U16" s="2">
        <f t="shared" ref="U16:U17" si="11">M16</f>
        <v>22</v>
      </c>
      <c r="V16" s="8">
        <f>U16/3</f>
        <v>7.333333333333333</v>
      </c>
      <c r="W16" s="8">
        <f>30/3</f>
        <v>10</v>
      </c>
      <c r="Z16" s="8"/>
      <c r="AA16" s="8">
        <f>L16/3</f>
        <v>4.333333333333333</v>
      </c>
      <c r="AB16" s="8">
        <f>O16/3</f>
        <v>8</v>
      </c>
      <c r="AC16" s="8">
        <f>P16/3</f>
        <v>8.6666666666666661</v>
      </c>
      <c r="AD16" s="8">
        <f>Q16/3</f>
        <v>9.6666666666666661</v>
      </c>
    </row>
    <row r="17" spans="1:30" ht="68" x14ac:dyDescent="0.2">
      <c r="B17" s="2" t="s">
        <v>41</v>
      </c>
      <c r="C17" s="2" t="s">
        <v>43</v>
      </c>
      <c r="D17" s="2" t="s">
        <v>351</v>
      </c>
      <c r="E17" s="3" t="s">
        <v>86</v>
      </c>
      <c r="F17" s="3" t="s">
        <v>172</v>
      </c>
      <c r="G17" s="3" t="s">
        <v>171</v>
      </c>
      <c r="H17" s="3" t="s">
        <v>80</v>
      </c>
      <c r="I17" s="2" t="s">
        <v>173</v>
      </c>
      <c r="K17" s="9">
        <v>9.49</v>
      </c>
      <c r="L17" s="9">
        <v>10</v>
      </c>
      <c r="M17" s="9">
        <v>19.5</v>
      </c>
      <c r="N17" s="8">
        <v>19.5</v>
      </c>
      <c r="O17" s="2">
        <v>21</v>
      </c>
      <c r="P17" s="2">
        <v>23</v>
      </c>
      <c r="Q17" s="2">
        <v>26</v>
      </c>
      <c r="R17" s="2" t="s">
        <v>366</v>
      </c>
      <c r="S17" s="2">
        <f t="shared" si="10"/>
        <v>9.49</v>
      </c>
      <c r="T17" s="8">
        <f>S17/2</f>
        <v>4.7450000000000001</v>
      </c>
      <c r="U17" s="2">
        <f t="shared" si="11"/>
        <v>19.5</v>
      </c>
      <c r="V17" s="8">
        <f>U17/2</f>
        <v>9.75</v>
      </c>
      <c r="W17" s="8">
        <f>30/2</f>
        <v>15</v>
      </c>
      <c r="Z17" s="8"/>
      <c r="AA17" s="8">
        <f>L17/2</f>
        <v>5</v>
      </c>
      <c r="AB17" s="8">
        <f>O17/2</f>
        <v>10.5</v>
      </c>
      <c r="AC17" s="8">
        <f>P17/2</f>
        <v>11.5</v>
      </c>
      <c r="AD17" s="8">
        <f>Q17/2</f>
        <v>13</v>
      </c>
    </row>
    <row r="18" spans="1:30" s="13" customFormat="1" x14ac:dyDescent="0.2">
      <c r="B18" s="13" t="s">
        <v>342</v>
      </c>
      <c r="D18" s="13" t="s">
        <v>762</v>
      </c>
      <c r="F18" s="14"/>
      <c r="G18" s="14"/>
      <c r="H18" s="14"/>
      <c r="I18" s="14"/>
      <c r="N18" s="32" t="s">
        <v>441</v>
      </c>
      <c r="O18" s="32"/>
      <c r="P18" s="32"/>
      <c r="Q18" s="32"/>
      <c r="R18" s="59"/>
      <c r="T18" s="17">
        <f>SUM(T16:T17)</f>
        <v>8.9083333333333332</v>
      </c>
      <c r="V18" s="17">
        <f t="shared" ref="V18:W18" si="12">SUM(V16:V17)</f>
        <v>17.083333333333332</v>
      </c>
      <c r="W18" s="17">
        <f t="shared" si="12"/>
        <v>25</v>
      </c>
      <c r="AA18" s="17">
        <f t="shared" ref="AA18:AD18" si="13">SUM(AA16:AA17)</f>
        <v>9.3333333333333321</v>
      </c>
      <c r="AB18" s="17">
        <f t="shared" si="13"/>
        <v>18.5</v>
      </c>
      <c r="AC18" s="17">
        <f t="shared" si="13"/>
        <v>20.166666666666664</v>
      </c>
      <c r="AD18" s="17">
        <f t="shared" si="13"/>
        <v>22.666666666666664</v>
      </c>
    </row>
    <row r="19" spans="1:30" ht="85" x14ac:dyDescent="0.2">
      <c r="B19" s="2" t="s">
        <v>44</v>
      </c>
      <c r="C19" s="2" t="s">
        <v>45</v>
      </c>
      <c r="D19" s="2" t="s">
        <v>45</v>
      </c>
      <c r="E19" s="3" t="s">
        <v>89</v>
      </c>
      <c r="F19" s="3" t="s">
        <v>174</v>
      </c>
      <c r="G19" s="3" t="s">
        <v>175</v>
      </c>
      <c r="H19" s="3" t="s">
        <v>90</v>
      </c>
      <c r="I19" s="2" t="s">
        <v>182</v>
      </c>
      <c r="K19" s="3" t="s">
        <v>430</v>
      </c>
      <c r="L19" s="3" t="s">
        <v>432</v>
      </c>
      <c r="M19" s="3" t="s">
        <v>431</v>
      </c>
      <c r="N19" s="2" t="s">
        <v>181</v>
      </c>
      <c r="O19" s="2" t="s">
        <v>181</v>
      </c>
      <c r="P19" s="2" t="s">
        <v>181</v>
      </c>
      <c r="Q19" s="3" t="s">
        <v>431</v>
      </c>
      <c r="R19" s="3" t="s">
        <v>439</v>
      </c>
      <c r="S19" s="3" t="s">
        <v>430</v>
      </c>
      <c r="T19" s="8">
        <v>0</v>
      </c>
      <c r="U19" s="3" t="s">
        <v>508</v>
      </c>
      <c r="V19" s="8">
        <v>4</v>
      </c>
      <c r="W19" s="8">
        <v>6</v>
      </c>
      <c r="AA19" s="2">
        <v>4</v>
      </c>
      <c r="AB19" s="2">
        <v>6</v>
      </c>
      <c r="AC19" s="2">
        <v>6</v>
      </c>
      <c r="AD19" s="2">
        <v>6</v>
      </c>
    </row>
    <row r="20" spans="1:30" ht="68" x14ac:dyDescent="0.2">
      <c r="B20" s="2" t="s">
        <v>44</v>
      </c>
      <c r="C20" s="2" t="s">
        <v>46</v>
      </c>
      <c r="D20" s="2" t="s">
        <v>353</v>
      </c>
      <c r="E20" s="3" t="s">
        <v>87</v>
      </c>
      <c r="F20" s="3" t="s">
        <v>176</v>
      </c>
      <c r="G20" s="3"/>
      <c r="H20" s="3" t="s">
        <v>90</v>
      </c>
      <c r="I20" s="2" t="s">
        <v>182</v>
      </c>
      <c r="K20" s="2" t="s">
        <v>330</v>
      </c>
      <c r="L20" s="2" t="s">
        <v>329</v>
      </c>
      <c r="M20" s="2" t="s">
        <v>331</v>
      </c>
      <c r="N20" s="2" t="s">
        <v>181</v>
      </c>
      <c r="O20" s="2" t="s">
        <v>329</v>
      </c>
      <c r="P20" s="2" t="s">
        <v>181</v>
      </c>
      <c r="Q20" s="2" t="s">
        <v>331</v>
      </c>
      <c r="R20" s="3" t="s">
        <v>368</v>
      </c>
      <c r="S20" s="3" t="s">
        <v>330</v>
      </c>
      <c r="T20" s="8">
        <v>0</v>
      </c>
      <c r="U20" s="3" t="s">
        <v>329</v>
      </c>
      <c r="V20" s="8">
        <v>3</v>
      </c>
      <c r="W20" s="8">
        <v>6</v>
      </c>
      <c r="AA20" s="2">
        <v>3</v>
      </c>
      <c r="AB20" s="2">
        <v>6</v>
      </c>
      <c r="AC20" s="2">
        <v>6</v>
      </c>
      <c r="AD20" s="2">
        <v>6</v>
      </c>
    </row>
    <row r="21" spans="1:30" ht="115" customHeight="1" x14ac:dyDescent="0.2">
      <c r="B21" s="2" t="s">
        <v>44</v>
      </c>
      <c r="C21" s="2" t="s">
        <v>47</v>
      </c>
      <c r="D21" s="2" t="s">
        <v>354</v>
      </c>
      <c r="E21" s="3" t="s">
        <v>88</v>
      </c>
      <c r="F21" s="3" t="s">
        <v>177</v>
      </c>
      <c r="G21" s="3" t="s">
        <v>91</v>
      </c>
      <c r="H21" s="3" t="s">
        <v>92</v>
      </c>
      <c r="I21" s="2" t="s">
        <v>182</v>
      </c>
      <c r="K21" s="3" t="s">
        <v>333</v>
      </c>
      <c r="L21" s="3" t="s">
        <v>334</v>
      </c>
      <c r="M21" s="3" t="s">
        <v>332</v>
      </c>
      <c r="N21" s="2" t="s">
        <v>181</v>
      </c>
      <c r="O21" s="2" t="s">
        <v>181</v>
      </c>
      <c r="P21" s="2" t="s">
        <v>181</v>
      </c>
      <c r="Q21" s="3" t="s">
        <v>332</v>
      </c>
      <c r="R21" s="3" t="s">
        <v>369</v>
      </c>
      <c r="S21" s="3" t="s">
        <v>333</v>
      </c>
      <c r="T21" s="8">
        <v>3</v>
      </c>
      <c r="U21" s="3" t="s">
        <v>334</v>
      </c>
      <c r="V21" s="8">
        <v>6</v>
      </c>
      <c r="W21" s="8">
        <v>9</v>
      </c>
      <c r="AA21" s="2">
        <v>6</v>
      </c>
      <c r="AB21" s="2">
        <v>9</v>
      </c>
      <c r="AC21" s="2">
        <v>9</v>
      </c>
      <c r="AD21" s="2">
        <v>9</v>
      </c>
    </row>
    <row r="22" spans="1:30" s="13" customFormat="1" ht="83" customHeight="1" x14ac:dyDescent="0.2">
      <c r="B22" s="13" t="s">
        <v>343</v>
      </c>
      <c r="F22" s="14"/>
      <c r="I22" s="14"/>
      <c r="N22" s="14" t="s">
        <v>434</v>
      </c>
      <c r="O22" s="14" t="s">
        <v>433</v>
      </c>
      <c r="P22" s="14" t="s">
        <v>435</v>
      </c>
      <c r="Q22" s="14" t="s">
        <v>436</v>
      </c>
      <c r="T22" s="17">
        <f>SUM(T19:T21)</f>
        <v>3</v>
      </c>
      <c r="V22" s="17">
        <f t="shared" ref="V22:W22" si="14">SUM(V19:V21)</f>
        <v>13</v>
      </c>
      <c r="W22" s="17">
        <f t="shared" si="14"/>
        <v>21</v>
      </c>
      <c r="AA22" s="17">
        <f t="shared" ref="AA22:AD22" si="15">SUM(AA19:AA21)</f>
        <v>13</v>
      </c>
      <c r="AB22" s="17">
        <f t="shared" si="15"/>
        <v>21</v>
      </c>
      <c r="AC22" s="17">
        <f t="shared" si="15"/>
        <v>21</v>
      </c>
      <c r="AD22" s="17">
        <f t="shared" si="15"/>
        <v>21</v>
      </c>
    </row>
    <row r="23" spans="1:30" s="23" customFormat="1" x14ac:dyDescent="0.2">
      <c r="B23" s="23" t="s">
        <v>376</v>
      </c>
      <c r="D23" s="23" t="s">
        <v>758</v>
      </c>
      <c r="F23" s="24"/>
      <c r="I23" s="24"/>
      <c r="S23" s="26"/>
      <c r="T23" s="26">
        <f>SUM(T22,T18,T15,T13,T10)</f>
        <v>72.264795636564486</v>
      </c>
      <c r="U23" s="26"/>
      <c r="V23" s="26">
        <f t="shared" ref="V23:W23" si="16">SUM(V22,V18,V15,V13,V10)</f>
        <v>111.48628691983122</v>
      </c>
      <c r="W23" s="26">
        <f t="shared" si="16"/>
        <v>186</v>
      </c>
      <c r="X23" s="26">
        <v>50</v>
      </c>
      <c r="Y23" s="26">
        <f>(T23/W23)*X23</f>
        <v>19.426020332409806</v>
      </c>
      <c r="Z23" s="26">
        <f>(V23/W23)*X23</f>
        <v>29.969431967696565</v>
      </c>
      <c r="AA23" s="26">
        <f t="shared" ref="AA23:AD23" si="17">SUM(AA22,AA18,AA15,AA13,AA10)</f>
        <v>84.606462303231154</v>
      </c>
      <c r="AB23" s="26">
        <f t="shared" si="17"/>
        <v>126.40841916703985</v>
      </c>
      <c r="AC23" s="26">
        <f t="shared" si="17"/>
        <v>135.19696969696969</v>
      </c>
      <c r="AD23" s="26">
        <f t="shared" si="17"/>
        <v>147.08884073672806</v>
      </c>
    </row>
    <row r="24" spans="1:30" ht="51" x14ac:dyDescent="0.2">
      <c r="A24" s="2" t="s">
        <v>48</v>
      </c>
      <c r="B24" s="2" t="s">
        <v>255</v>
      </c>
      <c r="C24" s="2" t="s">
        <v>49</v>
      </c>
      <c r="D24" s="2" t="s">
        <v>384</v>
      </c>
      <c r="E24" s="3" t="s">
        <v>97</v>
      </c>
      <c r="F24" s="2" t="s">
        <v>77</v>
      </c>
      <c r="H24" s="3" t="s">
        <v>79</v>
      </c>
      <c r="I24" s="2" t="s">
        <v>183</v>
      </c>
      <c r="K24" s="2">
        <v>4</v>
      </c>
      <c r="L24" s="8">
        <v>5</v>
      </c>
      <c r="M24" s="2">
        <v>7</v>
      </c>
      <c r="N24" s="2">
        <v>7</v>
      </c>
      <c r="O24" s="2">
        <v>8</v>
      </c>
      <c r="P24" s="2">
        <v>9</v>
      </c>
      <c r="Q24" s="2">
        <v>10</v>
      </c>
      <c r="R24" s="3" t="str">
        <f>D24</f>
        <v>HC10LD</v>
      </c>
      <c r="S24" s="2">
        <f t="shared" ref="S24:S27" si="18">K24</f>
        <v>4</v>
      </c>
      <c r="T24" s="2">
        <f>S24</f>
        <v>4</v>
      </c>
      <c r="U24" s="2">
        <f t="shared" ref="U24:U27" si="19">M24</f>
        <v>7</v>
      </c>
      <c r="V24" s="2">
        <f>U24</f>
        <v>7</v>
      </c>
      <c r="W24" s="2">
        <v>10</v>
      </c>
      <c r="AA24" s="2">
        <f>L24</f>
        <v>5</v>
      </c>
      <c r="AB24" s="8">
        <f>O24</f>
        <v>8</v>
      </c>
      <c r="AC24" s="8">
        <f>P24</f>
        <v>9</v>
      </c>
      <c r="AD24" s="8">
        <f>Q24</f>
        <v>10</v>
      </c>
    </row>
    <row r="25" spans="1:30" ht="51" x14ac:dyDescent="0.2">
      <c r="B25" s="2" t="s">
        <v>37</v>
      </c>
      <c r="C25" s="2" t="s">
        <v>67</v>
      </c>
      <c r="D25" s="2" t="s">
        <v>385</v>
      </c>
      <c r="E25" s="3" t="s">
        <v>245</v>
      </c>
      <c r="F25" s="3" t="s">
        <v>179</v>
      </c>
      <c r="G25" s="3" t="s">
        <v>180</v>
      </c>
      <c r="H25" s="3" t="s">
        <v>109</v>
      </c>
      <c r="I25" s="2" t="s">
        <v>184</v>
      </c>
      <c r="K25" s="2">
        <v>34</v>
      </c>
      <c r="L25" s="2">
        <v>40</v>
      </c>
      <c r="M25" s="2">
        <v>46</v>
      </c>
      <c r="N25" s="2">
        <v>46</v>
      </c>
      <c r="O25" s="2">
        <v>48</v>
      </c>
      <c r="P25" s="2">
        <v>50</v>
      </c>
      <c r="Q25" s="2">
        <v>54</v>
      </c>
      <c r="R25" s="3" t="s">
        <v>448</v>
      </c>
      <c r="S25" s="2">
        <f t="shared" si="18"/>
        <v>34</v>
      </c>
      <c r="T25" s="8">
        <f>S25/5</f>
        <v>6.8</v>
      </c>
      <c r="U25" s="2">
        <f t="shared" si="19"/>
        <v>46</v>
      </c>
      <c r="V25" s="8">
        <f>U25/5</f>
        <v>9.1999999999999993</v>
      </c>
      <c r="W25" s="2">
        <v>15</v>
      </c>
      <c r="AA25" s="2">
        <f>L25/5</f>
        <v>8</v>
      </c>
      <c r="AB25" s="8">
        <f>O25/5</f>
        <v>9.6</v>
      </c>
      <c r="AC25" s="8">
        <f>P25/5</f>
        <v>10</v>
      </c>
      <c r="AD25" s="8">
        <f>Q25/5</f>
        <v>10.8</v>
      </c>
    </row>
    <row r="26" spans="1:30" ht="187" x14ac:dyDescent="0.2">
      <c r="B26" s="2" t="s">
        <v>256</v>
      </c>
      <c r="C26" s="2" t="s">
        <v>100</v>
      </c>
      <c r="D26" s="2" t="s">
        <v>409</v>
      </c>
      <c r="E26" s="3" t="s">
        <v>105</v>
      </c>
      <c r="F26" s="3" t="s">
        <v>292</v>
      </c>
      <c r="G26" s="3" t="s">
        <v>104</v>
      </c>
      <c r="H26" s="3" t="s">
        <v>289</v>
      </c>
      <c r="I26" s="2" t="s">
        <v>193</v>
      </c>
      <c r="K26" s="2">
        <v>15</v>
      </c>
      <c r="L26" s="8">
        <v>18</v>
      </c>
      <c r="M26" s="2">
        <v>23</v>
      </c>
      <c r="N26" s="2">
        <v>23</v>
      </c>
      <c r="O26" s="2">
        <v>25</v>
      </c>
      <c r="P26" s="2">
        <v>27</v>
      </c>
      <c r="Q26" s="2">
        <v>29</v>
      </c>
      <c r="R26" s="3" t="str">
        <f>D26</f>
        <v>H10FAST</v>
      </c>
      <c r="S26" s="2">
        <f t="shared" si="18"/>
        <v>15</v>
      </c>
      <c r="T26" s="2">
        <f>S26</f>
        <v>15</v>
      </c>
      <c r="U26" s="2">
        <f t="shared" si="19"/>
        <v>23</v>
      </c>
      <c r="V26" s="2">
        <f>U26</f>
        <v>23</v>
      </c>
      <c r="W26" s="2">
        <v>50</v>
      </c>
      <c r="AA26" s="2">
        <f>L26</f>
        <v>18</v>
      </c>
      <c r="AB26" s="8">
        <f>O26</f>
        <v>25</v>
      </c>
      <c r="AC26" s="8">
        <f>P26</f>
        <v>27</v>
      </c>
      <c r="AD26" s="8">
        <f>Q26</f>
        <v>29</v>
      </c>
    </row>
    <row r="27" spans="1:30" ht="51" x14ac:dyDescent="0.2">
      <c r="B27" s="2" t="s">
        <v>37</v>
      </c>
      <c r="C27" s="2" t="s">
        <v>98</v>
      </c>
      <c r="D27" s="2" t="s">
        <v>386</v>
      </c>
      <c r="E27" s="3" t="s">
        <v>99</v>
      </c>
      <c r="F27" s="2" t="s">
        <v>77</v>
      </c>
      <c r="G27" s="3" t="s">
        <v>180</v>
      </c>
      <c r="H27" s="3" t="s">
        <v>108</v>
      </c>
      <c r="I27" s="2" t="s">
        <v>187</v>
      </c>
      <c r="K27" s="2">
        <v>32</v>
      </c>
      <c r="L27" s="2">
        <v>35</v>
      </c>
      <c r="M27" s="2">
        <v>42</v>
      </c>
      <c r="N27" s="2">
        <v>42</v>
      </c>
      <c r="O27" s="2">
        <v>44</v>
      </c>
      <c r="P27" s="2">
        <v>47</v>
      </c>
      <c r="Q27" s="2">
        <v>50</v>
      </c>
      <c r="R27" s="2" t="s">
        <v>449</v>
      </c>
      <c r="S27" s="2">
        <f t="shared" si="18"/>
        <v>32</v>
      </c>
      <c r="T27" s="8">
        <f>S27/4</f>
        <v>8</v>
      </c>
      <c r="U27" s="2">
        <f t="shared" si="19"/>
        <v>42</v>
      </c>
      <c r="V27" s="8">
        <f>U27/4</f>
        <v>10.5</v>
      </c>
      <c r="W27" s="8">
        <v>15</v>
      </c>
      <c r="AA27" s="2">
        <f>L27/4</f>
        <v>8.75</v>
      </c>
      <c r="AB27" s="8">
        <f>O27/4</f>
        <v>11</v>
      </c>
      <c r="AC27" s="8">
        <f>P27/4</f>
        <v>11.75</v>
      </c>
      <c r="AD27" s="8">
        <f>Q27/4</f>
        <v>12.5</v>
      </c>
    </row>
    <row r="28" spans="1:30" s="13" customFormat="1" x14ac:dyDescent="0.2">
      <c r="B28" s="13" t="s">
        <v>398</v>
      </c>
      <c r="D28" s="13" t="s">
        <v>763</v>
      </c>
      <c r="F28" s="14"/>
      <c r="H28" s="14"/>
      <c r="I28" s="14"/>
      <c r="N28" s="15" t="s">
        <v>498</v>
      </c>
      <c r="O28" s="15"/>
      <c r="P28" s="15"/>
      <c r="Q28" s="15"/>
      <c r="R28" s="33"/>
      <c r="T28" s="13">
        <f>SUM(T24,T26)</f>
        <v>19</v>
      </c>
      <c r="V28" s="13">
        <f>SUM(V24,V26)</f>
        <v>30</v>
      </c>
      <c r="W28" s="13">
        <f>SUM(W24,W26)</f>
        <v>60</v>
      </c>
      <c r="AA28" s="13">
        <f t="shared" ref="AA28:AD28" si="20">SUM(AA24,AA26)</f>
        <v>23</v>
      </c>
      <c r="AB28" s="13">
        <f t="shared" si="20"/>
        <v>33</v>
      </c>
      <c r="AC28" s="13">
        <f t="shared" si="20"/>
        <v>36</v>
      </c>
      <c r="AD28" s="13">
        <f t="shared" si="20"/>
        <v>39</v>
      </c>
    </row>
    <row r="29" spans="1:30" s="30" customFormat="1" x14ac:dyDescent="0.2">
      <c r="B29" s="30" t="s">
        <v>399</v>
      </c>
      <c r="D29" s="30" t="s">
        <v>764</v>
      </c>
      <c r="F29" s="31"/>
      <c r="H29" s="31"/>
      <c r="I29" s="31"/>
      <c r="N29" s="35" t="s">
        <v>1128</v>
      </c>
      <c r="O29" s="35"/>
      <c r="P29" s="35"/>
      <c r="Q29" s="35"/>
      <c r="R29" s="69"/>
      <c r="T29" s="36">
        <f>SUM(T25:T27)</f>
        <v>29.8</v>
      </c>
      <c r="V29" s="36">
        <f>SUM(V25:V27)</f>
        <v>42.7</v>
      </c>
      <c r="W29" s="36">
        <f>SUM(W25:W27)</f>
        <v>80</v>
      </c>
      <c r="AA29" s="36">
        <f t="shared" ref="AA29:AD29" si="21">SUM(AA25:AA27)</f>
        <v>34.75</v>
      </c>
      <c r="AB29" s="36">
        <f t="shared" si="21"/>
        <v>45.6</v>
      </c>
      <c r="AC29" s="36">
        <f t="shared" si="21"/>
        <v>48.75</v>
      </c>
      <c r="AD29" s="36">
        <f t="shared" si="21"/>
        <v>52.3</v>
      </c>
    </row>
    <row r="30" spans="1:30" s="23" customFormat="1" x14ac:dyDescent="0.2">
      <c r="B30" s="23" t="s">
        <v>400</v>
      </c>
      <c r="D30" s="23" t="s">
        <v>656</v>
      </c>
      <c r="F30" s="24"/>
      <c r="I30" s="24"/>
      <c r="T30" s="26">
        <f>SUM(T24:T27)</f>
        <v>33.799999999999997</v>
      </c>
      <c r="U30" s="26"/>
      <c r="V30" s="26">
        <f>SUM(V24:V27)</f>
        <v>49.7</v>
      </c>
      <c r="W30" s="26">
        <f>SUM(W24:W27)</f>
        <v>90</v>
      </c>
      <c r="X30" s="26">
        <v>50</v>
      </c>
      <c r="Y30" s="26">
        <f>(T30/W30)*X30</f>
        <v>18.777777777777775</v>
      </c>
      <c r="Z30" s="26">
        <f>(V30/W30)*X30</f>
        <v>27.611111111111114</v>
      </c>
      <c r="AA30" s="26">
        <f t="shared" ref="AA30:AD30" si="22">SUM(AA24:AA27)</f>
        <v>39.75</v>
      </c>
      <c r="AB30" s="26">
        <f t="shared" si="22"/>
        <v>53.6</v>
      </c>
      <c r="AC30" s="26">
        <f t="shared" si="22"/>
        <v>57.75</v>
      </c>
      <c r="AD30" s="26">
        <f t="shared" si="22"/>
        <v>62.3</v>
      </c>
    </row>
    <row r="31" spans="1:30" ht="51" x14ac:dyDescent="0.2">
      <c r="A31" s="2" t="s">
        <v>247</v>
      </c>
      <c r="B31" s="2" t="s">
        <v>248</v>
      </c>
      <c r="C31" s="2" t="s">
        <v>50</v>
      </c>
      <c r="D31" s="2" t="s">
        <v>357</v>
      </c>
      <c r="E31" s="3" t="s">
        <v>252</v>
      </c>
      <c r="F31" s="2" t="s">
        <v>77</v>
      </c>
      <c r="G31" s="3" t="s">
        <v>186</v>
      </c>
      <c r="H31" s="3" t="s">
        <v>108</v>
      </c>
      <c r="I31" s="2" t="s">
        <v>187</v>
      </c>
      <c r="K31" s="2">
        <v>30</v>
      </c>
      <c r="L31" s="2">
        <v>35</v>
      </c>
      <c r="M31" s="2">
        <v>40</v>
      </c>
      <c r="N31" s="2">
        <v>40</v>
      </c>
      <c r="O31" s="2">
        <v>42</v>
      </c>
      <c r="P31" s="2">
        <v>45</v>
      </c>
      <c r="Q31" s="2">
        <v>48</v>
      </c>
      <c r="R31" s="2" t="s">
        <v>455</v>
      </c>
      <c r="S31" s="2">
        <f t="shared" ref="S31:S34" si="23">K31</f>
        <v>30</v>
      </c>
      <c r="T31" s="8">
        <f>S31/2</f>
        <v>15</v>
      </c>
      <c r="U31" s="2">
        <f t="shared" ref="U31:U34" si="24">M31</f>
        <v>40</v>
      </c>
      <c r="V31" s="8">
        <f>U31/2</f>
        <v>20</v>
      </c>
      <c r="W31" s="8">
        <f>60/2</f>
        <v>30</v>
      </c>
      <c r="AA31" s="2">
        <f>L31/2</f>
        <v>17.5</v>
      </c>
      <c r="AB31" s="2">
        <f>O31/2</f>
        <v>21</v>
      </c>
      <c r="AC31" s="2">
        <f>P31/2</f>
        <v>22.5</v>
      </c>
      <c r="AD31" s="2">
        <f>Q31/2</f>
        <v>24</v>
      </c>
    </row>
    <row r="32" spans="1:30" ht="102" x14ac:dyDescent="0.2">
      <c r="B32" s="2" t="s">
        <v>248</v>
      </c>
      <c r="C32" s="2" t="s">
        <v>246</v>
      </c>
      <c r="D32" s="2" t="s">
        <v>477</v>
      </c>
      <c r="E32" s="3" t="s">
        <v>253</v>
      </c>
      <c r="F32" s="3" t="s">
        <v>387</v>
      </c>
      <c r="G32" s="3" t="s">
        <v>110</v>
      </c>
      <c r="H32" s="3" t="s">
        <v>147</v>
      </c>
      <c r="I32" s="3" t="s">
        <v>188</v>
      </c>
      <c r="J32" s="3"/>
      <c r="K32" s="2">
        <v>3</v>
      </c>
      <c r="L32" s="8">
        <v>8</v>
      </c>
      <c r="M32" s="2">
        <v>10</v>
      </c>
      <c r="N32" s="2">
        <v>10</v>
      </c>
      <c r="O32" s="2">
        <v>11</v>
      </c>
      <c r="P32" s="2">
        <v>12</v>
      </c>
      <c r="Q32" s="2">
        <v>14</v>
      </c>
      <c r="R32" s="2" t="str">
        <f>D32</f>
        <v>TPITCH1045</v>
      </c>
      <c r="S32" s="2">
        <f t="shared" si="23"/>
        <v>3</v>
      </c>
      <c r="T32" s="2">
        <f>S32</f>
        <v>3</v>
      </c>
      <c r="U32" s="2">
        <f t="shared" si="24"/>
        <v>10</v>
      </c>
      <c r="V32" s="2">
        <f>U32</f>
        <v>10</v>
      </c>
      <c r="W32" s="2">
        <v>30</v>
      </c>
      <c r="AA32" s="2">
        <f>L32</f>
        <v>8</v>
      </c>
      <c r="AB32" s="2">
        <f>O32</f>
        <v>11</v>
      </c>
      <c r="AC32" s="2">
        <f>P32</f>
        <v>12</v>
      </c>
      <c r="AD32" s="2">
        <f>Q32</f>
        <v>14</v>
      </c>
    </row>
    <row r="33" spans="1:30" ht="68" x14ac:dyDescent="0.2">
      <c r="B33" s="2" t="s">
        <v>247</v>
      </c>
      <c r="C33" s="2" t="s">
        <v>56</v>
      </c>
      <c r="D33" s="2" t="s">
        <v>475</v>
      </c>
      <c r="E33" s="3" t="s">
        <v>114</v>
      </c>
      <c r="F33" s="2" t="s">
        <v>116</v>
      </c>
      <c r="H33" s="3" t="s">
        <v>80</v>
      </c>
      <c r="I33" s="2" t="s">
        <v>194</v>
      </c>
      <c r="K33" s="2">
        <v>3</v>
      </c>
      <c r="L33" s="2">
        <v>3.01</v>
      </c>
      <c r="M33" s="2">
        <v>1.8</v>
      </c>
      <c r="N33" s="2">
        <v>1.8</v>
      </c>
      <c r="O33" s="2">
        <v>1.7</v>
      </c>
      <c r="P33" s="2">
        <v>1.6</v>
      </c>
      <c r="Q33" s="2">
        <v>1.5</v>
      </c>
      <c r="R33" s="2" t="s">
        <v>800</v>
      </c>
      <c r="S33" s="2">
        <f t="shared" si="23"/>
        <v>3</v>
      </c>
      <c r="T33" s="2">
        <f>(5-S33)*4</f>
        <v>8</v>
      </c>
      <c r="U33" s="2">
        <f t="shared" si="24"/>
        <v>1.8</v>
      </c>
      <c r="V33" s="2">
        <f>(5-U33)*4</f>
        <v>12.8</v>
      </c>
      <c r="W33" s="2">
        <v>15</v>
      </c>
      <c r="AA33" s="2">
        <f>(5-L33)*4</f>
        <v>7.9600000000000009</v>
      </c>
      <c r="AB33" s="2">
        <f>(5-O33)*4</f>
        <v>13.2</v>
      </c>
      <c r="AC33" s="2">
        <f>(5-P33)*4</f>
        <v>13.6</v>
      </c>
      <c r="AD33" s="2">
        <f>(5-Q33)*4</f>
        <v>14</v>
      </c>
    </row>
    <row r="34" spans="1:30" ht="170" x14ac:dyDescent="0.2">
      <c r="B34" s="2" t="s">
        <v>247</v>
      </c>
      <c r="C34" s="2" t="s">
        <v>251</v>
      </c>
      <c r="D34" s="2" t="s">
        <v>451</v>
      </c>
      <c r="E34" s="3" t="s">
        <v>453</v>
      </c>
      <c r="F34" s="3" t="s">
        <v>454</v>
      </c>
      <c r="G34" s="3" t="s">
        <v>162</v>
      </c>
      <c r="H34" s="3" t="s">
        <v>147</v>
      </c>
      <c r="I34" s="2" t="s">
        <v>200</v>
      </c>
      <c r="K34" s="2">
        <v>3</v>
      </c>
      <c r="L34" s="8">
        <v>4</v>
      </c>
      <c r="M34" s="2">
        <v>7</v>
      </c>
      <c r="N34" s="2">
        <v>7</v>
      </c>
      <c r="O34" s="2">
        <v>8</v>
      </c>
      <c r="P34" s="2">
        <v>10</v>
      </c>
      <c r="Q34" s="2">
        <v>12</v>
      </c>
      <c r="R34" s="2" t="str">
        <f>D34</f>
        <v>T80FT</v>
      </c>
      <c r="S34" s="2">
        <f t="shared" si="23"/>
        <v>3</v>
      </c>
      <c r="T34" s="2">
        <f>S34</f>
        <v>3</v>
      </c>
      <c r="U34" s="2">
        <f t="shared" si="24"/>
        <v>7</v>
      </c>
      <c r="V34" s="2">
        <f>U34</f>
        <v>7</v>
      </c>
      <c r="W34" s="2">
        <v>20</v>
      </c>
      <c r="AA34" s="2">
        <f>L34</f>
        <v>4</v>
      </c>
      <c r="AB34" s="2">
        <f>O34</f>
        <v>8</v>
      </c>
      <c r="AC34" s="2">
        <f>P34</f>
        <v>10</v>
      </c>
      <c r="AD34" s="2">
        <f>Q34</f>
        <v>12</v>
      </c>
    </row>
    <row r="35" spans="1:30" s="44" customFormat="1" x14ac:dyDescent="0.2">
      <c r="B35" s="44" t="s">
        <v>474</v>
      </c>
      <c r="E35" s="45"/>
      <c r="F35" s="45"/>
      <c r="G35" s="45"/>
      <c r="H35" s="45"/>
      <c r="N35" s="46" t="s">
        <v>479</v>
      </c>
      <c r="O35" s="46"/>
      <c r="P35" s="46"/>
      <c r="Q35" s="46"/>
    </row>
    <row r="36" spans="1:30" s="30" customFormat="1" x14ac:dyDescent="0.2">
      <c r="B36" s="30" t="s">
        <v>457</v>
      </c>
      <c r="E36" s="31"/>
      <c r="F36" s="31"/>
      <c r="G36" s="31"/>
      <c r="H36" s="31"/>
      <c r="N36" s="35" t="s">
        <v>459</v>
      </c>
      <c r="O36" s="35"/>
      <c r="P36" s="35"/>
      <c r="Q36" s="35"/>
    </row>
    <row r="37" spans="1:30" s="39" customFormat="1" x14ac:dyDescent="0.2">
      <c r="B37" s="39" t="s">
        <v>458</v>
      </c>
      <c r="E37" s="40"/>
      <c r="F37" s="40"/>
      <c r="G37" s="40"/>
      <c r="H37" s="40"/>
      <c r="N37" s="41" t="s">
        <v>460</v>
      </c>
      <c r="O37" s="41"/>
      <c r="P37" s="41"/>
      <c r="Q37" s="41"/>
    </row>
    <row r="38" spans="1:30" s="13" customFormat="1" x14ac:dyDescent="0.2">
      <c r="B38" s="13" t="s">
        <v>401</v>
      </c>
      <c r="E38" s="14"/>
      <c r="F38" s="14"/>
      <c r="G38" s="14"/>
      <c r="H38" s="14"/>
      <c r="I38" s="14"/>
      <c r="J38" s="14"/>
      <c r="N38" s="29" t="s">
        <v>456</v>
      </c>
      <c r="O38" s="29"/>
      <c r="P38" s="29"/>
      <c r="Q38" s="29"/>
    </row>
    <row r="39" spans="1:30" s="23" customFormat="1" x14ac:dyDescent="0.2">
      <c r="B39" s="23" t="s">
        <v>402</v>
      </c>
      <c r="E39" s="24"/>
      <c r="F39" s="24"/>
      <c r="G39" s="24"/>
      <c r="H39" s="24"/>
      <c r="I39" s="24"/>
      <c r="J39" s="24"/>
      <c r="T39" s="26">
        <f>SUM(T31:T34)</f>
        <v>29</v>
      </c>
      <c r="U39" s="26"/>
      <c r="V39" s="26">
        <f>SUM(V31:V34)</f>
        <v>49.8</v>
      </c>
      <c r="W39" s="26">
        <f>SUM(W31:W34)</f>
        <v>95</v>
      </c>
      <c r="X39" s="26">
        <v>50</v>
      </c>
      <c r="Y39" s="26">
        <f>(T39/W39)*X39</f>
        <v>15.263157894736842</v>
      </c>
      <c r="Z39" s="26">
        <f>(V39/W39)*X39</f>
        <v>26.210526315789473</v>
      </c>
      <c r="AA39" s="26">
        <f t="shared" ref="AA39:AD39" si="25">SUM(AA31:AA34)</f>
        <v>37.46</v>
      </c>
      <c r="AB39" s="26">
        <f t="shared" si="25"/>
        <v>53.2</v>
      </c>
      <c r="AC39" s="26">
        <f t="shared" si="25"/>
        <v>58.1</v>
      </c>
      <c r="AD39" s="26">
        <f t="shared" si="25"/>
        <v>64</v>
      </c>
    </row>
    <row r="40" spans="1:30" ht="119" x14ac:dyDescent="0.2">
      <c r="A40" s="2" t="s">
        <v>259</v>
      </c>
      <c r="B40" s="2" t="s">
        <v>259</v>
      </c>
      <c r="C40" s="2" t="s">
        <v>254</v>
      </c>
      <c r="D40" s="2" t="s">
        <v>476</v>
      </c>
      <c r="E40" s="3" t="s">
        <v>257</v>
      </c>
      <c r="F40" s="3" t="s">
        <v>151</v>
      </c>
      <c r="G40" s="3" t="s">
        <v>110</v>
      </c>
      <c r="H40" s="3" t="s">
        <v>150</v>
      </c>
      <c r="I40" s="2" t="s">
        <v>258</v>
      </c>
      <c r="K40" s="2">
        <v>3</v>
      </c>
      <c r="L40" s="8">
        <v>7</v>
      </c>
      <c r="M40" s="2">
        <v>7</v>
      </c>
      <c r="N40" s="2">
        <v>7</v>
      </c>
      <c r="O40" s="2">
        <v>8</v>
      </c>
      <c r="P40" s="2">
        <v>9</v>
      </c>
      <c r="Q40" s="2">
        <v>10</v>
      </c>
      <c r="R40" s="2" t="s">
        <v>476</v>
      </c>
      <c r="S40" s="2">
        <f t="shared" ref="S40:S49" si="26">K40</f>
        <v>3</v>
      </c>
      <c r="T40" s="2">
        <f>S40</f>
        <v>3</v>
      </c>
      <c r="U40" s="2">
        <f t="shared" ref="U40:U49" si="27">M40</f>
        <v>7</v>
      </c>
      <c r="V40" s="2">
        <f>U40</f>
        <v>7</v>
      </c>
      <c r="W40" s="2">
        <v>10</v>
      </c>
      <c r="AA40" s="2">
        <f t="shared" ref="AA40:AA49" si="28">L40</f>
        <v>7</v>
      </c>
      <c r="AB40" s="2">
        <f>O40</f>
        <v>8</v>
      </c>
      <c r="AC40" s="2">
        <f>P40</f>
        <v>9</v>
      </c>
      <c r="AD40" s="2">
        <f>Q40</f>
        <v>10</v>
      </c>
    </row>
    <row r="41" spans="1:30" ht="119" x14ac:dyDescent="0.2">
      <c r="B41" s="2" t="s">
        <v>259</v>
      </c>
      <c r="C41" s="2" t="s">
        <v>249</v>
      </c>
      <c r="D41" s="2" t="s">
        <v>388</v>
      </c>
      <c r="E41" s="3" t="s">
        <v>250</v>
      </c>
      <c r="F41" s="3" t="s">
        <v>149</v>
      </c>
      <c r="G41" s="3" t="s">
        <v>141</v>
      </c>
      <c r="H41" s="3" t="s">
        <v>150</v>
      </c>
      <c r="I41" s="2" t="s">
        <v>195</v>
      </c>
      <c r="K41" s="2">
        <v>2</v>
      </c>
      <c r="L41" s="8">
        <v>8</v>
      </c>
      <c r="M41" s="2">
        <v>10</v>
      </c>
      <c r="N41" s="2">
        <v>10</v>
      </c>
      <c r="O41" s="2">
        <v>11</v>
      </c>
      <c r="P41" s="2">
        <v>12</v>
      </c>
      <c r="Q41" s="2">
        <v>14</v>
      </c>
      <c r="R41" s="2" t="str">
        <f>D41</f>
        <v>C51B</v>
      </c>
      <c r="S41" s="2">
        <f t="shared" si="26"/>
        <v>2</v>
      </c>
      <c r="T41" s="2">
        <f>S41</f>
        <v>2</v>
      </c>
      <c r="U41" s="2">
        <f t="shared" si="27"/>
        <v>10</v>
      </c>
      <c r="V41" s="2">
        <f>U41</f>
        <v>10</v>
      </c>
      <c r="W41" s="2">
        <v>15</v>
      </c>
      <c r="AA41" s="2">
        <f t="shared" si="28"/>
        <v>8</v>
      </c>
      <c r="AB41" s="2">
        <f>O41</f>
        <v>11</v>
      </c>
      <c r="AC41" s="2">
        <f>P41</f>
        <v>12</v>
      </c>
      <c r="AD41" s="2">
        <f>Q41</f>
        <v>14</v>
      </c>
    </row>
    <row r="42" spans="1:30" ht="85" x14ac:dyDescent="0.2">
      <c r="B42" s="2" t="s">
        <v>259</v>
      </c>
      <c r="C42" s="2" t="s">
        <v>59</v>
      </c>
      <c r="D42" s="2" t="s">
        <v>463</v>
      </c>
      <c r="E42" s="3" t="s">
        <v>235</v>
      </c>
      <c r="F42" s="3" t="s">
        <v>153</v>
      </c>
      <c r="G42" s="3" t="s">
        <v>141</v>
      </c>
      <c r="H42" s="3" t="s">
        <v>147</v>
      </c>
      <c r="I42" s="2" t="s">
        <v>195</v>
      </c>
      <c r="K42" s="2">
        <v>2</v>
      </c>
      <c r="L42" s="8">
        <v>8</v>
      </c>
      <c r="M42" s="2">
        <v>8</v>
      </c>
      <c r="N42" s="2">
        <v>8</v>
      </c>
      <c r="O42" s="2">
        <v>9</v>
      </c>
      <c r="P42" s="2">
        <v>10</v>
      </c>
      <c r="Q42" s="2">
        <v>12</v>
      </c>
      <c r="R42" s="2" t="str">
        <f t="shared" ref="R42:R49" si="29">D42</f>
        <v>C1BST</v>
      </c>
      <c r="S42" s="2">
        <f t="shared" si="26"/>
        <v>2</v>
      </c>
      <c r="T42" s="2">
        <f t="shared" ref="T42:V48" si="30">S42</f>
        <v>2</v>
      </c>
      <c r="U42" s="2">
        <f t="shared" si="27"/>
        <v>8</v>
      </c>
      <c r="V42" s="2">
        <f t="shared" si="30"/>
        <v>8</v>
      </c>
      <c r="W42" s="2">
        <v>15</v>
      </c>
      <c r="AA42" s="2">
        <f t="shared" si="28"/>
        <v>8</v>
      </c>
      <c r="AB42" s="2">
        <f t="shared" ref="AB42" si="31">O42</f>
        <v>9</v>
      </c>
      <c r="AC42" s="2">
        <f>P42</f>
        <v>10</v>
      </c>
      <c r="AD42" s="2">
        <f>Q42</f>
        <v>12</v>
      </c>
    </row>
    <row r="43" spans="1:30" ht="51" x14ac:dyDescent="0.2">
      <c r="B43" s="2" t="s">
        <v>259</v>
      </c>
      <c r="C43" s="2" t="s">
        <v>125</v>
      </c>
      <c r="D43" s="2" t="s">
        <v>464</v>
      </c>
      <c r="E43" s="3" t="s">
        <v>124</v>
      </c>
      <c r="F43" s="2" t="s">
        <v>156</v>
      </c>
      <c r="G43" s="3" t="s">
        <v>157</v>
      </c>
      <c r="H43" s="3" t="s">
        <v>147</v>
      </c>
      <c r="I43" s="2" t="s">
        <v>198</v>
      </c>
      <c r="K43" s="2">
        <v>0</v>
      </c>
      <c r="L43" s="8">
        <v>2</v>
      </c>
      <c r="M43" s="2">
        <v>4</v>
      </c>
      <c r="N43" s="38">
        <v>12</v>
      </c>
      <c r="O43" s="38">
        <v>13</v>
      </c>
      <c r="P43" s="38">
        <v>14</v>
      </c>
      <c r="Q43" s="38">
        <v>15</v>
      </c>
      <c r="R43" s="2" t="str">
        <f t="shared" si="29"/>
        <v>CIFF2B</v>
      </c>
      <c r="S43" s="2">
        <f t="shared" si="26"/>
        <v>0</v>
      </c>
      <c r="T43" s="2">
        <f t="shared" si="30"/>
        <v>0</v>
      </c>
      <c r="U43" s="2">
        <f t="shared" si="27"/>
        <v>4</v>
      </c>
      <c r="V43" s="2">
        <f t="shared" si="30"/>
        <v>4</v>
      </c>
      <c r="W43" s="2">
        <v>6</v>
      </c>
      <c r="AA43" s="2">
        <f t="shared" si="28"/>
        <v>2</v>
      </c>
      <c r="AB43" s="74">
        <v>5</v>
      </c>
      <c r="AC43" s="74">
        <v>5</v>
      </c>
      <c r="AD43" s="74">
        <v>5</v>
      </c>
    </row>
    <row r="44" spans="1:30" ht="51" x14ac:dyDescent="0.2">
      <c r="B44" s="2" t="s">
        <v>259</v>
      </c>
      <c r="C44" s="2" t="s">
        <v>126</v>
      </c>
      <c r="D44" s="2" t="s">
        <v>465</v>
      </c>
      <c r="E44" s="3" t="s">
        <v>132</v>
      </c>
      <c r="F44" s="2" t="s">
        <v>156</v>
      </c>
      <c r="G44" s="3" t="s">
        <v>157</v>
      </c>
      <c r="H44" s="3" t="s">
        <v>147</v>
      </c>
      <c r="I44" s="2" t="s">
        <v>198</v>
      </c>
      <c r="K44" s="2">
        <v>0</v>
      </c>
      <c r="L44" s="8">
        <v>2</v>
      </c>
      <c r="M44" s="2">
        <v>4</v>
      </c>
      <c r="N44" s="38"/>
      <c r="O44" s="38"/>
      <c r="P44" s="38"/>
      <c r="Q44" s="38"/>
      <c r="R44" s="2" t="str">
        <f t="shared" si="29"/>
        <v>CIFFSS</v>
      </c>
      <c r="S44" s="2">
        <f t="shared" si="26"/>
        <v>0</v>
      </c>
      <c r="T44" s="2">
        <f t="shared" si="30"/>
        <v>0</v>
      </c>
      <c r="U44" s="2">
        <f t="shared" si="27"/>
        <v>4</v>
      </c>
      <c r="V44" s="2">
        <f t="shared" si="30"/>
        <v>4</v>
      </c>
      <c r="W44" s="2">
        <v>6</v>
      </c>
      <c r="AA44" s="2">
        <f t="shared" si="28"/>
        <v>2</v>
      </c>
      <c r="AB44" s="74">
        <v>4</v>
      </c>
      <c r="AC44" s="74">
        <v>5</v>
      </c>
      <c r="AD44" s="74">
        <v>5</v>
      </c>
    </row>
    <row r="45" spans="1:30" ht="51" x14ac:dyDescent="0.2">
      <c r="B45" s="2" t="s">
        <v>259</v>
      </c>
      <c r="C45" s="2" t="s">
        <v>127</v>
      </c>
      <c r="D45" s="2" t="s">
        <v>466</v>
      </c>
      <c r="E45" s="3" t="s">
        <v>133</v>
      </c>
      <c r="F45" s="2" t="s">
        <v>156</v>
      </c>
      <c r="G45" s="3" t="s">
        <v>157</v>
      </c>
      <c r="H45" s="3" t="s">
        <v>147</v>
      </c>
      <c r="I45" s="2" t="s">
        <v>198</v>
      </c>
      <c r="K45" s="2">
        <v>0</v>
      </c>
      <c r="L45" s="8">
        <v>2</v>
      </c>
      <c r="M45" s="2">
        <v>4</v>
      </c>
      <c r="N45" s="38"/>
      <c r="O45" s="38"/>
      <c r="P45" s="38"/>
      <c r="Q45" s="38"/>
      <c r="R45" s="2" t="str">
        <f t="shared" si="29"/>
        <v>CIFF3B</v>
      </c>
      <c r="S45" s="2">
        <f t="shared" si="26"/>
        <v>0</v>
      </c>
      <c r="T45" s="2">
        <f t="shared" si="30"/>
        <v>0</v>
      </c>
      <c r="U45" s="2">
        <f t="shared" si="27"/>
        <v>4</v>
      </c>
      <c r="V45" s="2">
        <f t="shared" si="30"/>
        <v>4</v>
      </c>
      <c r="W45" s="2">
        <v>6</v>
      </c>
      <c r="AA45" s="2">
        <f t="shared" si="28"/>
        <v>2</v>
      </c>
      <c r="AB45" s="74">
        <v>4</v>
      </c>
      <c r="AC45" s="74">
        <v>4</v>
      </c>
      <c r="AD45" s="74">
        <v>5</v>
      </c>
    </row>
    <row r="46" spans="1:30" ht="51" x14ac:dyDescent="0.2">
      <c r="B46" s="2" t="s">
        <v>259</v>
      </c>
      <c r="C46" s="2" t="s">
        <v>128</v>
      </c>
      <c r="D46" s="2" t="s">
        <v>467</v>
      </c>
      <c r="E46" s="3" t="s">
        <v>134</v>
      </c>
      <c r="F46" s="2" t="s">
        <v>156</v>
      </c>
      <c r="G46" s="3" t="s">
        <v>158</v>
      </c>
      <c r="H46" s="3" t="s">
        <v>147</v>
      </c>
      <c r="I46" s="2" t="s">
        <v>198</v>
      </c>
      <c r="K46" s="2">
        <v>0</v>
      </c>
      <c r="L46" s="8">
        <v>2</v>
      </c>
      <c r="M46" s="2">
        <v>4</v>
      </c>
      <c r="N46" s="38">
        <v>12</v>
      </c>
      <c r="O46" s="38">
        <v>13</v>
      </c>
      <c r="P46" s="38">
        <v>14</v>
      </c>
      <c r="Q46" s="38">
        <v>15</v>
      </c>
      <c r="R46" s="2" t="str">
        <f t="shared" si="29"/>
        <v>CLD2B</v>
      </c>
      <c r="S46" s="2">
        <f t="shared" si="26"/>
        <v>0</v>
      </c>
      <c r="T46" s="2">
        <f t="shared" si="30"/>
        <v>0</v>
      </c>
      <c r="U46" s="2">
        <f t="shared" si="27"/>
        <v>4</v>
      </c>
      <c r="V46" s="2">
        <f t="shared" si="30"/>
        <v>4</v>
      </c>
      <c r="W46" s="2">
        <v>6</v>
      </c>
      <c r="AA46" s="2">
        <f t="shared" si="28"/>
        <v>2</v>
      </c>
      <c r="AB46" s="74">
        <v>5</v>
      </c>
      <c r="AC46" s="74">
        <v>5</v>
      </c>
      <c r="AD46" s="74">
        <v>5</v>
      </c>
    </row>
    <row r="47" spans="1:30" ht="51" x14ac:dyDescent="0.2">
      <c r="B47" s="2" t="s">
        <v>259</v>
      </c>
      <c r="C47" s="2" t="s">
        <v>129</v>
      </c>
      <c r="D47" s="2" t="s">
        <v>468</v>
      </c>
      <c r="E47" s="3" t="s">
        <v>135</v>
      </c>
      <c r="F47" s="2" t="s">
        <v>156</v>
      </c>
      <c r="G47" s="3" t="s">
        <v>158</v>
      </c>
      <c r="H47" s="3" t="s">
        <v>147</v>
      </c>
      <c r="I47" s="2" t="s">
        <v>198</v>
      </c>
      <c r="K47" s="2">
        <v>0</v>
      </c>
      <c r="L47" s="8">
        <v>2</v>
      </c>
      <c r="M47" s="2">
        <v>4</v>
      </c>
      <c r="N47" s="38"/>
      <c r="O47" s="38"/>
      <c r="P47" s="38"/>
      <c r="Q47" s="38"/>
      <c r="R47" s="2" t="str">
        <f t="shared" si="29"/>
        <v>CLDSS</v>
      </c>
      <c r="S47" s="2">
        <f t="shared" si="26"/>
        <v>0</v>
      </c>
      <c r="T47" s="2">
        <f t="shared" si="30"/>
        <v>0</v>
      </c>
      <c r="U47" s="2">
        <f t="shared" si="27"/>
        <v>4</v>
      </c>
      <c r="V47" s="2">
        <f t="shared" si="30"/>
        <v>4</v>
      </c>
      <c r="W47" s="2">
        <v>6</v>
      </c>
      <c r="AA47" s="2">
        <f t="shared" si="28"/>
        <v>2</v>
      </c>
      <c r="AB47" s="74">
        <v>4</v>
      </c>
      <c r="AC47" s="74">
        <v>5</v>
      </c>
      <c r="AD47" s="74">
        <v>5</v>
      </c>
    </row>
    <row r="48" spans="1:30" ht="51" x14ac:dyDescent="0.2">
      <c r="B48" s="2" t="s">
        <v>259</v>
      </c>
      <c r="C48" s="2" t="s">
        <v>130</v>
      </c>
      <c r="D48" s="2" t="s">
        <v>469</v>
      </c>
      <c r="E48" s="3" t="s">
        <v>136</v>
      </c>
      <c r="F48" s="2" t="s">
        <v>156</v>
      </c>
      <c r="G48" s="3" t="s">
        <v>158</v>
      </c>
      <c r="H48" s="3" t="s">
        <v>147</v>
      </c>
      <c r="I48" s="2" t="s">
        <v>198</v>
      </c>
      <c r="K48" s="2">
        <v>0</v>
      </c>
      <c r="L48" s="8">
        <v>2</v>
      </c>
      <c r="M48" s="2">
        <v>4</v>
      </c>
      <c r="N48" s="38"/>
      <c r="O48" s="38"/>
      <c r="P48" s="38"/>
      <c r="Q48" s="38"/>
      <c r="R48" s="2" t="str">
        <f t="shared" si="29"/>
        <v>CLD3B</v>
      </c>
      <c r="S48" s="2">
        <f t="shared" si="26"/>
        <v>0</v>
      </c>
      <c r="T48" s="2">
        <f t="shared" si="30"/>
        <v>0</v>
      </c>
      <c r="U48" s="2">
        <f t="shared" si="27"/>
        <v>4</v>
      </c>
      <c r="V48" s="2">
        <f t="shared" si="30"/>
        <v>4</v>
      </c>
      <c r="W48" s="2">
        <v>6</v>
      </c>
      <c r="AA48" s="2">
        <f t="shared" si="28"/>
        <v>2</v>
      </c>
      <c r="AB48" s="74">
        <v>4</v>
      </c>
      <c r="AC48" s="74">
        <v>4</v>
      </c>
      <c r="AD48" s="74">
        <v>5</v>
      </c>
    </row>
    <row r="49" spans="1:30" ht="68" x14ac:dyDescent="0.2">
      <c r="B49" s="2" t="s">
        <v>259</v>
      </c>
      <c r="C49" s="2" t="s">
        <v>261</v>
      </c>
      <c r="D49" s="2" t="s">
        <v>482</v>
      </c>
      <c r="E49" s="3" t="s">
        <v>267</v>
      </c>
      <c r="F49" s="2" t="s">
        <v>156</v>
      </c>
      <c r="G49" s="3" t="s">
        <v>160</v>
      </c>
      <c r="H49" s="3" t="s">
        <v>147</v>
      </c>
      <c r="I49" s="2" t="s">
        <v>200</v>
      </c>
      <c r="K49" s="2">
        <v>4</v>
      </c>
      <c r="L49" s="8">
        <v>4</v>
      </c>
      <c r="M49" s="2">
        <v>12</v>
      </c>
      <c r="N49" s="2">
        <v>12</v>
      </c>
      <c r="O49" s="2">
        <v>14</v>
      </c>
      <c r="P49" s="2">
        <v>16</v>
      </c>
      <c r="Q49" s="2">
        <v>18</v>
      </c>
      <c r="R49" s="2" t="str">
        <f t="shared" si="29"/>
        <v>C15X15M</v>
      </c>
      <c r="S49" s="2">
        <f t="shared" si="26"/>
        <v>4</v>
      </c>
      <c r="T49" s="2">
        <f>S49</f>
        <v>4</v>
      </c>
      <c r="U49" s="2">
        <f t="shared" si="27"/>
        <v>12</v>
      </c>
      <c r="V49" s="2">
        <f>U49</f>
        <v>12</v>
      </c>
      <c r="W49" s="2">
        <v>20</v>
      </c>
      <c r="AA49" s="2">
        <f t="shared" si="28"/>
        <v>4</v>
      </c>
      <c r="AB49" s="2">
        <f>O49</f>
        <v>14</v>
      </c>
      <c r="AC49" s="2">
        <f>P49</f>
        <v>16</v>
      </c>
      <c r="AD49" s="2">
        <f>Q49</f>
        <v>18</v>
      </c>
    </row>
    <row r="50" spans="1:30" s="13" customFormat="1" x14ac:dyDescent="0.2">
      <c r="B50" s="13" t="s">
        <v>403</v>
      </c>
      <c r="E50" s="14"/>
      <c r="F50" s="14"/>
      <c r="G50" s="14"/>
      <c r="H50" s="14"/>
      <c r="I50" s="14"/>
      <c r="N50" s="15" t="s">
        <v>446</v>
      </c>
      <c r="O50" s="15"/>
      <c r="P50" s="15"/>
      <c r="Q50" s="15"/>
    </row>
    <row r="51" spans="1:30" s="30" customFormat="1" x14ac:dyDescent="0.2">
      <c r="B51" s="30" t="s">
        <v>461</v>
      </c>
      <c r="E51" s="31"/>
      <c r="F51" s="31"/>
      <c r="G51" s="31"/>
      <c r="H51" s="31"/>
      <c r="I51" s="31"/>
      <c r="N51" s="35" t="s">
        <v>483</v>
      </c>
      <c r="O51" s="35"/>
      <c r="P51" s="35"/>
      <c r="Q51" s="35"/>
    </row>
    <row r="52" spans="1:30" s="23" customFormat="1" x14ac:dyDescent="0.2">
      <c r="B52" s="23" t="s">
        <v>404</v>
      </c>
      <c r="D52" s="23" t="s">
        <v>798</v>
      </c>
      <c r="E52" s="24"/>
      <c r="F52" s="24"/>
      <c r="G52" s="24"/>
      <c r="H52" s="24"/>
      <c r="I52" s="24"/>
      <c r="T52" s="26">
        <f>SUM(T40:T49)</f>
        <v>11</v>
      </c>
      <c r="U52" s="26"/>
      <c r="V52" s="26">
        <f>SUM(V40:V49)</f>
        <v>61</v>
      </c>
      <c r="W52" s="26">
        <f>SUM(W40:W49)</f>
        <v>96</v>
      </c>
      <c r="X52" s="26">
        <v>50</v>
      </c>
      <c r="Y52" s="26">
        <f>(T52/W52)*X52</f>
        <v>5.7291666666666661</v>
      </c>
      <c r="Z52" s="26">
        <f>(V52/W52)*X52</f>
        <v>31.770833333333332</v>
      </c>
      <c r="AA52" s="26">
        <f t="shared" ref="AA52:AD52" si="32">SUM(AA40:AA49)</f>
        <v>39</v>
      </c>
      <c r="AB52" s="26">
        <f t="shared" si="32"/>
        <v>68</v>
      </c>
      <c r="AC52" s="26">
        <f t="shared" si="32"/>
        <v>75</v>
      </c>
      <c r="AD52" s="26">
        <f t="shared" si="32"/>
        <v>84</v>
      </c>
    </row>
    <row r="53" spans="1:30" ht="119" x14ac:dyDescent="0.2">
      <c r="A53" s="2" t="s">
        <v>260</v>
      </c>
      <c r="B53" s="2" t="s">
        <v>63</v>
      </c>
      <c r="C53" s="2" t="s">
        <v>121</v>
      </c>
      <c r="D53" s="2" t="s">
        <v>393</v>
      </c>
      <c r="E53" s="3" t="s">
        <v>311</v>
      </c>
      <c r="F53" s="3" t="s">
        <v>155</v>
      </c>
      <c r="G53" s="3" t="s">
        <v>154</v>
      </c>
      <c r="H53" s="3" t="s">
        <v>150</v>
      </c>
      <c r="I53" s="2" t="s">
        <v>197</v>
      </c>
      <c r="K53" s="2">
        <v>4</v>
      </c>
      <c r="L53" s="8">
        <v>6</v>
      </c>
      <c r="M53" s="2">
        <v>9</v>
      </c>
      <c r="N53" s="38">
        <v>25</v>
      </c>
      <c r="O53" s="38">
        <v>26</v>
      </c>
      <c r="P53" s="38">
        <v>28</v>
      </c>
      <c r="Q53" s="38">
        <v>30</v>
      </c>
      <c r="R53" s="2" t="str">
        <f>D53</f>
        <v>RLCG2B</v>
      </c>
      <c r="S53" s="2">
        <f t="shared" ref="S53:S56" si="33">K53</f>
        <v>4</v>
      </c>
      <c r="T53" s="2">
        <f>S53</f>
        <v>4</v>
      </c>
      <c r="U53" s="2">
        <f t="shared" ref="U53:U56" si="34">M53</f>
        <v>9</v>
      </c>
      <c r="V53" s="2">
        <f>U53</f>
        <v>9</v>
      </c>
      <c r="W53" s="2">
        <v>12</v>
      </c>
      <c r="AA53" s="2">
        <f t="shared" ref="AA53:AA55" si="35">L53</f>
        <v>6</v>
      </c>
      <c r="AB53" s="74">
        <v>9</v>
      </c>
      <c r="AC53" s="74">
        <v>10</v>
      </c>
      <c r="AD53" s="74">
        <v>11</v>
      </c>
    </row>
    <row r="54" spans="1:30" ht="119" x14ac:dyDescent="0.2">
      <c r="B54" s="2" t="s">
        <v>63</v>
      </c>
      <c r="C54" s="2" t="s">
        <v>122</v>
      </c>
      <c r="D54" s="2" t="s">
        <v>394</v>
      </c>
      <c r="E54" s="3" t="s">
        <v>312</v>
      </c>
      <c r="F54" s="3" t="s">
        <v>155</v>
      </c>
      <c r="G54" s="3" t="s">
        <v>154</v>
      </c>
      <c r="H54" s="3" t="s">
        <v>150</v>
      </c>
      <c r="I54" s="2" t="s">
        <v>197</v>
      </c>
      <c r="K54" s="2">
        <v>3</v>
      </c>
      <c r="L54" s="8">
        <v>5</v>
      </c>
      <c r="M54" s="2">
        <v>8</v>
      </c>
      <c r="N54" s="38"/>
      <c r="O54" s="38"/>
      <c r="P54" s="38"/>
      <c r="Q54" s="38"/>
      <c r="R54" s="2" t="str">
        <f t="shared" ref="R54:R55" si="36">D54</f>
        <v>RLCGSS</v>
      </c>
      <c r="S54" s="2">
        <f t="shared" si="33"/>
        <v>3</v>
      </c>
      <c r="T54" s="2">
        <f t="shared" ref="T54:V55" si="37">S54</f>
        <v>3</v>
      </c>
      <c r="U54" s="2">
        <f t="shared" si="34"/>
        <v>8</v>
      </c>
      <c r="V54" s="2">
        <f t="shared" si="37"/>
        <v>8</v>
      </c>
      <c r="W54" s="2">
        <v>12</v>
      </c>
      <c r="AA54" s="2">
        <f t="shared" si="35"/>
        <v>5</v>
      </c>
      <c r="AB54" s="74">
        <v>9</v>
      </c>
      <c r="AC54" s="74">
        <v>9</v>
      </c>
      <c r="AD54" s="74">
        <v>10</v>
      </c>
    </row>
    <row r="55" spans="1:30" ht="119" x14ac:dyDescent="0.2">
      <c r="B55" s="2" t="s">
        <v>63</v>
      </c>
      <c r="C55" s="2" t="s">
        <v>123</v>
      </c>
      <c r="D55" s="2" t="s">
        <v>395</v>
      </c>
      <c r="E55" s="3" t="s">
        <v>313</v>
      </c>
      <c r="F55" s="3" t="s">
        <v>155</v>
      </c>
      <c r="G55" s="3" t="s">
        <v>154</v>
      </c>
      <c r="H55" s="3" t="s">
        <v>150</v>
      </c>
      <c r="I55" s="2" t="s">
        <v>197</v>
      </c>
      <c r="K55" s="2">
        <v>3</v>
      </c>
      <c r="L55" s="8">
        <v>5</v>
      </c>
      <c r="M55" s="2">
        <v>8</v>
      </c>
      <c r="N55" s="38"/>
      <c r="O55" s="38"/>
      <c r="P55" s="38"/>
      <c r="Q55" s="38"/>
      <c r="R55" s="2" t="str">
        <f t="shared" si="36"/>
        <v>RLCG3B</v>
      </c>
      <c r="S55" s="2">
        <f t="shared" si="33"/>
        <v>3</v>
      </c>
      <c r="T55" s="2">
        <f t="shared" si="37"/>
        <v>3</v>
      </c>
      <c r="U55" s="2">
        <f t="shared" si="34"/>
        <v>8</v>
      </c>
      <c r="V55" s="2">
        <f t="shared" si="37"/>
        <v>8</v>
      </c>
      <c r="W55" s="2">
        <v>12</v>
      </c>
      <c r="AA55" s="2">
        <f t="shared" si="35"/>
        <v>5</v>
      </c>
      <c r="AB55" s="74">
        <v>8</v>
      </c>
      <c r="AC55" s="74">
        <v>9</v>
      </c>
      <c r="AD55" s="74">
        <v>9</v>
      </c>
    </row>
    <row r="56" spans="1:30" ht="68" x14ac:dyDescent="0.2">
      <c r="B56" s="2" t="s">
        <v>63</v>
      </c>
      <c r="C56" s="2" t="s">
        <v>64</v>
      </c>
      <c r="D56" s="2" t="s">
        <v>470</v>
      </c>
      <c r="E56" s="3" t="s">
        <v>262</v>
      </c>
      <c r="F56" s="2" t="s">
        <v>76</v>
      </c>
      <c r="H56" s="3" t="s">
        <v>80</v>
      </c>
      <c r="I56" s="2" t="s">
        <v>199</v>
      </c>
      <c r="K56" s="2">
        <v>4.51</v>
      </c>
      <c r="L56" s="8">
        <v>4.25</v>
      </c>
      <c r="M56" s="2">
        <v>3.75</v>
      </c>
      <c r="N56" s="2">
        <v>3.75</v>
      </c>
      <c r="O56" s="2">
        <v>3.65</v>
      </c>
      <c r="P56" s="2">
        <v>3.55</v>
      </c>
      <c r="Q56" s="2">
        <v>3.4</v>
      </c>
      <c r="R56" s="2" t="s">
        <v>472</v>
      </c>
      <c r="S56" s="2">
        <f t="shared" si="33"/>
        <v>4.51</v>
      </c>
      <c r="T56" s="2">
        <f>(10-S56)*2</f>
        <v>10.98</v>
      </c>
      <c r="U56" s="2">
        <f t="shared" si="34"/>
        <v>3.75</v>
      </c>
      <c r="V56" s="2">
        <f>(10-U56)*2</f>
        <v>12.5</v>
      </c>
      <c r="W56" s="2">
        <f>(10-2.75)*2</f>
        <v>14.5</v>
      </c>
      <c r="AA56" s="2">
        <f>(10-L56)*2</f>
        <v>11.5</v>
      </c>
      <c r="AB56" s="2">
        <f>(10-O56)*2</f>
        <v>12.7</v>
      </c>
      <c r="AC56" s="2">
        <f>(10-P56)*2</f>
        <v>12.9</v>
      </c>
      <c r="AD56" s="2">
        <f>(10-Q56)*2</f>
        <v>13.2</v>
      </c>
    </row>
    <row r="57" spans="1:30" s="13" customFormat="1" x14ac:dyDescent="0.2">
      <c r="B57" s="13" t="s">
        <v>405</v>
      </c>
      <c r="E57" s="14"/>
      <c r="H57" s="14"/>
      <c r="N57" s="15" t="s">
        <v>471</v>
      </c>
      <c r="O57" s="15"/>
      <c r="P57" s="15"/>
      <c r="Q57" s="15"/>
    </row>
    <row r="58" spans="1:30" s="23" customFormat="1" x14ac:dyDescent="0.2">
      <c r="B58" s="23" t="s">
        <v>406</v>
      </c>
      <c r="D58" s="23" t="s">
        <v>797</v>
      </c>
      <c r="T58" s="26">
        <f>SUM(T53:T56)</f>
        <v>20.98</v>
      </c>
      <c r="U58" s="26"/>
      <c r="V58" s="26">
        <f>SUM(V53:V56)</f>
        <v>37.5</v>
      </c>
      <c r="W58" s="26">
        <f>SUM(W53:W56)</f>
        <v>50.5</v>
      </c>
      <c r="X58" s="26">
        <v>50</v>
      </c>
      <c r="Y58" s="26">
        <f>(T58/W58)*X58</f>
        <v>20.772277227722775</v>
      </c>
      <c r="Z58" s="26">
        <f>(V58/W58)*X58</f>
        <v>37.128712871287128</v>
      </c>
      <c r="AA58" s="26">
        <f t="shared" ref="AA58:AD58" si="38">SUM(AA53:AA56)</f>
        <v>27.5</v>
      </c>
      <c r="AB58" s="26">
        <f t="shared" si="38"/>
        <v>38.700000000000003</v>
      </c>
      <c r="AC58" s="26">
        <f t="shared" si="38"/>
        <v>40.9</v>
      </c>
      <c r="AD58" s="26">
        <f t="shared" si="38"/>
        <v>43.2</v>
      </c>
    </row>
    <row r="61" spans="1:30" x14ac:dyDescent="0.2">
      <c r="R61" s="11" t="s">
        <v>381</v>
      </c>
      <c r="S61" s="11"/>
      <c r="T61" s="8">
        <f>SUM(T58,T52,T39,T30,T23)</f>
        <v>167.04479563656449</v>
      </c>
      <c r="U61" s="11"/>
      <c r="V61" s="8">
        <f>SUM(V58,V52,V39,V30,V23)</f>
        <v>309.48628691983123</v>
      </c>
      <c r="W61" s="8">
        <f>SUM(W58,W52,W39,W30,W23)</f>
        <v>517.5</v>
      </c>
      <c r="X61" s="8">
        <f>SUM(X58,X52,X39,X30,X23)</f>
        <v>250</v>
      </c>
      <c r="Y61" s="8">
        <f>SUM(Y58,Y52,Y39,Y30,Y23)</f>
        <v>79.968399899313866</v>
      </c>
      <c r="Z61" s="8">
        <f>SUM(Z58,Z52,Z39,Z30,Z23)</f>
        <v>152.69061559921761</v>
      </c>
      <c r="AA61" s="8">
        <f t="shared" ref="AA61:AD61" si="39">SUM(AA58,AA52,AA39,AA30,AA23)</f>
        <v>228.31646230323116</v>
      </c>
      <c r="AB61" s="8">
        <f t="shared" si="39"/>
        <v>339.90841916703982</v>
      </c>
      <c r="AC61" s="8">
        <f t="shared" si="39"/>
        <v>366.94696969696969</v>
      </c>
      <c r="AD61" s="8">
        <f t="shared" si="39"/>
        <v>400.58884073672806</v>
      </c>
    </row>
    <row r="62" spans="1:30" x14ac:dyDescent="0.2">
      <c r="R62" s="11"/>
      <c r="S62" s="11"/>
      <c r="U62" s="11"/>
    </row>
    <row r="63" spans="1:30" x14ac:dyDescent="0.2">
      <c r="R63" s="11"/>
      <c r="S63" s="11"/>
      <c r="T63" s="8"/>
      <c r="U63" s="11"/>
      <c r="V63" s="8"/>
      <c r="W63" s="2" t="s">
        <v>681</v>
      </c>
    </row>
    <row r="64" spans="1:30" ht="34" x14ac:dyDescent="0.2">
      <c r="S64" s="47" t="s">
        <v>510</v>
      </c>
      <c r="T64" s="51" t="s">
        <v>616</v>
      </c>
      <c r="U64" s="50" t="s">
        <v>511</v>
      </c>
      <c r="V64" s="81" t="s">
        <v>988</v>
      </c>
      <c r="W64" s="64" t="s">
        <v>327</v>
      </c>
      <c r="X64" s="60" t="s">
        <v>670</v>
      </c>
      <c r="Y64" s="61" t="s">
        <v>671</v>
      </c>
      <c r="Z64" s="62" t="s">
        <v>672</v>
      </c>
      <c r="AA64" s="62"/>
    </row>
    <row r="65" spans="16:28" x14ac:dyDescent="0.2">
      <c r="R65" s="11" t="s">
        <v>509</v>
      </c>
      <c r="S65" s="48">
        <f>(T61/W61)*X61</f>
        <v>80.697968906552902</v>
      </c>
      <c r="T65" s="48" t="s">
        <v>613</v>
      </c>
      <c r="U65" s="48">
        <f>(V61/W61)*X61</f>
        <v>149.51028353615035</v>
      </c>
      <c r="V65" s="63"/>
      <c r="W65" s="63">
        <f>V61/W61</f>
        <v>0.59804113414460136</v>
      </c>
      <c r="X65" s="63">
        <f>AB61/$W$61</f>
        <v>0.65682786312471464</v>
      </c>
      <c r="Y65" s="63">
        <f t="shared" ref="Y65:Z65" si="40">AC61/$W$61</f>
        <v>0.70907626994583517</v>
      </c>
      <c r="Z65" s="63">
        <f t="shared" si="40"/>
        <v>0.77408471639947452</v>
      </c>
      <c r="AA65" s="63"/>
    </row>
    <row r="66" spans="16:28" x14ac:dyDescent="0.2">
      <c r="S66" s="11"/>
      <c r="T66" s="11"/>
      <c r="U66" s="11"/>
      <c r="V66" s="11"/>
      <c r="W66" s="63"/>
      <c r="X66" s="63"/>
      <c r="Y66" s="63"/>
      <c r="Z66" s="63"/>
      <c r="AA66" s="63"/>
    </row>
    <row r="67" spans="16:28" x14ac:dyDescent="0.2">
      <c r="R67" s="11" t="s">
        <v>512</v>
      </c>
      <c r="S67" s="48">
        <f>Y23</f>
        <v>19.426020332409806</v>
      </c>
      <c r="T67" s="48" t="s">
        <v>613</v>
      </c>
      <c r="U67" s="48">
        <f>Z23</f>
        <v>29.969431967696565</v>
      </c>
      <c r="V67" s="63"/>
      <c r="W67" s="63">
        <f>V23/W23</f>
        <v>0.59938863935393127</v>
      </c>
      <c r="X67" s="63">
        <f>AB23/$W$23</f>
        <v>0.67961515681204221</v>
      </c>
      <c r="Y67" s="63">
        <f t="shared" ref="Y67:Z67" si="41">AC23/$W$23</f>
        <v>0.72686542847833169</v>
      </c>
      <c r="Z67" s="63">
        <f t="shared" si="41"/>
        <v>0.79080021901466702</v>
      </c>
      <c r="AA67" s="63"/>
    </row>
    <row r="68" spans="16:28" x14ac:dyDescent="0.2">
      <c r="S68" s="11"/>
      <c r="T68" s="11"/>
      <c r="U68" s="11"/>
      <c r="V68" s="11"/>
      <c r="W68" s="63"/>
      <c r="X68" s="63"/>
      <c r="Y68" s="63"/>
      <c r="Z68" s="63"/>
      <c r="AA68" s="63"/>
    </row>
    <row r="69" spans="16:28" x14ac:dyDescent="0.2">
      <c r="R69" s="11" t="s">
        <v>513</v>
      </c>
      <c r="S69" s="48">
        <f>Y30</f>
        <v>18.777777777777775</v>
      </c>
      <c r="T69" s="48" t="s">
        <v>613</v>
      </c>
      <c r="U69" s="48">
        <f>Z30</f>
        <v>27.611111111111114</v>
      </c>
      <c r="V69" s="63"/>
      <c r="W69" s="63">
        <f>V30/W30</f>
        <v>0.55222222222222228</v>
      </c>
      <c r="X69" s="63">
        <f>AB30/$W$30</f>
        <v>0.59555555555555562</v>
      </c>
      <c r="Y69" s="63">
        <f t="shared" ref="Y69:Z69" si="42">AC30/$W$30</f>
        <v>0.64166666666666672</v>
      </c>
      <c r="Z69" s="63">
        <f t="shared" si="42"/>
        <v>0.69222222222222218</v>
      </c>
      <c r="AA69" s="63"/>
    </row>
    <row r="70" spans="16:28" x14ac:dyDescent="0.2">
      <c r="R70" s="11"/>
      <c r="S70" s="11"/>
      <c r="T70" s="11"/>
      <c r="U70" s="11"/>
      <c r="V70" s="11"/>
      <c r="W70" s="63"/>
      <c r="X70" s="63"/>
      <c r="Y70" s="63"/>
      <c r="Z70" s="63"/>
      <c r="AA70" s="63"/>
    </row>
    <row r="71" spans="16:28" x14ac:dyDescent="0.2">
      <c r="R71" s="11" t="s">
        <v>514</v>
      </c>
      <c r="S71" s="48">
        <f>Y39</f>
        <v>15.263157894736842</v>
      </c>
      <c r="T71" s="48" t="s">
        <v>613</v>
      </c>
      <c r="U71" s="48">
        <f>Z39</f>
        <v>26.210526315789473</v>
      </c>
      <c r="V71" s="48"/>
      <c r="W71" s="63">
        <f>V39/W39</f>
        <v>0.52421052631578946</v>
      </c>
      <c r="X71" s="63">
        <f>AB39/$W$39</f>
        <v>0.56000000000000005</v>
      </c>
      <c r="Y71" s="63">
        <f t="shared" ref="Y71:Z71" si="43">AC39/$W$39</f>
        <v>0.61157894736842111</v>
      </c>
      <c r="Z71" s="63">
        <f t="shared" si="43"/>
        <v>0.67368421052631577</v>
      </c>
      <c r="AA71" s="63"/>
    </row>
    <row r="72" spans="16:28" x14ac:dyDescent="0.2">
      <c r="Q72" s="8"/>
      <c r="R72" s="11"/>
      <c r="S72" s="11"/>
      <c r="T72" s="11"/>
      <c r="U72" s="11"/>
      <c r="V72" s="11"/>
      <c r="W72" s="63"/>
      <c r="X72" s="63"/>
      <c r="Y72" s="63"/>
      <c r="Z72" s="63"/>
      <c r="AA72" s="63"/>
    </row>
    <row r="73" spans="16:28" x14ac:dyDescent="0.2">
      <c r="R73" s="11" t="s">
        <v>515</v>
      </c>
      <c r="S73" s="48">
        <f>Y52</f>
        <v>5.7291666666666661</v>
      </c>
      <c r="T73" s="48" t="s">
        <v>613</v>
      </c>
      <c r="U73" s="48">
        <f>Z52</f>
        <v>31.770833333333332</v>
      </c>
      <c r="V73" s="48"/>
      <c r="W73" s="63">
        <f>V52/W52</f>
        <v>0.63541666666666663</v>
      </c>
      <c r="X73" s="63">
        <f>AB52/$W$52</f>
        <v>0.70833333333333337</v>
      </c>
      <c r="Y73" s="63">
        <f t="shared" ref="Y73:Z73" si="44">AC52/$W$52</f>
        <v>0.78125</v>
      </c>
      <c r="Z73" s="63">
        <f t="shared" si="44"/>
        <v>0.875</v>
      </c>
      <c r="AA73" s="63"/>
    </row>
    <row r="74" spans="16:28" x14ac:dyDescent="0.2">
      <c r="R74" s="11"/>
      <c r="S74" s="11"/>
      <c r="T74" s="11"/>
      <c r="U74" s="11"/>
      <c r="V74" s="11"/>
      <c r="W74" s="63"/>
      <c r="X74" s="63"/>
      <c r="Y74" s="63"/>
      <c r="Z74" s="63"/>
      <c r="AA74" s="63"/>
    </row>
    <row r="75" spans="16:28" x14ac:dyDescent="0.2">
      <c r="R75" s="11" t="s">
        <v>516</v>
      </c>
      <c r="S75" s="48">
        <f>Y58</f>
        <v>20.772277227722775</v>
      </c>
      <c r="T75" s="48" t="s">
        <v>613</v>
      </c>
      <c r="U75" s="48">
        <f>Z58</f>
        <v>37.128712871287128</v>
      </c>
      <c r="V75" s="48"/>
      <c r="W75" s="63">
        <f>V58/W58</f>
        <v>0.74257425742574257</v>
      </c>
      <c r="X75" s="63">
        <f>AB58/$W$58</f>
        <v>0.76633663366336635</v>
      </c>
      <c r="Y75" s="63">
        <f t="shared" ref="Y75:Z75" si="45">AC58/$W$58</f>
        <v>0.80990099009900984</v>
      </c>
      <c r="Z75" s="63">
        <f t="shared" si="45"/>
        <v>0.85544554455445554</v>
      </c>
      <c r="AA75" s="63"/>
    </row>
    <row r="76" spans="16:28" x14ac:dyDescent="0.2">
      <c r="R76" s="11"/>
      <c r="S76" s="11"/>
      <c r="U76" s="11"/>
      <c r="V76" s="11"/>
      <c r="W76" s="63"/>
      <c r="X76" s="63"/>
      <c r="Y76" s="63"/>
      <c r="Z76" s="63"/>
      <c r="AA76" s="63"/>
    </row>
    <row r="77" spans="16:28" x14ac:dyDescent="0.2">
      <c r="P77" s="2" t="s">
        <v>828</v>
      </c>
      <c r="Q77" s="2" t="s">
        <v>839</v>
      </c>
      <c r="R77" s="2" t="s">
        <v>838</v>
      </c>
      <c r="S77" s="11"/>
      <c r="U77" s="11"/>
      <c r="V77" s="11"/>
      <c r="W77" s="63"/>
      <c r="X77" s="63"/>
      <c r="Y77" s="63"/>
      <c r="Z77" s="63"/>
      <c r="AA77" s="63"/>
    </row>
    <row r="78" spans="16:28" x14ac:dyDescent="0.2">
      <c r="P78" s="2" t="s">
        <v>53</v>
      </c>
      <c r="Q78" s="2" t="s">
        <v>897</v>
      </c>
      <c r="R78" s="2" t="s">
        <v>884</v>
      </c>
      <c r="S78" s="63">
        <f>(T31+T32)/(W31+W32)</f>
        <v>0.3</v>
      </c>
      <c r="T78" s="48" t="s">
        <v>613</v>
      </c>
      <c r="U78" s="71">
        <f>(V31+V32)/(W31+W32)</f>
        <v>0.5</v>
      </c>
      <c r="V78" s="71">
        <f>(AA31+AA32)/(W31+W32)</f>
        <v>0.42499999999999999</v>
      </c>
      <c r="W78" s="63">
        <f>U78</f>
        <v>0.5</v>
      </c>
      <c r="X78" s="63">
        <f>(AB31+AB32)/(W31+W32)</f>
        <v>0.53333333333333333</v>
      </c>
      <c r="Y78" s="63">
        <f>(AC31+AC32)/(W31+W32)</f>
        <v>0.57499999999999996</v>
      </c>
      <c r="Z78" s="63">
        <f>(AD31+AD32)/(W31+W32)</f>
        <v>0.6333333333333333</v>
      </c>
      <c r="AA78" s="63"/>
      <c r="AB78" s="63"/>
    </row>
    <row r="79" spans="16:28" x14ac:dyDescent="0.2">
      <c r="P79" s="2" t="s">
        <v>54</v>
      </c>
      <c r="Q79" s="2" t="s">
        <v>898</v>
      </c>
      <c r="R79" s="2" t="s">
        <v>802</v>
      </c>
      <c r="S79" s="63">
        <f>(T40+T33)/(W33+W40)</f>
        <v>0.44</v>
      </c>
      <c r="T79" s="48" t="s">
        <v>613</v>
      </c>
      <c r="U79" s="63">
        <f>(V40+V33)/(W33+W40)</f>
        <v>0.79200000000000004</v>
      </c>
      <c r="V79" s="63">
        <f>(AA40+AA33)/(W33+W40)</f>
        <v>0.59840000000000004</v>
      </c>
      <c r="W79" s="63">
        <f>U79</f>
        <v>0.79200000000000004</v>
      </c>
      <c r="X79" s="63">
        <f>(AB40+AB33)/(W33+W40)</f>
        <v>0.84799999999999998</v>
      </c>
      <c r="Y79" s="63">
        <f>(AC40+AC33)/(W33+W40)</f>
        <v>0.90400000000000003</v>
      </c>
      <c r="Z79" s="63">
        <f>(AD40+AD33)/(W33+W40)</f>
        <v>0.96</v>
      </c>
      <c r="AA79" s="63"/>
      <c r="AB79" s="63"/>
    </row>
    <row r="80" spans="16:28" x14ac:dyDescent="0.2">
      <c r="P80" s="2" t="s">
        <v>643</v>
      </c>
      <c r="Q80" s="2" t="s">
        <v>899</v>
      </c>
      <c r="R80" s="2" t="s">
        <v>885</v>
      </c>
      <c r="S80" s="63">
        <f>(S41+S42)/(W41+W42)</f>
        <v>0.13333333333333333</v>
      </c>
      <c r="T80" s="48" t="s">
        <v>613</v>
      </c>
      <c r="U80" s="71">
        <f>(U41+U42)/(W41+W42)</f>
        <v>0.6</v>
      </c>
      <c r="V80" s="63">
        <f>(AA41+AA42)/(W41+W42)</f>
        <v>0.53333333333333333</v>
      </c>
      <c r="W80" s="63">
        <f>U80</f>
        <v>0.6</v>
      </c>
      <c r="X80" s="63">
        <f>(AB41+AB42)/(W41+W42)</f>
        <v>0.66666666666666663</v>
      </c>
      <c r="Y80" s="63">
        <f>(AC41+AC42)/(W41+W42)</f>
        <v>0.73333333333333328</v>
      </c>
      <c r="Z80" s="63">
        <f>(AD41+AD42)/(W41+W42)</f>
        <v>0.8666666666666667</v>
      </c>
      <c r="AA80" s="63"/>
      <c r="AB80" s="63"/>
    </row>
    <row r="81" spans="16:28" x14ac:dyDescent="0.2">
      <c r="S81" s="63"/>
      <c r="T81" s="63"/>
      <c r="U81" s="63"/>
      <c r="V81" s="63"/>
      <c r="W81" s="63"/>
      <c r="X81" s="63"/>
      <c r="Y81" s="63"/>
      <c r="Z81" s="63"/>
      <c r="AA81" s="63"/>
      <c r="AB81" s="63"/>
    </row>
    <row r="82" spans="16:28" ht="51" x14ac:dyDescent="0.2">
      <c r="P82" s="2" t="s">
        <v>645</v>
      </c>
      <c r="Q82" s="3" t="s">
        <v>907</v>
      </c>
      <c r="R82" s="2" t="s">
        <v>886</v>
      </c>
      <c r="S82" s="63">
        <f>(T58+T58+T56+T53+T53+T52)/(W52+W53+W53+W56+W58+W58)</f>
        <v>0.30547770700636939</v>
      </c>
      <c r="T82" s="48" t="s">
        <v>613</v>
      </c>
      <c r="U82" s="71">
        <f>(V58+V58+V56+V53+V53+V52)/(W52+W53+W53+W56+W58+W58)</f>
        <v>0.70700636942675155</v>
      </c>
      <c r="V82" s="63">
        <f>(AA58+AA58+AA56+AA53+AA53+AA52)/(W52+W53+W53+W56+W58+W58)</f>
        <v>0.49893842887473461</v>
      </c>
      <c r="W82" s="63">
        <f>U82</f>
        <v>0.70700636942675155</v>
      </c>
      <c r="X82" s="63">
        <f>(AB58+AB58+AB56+AB53+AB53+AB52)/(W52+W53+W53+W56+W58+W58)</f>
        <v>0.74777070063694273</v>
      </c>
      <c r="Y82" s="63">
        <f>(AC58+AC58+AC56+AC53+AC53+AC52)/(W52+W53+W53+W56+W58+W58)</f>
        <v>0.80552016985137997</v>
      </c>
      <c r="Z82" s="63">
        <f>(AD58+AD58+AD56+AD53+AD53+AD52)/(W52+W53+W53+W56+W58+W58)</f>
        <v>0.87303609341825916</v>
      </c>
      <c r="AA82" s="63"/>
      <c r="AB82" s="63"/>
    </row>
    <row r="83" spans="16:28" ht="51" x14ac:dyDescent="0.2">
      <c r="P83" s="2" t="s">
        <v>646</v>
      </c>
      <c r="Q83" s="3" t="s">
        <v>908</v>
      </c>
      <c r="R83" s="2" t="s">
        <v>887</v>
      </c>
      <c r="S83" s="71">
        <f>(T58+T58+T56+T55+T55+T52)/(W52+W55+W55+W56+W58+W58)</f>
        <v>0.29698513800424625</v>
      </c>
      <c r="T83" s="48" t="s">
        <v>613</v>
      </c>
      <c r="U83" s="71">
        <f>(V58+V58+V56+V55+V55+V52)/(W52+W55+W55+W56+W58+W58)</f>
        <v>0.69851380042462841</v>
      </c>
      <c r="V83" s="63">
        <f>(AA58+AA58+AA56+AA55+AA55+AA52)/(W52+W55+W55+W56+W58+W58)</f>
        <v>0.49044585987261147</v>
      </c>
      <c r="W83" s="63">
        <f>U83</f>
        <v>0.69851380042462841</v>
      </c>
      <c r="X83" s="63">
        <f>(AB58+AB58+AB56+AB55+AB55+AB52)/(W52+W55+W55+W56+W58+W58)</f>
        <v>0.73927813163481959</v>
      </c>
      <c r="Y83" s="63">
        <f>(AC58+AC58+AC56+AC55+AC55+AC52)/(W52+W55+W55+W56+W58+W58)</f>
        <v>0.79702760084925683</v>
      </c>
      <c r="Z83" s="63">
        <f>(AD58+AD58+AD56+AD55+AD55+AD52)/(W52+W55+W55+W56+W58+W58)</f>
        <v>0.85605095541401288</v>
      </c>
      <c r="AA83" s="63"/>
      <c r="AB83" s="63"/>
    </row>
    <row r="84" spans="16:28" ht="51" x14ac:dyDescent="0.2">
      <c r="P84" s="2" t="s">
        <v>642</v>
      </c>
      <c r="Q84" s="3" t="s">
        <v>909</v>
      </c>
      <c r="R84" s="2" t="s">
        <v>888</v>
      </c>
      <c r="S84" s="71">
        <f>(T58+T58+T56+T54+T54+T52)/(W52+W54+W54+W56+W58+W58)</f>
        <v>0.29698513800424625</v>
      </c>
      <c r="T84" s="48" t="s">
        <v>613</v>
      </c>
      <c r="U84" s="71">
        <f>(V58+V58+V56+V54+V54+V52)/(W52+W54+W54+W56+W58+W58)</f>
        <v>0.69851380042462841</v>
      </c>
      <c r="V84" s="63">
        <f>(AA58+AA58+AA56+AA54+AA54+AA52)/(W52+W54+W54+W56+W58+W58)</f>
        <v>0.49044585987261147</v>
      </c>
      <c r="W84" s="63">
        <f>U84</f>
        <v>0.69851380042462841</v>
      </c>
      <c r="X84" s="63">
        <f>(AB58+AB58+AB56+AB54+AB54+AB52)/(W52+W54+W54+W56+W58+W58)</f>
        <v>0.74777070063694273</v>
      </c>
      <c r="Y84" s="63">
        <f>(AC58+AC58+AC56+AC54+AC54+AC52)/(W52+W54+W54+W56+W58+W58)</f>
        <v>0.79702760084925683</v>
      </c>
      <c r="Z84" s="63">
        <f>(AD58+AD58+AD56+AD54+AD54+AD52)/(W52+W54+W54+W56+W58+W58)</f>
        <v>0.86454352441613602</v>
      </c>
      <c r="AA84" s="63"/>
      <c r="AB84" s="63"/>
    </row>
    <row r="85" spans="16:28" ht="34" x14ac:dyDescent="0.2">
      <c r="P85" s="2" t="s">
        <v>904</v>
      </c>
      <c r="Q85" s="3" t="s">
        <v>910</v>
      </c>
      <c r="R85" s="2" t="s">
        <v>905</v>
      </c>
      <c r="S85" s="71">
        <f>(T58+T58+T52)/(W52+W58+W58)</f>
        <v>0.26883248730964465</v>
      </c>
      <c r="T85" s="63"/>
      <c r="U85" s="71">
        <f>(V58+V58+V52)/(W52+W58+W58)</f>
        <v>0.69035532994923854</v>
      </c>
      <c r="V85" s="63">
        <f>(AA58+AA58+AA52)/(W52+W58+W58)</f>
        <v>0.47715736040609136</v>
      </c>
      <c r="W85" s="63">
        <f>U85</f>
        <v>0.69035532994923854</v>
      </c>
      <c r="X85" s="63">
        <f>(AB58+AB58+AB52)/(W52+W58+W58)</f>
        <v>0.73807106598984773</v>
      </c>
      <c r="Y85" s="63">
        <f>(AC58+AC58+AC52)/(W52+W58+W58)</f>
        <v>0.79593908629441634</v>
      </c>
      <c r="Z85" s="63">
        <f>(AD58+AD58+AD52)/(W52+W58+W58)</f>
        <v>0.86497461928934016</v>
      </c>
      <c r="AA85" s="63"/>
      <c r="AB85" s="63"/>
    </row>
    <row r="86" spans="16:28" ht="17" x14ac:dyDescent="0.2">
      <c r="P86" s="2" t="s">
        <v>648</v>
      </c>
      <c r="Q86" s="3" t="s">
        <v>902</v>
      </c>
      <c r="R86" s="2" t="s">
        <v>889</v>
      </c>
      <c r="S86" s="71">
        <f>(T49+T34+T10)/(W10+W34+W49)</f>
        <v>0.39685169842584922</v>
      </c>
      <c r="T86" s="48" t="s">
        <v>613</v>
      </c>
      <c r="U86" s="71">
        <f>(V49+V34+V10)/(W10+W34+W49)</f>
        <v>0.56455696202531647</v>
      </c>
      <c r="V86" s="63">
        <f>(AA49+AA34+AA10)/(W10+W34+W49)</f>
        <v>0.40485169842584923</v>
      </c>
      <c r="W86" s="63">
        <f>U86</f>
        <v>0.56455696202531647</v>
      </c>
      <c r="X86" s="63">
        <f>(AB49+AB34+AB10)/(W10+W34+W49)</f>
        <v>0.61126735333631887</v>
      </c>
      <c r="Y86" s="63">
        <f>(AC49+AC34+AC10)/(W10+W34+W49)</f>
        <v>0.6749090909090909</v>
      </c>
      <c r="Z86" s="63">
        <f>(AD49+AD34+AD10)/(W10+W34+W49)</f>
        <v>0.75271072589382448</v>
      </c>
      <c r="AA86" s="63"/>
      <c r="AB86" s="63"/>
    </row>
    <row r="87" spans="16:28" ht="17" x14ac:dyDescent="0.2">
      <c r="P87" s="2" t="s">
        <v>647</v>
      </c>
      <c r="Q87" s="3" t="s">
        <v>901</v>
      </c>
      <c r="R87" s="2" t="s">
        <v>890</v>
      </c>
      <c r="S87" s="71">
        <f>(T49+T46+T53)/(W53+W49+W46)</f>
        <v>0.21052631578947367</v>
      </c>
      <c r="T87" s="48" t="s">
        <v>613</v>
      </c>
      <c r="U87" s="71">
        <f>(V49+V46+V53)/(W53+W49+W46)</f>
        <v>0.65789473684210531</v>
      </c>
      <c r="V87" s="63">
        <f>(AA53+AA49+AA46)/(W46+W49+W53)</f>
        <v>0.31578947368421051</v>
      </c>
      <c r="W87" s="63">
        <f>U87</f>
        <v>0.65789473684210531</v>
      </c>
      <c r="X87" s="63">
        <f>(AB49+AB53+AB46)/(W46+W49+W53)</f>
        <v>0.73684210526315785</v>
      </c>
      <c r="Y87" s="63">
        <f>(AC49+AC53+AC46)/(W46+W49+W53)</f>
        <v>0.81578947368421051</v>
      </c>
      <c r="Z87" s="63">
        <f>(AD49+AD53+AD46)/(W46+W49+W53)</f>
        <v>0.89473684210526316</v>
      </c>
      <c r="AA87" s="63"/>
      <c r="AB87" s="63"/>
    </row>
    <row r="88" spans="16:28" ht="17" x14ac:dyDescent="0.2">
      <c r="P88" s="2" t="s">
        <v>649</v>
      </c>
      <c r="Q88" s="3" t="s">
        <v>900</v>
      </c>
      <c r="R88" s="2" t="s">
        <v>891</v>
      </c>
      <c r="S88" s="71">
        <f>(T49+T10)/(W10+W49)</f>
        <v>0.44387106955458244</v>
      </c>
      <c r="T88" s="48" t="s">
        <v>613</v>
      </c>
      <c r="U88" s="71">
        <f>(V49+V10)/(W10+W49)</f>
        <v>0.60542495479204339</v>
      </c>
      <c r="V88" s="63">
        <f>(AA49+AA10)/(W10+W49)</f>
        <v>0.44387106955458244</v>
      </c>
      <c r="W88" s="63">
        <f>U88</f>
        <v>0.60542495479204339</v>
      </c>
      <c r="X88" s="63">
        <f>(AB49+AB10)/(W10+W49)</f>
        <v>0.65150875397180807</v>
      </c>
      <c r="Y88" s="63">
        <f>(AC49+AC10)/(W10+W49)</f>
        <v>0.7082251082251082</v>
      </c>
      <c r="Z88" s="63">
        <f>(AD49+AD10)/(W10+W49)</f>
        <v>0.7817984832069339</v>
      </c>
      <c r="AA88" s="63"/>
      <c r="AB88" s="63"/>
    </row>
    <row r="89" spans="16:28" x14ac:dyDescent="0.2">
      <c r="Q89" s="3"/>
      <c r="S89" s="71"/>
      <c r="T89" s="63"/>
      <c r="U89" s="71"/>
      <c r="V89" s="63"/>
      <c r="W89" s="63"/>
      <c r="X89" s="63"/>
      <c r="Y89" s="63"/>
      <c r="Z89" s="63"/>
      <c r="AA89" s="63"/>
      <c r="AB89" s="63"/>
    </row>
    <row r="90" spans="16:28" ht="17" x14ac:dyDescent="0.2">
      <c r="P90" s="2" t="s">
        <v>782</v>
      </c>
      <c r="Q90" s="3" t="s">
        <v>903</v>
      </c>
      <c r="R90" s="2" t="s">
        <v>892</v>
      </c>
      <c r="S90" s="71">
        <f>(T49+T54+T47)/(V47+V49+V54)</f>
        <v>0.29166666666666669</v>
      </c>
      <c r="T90" s="48" t="s">
        <v>613</v>
      </c>
      <c r="U90" s="71">
        <f>(V49+V47+V54)/(W47+W49+W54)</f>
        <v>0.63157894736842102</v>
      </c>
      <c r="V90" s="63">
        <f>(AA49+AA47+AA54)/(W47+W49+W54)</f>
        <v>0.28947368421052633</v>
      </c>
      <c r="W90" s="63">
        <f>U90</f>
        <v>0.63157894736842102</v>
      </c>
      <c r="X90" s="63">
        <f>(AB49+AB47+AB54)/(W47+W49+W54)</f>
        <v>0.71052631578947367</v>
      </c>
      <c r="Y90" s="63">
        <f>(AC49+AC54+AC47)/(W47+W49+W54)</f>
        <v>0.78947368421052633</v>
      </c>
      <c r="Z90" s="63">
        <f>(AD49+AD54+AD47)/(W47+W49+W54)</f>
        <v>0.86842105263157898</v>
      </c>
      <c r="AA90" s="63"/>
      <c r="AB90" s="63"/>
    </row>
    <row r="91" spans="16:28" ht="17" x14ac:dyDescent="0.2">
      <c r="P91" s="2" t="s">
        <v>781</v>
      </c>
      <c r="Q91" s="3" t="s">
        <v>900</v>
      </c>
      <c r="R91" s="2" t="s">
        <v>893</v>
      </c>
      <c r="S91" s="71">
        <f>(T49+T10)/(W10+W49)</f>
        <v>0.44387106955458244</v>
      </c>
      <c r="T91" s="48" t="s">
        <v>613</v>
      </c>
      <c r="U91" s="71">
        <f>(V49+V10)/(W10+W49)</f>
        <v>0.60542495479204339</v>
      </c>
      <c r="V91" s="63">
        <f>(AA49+AA10)/(W10+W49)</f>
        <v>0.44387106955458244</v>
      </c>
      <c r="W91" s="63">
        <f>U91</f>
        <v>0.60542495479204339</v>
      </c>
      <c r="X91" s="63">
        <f>(AB49+AB10)/(W10+W49)</f>
        <v>0.65150875397180807</v>
      </c>
      <c r="Y91" s="63">
        <f>(AC49+AC10)/(W10+W49)</f>
        <v>0.7082251082251082</v>
      </c>
      <c r="Z91" s="63">
        <f>(AD49+AD10)/(W10+W49)</f>
        <v>0.7817984832069339</v>
      </c>
      <c r="AA91" s="63"/>
      <c r="AB91" s="63"/>
    </row>
    <row r="92" spans="16:28" x14ac:dyDescent="0.2">
      <c r="Q92" s="3"/>
      <c r="S92" s="71"/>
      <c r="T92" s="63"/>
      <c r="U92" s="71"/>
      <c r="V92" s="63"/>
      <c r="W92" s="63"/>
      <c r="X92" s="63"/>
      <c r="Y92" s="63"/>
      <c r="Z92" s="63"/>
      <c r="AA92" s="63"/>
      <c r="AB92" s="63"/>
    </row>
    <row r="93" spans="16:28" ht="17" x14ac:dyDescent="0.2">
      <c r="P93" s="2" t="s">
        <v>859</v>
      </c>
      <c r="Q93" s="3" t="s">
        <v>868</v>
      </c>
      <c r="R93" s="2" t="s">
        <v>894</v>
      </c>
      <c r="S93" s="71">
        <f>(S79+S80+S82+S83+S84+S85)/6</f>
        <v>0.29026896727630663</v>
      </c>
      <c r="T93" s="48" t="s">
        <v>613</v>
      </c>
      <c r="U93" s="71">
        <f>(U79+U80+U82+U83+U84+U85)/6</f>
        <v>0.69773155003754128</v>
      </c>
      <c r="V93" s="63"/>
      <c r="W93" s="71">
        <f>(W79+W80+W82+W83+W84+W85)/6</f>
        <v>0.69773155003754128</v>
      </c>
      <c r="X93" s="71">
        <f t="shared" ref="X93:Z93" si="46">(X79+X80+X82+X83+X84+X85)/6</f>
        <v>0.74792621092753653</v>
      </c>
      <c r="Y93" s="71">
        <f t="shared" si="46"/>
        <v>0.80547463186294055</v>
      </c>
      <c r="Z93" s="71">
        <f t="shared" si="46"/>
        <v>0.88087864320073583</v>
      </c>
      <c r="AA93" s="71"/>
      <c r="AB93" s="63"/>
    </row>
    <row r="94" spans="16:28" x14ac:dyDescent="0.2">
      <c r="Q94" s="3"/>
      <c r="S94" s="71"/>
      <c r="T94" s="63"/>
      <c r="U94" s="71"/>
      <c r="V94" s="63"/>
      <c r="W94" s="71"/>
      <c r="X94" s="71"/>
      <c r="Y94" s="71"/>
      <c r="Z94" s="71"/>
      <c r="AA94" s="71"/>
      <c r="AB94" s="63"/>
    </row>
    <row r="95" spans="16:28" ht="17" x14ac:dyDescent="0.2">
      <c r="P95" s="2" t="s">
        <v>65</v>
      </c>
      <c r="Q95" s="3" t="s">
        <v>869</v>
      </c>
      <c r="R95" s="2" t="s">
        <v>895</v>
      </c>
      <c r="S95" s="71">
        <f>(S91+S90+S88+S87+S86)/5</f>
        <v>0.35735736399823093</v>
      </c>
      <c r="T95" s="48" t="s">
        <v>613</v>
      </c>
      <c r="U95" s="71">
        <f>(U91+U90+U88+U87+U86)/5</f>
        <v>0.61297611116398598</v>
      </c>
      <c r="V95" s="63"/>
      <c r="W95" s="71">
        <f>(W91+W90+W88+W87+W86)/5</f>
        <v>0.61297611116398598</v>
      </c>
      <c r="X95" s="71">
        <f>(X91+X90+X88+X87+X86)/5</f>
        <v>0.67233065646651335</v>
      </c>
      <c r="Y95" s="71">
        <f>(Y91+Y90+Y88+Y87+Y86)/5</f>
        <v>0.73932449305080883</v>
      </c>
      <c r="Z95" s="71">
        <f>(Z91+Z90+Z88+Z87+Z86)/5</f>
        <v>0.81589311740890691</v>
      </c>
      <c r="AA95" s="71"/>
      <c r="AB95" s="63"/>
    </row>
    <row r="96" spans="16:28" x14ac:dyDescent="0.2">
      <c r="Q96" s="3"/>
      <c r="S96" s="63"/>
      <c r="T96" s="63"/>
      <c r="U96" s="63"/>
      <c r="V96" s="63"/>
      <c r="W96" s="63"/>
      <c r="X96" s="63"/>
      <c r="Y96" s="63"/>
      <c r="Z96" s="63"/>
      <c r="AA96" s="63"/>
      <c r="AB96" s="63"/>
    </row>
    <row r="97" spans="16:28" ht="34" x14ac:dyDescent="0.2">
      <c r="P97" s="2" t="s">
        <v>860</v>
      </c>
      <c r="Q97" s="3" t="s">
        <v>864</v>
      </c>
      <c r="R97" s="2" t="s">
        <v>896</v>
      </c>
      <c r="S97" s="63">
        <f>AVERAGE(S91,S90,S88,S87,S86,S84,S83,S82,S85,S80,S79)</f>
        <v>0.32076369305899949</v>
      </c>
      <c r="T97" s="48" t="s">
        <v>613</v>
      </c>
      <c r="U97" s="63">
        <f>AVERAGE(U91,U90,U88,U87,U86,U84,U83,U82,U85,U80,U79)</f>
        <v>0.65920635054956145</v>
      </c>
      <c r="V97" s="63"/>
      <c r="W97" s="63">
        <f>AVERAGE(W91,W90,W88,W87,W86,W84,W83,W82,W85,W80,W79)</f>
        <v>0.65920635054956145</v>
      </c>
      <c r="X97" s="63">
        <f>AVERAGE(X91,X90,X88,X87,X86,X84,X83,X82,X85,X80,X79)</f>
        <v>0.71356459526343519</v>
      </c>
      <c r="Y97" s="63">
        <f>AVERAGE(Y91,Y90,Y88,Y87,Y86,Y84,Y83,Y82,Y85,Y80,Y79)</f>
        <v>0.7754063869483353</v>
      </c>
      <c r="Z97" s="63">
        <f>AVERAGE(Z91,Z90,Z88,Z87,Z86,Z84,Z83,Z82,Z85,Z80,Z79)</f>
        <v>0.85133976784081355</v>
      </c>
      <c r="AA97" s="63"/>
      <c r="AB97" s="63"/>
    </row>
    <row r="98" spans="16:28" x14ac:dyDescent="0.2">
      <c r="S98" s="63"/>
      <c r="T98" s="63"/>
      <c r="U98" s="63"/>
      <c r="V98" s="63"/>
      <c r="W98" s="63"/>
      <c r="X98" s="63"/>
      <c r="Y98" s="63"/>
      <c r="Z98" s="63"/>
      <c r="AA98" s="63"/>
      <c r="AB98" s="63"/>
    </row>
    <row r="99" spans="16:28" ht="51" x14ac:dyDescent="0.2">
      <c r="P99" s="55" t="s">
        <v>1077</v>
      </c>
      <c r="Q99" s="3" t="s">
        <v>1078</v>
      </c>
      <c r="R99" s="2" t="s">
        <v>763</v>
      </c>
      <c r="S99" s="84">
        <f>(T28/$W28)*100</f>
        <v>31.666666666666664</v>
      </c>
      <c r="T99" s="84"/>
      <c r="U99" s="84">
        <f>(V28/$W28)*100</f>
        <v>50</v>
      </c>
      <c r="V99" s="84"/>
      <c r="W99" s="84">
        <f>U99</f>
        <v>50</v>
      </c>
      <c r="X99" s="84">
        <f>(AB28/$W28)*100</f>
        <v>55.000000000000007</v>
      </c>
      <c r="Y99" s="84">
        <f t="shared" ref="Y99:Z99" si="47">(AC28/$W28)*100</f>
        <v>60</v>
      </c>
      <c r="Z99" s="84">
        <f t="shared" si="47"/>
        <v>65</v>
      </c>
      <c r="AA99" s="63"/>
      <c r="AB99" s="63"/>
    </row>
    <row r="100" spans="16:28" ht="51" x14ac:dyDescent="0.2">
      <c r="Q100" s="3" t="s">
        <v>1080</v>
      </c>
      <c r="R100" s="2" t="s">
        <v>760</v>
      </c>
      <c r="S100" s="84">
        <f>(T29/$W29)*100</f>
        <v>37.25</v>
      </c>
      <c r="T100" s="8"/>
      <c r="U100" s="84">
        <f>(V29/$W29)*100</f>
        <v>53.375000000000007</v>
      </c>
      <c r="V100" s="8"/>
      <c r="W100" s="84">
        <f>U100</f>
        <v>53.375000000000007</v>
      </c>
      <c r="X100" s="84">
        <f>(AB29/$W29)*100</f>
        <v>57.000000000000007</v>
      </c>
      <c r="Y100" s="84" t="s">
        <v>1129</v>
      </c>
      <c r="Z100" s="84">
        <f t="shared" ref="Y100:Z100" si="48">(AD29/$W29)*100</f>
        <v>65.375</v>
      </c>
    </row>
    <row r="101" spans="16:28" ht="34" x14ac:dyDescent="0.2">
      <c r="Q101" s="3" t="s">
        <v>1079</v>
      </c>
      <c r="R101" s="2" t="s">
        <v>759</v>
      </c>
      <c r="S101" s="8">
        <f>(T10/$W10)*100</f>
        <v>50.125249768507238</v>
      </c>
      <c r="T101" s="8"/>
      <c r="U101" s="8">
        <f>(V10/$W10)*100</f>
        <v>60.670141474311244</v>
      </c>
      <c r="V101" s="8"/>
      <c r="W101" s="84">
        <f>U101</f>
        <v>60.670141474311244</v>
      </c>
      <c r="X101" s="8">
        <f>(AB10/$W10)*100</f>
        <v>64.009904902399839</v>
      </c>
      <c r="Y101" s="8">
        <f t="shared" ref="Y101:Z101" si="49">(AC10/$W10)*100</f>
        <v>68.663101604278069</v>
      </c>
      <c r="Z101" s="8">
        <f t="shared" si="49"/>
        <v>75.39863616085654</v>
      </c>
    </row>
    <row r="102" spans="16:28" ht="51" x14ac:dyDescent="0.2">
      <c r="Q102" s="3" t="s">
        <v>1081</v>
      </c>
      <c r="R102" s="2" t="s">
        <v>1072</v>
      </c>
      <c r="S102" s="85">
        <f>((1-(S99/90)))</f>
        <v>0.64814814814814814</v>
      </c>
      <c r="T102" s="85"/>
      <c r="U102" s="85">
        <f>((1-(U99/90)))</f>
        <v>0.44444444444444442</v>
      </c>
      <c r="V102" s="85"/>
      <c r="W102" s="85">
        <f t="shared" ref="W102:Z102" si="50">((1-(W99/90)))</f>
        <v>0.44444444444444442</v>
      </c>
      <c r="X102" s="85">
        <f t="shared" si="50"/>
        <v>0.38888888888888884</v>
      </c>
      <c r="Y102" s="85">
        <f t="shared" si="50"/>
        <v>0.33333333333333337</v>
      </c>
      <c r="Z102" s="85">
        <f t="shared" si="50"/>
        <v>0.27777777777777779</v>
      </c>
    </row>
    <row r="104" spans="16:28" x14ac:dyDescent="0.2">
      <c r="Q104" s="2" t="s">
        <v>1099</v>
      </c>
      <c r="R104" s="2" t="s">
        <v>1100</v>
      </c>
      <c r="S104" s="63">
        <f>T30/$W30</f>
        <v>0.37555555555555553</v>
      </c>
      <c r="T104" s="63"/>
      <c r="U104" s="63">
        <f>V30/$W30</f>
        <v>0.55222222222222228</v>
      </c>
      <c r="V104" s="63"/>
      <c r="W104" s="63">
        <f>U104</f>
        <v>0.55222222222222228</v>
      </c>
      <c r="X104" s="63">
        <f>AB30/$W30</f>
        <v>0.59555555555555562</v>
      </c>
      <c r="Y104" s="63">
        <f t="shared" ref="Y104:Z104" si="51">AC30/$W30</f>
        <v>0.64166666666666672</v>
      </c>
      <c r="Z104" s="63">
        <f t="shared" si="51"/>
        <v>0.69222222222222218</v>
      </c>
    </row>
    <row r="106" spans="16:28" x14ac:dyDescent="0.2">
      <c r="P106" s="55" t="s">
        <v>1143</v>
      </c>
      <c r="S106" s="63"/>
      <c r="T106" s="63"/>
      <c r="U106" s="63"/>
      <c r="V106" s="63"/>
      <c r="W106" s="63"/>
      <c r="X106" s="63"/>
      <c r="Y106" s="63"/>
      <c r="Z106" s="63"/>
    </row>
    <row r="107" spans="16:28" x14ac:dyDescent="0.2">
      <c r="Q107" s="2" t="s">
        <v>1144</v>
      </c>
      <c r="R107" s="8"/>
      <c r="S107" s="8">
        <f>(T31+T32)/($W31+$W32)*100</f>
        <v>30</v>
      </c>
      <c r="T107" s="8"/>
      <c r="U107" s="8">
        <f>(V31+V32)/($W31+$W32)*100</f>
        <v>50</v>
      </c>
      <c r="V107" s="8"/>
      <c r="W107" s="84">
        <f>U107</f>
        <v>50</v>
      </c>
      <c r="X107" s="8">
        <f>(AB31+AB32)/($W31+$W32)*100</f>
        <v>53.333333333333336</v>
      </c>
      <c r="Y107" s="8">
        <f t="shared" ref="Y107:Z107" si="52">(AC31+AC32)/($W31+$W32)*100</f>
        <v>57.499999999999993</v>
      </c>
      <c r="Z107" s="8">
        <f t="shared" si="52"/>
        <v>63.333333333333329</v>
      </c>
    </row>
    <row r="108" spans="16:28" x14ac:dyDescent="0.2">
      <c r="Q108" s="2" t="s">
        <v>1134</v>
      </c>
      <c r="R108" s="8"/>
      <c r="S108" s="8">
        <f>T31/$W31*100</f>
        <v>50</v>
      </c>
      <c r="T108" s="8"/>
      <c r="U108" s="8">
        <f>V31/$W31*100</f>
        <v>66.666666666666657</v>
      </c>
      <c r="V108" s="8"/>
      <c r="W108" s="84">
        <f>U108</f>
        <v>66.666666666666657</v>
      </c>
      <c r="X108" s="8">
        <f>AB31/$W31*100</f>
        <v>70</v>
      </c>
      <c r="Y108" s="8">
        <f t="shared" ref="Y108:Z108" si="53">AC31/$W31*100</f>
        <v>75</v>
      </c>
      <c r="Z108" s="8">
        <f t="shared" si="53"/>
        <v>80</v>
      </c>
    </row>
    <row r="109" spans="16:28" x14ac:dyDescent="0.2">
      <c r="Q109" s="2" t="s">
        <v>1161</v>
      </c>
      <c r="R109" s="8"/>
      <c r="S109" s="8">
        <f>K31</f>
        <v>30</v>
      </c>
      <c r="T109" s="8"/>
      <c r="U109" s="8">
        <f>M31</f>
        <v>40</v>
      </c>
      <c r="V109" s="8"/>
      <c r="W109" s="84">
        <f>U109</f>
        <v>40</v>
      </c>
      <c r="X109" s="8">
        <f>O31</f>
        <v>42</v>
      </c>
      <c r="Y109" s="8">
        <f t="shared" ref="Y109:Z109" si="54">P31</f>
        <v>45</v>
      </c>
      <c r="Z109" s="8">
        <f t="shared" si="54"/>
        <v>48</v>
      </c>
    </row>
    <row r="110" spans="16:28" x14ac:dyDescent="0.2">
      <c r="Q110" s="2" t="s">
        <v>1133</v>
      </c>
      <c r="R110" s="8"/>
      <c r="S110" s="8">
        <f>S32/$W32*100</f>
        <v>10</v>
      </c>
      <c r="T110" s="8"/>
      <c r="U110" s="8">
        <f>U32/$W32*100</f>
        <v>33.333333333333329</v>
      </c>
      <c r="V110" s="8"/>
      <c r="W110" s="84">
        <f>U110</f>
        <v>33.333333333333329</v>
      </c>
      <c r="X110" s="8">
        <f>AB32/$W32*100</f>
        <v>36.666666666666664</v>
      </c>
      <c r="Y110" s="8">
        <f t="shared" ref="Y110:Z110" si="55">AC32/$W32*100</f>
        <v>40</v>
      </c>
      <c r="Z110" s="8">
        <f t="shared" si="55"/>
        <v>46.666666666666664</v>
      </c>
    </row>
    <row r="111" spans="16:28" x14ac:dyDescent="0.2">
      <c r="R111" s="8"/>
      <c r="S111" s="8"/>
      <c r="T111" s="8"/>
      <c r="U111" s="8"/>
      <c r="V111" s="8"/>
      <c r="W111" s="84"/>
      <c r="X111" s="8"/>
      <c r="Y111" s="8"/>
      <c r="Z111" s="8"/>
    </row>
    <row r="112" spans="16:28" x14ac:dyDescent="0.2">
      <c r="R112" s="8"/>
      <c r="S112" s="8"/>
      <c r="T112" s="8"/>
      <c r="U112" s="8"/>
      <c r="V112" s="8"/>
      <c r="W112" s="84"/>
      <c r="X112" s="8"/>
      <c r="Y112" s="8"/>
      <c r="Z112" s="8"/>
    </row>
    <row r="113" spans="16:26" x14ac:dyDescent="0.2">
      <c r="R113" s="8"/>
      <c r="S113" s="8"/>
      <c r="T113" s="8"/>
      <c r="U113" s="8"/>
      <c r="V113" s="8"/>
      <c r="W113" s="8"/>
      <c r="X113" s="8"/>
      <c r="Y113" s="8"/>
      <c r="Z113" s="8"/>
    </row>
    <row r="114" spans="16:26" x14ac:dyDescent="0.2">
      <c r="Q114" s="2" t="s">
        <v>1141</v>
      </c>
      <c r="R114" s="8"/>
      <c r="S114" s="63">
        <f>S122</f>
        <v>8.8265460686937483E-2</v>
      </c>
      <c r="T114" s="8"/>
      <c r="U114" s="63">
        <f>U122</f>
        <v>0.11781009995206961</v>
      </c>
      <c r="V114" s="8"/>
      <c r="W114" s="63">
        <f>W122</f>
        <v>0.11781009995206961</v>
      </c>
      <c r="X114" s="63">
        <f>X122</f>
        <v>0.1274532429875222</v>
      </c>
      <c r="Y114" s="63">
        <f>Y122</f>
        <v>0.14185106490048777</v>
      </c>
      <c r="Z114" s="63">
        <f>Z122</f>
        <v>0.16047923328267913</v>
      </c>
    </row>
    <row r="115" spans="16:26" x14ac:dyDescent="0.2">
      <c r="R115" s="8"/>
      <c r="S115" s="8"/>
      <c r="T115" s="8"/>
      <c r="U115" s="8"/>
      <c r="V115" s="8"/>
      <c r="W115" s="8"/>
      <c r="X115" s="8"/>
      <c r="Y115" s="8"/>
      <c r="Z115" s="8"/>
    </row>
    <row r="116" spans="16:26" x14ac:dyDescent="0.2">
      <c r="P116" s="2" t="s">
        <v>1162</v>
      </c>
      <c r="Q116" s="2" t="s">
        <v>1145</v>
      </c>
      <c r="R116" s="8"/>
      <c r="S116" s="8">
        <f>MAX(0, MIN(1, (S109 - $R128) / ($S128-$R128)))</f>
        <v>0</v>
      </c>
      <c r="T116" s="8"/>
      <c r="U116" s="8">
        <f>MAX(0, MIN(1, (U109 - $R128) / ($S128-$R128)))</f>
        <v>0.2</v>
      </c>
      <c r="V116" s="8"/>
      <c r="W116" s="84">
        <f>U116</f>
        <v>0.2</v>
      </c>
      <c r="X116" s="8">
        <f t="shared" ref="X116:Z116" si="56">MAX(0, MIN(1, (X109 - $R128) / ($S128-$R128)))</f>
        <v>0.28000000000000003</v>
      </c>
      <c r="Y116" s="8">
        <f t="shared" si="56"/>
        <v>0.4</v>
      </c>
      <c r="Z116" s="8">
        <f t="shared" si="56"/>
        <v>0.52</v>
      </c>
    </row>
    <row r="117" spans="16:26" x14ac:dyDescent="0.2">
      <c r="Q117" s="2" t="s">
        <v>1129</v>
      </c>
      <c r="R117" s="8"/>
      <c r="S117" s="8">
        <f>S110/100</f>
        <v>0.1</v>
      </c>
      <c r="T117" s="8"/>
      <c r="U117" s="8">
        <f>U110/100</f>
        <v>0.33333333333333326</v>
      </c>
      <c r="V117" s="8"/>
      <c r="W117" s="8">
        <f>W110/100</f>
        <v>0.33333333333333326</v>
      </c>
      <c r="X117" s="8">
        <f>X110/100</f>
        <v>0.36666666666666664</v>
      </c>
      <c r="Y117" s="8">
        <f>Y110/100</f>
        <v>0.4</v>
      </c>
      <c r="Z117" s="8">
        <f>Z110/100</f>
        <v>0.46666666666666662</v>
      </c>
    </row>
    <row r="118" spans="16:26" x14ac:dyDescent="0.2">
      <c r="R118" s="8"/>
      <c r="S118" s="91"/>
      <c r="T118" s="8"/>
      <c r="U118" s="91"/>
      <c r="V118" s="8"/>
      <c r="W118" s="91"/>
      <c r="X118" s="91"/>
      <c r="Y118" s="91"/>
      <c r="Z118" s="91"/>
    </row>
    <row r="119" spans="16:26" x14ac:dyDescent="0.2">
      <c r="R119" s="8"/>
      <c r="S119" s="8"/>
      <c r="T119" s="8"/>
      <c r="U119" s="8"/>
      <c r="V119" s="8"/>
      <c r="W119" s="8"/>
      <c r="X119" s="8"/>
      <c r="Y119" s="8"/>
      <c r="Z119" s="8"/>
    </row>
    <row r="120" spans="16:26" x14ac:dyDescent="0.2">
      <c r="Q120" s="2" t="s">
        <v>1153</v>
      </c>
      <c r="R120" s="8"/>
      <c r="S120" s="8">
        <f>$R125+$S125*S116+$T125*S117</f>
        <v>-2.335</v>
      </c>
      <c r="T120" s="8"/>
      <c r="U120" s="8">
        <f>$R125+$S125*U116+$T125*U117</f>
        <v>-2.0133333333333332</v>
      </c>
      <c r="V120" s="8"/>
      <c r="W120" s="8">
        <f t="shared" ref="W120:Z120" si="57">$R125+$S125*W116+$T125*W117</f>
        <v>-2.0133333333333332</v>
      </c>
      <c r="X120" s="8">
        <f t="shared" si="57"/>
        <v>-1.9236666666666666</v>
      </c>
      <c r="Y120" s="8">
        <f t="shared" si="57"/>
        <v>-1.8</v>
      </c>
      <c r="Z120" s="8">
        <f t="shared" si="57"/>
        <v>-1.6546666666666667</v>
      </c>
    </row>
    <row r="121" spans="16:26" x14ac:dyDescent="0.2">
      <c r="Q121" s="2" t="s">
        <v>1154</v>
      </c>
      <c r="R121" s="8"/>
      <c r="S121" s="8">
        <f>EXP(-S120)</f>
        <v>10.329459929369532</v>
      </c>
      <c r="T121" s="8"/>
      <c r="U121" s="8">
        <f>EXP(-U120)</f>
        <v>7.4882365807926865</v>
      </c>
      <c r="V121" s="8"/>
      <c r="W121" s="8">
        <f>EXP(-W120)</f>
        <v>7.4882365807926865</v>
      </c>
      <c r="X121" s="8">
        <f>EXP(-X120)</f>
        <v>6.8460145584361554</v>
      </c>
      <c r="Y121" s="8">
        <f>EXP(-Y120)</f>
        <v>6.0496474644129465</v>
      </c>
      <c r="Z121" s="8">
        <f>EXP(-Z120)</f>
        <v>5.2313358528983711</v>
      </c>
    </row>
    <row r="122" spans="16:26" x14ac:dyDescent="0.2">
      <c r="Q122" s="2" t="s">
        <v>1155</v>
      </c>
      <c r="R122" s="8"/>
      <c r="S122" s="8">
        <f>(1/(1+S121))</f>
        <v>8.8265460686937483E-2</v>
      </c>
      <c r="T122" s="8"/>
      <c r="U122" s="8">
        <f>(1/(1+U121))</f>
        <v>0.11781009995206961</v>
      </c>
      <c r="V122" s="8"/>
      <c r="W122" s="8">
        <f>(1/(1+W121))</f>
        <v>0.11781009995206961</v>
      </c>
      <c r="X122" s="8">
        <f>(1/(1+X121))</f>
        <v>0.1274532429875222</v>
      </c>
      <c r="Y122" s="8">
        <f>(1/(1+Y121))</f>
        <v>0.14185106490048777</v>
      </c>
      <c r="Z122" s="8">
        <f>(1/(1+Z121))</f>
        <v>0.16047923328267913</v>
      </c>
    </row>
    <row r="123" spans="16:26" x14ac:dyDescent="0.2">
      <c r="S123" s="8"/>
      <c r="T123" s="8"/>
      <c r="U123" s="8"/>
      <c r="V123" s="8"/>
      <c r="W123" s="8"/>
      <c r="X123" s="8"/>
      <c r="Y123" s="8"/>
    </row>
    <row r="124" spans="16:26" x14ac:dyDescent="0.2">
      <c r="Q124" s="76" t="s">
        <v>1148</v>
      </c>
      <c r="R124" s="76" t="s">
        <v>1156</v>
      </c>
      <c r="S124" s="76" t="s">
        <v>1157</v>
      </c>
      <c r="T124" s="92" t="s">
        <v>1158</v>
      </c>
      <c r="U124" s="92"/>
      <c r="V124" s="92"/>
    </row>
    <row r="125" spans="16:26" x14ac:dyDescent="0.2">
      <c r="Q125" s="76" t="s">
        <v>595</v>
      </c>
      <c r="R125" s="76">
        <v>-2.4</v>
      </c>
      <c r="S125" s="76">
        <v>0.85</v>
      </c>
      <c r="T125" s="92">
        <v>0.65</v>
      </c>
      <c r="U125" s="92"/>
      <c r="V125" s="92"/>
    </row>
    <row r="127" spans="16:26" x14ac:dyDescent="0.2">
      <c r="Q127" s="76" t="s">
        <v>1148</v>
      </c>
      <c r="R127" s="76" t="s">
        <v>1149</v>
      </c>
      <c r="S127" s="76" t="s">
        <v>1150</v>
      </c>
      <c r="T127" s="92"/>
      <c r="U127" s="92"/>
      <c r="V127" s="92"/>
    </row>
    <row r="128" spans="16:26" x14ac:dyDescent="0.2">
      <c r="Q128" s="76" t="s">
        <v>595</v>
      </c>
      <c r="R128" s="76">
        <v>35</v>
      </c>
      <c r="S128" s="76">
        <v>60</v>
      </c>
      <c r="T128" s="92"/>
      <c r="U128" s="92"/>
      <c r="V128" s="92"/>
    </row>
  </sheetData>
  <mergeCells count="25">
    <mergeCell ref="N10:Q10"/>
    <mergeCell ref="N28:Q28"/>
    <mergeCell ref="N29:Q29"/>
    <mergeCell ref="N13:Q13"/>
    <mergeCell ref="N15:Q15"/>
    <mergeCell ref="N18:Q18"/>
    <mergeCell ref="O46:O48"/>
    <mergeCell ref="P46:P48"/>
    <mergeCell ref="Q46:Q48"/>
    <mergeCell ref="N51:Q51"/>
    <mergeCell ref="N53:N55"/>
    <mergeCell ref="O53:O55"/>
    <mergeCell ref="P53:P55"/>
    <mergeCell ref="Q53:Q55"/>
    <mergeCell ref="N37:Q37"/>
    <mergeCell ref="N38:Q38"/>
    <mergeCell ref="N50:Q50"/>
    <mergeCell ref="N57:Q57"/>
    <mergeCell ref="N35:Q35"/>
    <mergeCell ref="N43:N45"/>
    <mergeCell ref="O43:O45"/>
    <mergeCell ref="P43:P45"/>
    <mergeCell ref="Q43:Q45"/>
    <mergeCell ref="N46:N48"/>
    <mergeCell ref="N36:Q3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DF67E-4ED9-7849-8CCE-2823FB109936}">
  <dimension ref="A1:AQ125"/>
  <sheetViews>
    <sheetView topLeftCell="N68" zoomScale="125" zoomScaleNormal="125" workbookViewId="0">
      <selection activeCell="T23" sqref="T23"/>
    </sheetView>
  </sheetViews>
  <sheetFormatPr baseColWidth="10" defaultRowHeight="16" x14ac:dyDescent="0.2"/>
  <cols>
    <col min="1" max="1" width="17.83203125" style="2" customWidth="1"/>
    <col min="2" max="2" width="22.1640625" style="2" customWidth="1"/>
    <col min="3" max="4" width="32.33203125" style="2" customWidth="1"/>
    <col min="5" max="5" width="45.83203125" style="3" customWidth="1"/>
    <col min="6" max="6" width="33" style="2" customWidth="1"/>
    <col min="7" max="7" width="18.6640625" style="2" customWidth="1"/>
    <col min="8" max="8" width="26" style="3" customWidth="1"/>
    <col min="9" max="9" width="29.1640625" style="2" customWidth="1"/>
    <col min="10" max="10" width="17.1640625" style="2" customWidth="1"/>
    <col min="11" max="11" width="18.6640625" style="2" customWidth="1"/>
    <col min="12" max="12" width="18.83203125" style="2" customWidth="1"/>
    <col min="13" max="13" width="18.33203125" style="2" customWidth="1"/>
    <col min="14" max="14" width="18" style="2" customWidth="1"/>
    <col min="15" max="15" width="17.5" style="2" customWidth="1"/>
    <col min="16" max="16" width="16.6640625" style="2" customWidth="1"/>
    <col min="17" max="17" width="18.6640625" style="2" customWidth="1"/>
    <col min="18" max="18" width="24" style="2" customWidth="1"/>
    <col min="19" max="19" width="18.6640625" style="2" customWidth="1"/>
    <col min="20" max="20" width="18.83203125" style="2" customWidth="1"/>
    <col min="21" max="21" width="18.6640625" style="2" customWidth="1"/>
    <col min="22" max="22" width="18.83203125" style="2" customWidth="1"/>
    <col min="23" max="23" width="18.33203125" style="2" customWidth="1"/>
    <col min="24" max="24" width="18" style="2" customWidth="1"/>
    <col min="25" max="25" width="17.5" style="2" customWidth="1"/>
    <col min="26" max="27" width="16.6640625" style="2" customWidth="1"/>
    <col min="28" max="28" width="18.6640625" style="2" customWidth="1"/>
    <col min="29" max="29" width="16.33203125" style="2" customWidth="1"/>
    <col min="30" max="30" width="18.6640625" style="2" customWidth="1"/>
    <col min="31" max="31" width="18.83203125" style="2" customWidth="1"/>
    <col min="32" max="32" width="18.33203125" style="2" customWidth="1"/>
    <col min="33" max="33" width="18" style="2" customWidth="1"/>
    <col min="34" max="34" width="17.5" style="2" customWidth="1"/>
    <col min="35" max="35" width="16.6640625" style="2" customWidth="1"/>
    <col min="36" max="36" width="18.6640625" style="2" customWidth="1"/>
    <col min="37" max="16384" width="10.83203125" style="2"/>
  </cols>
  <sheetData>
    <row r="1" spans="1:43" ht="124" customHeight="1" x14ac:dyDescent="0.2">
      <c r="A1" s="43" t="e" vm="6">
        <v>#VALUE!</v>
      </c>
      <c r="B1" s="43"/>
      <c r="C1" s="57" t="s">
        <v>636</v>
      </c>
    </row>
    <row r="2" spans="1:43" x14ac:dyDescent="0.2">
      <c r="K2" s="2" t="s">
        <v>323</v>
      </c>
    </row>
    <row r="3" spans="1:43" ht="51" x14ac:dyDescent="0.2">
      <c r="A3" s="2" t="s">
        <v>18</v>
      </c>
      <c r="B3" s="2" t="s">
        <v>19</v>
      </c>
      <c r="C3" s="2" t="s">
        <v>20</v>
      </c>
      <c r="D3" s="2" t="s">
        <v>407</v>
      </c>
      <c r="E3" s="3" t="s">
        <v>21</v>
      </c>
      <c r="F3" s="2" t="s">
        <v>22</v>
      </c>
      <c r="G3" s="2" t="s">
        <v>143</v>
      </c>
      <c r="H3" s="3" t="s">
        <v>24</v>
      </c>
      <c r="I3" s="2" t="s">
        <v>93</v>
      </c>
      <c r="K3" s="2" t="s">
        <v>94</v>
      </c>
      <c r="L3" s="3" t="s">
        <v>990</v>
      </c>
      <c r="M3" s="2" t="s">
        <v>96</v>
      </c>
      <c r="N3" s="2" t="s">
        <v>25</v>
      </c>
      <c r="O3" s="2" t="s">
        <v>26</v>
      </c>
      <c r="P3" s="2" t="s">
        <v>27</v>
      </c>
      <c r="Q3" s="2" t="s">
        <v>28</v>
      </c>
      <c r="R3" s="2" t="s">
        <v>348</v>
      </c>
      <c r="S3" s="3" t="s">
        <v>609</v>
      </c>
      <c r="T3" s="3" t="s">
        <v>610</v>
      </c>
      <c r="U3" s="3" t="s">
        <v>611</v>
      </c>
      <c r="V3" s="3" t="s">
        <v>612</v>
      </c>
      <c r="W3" s="2" t="s">
        <v>373</v>
      </c>
      <c r="X3" s="3" t="s">
        <v>378</v>
      </c>
      <c r="Y3" s="3" t="s">
        <v>820</v>
      </c>
      <c r="Z3" s="3" t="s">
        <v>668</v>
      </c>
      <c r="AA3" s="3" t="s">
        <v>989</v>
      </c>
      <c r="AB3" s="3" t="s">
        <v>664</v>
      </c>
      <c r="AC3" s="3" t="s">
        <v>665</v>
      </c>
      <c r="AD3" s="3" t="s">
        <v>666</v>
      </c>
    </row>
    <row r="5" spans="1:43" ht="68" x14ac:dyDescent="0.2">
      <c r="A5" s="2" t="s">
        <v>29</v>
      </c>
      <c r="B5" s="2" t="s">
        <v>30</v>
      </c>
      <c r="C5" s="2" t="s">
        <v>617</v>
      </c>
      <c r="D5" s="2" t="s">
        <v>350</v>
      </c>
      <c r="E5" s="3" t="s">
        <v>68</v>
      </c>
      <c r="F5" s="3" t="s">
        <v>603</v>
      </c>
      <c r="G5" s="52" t="s">
        <v>619</v>
      </c>
      <c r="H5" s="3" t="s">
        <v>604</v>
      </c>
      <c r="I5" s="2" t="s">
        <v>605</v>
      </c>
      <c r="K5" s="2">
        <v>4.5</v>
      </c>
      <c r="L5" s="2">
        <v>4.5</v>
      </c>
      <c r="M5" s="2">
        <v>4.1500000000000004</v>
      </c>
      <c r="N5" s="2">
        <v>4.1500000000000004</v>
      </c>
      <c r="O5" s="2">
        <v>4.05</v>
      </c>
      <c r="P5" s="2">
        <v>3.9</v>
      </c>
      <c r="Q5" s="2">
        <v>3.75</v>
      </c>
      <c r="R5" s="2" t="s">
        <v>614</v>
      </c>
      <c r="S5" s="8">
        <f>K6</f>
        <v>13.333333333333334</v>
      </c>
      <c r="T5" s="8">
        <f>(S5-7)*3</f>
        <v>19</v>
      </c>
      <c r="U5" s="8">
        <f>M6</f>
        <v>14.457831325301203</v>
      </c>
      <c r="V5" s="8">
        <f>(U5-7)*3</f>
        <v>22.37349397590361</v>
      </c>
      <c r="W5" s="8">
        <v>40</v>
      </c>
      <c r="AA5" s="8">
        <f>(L6-7)*3</f>
        <v>19</v>
      </c>
      <c r="AB5" s="8">
        <f>(O6-7)*3</f>
        <v>23.444444444444443</v>
      </c>
      <c r="AC5" s="8">
        <f>(P6-7)*3</f>
        <v>25.153846153846153</v>
      </c>
      <c r="AD5" s="8">
        <f>(Q6-7)*3</f>
        <v>27</v>
      </c>
    </row>
    <row r="6" spans="1:43" x14ac:dyDescent="0.2">
      <c r="F6" s="3"/>
      <c r="G6" s="4"/>
      <c r="J6" s="2" t="s">
        <v>607</v>
      </c>
      <c r="K6" s="8">
        <f>$K$9/K5</f>
        <v>13.333333333333334</v>
      </c>
      <c r="L6" s="8">
        <f>$K$9/L5</f>
        <v>13.333333333333334</v>
      </c>
      <c r="M6" s="8">
        <f t="shared" ref="M6:Q6" si="0">$K$9/M5</f>
        <v>14.457831325301203</v>
      </c>
      <c r="N6" s="8">
        <f t="shared" si="0"/>
        <v>14.457831325301203</v>
      </c>
      <c r="O6" s="8">
        <f t="shared" si="0"/>
        <v>14.814814814814815</v>
      </c>
      <c r="P6" s="8">
        <f t="shared" si="0"/>
        <v>15.384615384615385</v>
      </c>
      <c r="Q6" s="8">
        <f t="shared" si="0"/>
        <v>16</v>
      </c>
      <c r="T6" s="8"/>
      <c r="U6" s="8"/>
      <c r="V6" s="8"/>
      <c r="W6" s="8"/>
      <c r="X6" s="8"/>
      <c r="Y6" s="8"/>
      <c r="Z6" s="8"/>
      <c r="AA6" s="8"/>
      <c r="AE6" s="8"/>
      <c r="AF6" s="8"/>
      <c r="AG6" s="8"/>
      <c r="AH6" s="8"/>
      <c r="AI6" s="8"/>
      <c r="AL6" s="8"/>
      <c r="AM6" s="8"/>
      <c r="AN6" s="8"/>
      <c r="AO6" s="8"/>
      <c r="AP6" s="8"/>
      <c r="AQ6" s="8"/>
    </row>
    <row r="7" spans="1:43" ht="68" x14ac:dyDescent="0.2">
      <c r="B7" s="2" t="s">
        <v>30</v>
      </c>
      <c r="C7" s="2" t="s">
        <v>618</v>
      </c>
      <c r="D7" s="2" t="s">
        <v>602</v>
      </c>
      <c r="E7" s="3" t="s">
        <v>69</v>
      </c>
      <c r="F7" s="3" t="s">
        <v>603</v>
      </c>
      <c r="G7" s="52" t="s">
        <v>619</v>
      </c>
      <c r="H7" s="3" t="s">
        <v>604</v>
      </c>
      <c r="I7" s="2" t="s">
        <v>606</v>
      </c>
      <c r="K7" s="2">
        <v>18</v>
      </c>
      <c r="L7" s="2">
        <v>18</v>
      </c>
      <c r="M7" s="2">
        <v>16.5</v>
      </c>
      <c r="N7" s="2">
        <v>16.5</v>
      </c>
      <c r="O7" s="2">
        <v>15.75</v>
      </c>
      <c r="P7" s="2">
        <v>15</v>
      </c>
      <c r="Q7" s="2">
        <v>14.25</v>
      </c>
      <c r="R7" s="2" t="s">
        <v>615</v>
      </c>
      <c r="S7" s="8">
        <f>K8</f>
        <v>13.333333333333334</v>
      </c>
      <c r="T7" s="8">
        <f>(S7-7)*3</f>
        <v>19</v>
      </c>
      <c r="U7" s="8">
        <f>M8</f>
        <v>14.545454545454545</v>
      </c>
      <c r="V7" s="8">
        <f>(U7-7)*3</f>
        <v>22.636363636363633</v>
      </c>
      <c r="W7" s="8">
        <v>45</v>
      </c>
      <c r="AA7" s="8">
        <f>(L8-7)*3</f>
        <v>19</v>
      </c>
      <c r="AB7" s="8">
        <f>(O8-7)*3</f>
        <v>24.714285714285712</v>
      </c>
      <c r="AC7" s="8">
        <f>(P8-7)*3</f>
        <v>27</v>
      </c>
      <c r="AD7" s="8">
        <f>(Q8-7)*3</f>
        <v>29.526315789473681</v>
      </c>
    </row>
    <row r="8" spans="1:43" x14ac:dyDescent="0.2">
      <c r="F8" s="3"/>
      <c r="G8" s="4"/>
      <c r="J8" s="2" t="s">
        <v>607</v>
      </c>
      <c r="K8" s="8">
        <f>($K$9*4)/K7</f>
        <v>13.333333333333334</v>
      </c>
      <c r="L8" s="8">
        <f>($K$9*4)/L7</f>
        <v>13.333333333333334</v>
      </c>
      <c r="M8" s="8">
        <f t="shared" ref="M8:Q8" si="1">($K$9*4)/M7</f>
        <v>14.545454545454545</v>
      </c>
      <c r="N8" s="8">
        <f t="shared" si="1"/>
        <v>14.545454545454545</v>
      </c>
      <c r="O8" s="8">
        <f t="shared" si="1"/>
        <v>15.238095238095237</v>
      </c>
      <c r="P8" s="8">
        <f t="shared" si="1"/>
        <v>16</v>
      </c>
      <c r="Q8" s="8">
        <f t="shared" si="1"/>
        <v>16.842105263157894</v>
      </c>
      <c r="T8" s="8"/>
      <c r="U8" s="8"/>
      <c r="V8" s="8"/>
      <c r="W8" s="8"/>
      <c r="X8" s="8"/>
      <c r="Y8" s="8"/>
      <c r="Z8" s="8"/>
      <c r="AA8" s="8"/>
      <c r="AE8" s="8"/>
      <c r="AF8" s="8"/>
      <c r="AG8" s="8"/>
      <c r="AH8" s="8"/>
      <c r="AI8" s="8"/>
      <c r="AL8" s="8"/>
      <c r="AM8" s="8"/>
      <c r="AN8" s="8"/>
      <c r="AO8" s="8"/>
      <c r="AP8" s="8"/>
      <c r="AQ8" s="8"/>
    </row>
    <row r="9" spans="1:43" x14ac:dyDescent="0.2">
      <c r="F9" s="3"/>
      <c r="G9" s="4"/>
      <c r="J9" s="2" t="s">
        <v>601</v>
      </c>
      <c r="K9" s="8">
        <v>60</v>
      </c>
      <c r="M9" s="8"/>
      <c r="N9" s="8"/>
      <c r="O9" s="8"/>
      <c r="P9" s="8"/>
      <c r="Q9" s="8"/>
      <c r="T9" s="8"/>
      <c r="U9" s="8"/>
      <c r="V9" s="8"/>
      <c r="W9" s="8"/>
      <c r="X9" s="8"/>
      <c r="Y9" s="8"/>
      <c r="Z9" s="8"/>
      <c r="AA9" s="8"/>
      <c r="AC9" s="8"/>
      <c r="AL9" s="8"/>
      <c r="AM9" s="8"/>
      <c r="AN9" s="8"/>
      <c r="AO9" s="8"/>
      <c r="AP9" s="8"/>
      <c r="AQ9" s="8"/>
    </row>
    <row r="10" spans="1:43" s="13" customFormat="1" x14ac:dyDescent="0.2">
      <c r="B10" s="13" t="s">
        <v>341</v>
      </c>
      <c r="D10" s="13" t="s">
        <v>759</v>
      </c>
      <c r="F10" s="14"/>
      <c r="I10" s="14"/>
      <c r="N10" s="15" t="s">
        <v>471</v>
      </c>
      <c r="O10" s="15"/>
      <c r="P10" s="15"/>
      <c r="Q10" s="15"/>
      <c r="T10" s="17">
        <f>SUM(T5,T7)</f>
        <v>38</v>
      </c>
      <c r="V10" s="17">
        <f>SUM(V5,V7)</f>
        <v>45.00985761226724</v>
      </c>
      <c r="W10" s="17">
        <f>SUM(W5,W7)</f>
        <v>85</v>
      </c>
      <c r="AA10" s="17">
        <f t="shared" ref="AA10" si="2">SUM(AA5,AA7)</f>
        <v>38</v>
      </c>
      <c r="AB10" s="17">
        <f t="shared" ref="AB10:AD10" si="3">SUM(AB5,AB7)</f>
        <v>48.158730158730151</v>
      </c>
      <c r="AC10" s="17">
        <f t="shared" si="3"/>
        <v>52.153846153846153</v>
      </c>
      <c r="AD10" s="17">
        <f t="shared" si="3"/>
        <v>56.526315789473685</v>
      </c>
    </row>
    <row r="11" spans="1:43" ht="34" x14ac:dyDescent="0.2">
      <c r="B11" s="2" t="s">
        <v>34</v>
      </c>
      <c r="C11" s="2" t="s">
        <v>36</v>
      </c>
      <c r="D11" s="2" t="s">
        <v>425</v>
      </c>
      <c r="E11" s="3" t="s">
        <v>225</v>
      </c>
      <c r="F11" s="2" t="s">
        <v>227</v>
      </c>
      <c r="H11" s="3" t="s">
        <v>79</v>
      </c>
      <c r="I11" s="2" t="s">
        <v>427</v>
      </c>
      <c r="K11" s="2">
        <v>8</v>
      </c>
      <c r="L11" s="8">
        <v>8</v>
      </c>
      <c r="M11" s="2">
        <v>17</v>
      </c>
      <c r="N11" s="2">
        <v>17</v>
      </c>
      <c r="O11" s="2">
        <v>18</v>
      </c>
      <c r="P11" s="2">
        <v>20</v>
      </c>
      <c r="Q11" s="2">
        <v>22</v>
      </c>
      <c r="R11" s="2" t="s">
        <v>428</v>
      </c>
      <c r="S11" s="2">
        <f>K11</f>
        <v>8</v>
      </c>
      <c r="T11" s="2">
        <f>S11/2</f>
        <v>4</v>
      </c>
      <c r="U11" s="2">
        <f t="shared" ref="U11:U12" si="4">M11</f>
        <v>17</v>
      </c>
      <c r="V11" s="2">
        <f>U11/2</f>
        <v>8.5</v>
      </c>
      <c r="W11" s="2">
        <f>40/2</f>
        <v>20</v>
      </c>
      <c r="AA11" s="8">
        <f>L11/2</f>
        <v>4</v>
      </c>
      <c r="AB11" s="8">
        <f>O11/2</f>
        <v>9</v>
      </c>
      <c r="AC11" s="8">
        <f>P11/2</f>
        <v>10</v>
      </c>
      <c r="AD11" s="8">
        <f>Q11/2</f>
        <v>11</v>
      </c>
    </row>
    <row r="12" spans="1:43" ht="34" x14ac:dyDescent="0.2">
      <c r="B12" s="2" t="s">
        <v>34</v>
      </c>
      <c r="C12" s="2" t="s">
        <v>71</v>
      </c>
      <c r="D12" s="2" t="s">
        <v>426</v>
      </c>
      <c r="E12" s="3" t="s">
        <v>226</v>
      </c>
      <c r="F12" s="2" t="s">
        <v>227</v>
      </c>
      <c r="H12" s="3" t="s">
        <v>79</v>
      </c>
      <c r="I12" s="2" t="s">
        <v>427</v>
      </c>
      <c r="K12" s="2">
        <v>10</v>
      </c>
      <c r="L12" s="8">
        <v>10</v>
      </c>
      <c r="M12" s="2">
        <v>20</v>
      </c>
      <c r="N12" s="2">
        <v>20</v>
      </c>
      <c r="O12" s="2">
        <v>22</v>
      </c>
      <c r="P12" s="2">
        <v>24</v>
      </c>
      <c r="Q12" s="2">
        <v>26</v>
      </c>
      <c r="R12" s="2" t="s">
        <v>429</v>
      </c>
      <c r="S12" s="2">
        <f>K12</f>
        <v>10</v>
      </c>
      <c r="T12" s="8">
        <f>S12/3</f>
        <v>3.3333333333333335</v>
      </c>
      <c r="U12" s="2">
        <f t="shared" si="4"/>
        <v>20</v>
      </c>
      <c r="V12" s="8">
        <f>U12/3</f>
        <v>6.666666666666667</v>
      </c>
      <c r="W12" s="2">
        <f>45/3</f>
        <v>15</v>
      </c>
      <c r="AA12" s="8">
        <f>L12/3</f>
        <v>3.3333333333333335</v>
      </c>
      <c r="AB12" s="8">
        <f>O12/3</f>
        <v>7.333333333333333</v>
      </c>
      <c r="AC12" s="8">
        <f>P12/3</f>
        <v>8</v>
      </c>
      <c r="AD12" s="8">
        <f>Q12/3</f>
        <v>8.6666666666666661</v>
      </c>
    </row>
    <row r="13" spans="1:43" s="13" customFormat="1" x14ac:dyDescent="0.2">
      <c r="B13" s="13" t="s">
        <v>397</v>
      </c>
      <c r="D13" s="13" t="s">
        <v>761</v>
      </c>
      <c r="F13" s="14"/>
      <c r="I13" s="14"/>
      <c r="L13" s="17"/>
      <c r="N13" s="32" t="s">
        <v>440</v>
      </c>
      <c r="O13" s="32"/>
      <c r="P13" s="32"/>
      <c r="Q13" s="32"/>
      <c r="R13" s="59"/>
      <c r="T13" s="17">
        <f>SUM(T11:T12)</f>
        <v>7.3333333333333339</v>
      </c>
      <c r="V13" s="17">
        <f t="shared" ref="V13:W13" si="5">SUM(V11:V12)</f>
        <v>15.166666666666668</v>
      </c>
      <c r="W13" s="17">
        <f t="shared" si="5"/>
        <v>35</v>
      </c>
      <c r="AA13" s="17">
        <f t="shared" ref="AA13" si="6">SUM(AA11:AA12)</f>
        <v>7.3333333333333339</v>
      </c>
      <c r="AB13" s="17">
        <f t="shared" ref="AB13:AD13" si="7">SUM(AB11:AB12)</f>
        <v>16.333333333333332</v>
      </c>
      <c r="AC13" s="17">
        <f t="shared" si="7"/>
        <v>18</v>
      </c>
      <c r="AD13" s="17">
        <f t="shared" si="7"/>
        <v>19.666666666666664</v>
      </c>
    </row>
    <row r="14" spans="1:43" ht="51" x14ac:dyDescent="0.2">
      <c r="B14" s="2" t="s">
        <v>37</v>
      </c>
      <c r="C14" s="2" t="s">
        <v>40</v>
      </c>
      <c r="D14" s="2" t="s">
        <v>408</v>
      </c>
      <c r="E14" s="3" t="s">
        <v>83</v>
      </c>
      <c r="F14" s="2" t="s">
        <v>77</v>
      </c>
      <c r="G14" s="3" t="s">
        <v>163</v>
      </c>
      <c r="H14" s="3" t="s">
        <v>84</v>
      </c>
      <c r="I14" s="2" t="s">
        <v>170</v>
      </c>
      <c r="K14" s="2">
        <v>7.75</v>
      </c>
      <c r="L14" s="8">
        <v>8</v>
      </c>
      <c r="M14" s="2">
        <v>12</v>
      </c>
      <c r="N14" s="2">
        <v>12</v>
      </c>
      <c r="O14" s="2">
        <v>13</v>
      </c>
      <c r="P14" s="2">
        <v>14</v>
      </c>
      <c r="Q14" s="2">
        <v>15</v>
      </c>
      <c r="R14" s="2" t="str">
        <f>D14</f>
        <v>ASPJUMP</v>
      </c>
      <c r="S14" s="2">
        <f>K14</f>
        <v>7.75</v>
      </c>
      <c r="T14" s="2">
        <f>S14</f>
        <v>7.75</v>
      </c>
      <c r="U14" s="2">
        <f>M14</f>
        <v>12</v>
      </c>
      <c r="V14" s="2">
        <f>U14</f>
        <v>12</v>
      </c>
      <c r="W14" s="2">
        <v>20</v>
      </c>
      <c r="AA14" s="2">
        <f>L14</f>
        <v>8</v>
      </c>
      <c r="AB14" s="2">
        <f>O14</f>
        <v>13</v>
      </c>
      <c r="AC14" s="2">
        <f>P14</f>
        <v>14</v>
      </c>
      <c r="AD14" s="2">
        <f>Q14</f>
        <v>15</v>
      </c>
    </row>
    <row r="15" spans="1:43" s="13" customFormat="1" x14ac:dyDescent="0.2">
      <c r="B15" s="13" t="s">
        <v>344</v>
      </c>
      <c r="D15" s="13" t="s">
        <v>760</v>
      </c>
      <c r="F15" s="14"/>
      <c r="G15" s="14"/>
      <c r="H15" s="14"/>
      <c r="I15" s="14"/>
      <c r="L15" s="17"/>
      <c r="N15" s="32" t="s">
        <v>450</v>
      </c>
      <c r="O15" s="32"/>
      <c r="P15" s="32"/>
      <c r="Q15" s="32"/>
      <c r="R15" s="59"/>
      <c r="T15" s="13">
        <f>T14</f>
        <v>7.75</v>
      </c>
      <c r="V15" s="13">
        <f t="shared" ref="V15:W15" si="8">V14</f>
        <v>12</v>
      </c>
      <c r="W15" s="13">
        <f t="shared" si="8"/>
        <v>20</v>
      </c>
      <c r="AA15" s="13">
        <f t="shared" ref="AA15" si="9">AA14</f>
        <v>8</v>
      </c>
      <c r="AB15" s="13">
        <f t="shared" ref="AB15:AD15" si="10">AB14</f>
        <v>13</v>
      </c>
      <c r="AC15" s="13">
        <f t="shared" si="10"/>
        <v>14</v>
      </c>
      <c r="AD15" s="13">
        <f t="shared" si="10"/>
        <v>15</v>
      </c>
    </row>
    <row r="16" spans="1:43" ht="68" x14ac:dyDescent="0.2">
      <c r="B16" s="2" t="s">
        <v>41</v>
      </c>
      <c r="C16" s="2" t="s">
        <v>42</v>
      </c>
      <c r="D16" s="2" t="s">
        <v>352</v>
      </c>
      <c r="E16" s="3" t="s">
        <v>85</v>
      </c>
      <c r="F16" s="3" t="s">
        <v>172</v>
      </c>
      <c r="G16" s="3" t="s">
        <v>171</v>
      </c>
      <c r="H16" s="3" t="s">
        <v>80</v>
      </c>
      <c r="I16" s="2" t="s">
        <v>173</v>
      </c>
      <c r="K16" s="2">
        <v>9.99</v>
      </c>
      <c r="L16" s="8">
        <v>10</v>
      </c>
      <c r="M16" s="2">
        <v>20</v>
      </c>
      <c r="N16" s="2">
        <v>20</v>
      </c>
      <c r="O16" s="2">
        <v>22</v>
      </c>
      <c r="P16" s="2">
        <v>25</v>
      </c>
      <c r="Q16" s="2">
        <v>28</v>
      </c>
      <c r="R16" s="2" t="s">
        <v>367</v>
      </c>
      <c r="S16" s="2">
        <f t="shared" ref="S16:S17" si="11">K16</f>
        <v>9.99</v>
      </c>
      <c r="T16" s="8">
        <f>S16/3</f>
        <v>3.33</v>
      </c>
      <c r="U16" s="2">
        <f t="shared" ref="U16:U17" si="12">M16</f>
        <v>20</v>
      </c>
      <c r="V16" s="8">
        <f>U16/3</f>
        <v>6.666666666666667</v>
      </c>
      <c r="W16" s="8">
        <f>30/3</f>
        <v>10</v>
      </c>
      <c r="AA16" s="8">
        <f>L16/3</f>
        <v>3.3333333333333335</v>
      </c>
      <c r="AB16" s="8">
        <f>O16/3</f>
        <v>7.333333333333333</v>
      </c>
      <c r="AC16" s="8">
        <f>P16/3</f>
        <v>8.3333333333333339</v>
      </c>
      <c r="AD16" s="8">
        <f>Q16/3</f>
        <v>9.3333333333333339</v>
      </c>
    </row>
    <row r="17" spans="1:30" ht="68" x14ac:dyDescent="0.2">
      <c r="B17" s="2" t="s">
        <v>41</v>
      </c>
      <c r="C17" s="2" t="s">
        <v>43</v>
      </c>
      <c r="D17" s="2" t="s">
        <v>351</v>
      </c>
      <c r="E17" s="3" t="s">
        <v>86</v>
      </c>
      <c r="F17" s="3" t="s">
        <v>172</v>
      </c>
      <c r="G17" s="3" t="s">
        <v>171</v>
      </c>
      <c r="H17" s="3" t="s">
        <v>80</v>
      </c>
      <c r="I17" s="2" t="s">
        <v>173</v>
      </c>
      <c r="K17" s="9">
        <v>7.49</v>
      </c>
      <c r="L17" s="8">
        <v>7.5</v>
      </c>
      <c r="M17" s="9">
        <v>17.5</v>
      </c>
      <c r="N17" s="8">
        <v>17.5</v>
      </c>
      <c r="O17" s="2">
        <v>19</v>
      </c>
      <c r="P17" s="2">
        <v>22</v>
      </c>
      <c r="Q17" s="2">
        <v>25</v>
      </c>
      <c r="R17" s="2" t="s">
        <v>366</v>
      </c>
      <c r="S17" s="2">
        <f t="shared" si="11"/>
        <v>7.49</v>
      </c>
      <c r="T17" s="8">
        <f>S17/2</f>
        <v>3.7450000000000001</v>
      </c>
      <c r="U17" s="2">
        <f t="shared" si="12"/>
        <v>17.5</v>
      </c>
      <c r="V17" s="8">
        <f>U17/2</f>
        <v>8.75</v>
      </c>
      <c r="W17" s="8">
        <f>30/2</f>
        <v>15</v>
      </c>
      <c r="AA17" s="8">
        <f>L17/2</f>
        <v>3.75</v>
      </c>
      <c r="AB17" s="8">
        <f>O17/2</f>
        <v>9.5</v>
      </c>
      <c r="AC17" s="8">
        <f>P17/2</f>
        <v>11</v>
      </c>
      <c r="AD17" s="8">
        <f>Q17/2</f>
        <v>12.5</v>
      </c>
    </row>
    <row r="18" spans="1:30" s="13" customFormat="1" x14ac:dyDescent="0.2">
      <c r="B18" s="13" t="s">
        <v>342</v>
      </c>
      <c r="D18" s="13" t="s">
        <v>762</v>
      </c>
      <c r="F18" s="14"/>
      <c r="G18" s="14"/>
      <c r="H18" s="14"/>
      <c r="I18" s="14"/>
      <c r="N18" s="32" t="s">
        <v>441</v>
      </c>
      <c r="O18" s="32"/>
      <c r="P18" s="32"/>
      <c r="Q18" s="32"/>
      <c r="R18" s="59"/>
      <c r="T18" s="17">
        <f>SUM(T16:T17)</f>
        <v>7.0750000000000002</v>
      </c>
      <c r="V18" s="17">
        <f t="shared" ref="V18:W18" si="13">SUM(V16:V17)</f>
        <v>15.416666666666668</v>
      </c>
      <c r="W18" s="17">
        <f t="shared" si="13"/>
        <v>25</v>
      </c>
      <c r="AA18" s="17">
        <f t="shared" ref="AA18" si="14">SUM(AA16:AA17)</f>
        <v>7.0833333333333339</v>
      </c>
      <c r="AB18" s="17">
        <f t="shared" ref="AB18:AD18" si="15">SUM(AB16:AB17)</f>
        <v>16.833333333333332</v>
      </c>
      <c r="AC18" s="17">
        <f t="shared" si="15"/>
        <v>19.333333333333336</v>
      </c>
      <c r="AD18" s="17">
        <f t="shared" si="15"/>
        <v>21.833333333333336</v>
      </c>
    </row>
    <row r="19" spans="1:30" ht="85" x14ac:dyDescent="0.2">
      <c r="B19" s="2" t="s">
        <v>44</v>
      </c>
      <c r="C19" s="2" t="s">
        <v>45</v>
      </c>
      <c r="D19" s="2" t="s">
        <v>45</v>
      </c>
      <c r="E19" s="3" t="s">
        <v>89</v>
      </c>
      <c r="F19" s="3" t="s">
        <v>174</v>
      </c>
      <c r="G19" s="3" t="s">
        <v>175</v>
      </c>
      <c r="H19" s="3" t="s">
        <v>90</v>
      </c>
      <c r="I19" s="2" t="s">
        <v>182</v>
      </c>
      <c r="K19" s="3" t="s">
        <v>430</v>
      </c>
      <c r="L19" s="3" t="s">
        <v>432</v>
      </c>
      <c r="M19" s="3" t="s">
        <v>431</v>
      </c>
      <c r="N19" s="2" t="s">
        <v>181</v>
      </c>
      <c r="O19" s="2" t="s">
        <v>181</v>
      </c>
      <c r="P19" s="2" t="s">
        <v>181</v>
      </c>
      <c r="Q19" s="3" t="s">
        <v>431</v>
      </c>
      <c r="R19" s="3" t="s">
        <v>439</v>
      </c>
      <c r="S19" s="3" t="str">
        <f>K19</f>
        <v>Less than 180 Degrees Both Sides</v>
      </c>
      <c r="T19" s="8">
        <v>0</v>
      </c>
      <c r="U19" s="3" t="s">
        <v>517</v>
      </c>
      <c r="V19" s="8">
        <v>4</v>
      </c>
      <c r="W19" s="8">
        <v>6</v>
      </c>
      <c r="AA19" s="2">
        <v>4</v>
      </c>
      <c r="AB19" s="2">
        <v>6</v>
      </c>
      <c r="AC19" s="2">
        <v>6</v>
      </c>
      <c r="AD19" s="2">
        <v>6</v>
      </c>
    </row>
    <row r="20" spans="1:30" ht="68" x14ac:dyDescent="0.2">
      <c r="B20" s="2" t="s">
        <v>44</v>
      </c>
      <c r="C20" s="2" t="s">
        <v>46</v>
      </c>
      <c r="D20" s="2" t="s">
        <v>353</v>
      </c>
      <c r="E20" s="3" t="s">
        <v>87</v>
      </c>
      <c r="F20" s="3" t="s">
        <v>176</v>
      </c>
      <c r="G20" s="3"/>
      <c r="H20" s="3" t="s">
        <v>90</v>
      </c>
      <c r="I20" s="2" t="s">
        <v>182</v>
      </c>
      <c r="K20" s="2" t="s">
        <v>330</v>
      </c>
      <c r="L20" s="2" t="s">
        <v>329</v>
      </c>
      <c r="M20" s="2" t="s">
        <v>331</v>
      </c>
      <c r="N20" s="2" t="s">
        <v>181</v>
      </c>
      <c r="O20" s="2" t="s">
        <v>329</v>
      </c>
      <c r="P20" s="2" t="s">
        <v>181</v>
      </c>
      <c r="Q20" s="2" t="s">
        <v>331</v>
      </c>
      <c r="R20" s="3" t="s">
        <v>368</v>
      </c>
      <c r="S20" s="3" t="str">
        <f>K20</f>
        <v>Cannot Touch Toes</v>
      </c>
      <c r="T20" s="8">
        <v>0</v>
      </c>
      <c r="U20" s="3" t="s">
        <v>329</v>
      </c>
      <c r="V20" s="8">
        <v>3</v>
      </c>
      <c r="W20" s="8">
        <v>6</v>
      </c>
      <c r="AA20" s="2">
        <v>3</v>
      </c>
      <c r="AB20" s="2">
        <v>6</v>
      </c>
      <c r="AC20" s="2">
        <v>6</v>
      </c>
      <c r="AD20" s="2">
        <v>6</v>
      </c>
    </row>
    <row r="21" spans="1:30" ht="115" customHeight="1" x14ac:dyDescent="0.2">
      <c r="B21" s="2" t="s">
        <v>44</v>
      </c>
      <c r="C21" s="2" t="s">
        <v>47</v>
      </c>
      <c r="D21" s="2" t="s">
        <v>354</v>
      </c>
      <c r="E21" s="3" t="s">
        <v>88</v>
      </c>
      <c r="F21" s="3" t="s">
        <v>177</v>
      </c>
      <c r="G21" s="3" t="s">
        <v>91</v>
      </c>
      <c r="H21" s="3" t="s">
        <v>92</v>
      </c>
      <c r="I21" s="2" t="s">
        <v>182</v>
      </c>
      <c r="K21" s="3" t="s">
        <v>333</v>
      </c>
      <c r="L21" s="3" t="s">
        <v>334</v>
      </c>
      <c r="M21" s="3" t="s">
        <v>332</v>
      </c>
      <c r="N21" s="2" t="s">
        <v>181</v>
      </c>
      <c r="O21" s="2" t="s">
        <v>181</v>
      </c>
      <c r="P21" s="2" t="s">
        <v>181</v>
      </c>
      <c r="Q21" s="3" t="s">
        <v>332</v>
      </c>
      <c r="R21" s="3" t="s">
        <v>369</v>
      </c>
      <c r="S21" s="3" t="str">
        <f>K21</f>
        <v>2 or more of Arms move forward of head, Pelvis not below the hips, Ankles Flare</v>
      </c>
      <c r="T21" s="8">
        <v>3</v>
      </c>
      <c r="U21" s="3" t="str">
        <f>L21</f>
        <v>1 or less of Arms move forward of head, Pelvis not below the hips, Ankles Flare</v>
      </c>
      <c r="V21" s="8">
        <v>6</v>
      </c>
      <c r="W21" s="8">
        <v>9</v>
      </c>
      <c r="AA21" s="2">
        <v>6</v>
      </c>
      <c r="AB21" s="2">
        <v>9</v>
      </c>
      <c r="AC21" s="2">
        <v>9</v>
      </c>
      <c r="AD21" s="2">
        <v>9</v>
      </c>
    </row>
    <row r="22" spans="1:30" s="13" customFormat="1" ht="83" customHeight="1" x14ac:dyDescent="0.2">
      <c r="B22" s="13" t="s">
        <v>343</v>
      </c>
      <c r="F22" s="14"/>
      <c r="I22" s="14"/>
      <c r="N22" s="14" t="s">
        <v>434</v>
      </c>
      <c r="O22" s="14" t="s">
        <v>433</v>
      </c>
      <c r="P22" s="14" t="s">
        <v>435</v>
      </c>
      <c r="Q22" s="14" t="s">
        <v>436</v>
      </c>
      <c r="T22" s="17">
        <f>SUM(T19:T21)</f>
        <v>3</v>
      </c>
      <c r="V22" s="17">
        <f t="shared" ref="V22:W22" si="16">SUM(V19:V21)</f>
        <v>13</v>
      </c>
      <c r="W22" s="17">
        <f t="shared" si="16"/>
        <v>21</v>
      </c>
      <c r="AA22" s="17">
        <f t="shared" ref="AA22" si="17">SUM(AA19:AA21)</f>
        <v>13</v>
      </c>
      <c r="AB22" s="17">
        <f t="shared" ref="AB22:AD22" si="18">SUM(AB19:AB21)</f>
        <v>21</v>
      </c>
      <c r="AC22" s="17">
        <f t="shared" si="18"/>
        <v>21</v>
      </c>
      <c r="AD22" s="17">
        <f t="shared" si="18"/>
        <v>21</v>
      </c>
    </row>
    <row r="23" spans="1:30" s="23" customFormat="1" x14ac:dyDescent="0.2">
      <c r="B23" s="23" t="s">
        <v>376</v>
      </c>
      <c r="D23" s="23" t="s">
        <v>758</v>
      </c>
      <c r="F23" s="24"/>
      <c r="I23" s="24"/>
      <c r="S23" s="26"/>
      <c r="T23" s="26">
        <f>SUM(T22,T18,T15,T13,T10)</f>
        <v>63.158333333333331</v>
      </c>
      <c r="U23" s="26"/>
      <c r="V23" s="26">
        <f t="shared" ref="V23:W23" si="19">SUM(V22,V18,V15,V13,V10)</f>
        <v>100.59319094560058</v>
      </c>
      <c r="W23" s="26">
        <f t="shared" si="19"/>
        <v>186</v>
      </c>
      <c r="X23" s="26">
        <v>50</v>
      </c>
      <c r="Y23" s="26">
        <f>(T23/W23)*X23</f>
        <v>16.978046594982079</v>
      </c>
      <c r="Z23" s="26">
        <f>(V23/W23)*X23</f>
        <v>27.041180361720585</v>
      </c>
      <c r="AA23" s="26">
        <f t="shared" ref="AA23" si="20">SUM(AA22,AA18,AA15,AA13,AA10)</f>
        <v>73.416666666666671</v>
      </c>
      <c r="AB23" s="26">
        <f t="shared" ref="AB23:AD23" si="21">SUM(AB22,AB18,AB15,AB13,AB10)</f>
        <v>115.32539682539681</v>
      </c>
      <c r="AC23" s="26">
        <f t="shared" si="21"/>
        <v>124.4871794871795</v>
      </c>
      <c r="AD23" s="26">
        <f t="shared" si="21"/>
        <v>134.0263157894737</v>
      </c>
    </row>
    <row r="24" spans="1:30" ht="51" x14ac:dyDescent="0.2">
      <c r="A24" s="2" t="s">
        <v>48</v>
      </c>
      <c r="B24" s="2" t="s">
        <v>255</v>
      </c>
      <c r="C24" s="2" t="s">
        <v>49</v>
      </c>
      <c r="D24" s="2" t="s">
        <v>384</v>
      </c>
      <c r="E24" s="3" t="s">
        <v>97</v>
      </c>
      <c r="F24" s="2" t="s">
        <v>77</v>
      </c>
      <c r="H24" s="3" t="s">
        <v>79</v>
      </c>
      <c r="I24" s="2" t="s">
        <v>183</v>
      </c>
      <c r="K24" s="2">
        <v>3</v>
      </c>
      <c r="L24" s="8">
        <v>5</v>
      </c>
      <c r="M24" s="2">
        <v>7</v>
      </c>
      <c r="N24" s="2">
        <v>6</v>
      </c>
      <c r="O24" s="2">
        <v>7</v>
      </c>
      <c r="P24" s="2">
        <v>8</v>
      </c>
      <c r="Q24" s="2">
        <v>10</v>
      </c>
      <c r="R24" s="2" t="str">
        <f>D24</f>
        <v>HC10LD</v>
      </c>
      <c r="S24" s="2">
        <f t="shared" ref="S24:S27" si="22">K24</f>
        <v>3</v>
      </c>
      <c r="T24" s="2">
        <f>S24</f>
        <v>3</v>
      </c>
      <c r="U24" s="2">
        <f t="shared" ref="U24:U27" si="23">M24</f>
        <v>7</v>
      </c>
      <c r="V24" s="2">
        <f>U24</f>
        <v>7</v>
      </c>
      <c r="W24" s="2">
        <v>10</v>
      </c>
      <c r="AA24" s="2">
        <f>L24</f>
        <v>5</v>
      </c>
      <c r="AB24" s="8">
        <f>O24</f>
        <v>7</v>
      </c>
      <c r="AC24" s="8">
        <f>P24</f>
        <v>8</v>
      </c>
      <c r="AD24" s="8">
        <f>Q24</f>
        <v>10</v>
      </c>
    </row>
    <row r="25" spans="1:30" ht="51" x14ac:dyDescent="0.2">
      <c r="B25" s="2" t="s">
        <v>37</v>
      </c>
      <c r="C25" s="2" t="s">
        <v>67</v>
      </c>
      <c r="D25" s="2" t="s">
        <v>385</v>
      </c>
      <c r="E25" s="3" t="s">
        <v>245</v>
      </c>
      <c r="F25" s="3" t="s">
        <v>179</v>
      </c>
      <c r="G25" s="3" t="s">
        <v>180</v>
      </c>
      <c r="H25" s="3" t="s">
        <v>109</v>
      </c>
      <c r="I25" s="2" t="s">
        <v>184</v>
      </c>
      <c r="K25" s="2">
        <v>32</v>
      </c>
      <c r="L25" s="8">
        <v>35</v>
      </c>
      <c r="M25" s="2">
        <v>43</v>
      </c>
      <c r="N25" s="2">
        <v>43</v>
      </c>
      <c r="O25" s="2">
        <v>46</v>
      </c>
      <c r="P25" s="2">
        <v>49</v>
      </c>
      <c r="Q25" s="2">
        <v>52</v>
      </c>
      <c r="R25" s="2" t="s">
        <v>448</v>
      </c>
      <c r="S25" s="2">
        <f t="shared" si="22"/>
        <v>32</v>
      </c>
      <c r="T25" s="8">
        <f>S25/5</f>
        <v>6.4</v>
      </c>
      <c r="U25" s="2">
        <f t="shared" si="23"/>
        <v>43</v>
      </c>
      <c r="V25" s="8">
        <f>U25/5</f>
        <v>8.6</v>
      </c>
      <c r="W25" s="2">
        <f>60/5</f>
        <v>12</v>
      </c>
      <c r="AA25" s="2">
        <f>L25/5</f>
        <v>7</v>
      </c>
      <c r="AB25" s="8">
        <f>O25/5</f>
        <v>9.1999999999999993</v>
      </c>
      <c r="AC25" s="8">
        <f>P25/5</f>
        <v>9.8000000000000007</v>
      </c>
      <c r="AD25" s="8">
        <f>Q25/5</f>
        <v>10.4</v>
      </c>
    </row>
    <row r="26" spans="1:30" ht="187" x14ac:dyDescent="0.2">
      <c r="B26" s="2" t="s">
        <v>256</v>
      </c>
      <c r="C26" s="2" t="s">
        <v>100</v>
      </c>
      <c r="D26" s="2" t="s">
        <v>409</v>
      </c>
      <c r="E26" s="3" t="s">
        <v>105</v>
      </c>
      <c r="F26" s="3" t="s">
        <v>292</v>
      </c>
      <c r="G26" s="3" t="s">
        <v>104</v>
      </c>
      <c r="H26" s="3" t="s">
        <v>147</v>
      </c>
      <c r="I26" s="2" t="s">
        <v>193</v>
      </c>
      <c r="K26" s="2">
        <v>10</v>
      </c>
      <c r="L26" s="8">
        <v>15</v>
      </c>
      <c r="M26" s="2">
        <v>20</v>
      </c>
      <c r="N26" s="2">
        <v>20</v>
      </c>
      <c r="O26" s="2">
        <v>22</v>
      </c>
      <c r="P26" s="2">
        <v>25</v>
      </c>
      <c r="Q26" s="2">
        <v>28</v>
      </c>
      <c r="R26" s="2" t="str">
        <f>D26</f>
        <v>H10FAST</v>
      </c>
      <c r="S26" s="2">
        <f t="shared" si="22"/>
        <v>10</v>
      </c>
      <c r="T26" s="2">
        <f>S26</f>
        <v>10</v>
      </c>
      <c r="U26" s="2">
        <f t="shared" si="23"/>
        <v>20</v>
      </c>
      <c r="V26" s="2">
        <f>U26</f>
        <v>20</v>
      </c>
      <c r="W26" s="2">
        <v>50</v>
      </c>
      <c r="AA26" s="2">
        <f>L26</f>
        <v>15</v>
      </c>
      <c r="AB26" s="8">
        <f>O26</f>
        <v>22</v>
      </c>
      <c r="AC26" s="8">
        <f>P26</f>
        <v>25</v>
      </c>
      <c r="AD26" s="8">
        <f>Q26</f>
        <v>28</v>
      </c>
    </row>
    <row r="27" spans="1:30" ht="51" x14ac:dyDescent="0.2">
      <c r="B27" s="2" t="s">
        <v>37</v>
      </c>
      <c r="C27" s="2" t="s">
        <v>98</v>
      </c>
      <c r="D27" s="2" t="s">
        <v>386</v>
      </c>
      <c r="E27" s="3" t="s">
        <v>99</v>
      </c>
      <c r="F27" s="2" t="s">
        <v>77</v>
      </c>
      <c r="G27" s="3" t="s">
        <v>180</v>
      </c>
      <c r="H27" s="3" t="s">
        <v>108</v>
      </c>
      <c r="I27" s="2" t="s">
        <v>187</v>
      </c>
      <c r="K27" s="2">
        <v>30</v>
      </c>
      <c r="L27" s="8">
        <v>32</v>
      </c>
      <c r="M27" s="2">
        <v>40</v>
      </c>
      <c r="N27" s="2">
        <v>40</v>
      </c>
      <c r="O27" s="2">
        <v>42</v>
      </c>
      <c r="P27" s="2">
        <v>45</v>
      </c>
      <c r="Q27" s="2">
        <v>48</v>
      </c>
      <c r="R27" s="2" t="s">
        <v>449</v>
      </c>
      <c r="S27" s="2">
        <f t="shared" si="22"/>
        <v>30</v>
      </c>
      <c r="T27" s="8">
        <f>S27/4</f>
        <v>7.5</v>
      </c>
      <c r="U27" s="2">
        <f t="shared" si="23"/>
        <v>40</v>
      </c>
      <c r="V27" s="8">
        <f>U27/4</f>
        <v>10</v>
      </c>
      <c r="W27" s="8">
        <f>55/5</f>
        <v>11</v>
      </c>
      <c r="AA27" s="2">
        <f>L27/4</f>
        <v>8</v>
      </c>
      <c r="AB27" s="8">
        <f>O27/4</f>
        <v>10.5</v>
      </c>
      <c r="AC27" s="8">
        <f>P27/4</f>
        <v>11.25</v>
      </c>
      <c r="AD27" s="8">
        <f>Q27/4</f>
        <v>12</v>
      </c>
    </row>
    <row r="28" spans="1:30" s="13" customFormat="1" x14ac:dyDescent="0.2">
      <c r="B28" s="13" t="s">
        <v>398</v>
      </c>
      <c r="D28" s="13" t="s">
        <v>763</v>
      </c>
      <c r="F28" s="14"/>
      <c r="H28" s="14"/>
      <c r="I28" s="14"/>
      <c r="N28" s="15" t="s">
        <v>442</v>
      </c>
      <c r="O28" s="15"/>
      <c r="P28" s="15"/>
      <c r="Q28" s="15"/>
      <c r="R28" s="33"/>
      <c r="T28" s="13">
        <f>SUM(T24,T26)</f>
        <v>13</v>
      </c>
      <c r="V28" s="13">
        <f t="shared" ref="V28:W28" si="24">SUM(V24,V26)</f>
        <v>27</v>
      </c>
      <c r="W28" s="13">
        <f t="shared" si="24"/>
        <v>60</v>
      </c>
      <c r="AA28" s="13">
        <f t="shared" ref="AA28:AD28" si="25">SUM(AA24,AA26)</f>
        <v>20</v>
      </c>
      <c r="AB28" s="13">
        <f t="shared" si="25"/>
        <v>29</v>
      </c>
      <c r="AC28" s="13">
        <f t="shared" si="25"/>
        <v>33</v>
      </c>
      <c r="AD28" s="13">
        <f t="shared" si="25"/>
        <v>38</v>
      </c>
    </row>
    <row r="29" spans="1:30" s="30" customFormat="1" x14ac:dyDescent="0.2">
      <c r="B29" s="30" t="s">
        <v>399</v>
      </c>
      <c r="D29" s="30" t="s">
        <v>764</v>
      </c>
      <c r="F29" s="31"/>
      <c r="H29" s="31"/>
      <c r="I29" s="31"/>
      <c r="N29" s="35" t="s">
        <v>1128</v>
      </c>
      <c r="O29" s="35"/>
      <c r="P29" s="35"/>
      <c r="Q29" s="35"/>
      <c r="R29" s="69"/>
      <c r="T29" s="36">
        <f>SUM(T25:T27)</f>
        <v>23.9</v>
      </c>
      <c r="V29" s="36">
        <f t="shared" ref="V29:W29" si="26">SUM(V25:V27)</f>
        <v>38.6</v>
      </c>
      <c r="W29" s="36">
        <f t="shared" si="26"/>
        <v>73</v>
      </c>
      <c r="AA29" s="36">
        <f t="shared" ref="AA29:AD29" si="27">SUM(AA25:AA27)</f>
        <v>30</v>
      </c>
      <c r="AB29" s="36">
        <f t="shared" si="27"/>
        <v>41.7</v>
      </c>
      <c r="AC29" s="36">
        <f t="shared" si="27"/>
        <v>46.05</v>
      </c>
      <c r="AD29" s="36">
        <f t="shared" si="27"/>
        <v>50.4</v>
      </c>
    </row>
    <row r="30" spans="1:30" s="23" customFormat="1" x14ac:dyDescent="0.2">
      <c r="B30" s="23" t="s">
        <v>400</v>
      </c>
      <c r="D30" s="23" t="s">
        <v>656</v>
      </c>
      <c r="F30" s="24"/>
      <c r="I30" s="24"/>
      <c r="T30" s="26">
        <f>SUM(T24:T27)</f>
        <v>26.9</v>
      </c>
      <c r="U30" s="26"/>
      <c r="V30" s="26">
        <f t="shared" ref="V30:W30" si="28">SUM(V24:V27)</f>
        <v>45.6</v>
      </c>
      <c r="W30" s="26">
        <f t="shared" si="28"/>
        <v>83</v>
      </c>
      <c r="X30" s="26">
        <v>50</v>
      </c>
      <c r="Y30" s="26">
        <f>(T30/W30)*X30</f>
        <v>16.204819277108431</v>
      </c>
      <c r="Z30" s="26">
        <f>(V30/W30)*X30</f>
        <v>27.469879518072286</v>
      </c>
      <c r="AA30" s="26">
        <f t="shared" ref="AA30:AD30" si="29">SUM(AA24:AA27)</f>
        <v>35</v>
      </c>
      <c r="AB30" s="26">
        <f t="shared" si="29"/>
        <v>48.7</v>
      </c>
      <c r="AC30" s="26">
        <f t="shared" si="29"/>
        <v>54.05</v>
      </c>
      <c r="AD30" s="26">
        <f t="shared" si="29"/>
        <v>60.4</v>
      </c>
    </row>
    <row r="31" spans="1:30" ht="51" x14ac:dyDescent="0.2">
      <c r="A31" s="2" t="s">
        <v>247</v>
      </c>
      <c r="B31" s="2" t="s">
        <v>247</v>
      </c>
      <c r="C31" s="2" t="s">
        <v>50</v>
      </c>
      <c r="D31" s="2" t="s">
        <v>357</v>
      </c>
      <c r="E31" s="3" t="s">
        <v>274</v>
      </c>
      <c r="F31" s="2" t="s">
        <v>77</v>
      </c>
      <c r="G31" s="3" t="s">
        <v>186</v>
      </c>
      <c r="H31" s="3" t="s">
        <v>108</v>
      </c>
      <c r="I31" s="2" t="s">
        <v>187</v>
      </c>
      <c r="K31" s="2">
        <v>25</v>
      </c>
      <c r="L31" s="2">
        <v>30</v>
      </c>
      <c r="M31" s="2">
        <v>40</v>
      </c>
      <c r="N31" s="2">
        <v>40</v>
      </c>
      <c r="O31" s="2">
        <v>42</v>
      </c>
      <c r="P31" s="2">
        <v>45</v>
      </c>
      <c r="Q31" s="2">
        <v>48</v>
      </c>
      <c r="R31" s="2" t="s">
        <v>455</v>
      </c>
      <c r="S31" s="2">
        <f t="shared" ref="S31:S33" si="30">K31</f>
        <v>25</v>
      </c>
      <c r="T31" s="8">
        <f>S31/2</f>
        <v>12.5</v>
      </c>
      <c r="U31" s="2">
        <f t="shared" ref="U31:U33" si="31">M31</f>
        <v>40</v>
      </c>
      <c r="V31" s="8">
        <f>U31/2</f>
        <v>20</v>
      </c>
      <c r="W31" s="8">
        <f>55/2</f>
        <v>27.5</v>
      </c>
      <c r="AA31" s="2">
        <f>L31/2</f>
        <v>15</v>
      </c>
      <c r="AB31" s="2">
        <f>O31/2</f>
        <v>21</v>
      </c>
      <c r="AC31" s="2">
        <f>P31/2</f>
        <v>22.5</v>
      </c>
      <c r="AD31" s="2">
        <f>Q31/2</f>
        <v>24</v>
      </c>
    </row>
    <row r="32" spans="1:30" ht="102" x14ac:dyDescent="0.2">
      <c r="B32" s="2" t="s">
        <v>247</v>
      </c>
      <c r="C32" s="2" t="s">
        <v>246</v>
      </c>
      <c r="D32" s="2" t="s">
        <v>478</v>
      </c>
      <c r="E32" s="3" t="s">
        <v>275</v>
      </c>
      <c r="F32" s="3" t="s">
        <v>387</v>
      </c>
      <c r="G32" s="3" t="s">
        <v>110</v>
      </c>
      <c r="H32" s="3" t="s">
        <v>289</v>
      </c>
      <c r="I32" s="3" t="s">
        <v>188</v>
      </c>
      <c r="J32" s="3"/>
      <c r="K32" s="2">
        <v>3</v>
      </c>
      <c r="L32" s="8">
        <v>4</v>
      </c>
      <c r="M32" s="2">
        <v>10</v>
      </c>
      <c r="N32" s="2">
        <v>10</v>
      </c>
      <c r="O32" s="2">
        <v>11</v>
      </c>
      <c r="P32" s="2">
        <v>12</v>
      </c>
      <c r="Q32" s="2">
        <v>14</v>
      </c>
      <c r="R32" s="2" t="str">
        <f>D32</f>
        <v>TPITCH1040</v>
      </c>
      <c r="S32" s="2">
        <f t="shared" si="30"/>
        <v>3</v>
      </c>
      <c r="T32" s="2">
        <f>S32</f>
        <v>3</v>
      </c>
      <c r="U32" s="2">
        <f t="shared" si="31"/>
        <v>10</v>
      </c>
      <c r="V32" s="2">
        <f>U32</f>
        <v>10</v>
      </c>
      <c r="W32" s="2">
        <v>30</v>
      </c>
      <c r="AA32" s="2">
        <f>L32</f>
        <v>4</v>
      </c>
      <c r="AB32" s="2">
        <f>O32</f>
        <v>11</v>
      </c>
      <c r="AC32" s="2">
        <f>P32</f>
        <v>12</v>
      </c>
      <c r="AD32" s="2">
        <f>Q32</f>
        <v>14</v>
      </c>
    </row>
    <row r="33" spans="1:30" ht="170" x14ac:dyDescent="0.2">
      <c r="B33" s="2" t="s">
        <v>247</v>
      </c>
      <c r="C33" s="2" t="s">
        <v>251</v>
      </c>
      <c r="D33" s="2" t="s">
        <v>451</v>
      </c>
      <c r="E33" s="3" t="s">
        <v>453</v>
      </c>
      <c r="F33" s="3" t="s">
        <v>454</v>
      </c>
      <c r="G33" s="3" t="s">
        <v>162</v>
      </c>
      <c r="H33" s="3" t="s">
        <v>147</v>
      </c>
      <c r="I33" s="2" t="s">
        <v>200</v>
      </c>
      <c r="K33" s="2">
        <v>2</v>
      </c>
      <c r="L33" s="8">
        <v>3</v>
      </c>
      <c r="M33" s="2">
        <v>6</v>
      </c>
      <c r="N33" s="2">
        <v>6</v>
      </c>
      <c r="O33" s="2">
        <v>7</v>
      </c>
      <c r="P33" s="2">
        <v>8</v>
      </c>
      <c r="Q33" s="2">
        <v>10</v>
      </c>
      <c r="R33" s="2" t="str">
        <f>D33</f>
        <v>T80FT</v>
      </c>
      <c r="S33" s="2">
        <f t="shared" si="30"/>
        <v>2</v>
      </c>
      <c r="T33" s="2">
        <f>S33</f>
        <v>2</v>
      </c>
      <c r="U33" s="2">
        <f t="shared" si="31"/>
        <v>6</v>
      </c>
      <c r="V33" s="2">
        <f>U33</f>
        <v>6</v>
      </c>
      <c r="W33" s="2">
        <v>20</v>
      </c>
      <c r="AA33" s="2">
        <f>L33</f>
        <v>3</v>
      </c>
      <c r="AB33" s="2">
        <f>O33</f>
        <v>7</v>
      </c>
      <c r="AC33" s="2">
        <f>P33</f>
        <v>8</v>
      </c>
      <c r="AD33" s="2">
        <f>Q33</f>
        <v>10</v>
      </c>
    </row>
    <row r="34" spans="1:30" s="30" customFormat="1" x14ac:dyDescent="0.2">
      <c r="B34" s="30" t="s">
        <v>457</v>
      </c>
      <c r="E34" s="31"/>
      <c r="F34" s="31"/>
      <c r="G34" s="31"/>
      <c r="H34" s="31"/>
      <c r="N34" s="35" t="s">
        <v>459</v>
      </c>
      <c r="O34" s="35"/>
      <c r="P34" s="35"/>
      <c r="Q34" s="35"/>
    </row>
    <row r="35" spans="1:30" s="39" customFormat="1" x14ac:dyDescent="0.2">
      <c r="B35" s="39" t="s">
        <v>458</v>
      </c>
      <c r="E35" s="40"/>
      <c r="F35" s="40"/>
      <c r="G35" s="40"/>
      <c r="H35" s="40"/>
      <c r="N35" s="41" t="s">
        <v>460</v>
      </c>
      <c r="O35" s="41"/>
      <c r="P35" s="41"/>
      <c r="Q35" s="41"/>
    </row>
    <row r="36" spans="1:30" s="13" customFormat="1" x14ac:dyDescent="0.2">
      <c r="B36" s="13" t="s">
        <v>401</v>
      </c>
      <c r="E36" s="14"/>
      <c r="F36" s="14"/>
      <c r="G36" s="14"/>
      <c r="H36" s="14"/>
      <c r="I36" s="14"/>
      <c r="J36" s="14"/>
      <c r="N36" s="29" t="s">
        <v>456</v>
      </c>
      <c r="O36" s="29"/>
      <c r="P36" s="29"/>
      <c r="Q36" s="29"/>
    </row>
    <row r="37" spans="1:30" s="23" customFormat="1" x14ac:dyDescent="0.2">
      <c r="B37" s="23" t="s">
        <v>402</v>
      </c>
      <c r="E37" s="24"/>
      <c r="F37" s="24"/>
      <c r="G37" s="24"/>
      <c r="H37" s="24"/>
      <c r="I37" s="24"/>
      <c r="J37" s="24"/>
      <c r="T37" s="26">
        <f>SUM(T31:T33)</f>
        <v>17.5</v>
      </c>
      <c r="U37" s="26"/>
      <c r="V37" s="26">
        <f t="shared" ref="V37:W37" si="32">SUM(V31:V33)</f>
        <v>36</v>
      </c>
      <c r="W37" s="26">
        <f t="shared" si="32"/>
        <v>77.5</v>
      </c>
      <c r="X37" s="26">
        <v>50</v>
      </c>
      <c r="Y37" s="26">
        <f>(T37/W37)*X37</f>
        <v>11.29032258064516</v>
      </c>
      <c r="Z37" s="26">
        <f>(V37/W37)*X37</f>
        <v>23.225806451612904</v>
      </c>
      <c r="AA37" s="26">
        <f t="shared" ref="AA37:AD37" si="33">SUM(AA31:AA33)</f>
        <v>22</v>
      </c>
      <c r="AB37" s="26">
        <f t="shared" si="33"/>
        <v>39</v>
      </c>
      <c r="AC37" s="26">
        <f t="shared" si="33"/>
        <v>42.5</v>
      </c>
      <c r="AD37" s="26">
        <f t="shared" si="33"/>
        <v>48</v>
      </c>
    </row>
    <row r="38" spans="1:30" ht="119" x14ac:dyDescent="0.2">
      <c r="A38" s="2" t="s">
        <v>259</v>
      </c>
      <c r="B38" s="2" t="s">
        <v>259</v>
      </c>
      <c r="C38" s="2" t="s">
        <v>249</v>
      </c>
      <c r="D38" s="2" t="s">
        <v>388</v>
      </c>
      <c r="E38" s="3" t="s">
        <v>250</v>
      </c>
      <c r="F38" s="3" t="s">
        <v>149</v>
      </c>
      <c r="G38" s="3" t="s">
        <v>141</v>
      </c>
      <c r="H38" s="3" t="s">
        <v>150</v>
      </c>
      <c r="I38" s="2" t="s">
        <v>195</v>
      </c>
      <c r="K38" s="2">
        <v>1</v>
      </c>
      <c r="L38" s="8">
        <v>8</v>
      </c>
      <c r="M38" s="2">
        <v>9</v>
      </c>
      <c r="N38" s="2">
        <v>9</v>
      </c>
      <c r="O38" s="2">
        <v>10</v>
      </c>
      <c r="P38" s="2">
        <v>11</v>
      </c>
      <c r="Q38" s="2">
        <v>12</v>
      </c>
      <c r="R38" s="2" t="str">
        <f>D38</f>
        <v>C51B</v>
      </c>
      <c r="S38" s="2">
        <f t="shared" ref="S38:S46" si="34">K38</f>
        <v>1</v>
      </c>
      <c r="T38" s="2">
        <f>S38</f>
        <v>1</v>
      </c>
      <c r="U38" s="2">
        <f t="shared" ref="U38:U46" si="35">M38</f>
        <v>9</v>
      </c>
      <c r="V38" s="2">
        <f>U38</f>
        <v>9</v>
      </c>
      <c r="W38" s="2">
        <v>15</v>
      </c>
      <c r="AA38" s="2">
        <f t="shared" ref="AA38:AA47" si="36">L38</f>
        <v>8</v>
      </c>
      <c r="AB38" s="2">
        <f>O38</f>
        <v>10</v>
      </c>
      <c r="AC38" s="2">
        <f>P38</f>
        <v>11</v>
      </c>
      <c r="AD38" s="2">
        <f>Q38</f>
        <v>12</v>
      </c>
    </row>
    <row r="39" spans="1:30" ht="85" x14ac:dyDescent="0.2">
      <c r="B39" s="2" t="s">
        <v>259</v>
      </c>
      <c r="C39" s="2" t="s">
        <v>59</v>
      </c>
      <c r="D39" s="2" t="s">
        <v>463</v>
      </c>
      <c r="E39" s="3" t="s">
        <v>235</v>
      </c>
      <c r="F39" s="3" t="s">
        <v>153</v>
      </c>
      <c r="G39" s="3" t="s">
        <v>141</v>
      </c>
      <c r="H39" s="3" t="s">
        <v>147</v>
      </c>
      <c r="I39" s="2" t="s">
        <v>195</v>
      </c>
      <c r="K39" s="2">
        <v>0</v>
      </c>
      <c r="L39" s="8">
        <v>7</v>
      </c>
      <c r="M39" s="2">
        <v>6</v>
      </c>
      <c r="N39" s="2">
        <v>6</v>
      </c>
      <c r="O39" s="2">
        <v>7</v>
      </c>
      <c r="P39" s="2">
        <v>8</v>
      </c>
      <c r="Q39" s="2">
        <v>9</v>
      </c>
      <c r="R39" s="2" t="str">
        <f>D39</f>
        <v>C1BST</v>
      </c>
      <c r="S39" s="2">
        <f t="shared" si="34"/>
        <v>0</v>
      </c>
      <c r="T39" s="2">
        <f t="shared" ref="T39:V45" si="37">S39</f>
        <v>0</v>
      </c>
      <c r="U39" s="2">
        <f t="shared" si="35"/>
        <v>6</v>
      </c>
      <c r="V39" s="2">
        <f t="shared" si="37"/>
        <v>6</v>
      </c>
      <c r="W39" s="2">
        <v>15</v>
      </c>
      <c r="AA39" s="2">
        <f t="shared" si="36"/>
        <v>7</v>
      </c>
      <c r="AB39" s="2">
        <f t="shared" ref="AB39" si="38">O39</f>
        <v>7</v>
      </c>
      <c r="AC39" s="2">
        <f>P39</f>
        <v>8</v>
      </c>
      <c r="AD39" s="2">
        <f>Q39</f>
        <v>9</v>
      </c>
    </row>
    <row r="40" spans="1:30" ht="51" x14ac:dyDescent="0.2">
      <c r="B40" s="2" t="s">
        <v>259</v>
      </c>
      <c r="C40" s="2" t="s">
        <v>125</v>
      </c>
      <c r="D40" s="2" t="s">
        <v>464</v>
      </c>
      <c r="E40" s="3" t="s">
        <v>124</v>
      </c>
      <c r="F40" s="2" t="s">
        <v>156</v>
      </c>
      <c r="G40" s="3" t="s">
        <v>157</v>
      </c>
      <c r="H40" s="3" t="s">
        <v>147</v>
      </c>
      <c r="I40" s="2" t="s">
        <v>198</v>
      </c>
      <c r="K40" s="2">
        <v>0</v>
      </c>
      <c r="L40" s="8">
        <v>2</v>
      </c>
      <c r="M40" s="2">
        <v>4</v>
      </c>
      <c r="N40" s="38">
        <v>12</v>
      </c>
      <c r="O40" s="38">
        <v>14</v>
      </c>
      <c r="P40" s="38">
        <v>16</v>
      </c>
      <c r="Q40" s="38">
        <v>18</v>
      </c>
      <c r="R40" s="2" t="str">
        <f>D40</f>
        <v>CIFF2B</v>
      </c>
      <c r="S40" s="2">
        <f t="shared" si="34"/>
        <v>0</v>
      </c>
      <c r="T40" s="2">
        <f t="shared" si="37"/>
        <v>0</v>
      </c>
      <c r="U40" s="2">
        <f t="shared" si="35"/>
        <v>4</v>
      </c>
      <c r="V40" s="2">
        <f t="shared" si="37"/>
        <v>4</v>
      </c>
      <c r="W40" s="2">
        <v>6</v>
      </c>
      <c r="AA40" s="2">
        <f t="shared" si="36"/>
        <v>2</v>
      </c>
      <c r="AB40" s="74">
        <v>5</v>
      </c>
      <c r="AC40" s="74">
        <v>5</v>
      </c>
      <c r="AD40" s="74">
        <v>5</v>
      </c>
    </row>
    <row r="41" spans="1:30" ht="51" x14ac:dyDescent="0.2">
      <c r="B41" s="2" t="s">
        <v>259</v>
      </c>
      <c r="C41" s="2" t="s">
        <v>126</v>
      </c>
      <c r="D41" s="2" t="s">
        <v>465</v>
      </c>
      <c r="E41" s="3" t="s">
        <v>132</v>
      </c>
      <c r="F41" s="2" t="s">
        <v>156</v>
      </c>
      <c r="G41" s="3" t="s">
        <v>157</v>
      </c>
      <c r="H41" s="3" t="s">
        <v>147</v>
      </c>
      <c r="I41" s="2" t="s">
        <v>198</v>
      </c>
      <c r="K41" s="2">
        <v>0</v>
      </c>
      <c r="L41" s="8">
        <v>2</v>
      </c>
      <c r="M41" s="2">
        <v>4</v>
      </c>
      <c r="N41" s="38"/>
      <c r="O41" s="38"/>
      <c r="P41" s="38"/>
      <c r="Q41" s="38"/>
      <c r="R41" s="2" t="str">
        <f>D41</f>
        <v>CIFFSS</v>
      </c>
      <c r="S41" s="2">
        <f t="shared" si="34"/>
        <v>0</v>
      </c>
      <c r="T41" s="2">
        <f t="shared" si="37"/>
        <v>0</v>
      </c>
      <c r="U41" s="2">
        <f t="shared" si="35"/>
        <v>4</v>
      </c>
      <c r="V41" s="2">
        <f t="shared" si="37"/>
        <v>4</v>
      </c>
      <c r="W41" s="2">
        <v>6</v>
      </c>
      <c r="AA41" s="2">
        <f t="shared" si="36"/>
        <v>2</v>
      </c>
      <c r="AB41" s="74">
        <v>4</v>
      </c>
      <c r="AC41" s="74">
        <v>5</v>
      </c>
      <c r="AD41" s="74">
        <v>5</v>
      </c>
    </row>
    <row r="42" spans="1:30" ht="51" x14ac:dyDescent="0.2">
      <c r="B42" s="2" t="s">
        <v>259</v>
      </c>
      <c r="C42" s="2" t="s">
        <v>127</v>
      </c>
      <c r="D42" s="2" t="s">
        <v>466</v>
      </c>
      <c r="E42" s="3" t="s">
        <v>133</v>
      </c>
      <c r="F42" s="2" t="s">
        <v>156</v>
      </c>
      <c r="G42" s="3" t="s">
        <v>157</v>
      </c>
      <c r="H42" s="3" t="s">
        <v>147</v>
      </c>
      <c r="I42" s="2" t="s">
        <v>198</v>
      </c>
      <c r="K42" s="2">
        <v>0</v>
      </c>
      <c r="L42" s="8">
        <v>2</v>
      </c>
      <c r="M42" s="2">
        <v>4</v>
      </c>
      <c r="N42" s="38"/>
      <c r="O42" s="38"/>
      <c r="P42" s="38"/>
      <c r="Q42" s="38"/>
      <c r="R42" s="2" t="str">
        <f>D42</f>
        <v>CIFF3B</v>
      </c>
      <c r="S42" s="2">
        <f t="shared" si="34"/>
        <v>0</v>
      </c>
      <c r="T42" s="2">
        <f t="shared" si="37"/>
        <v>0</v>
      </c>
      <c r="U42" s="2">
        <f t="shared" si="35"/>
        <v>4</v>
      </c>
      <c r="V42" s="2">
        <f t="shared" si="37"/>
        <v>4</v>
      </c>
      <c r="W42" s="2">
        <v>6</v>
      </c>
      <c r="AA42" s="2">
        <f t="shared" si="36"/>
        <v>2</v>
      </c>
      <c r="AB42" s="74">
        <v>4</v>
      </c>
      <c r="AC42" s="74">
        <v>4</v>
      </c>
      <c r="AD42" s="74">
        <v>5</v>
      </c>
    </row>
    <row r="43" spans="1:30" ht="51" x14ac:dyDescent="0.2">
      <c r="B43" s="2" t="s">
        <v>259</v>
      </c>
      <c r="C43" s="2" t="s">
        <v>128</v>
      </c>
      <c r="D43" s="2" t="s">
        <v>467</v>
      </c>
      <c r="E43" s="3" t="s">
        <v>134</v>
      </c>
      <c r="F43" s="2" t="s">
        <v>156</v>
      </c>
      <c r="G43" s="3" t="s">
        <v>158</v>
      </c>
      <c r="H43" s="3" t="s">
        <v>147</v>
      </c>
      <c r="I43" s="2" t="s">
        <v>198</v>
      </c>
      <c r="K43" s="2">
        <v>0</v>
      </c>
      <c r="L43" s="8">
        <v>2</v>
      </c>
      <c r="M43" s="2">
        <v>4</v>
      </c>
      <c r="N43" s="38">
        <v>12</v>
      </c>
      <c r="O43" s="38">
        <v>14</v>
      </c>
      <c r="P43" s="38">
        <v>16</v>
      </c>
      <c r="Q43" s="38">
        <v>18</v>
      </c>
      <c r="R43" s="2" t="str">
        <f>D43</f>
        <v>CLD2B</v>
      </c>
      <c r="S43" s="2">
        <f t="shared" si="34"/>
        <v>0</v>
      </c>
      <c r="T43" s="2">
        <f t="shared" si="37"/>
        <v>0</v>
      </c>
      <c r="U43" s="2">
        <f t="shared" si="35"/>
        <v>4</v>
      </c>
      <c r="V43" s="2">
        <f t="shared" si="37"/>
        <v>4</v>
      </c>
      <c r="W43" s="2">
        <v>6</v>
      </c>
      <c r="AA43" s="2">
        <f t="shared" si="36"/>
        <v>2</v>
      </c>
      <c r="AB43" s="74">
        <v>5</v>
      </c>
      <c r="AC43" s="74">
        <v>5</v>
      </c>
      <c r="AD43" s="74">
        <v>5</v>
      </c>
    </row>
    <row r="44" spans="1:30" ht="51" x14ac:dyDescent="0.2">
      <c r="B44" s="2" t="s">
        <v>259</v>
      </c>
      <c r="C44" s="2" t="s">
        <v>129</v>
      </c>
      <c r="D44" s="2" t="s">
        <v>468</v>
      </c>
      <c r="E44" s="3" t="s">
        <v>135</v>
      </c>
      <c r="F44" s="2" t="s">
        <v>156</v>
      </c>
      <c r="G44" s="3" t="s">
        <v>158</v>
      </c>
      <c r="H44" s="3" t="s">
        <v>147</v>
      </c>
      <c r="I44" s="2" t="s">
        <v>198</v>
      </c>
      <c r="K44" s="2">
        <v>0</v>
      </c>
      <c r="L44" s="8">
        <v>2</v>
      </c>
      <c r="M44" s="2">
        <v>4</v>
      </c>
      <c r="N44" s="38"/>
      <c r="O44" s="38"/>
      <c r="P44" s="38"/>
      <c r="Q44" s="38"/>
      <c r="R44" s="2" t="str">
        <f>D44</f>
        <v>CLDSS</v>
      </c>
      <c r="S44" s="2">
        <f t="shared" si="34"/>
        <v>0</v>
      </c>
      <c r="T44" s="2">
        <f t="shared" si="37"/>
        <v>0</v>
      </c>
      <c r="U44" s="2">
        <f t="shared" si="35"/>
        <v>4</v>
      </c>
      <c r="V44" s="2">
        <f t="shared" si="37"/>
        <v>4</v>
      </c>
      <c r="W44" s="2">
        <v>6</v>
      </c>
      <c r="AA44" s="2">
        <f t="shared" si="36"/>
        <v>2</v>
      </c>
      <c r="AB44" s="74">
        <v>4</v>
      </c>
      <c r="AC44" s="74">
        <v>5</v>
      </c>
      <c r="AD44" s="74">
        <v>5</v>
      </c>
    </row>
    <row r="45" spans="1:30" ht="51" x14ac:dyDescent="0.2">
      <c r="B45" s="2" t="s">
        <v>259</v>
      </c>
      <c r="C45" s="2" t="s">
        <v>130</v>
      </c>
      <c r="D45" s="2" t="s">
        <v>469</v>
      </c>
      <c r="E45" s="3" t="s">
        <v>136</v>
      </c>
      <c r="F45" s="2" t="s">
        <v>156</v>
      </c>
      <c r="G45" s="3" t="s">
        <v>158</v>
      </c>
      <c r="H45" s="3" t="s">
        <v>147</v>
      </c>
      <c r="I45" s="2" t="s">
        <v>198</v>
      </c>
      <c r="K45" s="2">
        <v>0</v>
      </c>
      <c r="L45" s="8">
        <v>2</v>
      </c>
      <c r="M45" s="2">
        <v>4</v>
      </c>
      <c r="N45" s="38"/>
      <c r="O45" s="38"/>
      <c r="P45" s="38"/>
      <c r="Q45" s="38"/>
      <c r="R45" s="2" t="str">
        <f>D45</f>
        <v>CLD3B</v>
      </c>
      <c r="S45" s="2">
        <f t="shared" si="34"/>
        <v>0</v>
      </c>
      <c r="T45" s="2">
        <f t="shared" si="37"/>
        <v>0</v>
      </c>
      <c r="U45" s="2">
        <f t="shared" si="35"/>
        <v>4</v>
      </c>
      <c r="V45" s="2">
        <f t="shared" si="37"/>
        <v>4</v>
      </c>
      <c r="W45" s="2">
        <v>6</v>
      </c>
      <c r="AA45" s="2">
        <f t="shared" si="36"/>
        <v>2</v>
      </c>
      <c r="AB45" s="74">
        <v>4</v>
      </c>
      <c r="AC45" s="74">
        <v>4</v>
      </c>
      <c r="AD45" s="74">
        <v>5</v>
      </c>
    </row>
    <row r="46" spans="1:30" ht="221" x14ac:dyDescent="0.2">
      <c r="B46" s="2" t="s">
        <v>259</v>
      </c>
      <c r="C46" s="2" t="s">
        <v>266</v>
      </c>
      <c r="D46" s="2" t="s">
        <v>462</v>
      </c>
      <c r="E46" s="3" t="s">
        <v>273</v>
      </c>
      <c r="F46" s="3" t="s">
        <v>271</v>
      </c>
      <c r="G46" s="3"/>
      <c r="H46" s="3" t="s">
        <v>147</v>
      </c>
      <c r="I46" s="3" t="s">
        <v>272</v>
      </c>
      <c r="J46" s="3"/>
      <c r="K46" s="2">
        <v>0</v>
      </c>
      <c r="L46" s="8">
        <v>5</v>
      </c>
      <c r="M46" s="2">
        <v>15</v>
      </c>
      <c r="N46" s="2" t="s">
        <v>181</v>
      </c>
      <c r="O46" s="2">
        <v>15</v>
      </c>
      <c r="P46" s="2">
        <v>20</v>
      </c>
      <c r="Q46" s="2">
        <v>25</v>
      </c>
      <c r="R46" s="2" t="str">
        <f>D46</f>
        <v>C10X10LD</v>
      </c>
      <c r="S46" s="2">
        <f t="shared" si="34"/>
        <v>0</v>
      </c>
      <c r="T46" s="2">
        <f>S46</f>
        <v>0</v>
      </c>
      <c r="U46" s="2">
        <f t="shared" si="35"/>
        <v>15</v>
      </c>
      <c r="V46" s="2">
        <f>U46</f>
        <v>15</v>
      </c>
      <c r="W46" s="2">
        <v>25</v>
      </c>
      <c r="AA46" s="2">
        <f t="shared" si="36"/>
        <v>5</v>
      </c>
      <c r="AB46" s="2">
        <f>O46</f>
        <v>15</v>
      </c>
      <c r="AC46" s="2">
        <f>P46</f>
        <v>20</v>
      </c>
      <c r="AD46" s="2">
        <f>Q46</f>
        <v>25</v>
      </c>
    </row>
    <row r="47" spans="1:30" s="13" customFormat="1" x14ac:dyDescent="0.2">
      <c r="B47" s="13" t="s">
        <v>403</v>
      </c>
      <c r="E47" s="14"/>
      <c r="F47" s="14"/>
      <c r="G47" s="14"/>
      <c r="H47" s="14"/>
      <c r="I47" s="14"/>
      <c r="N47" s="15" t="s">
        <v>446</v>
      </c>
      <c r="O47" s="15"/>
      <c r="P47" s="15"/>
      <c r="Q47" s="15"/>
    </row>
    <row r="48" spans="1:30" s="30" customFormat="1" x14ac:dyDescent="0.2">
      <c r="B48" s="30" t="s">
        <v>461</v>
      </c>
      <c r="E48" s="31"/>
      <c r="F48" s="31"/>
      <c r="G48" s="31"/>
      <c r="H48" s="31"/>
      <c r="I48" s="31"/>
      <c r="N48" s="35" t="s">
        <v>483</v>
      </c>
      <c r="O48" s="35"/>
      <c r="P48" s="35"/>
      <c r="Q48" s="35"/>
    </row>
    <row r="49" spans="1:30" s="23" customFormat="1" x14ac:dyDescent="0.2">
      <c r="B49" s="23" t="s">
        <v>404</v>
      </c>
      <c r="D49" s="23" t="s">
        <v>798</v>
      </c>
      <c r="E49" s="24"/>
      <c r="F49" s="24"/>
      <c r="G49" s="24"/>
      <c r="H49" s="24"/>
      <c r="I49" s="24"/>
      <c r="T49" s="26">
        <f>SUM(T38:T46)</f>
        <v>1</v>
      </c>
      <c r="U49" s="26"/>
      <c r="V49" s="26">
        <f t="shared" ref="V49:W49" si="39">SUM(V38:V46)</f>
        <v>54</v>
      </c>
      <c r="W49" s="26">
        <f t="shared" si="39"/>
        <v>91</v>
      </c>
      <c r="X49" s="26">
        <v>50</v>
      </c>
      <c r="Y49" s="26">
        <f>(T49/W49)*X49</f>
        <v>0.5494505494505495</v>
      </c>
      <c r="Z49" s="26">
        <f>(V49/W49)*X49</f>
        <v>29.670329670329672</v>
      </c>
      <c r="AA49" s="26">
        <f t="shared" ref="AA49" si="40">SUM(AA37:AA46)</f>
        <v>54</v>
      </c>
      <c r="AB49" s="26">
        <f t="shared" ref="AB49:AD49" si="41">SUM(AB38:AB46)</f>
        <v>58</v>
      </c>
      <c r="AC49" s="26">
        <f t="shared" si="41"/>
        <v>67</v>
      </c>
      <c r="AD49" s="26">
        <f t="shared" si="41"/>
        <v>76</v>
      </c>
    </row>
    <row r="50" spans="1:30" ht="119" x14ac:dyDescent="0.2">
      <c r="A50" s="2" t="s">
        <v>260</v>
      </c>
      <c r="B50" s="2" t="s">
        <v>63</v>
      </c>
      <c r="C50" s="2" t="s">
        <v>121</v>
      </c>
      <c r="D50" s="2" t="s">
        <v>393</v>
      </c>
      <c r="E50" s="3" t="s">
        <v>311</v>
      </c>
      <c r="F50" s="3" t="s">
        <v>155</v>
      </c>
      <c r="G50" s="3" t="s">
        <v>154</v>
      </c>
      <c r="H50" s="3" t="s">
        <v>150</v>
      </c>
      <c r="I50" s="2" t="s">
        <v>197</v>
      </c>
      <c r="K50" s="2">
        <v>4</v>
      </c>
      <c r="L50" s="8">
        <v>6</v>
      </c>
      <c r="M50" s="2">
        <v>9</v>
      </c>
      <c r="N50" s="38">
        <v>25</v>
      </c>
      <c r="O50" s="38">
        <v>26</v>
      </c>
      <c r="P50" s="38">
        <v>28</v>
      </c>
      <c r="Q50" s="38">
        <v>30</v>
      </c>
      <c r="R50" s="2" t="str">
        <f>D50</f>
        <v>RLCG2B</v>
      </c>
      <c r="S50" s="2">
        <f t="shared" ref="S50:S53" si="42">K50</f>
        <v>4</v>
      </c>
      <c r="T50" s="2">
        <f>S50</f>
        <v>4</v>
      </c>
      <c r="U50" s="2">
        <f t="shared" ref="U50:U53" si="43">M50</f>
        <v>9</v>
      </c>
      <c r="V50" s="2">
        <f>U50</f>
        <v>9</v>
      </c>
      <c r="W50" s="2">
        <v>12</v>
      </c>
      <c r="AA50" s="2">
        <f t="shared" ref="AA50:AA52" si="44">L50</f>
        <v>6</v>
      </c>
      <c r="AB50" s="74">
        <v>9</v>
      </c>
      <c r="AC50" s="74">
        <v>10</v>
      </c>
      <c r="AD50" s="74">
        <v>11</v>
      </c>
    </row>
    <row r="51" spans="1:30" ht="119" x14ac:dyDescent="0.2">
      <c r="B51" s="2" t="s">
        <v>63</v>
      </c>
      <c r="C51" s="2" t="s">
        <v>122</v>
      </c>
      <c r="D51" s="2" t="s">
        <v>394</v>
      </c>
      <c r="E51" s="3" t="s">
        <v>312</v>
      </c>
      <c r="F51" s="3" t="s">
        <v>155</v>
      </c>
      <c r="G51" s="3" t="s">
        <v>154</v>
      </c>
      <c r="H51" s="3" t="s">
        <v>150</v>
      </c>
      <c r="I51" s="2" t="s">
        <v>197</v>
      </c>
      <c r="K51" s="2">
        <v>3</v>
      </c>
      <c r="L51" s="8">
        <v>5</v>
      </c>
      <c r="M51" s="2">
        <v>8</v>
      </c>
      <c r="N51" s="38"/>
      <c r="O51" s="38"/>
      <c r="P51" s="38"/>
      <c r="Q51" s="38"/>
      <c r="R51" s="2" t="str">
        <f>D51</f>
        <v>RLCGSS</v>
      </c>
      <c r="S51" s="2">
        <f t="shared" si="42"/>
        <v>3</v>
      </c>
      <c r="T51" s="2">
        <f t="shared" ref="T51:V52" si="45">S51</f>
        <v>3</v>
      </c>
      <c r="U51" s="2">
        <f t="shared" si="43"/>
        <v>8</v>
      </c>
      <c r="V51" s="2">
        <f t="shared" si="45"/>
        <v>8</v>
      </c>
      <c r="W51" s="2">
        <v>12</v>
      </c>
      <c r="AA51" s="2">
        <f t="shared" si="44"/>
        <v>5</v>
      </c>
      <c r="AB51" s="74">
        <v>9</v>
      </c>
      <c r="AC51" s="74">
        <v>9</v>
      </c>
      <c r="AD51" s="74">
        <v>10</v>
      </c>
    </row>
    <row r="52" spans="1:30" ht="119" x14ac:dyDescent="0.2">
      <c r="B52" s="2" t="s">
        <v>63</v>
      </c>
      <c r="C52" s="2" t="s">
        <v>123</v>
      </c>
      <c r="D52" s="2" t="s">
        <v>395</v>
      </c>
      <c r="E52" s="3" t="s">
        <v>313</v>
      </c>
      <c r="F52" s="3" t="s">
        <v>155</v>
      </c>
      <c r="G52" s="3" t="s">
        <v>154</v>
      </c>
      <c r="H52" s="3" t="s">
        <v>150</v>
      </c>
      <c r="I52" s="2" t="s">
        <v>197</v>
      </c>
      <c r="K52" s="2">
        <v>3</v>
      </c>
      <c r="L52" s="8">
        <v>5</v>
      </c>
      <c r="M52" s="2">
        <v>8</v>
      </c>
      <c r="N52" s="38"/>
      <c r="O52" s="38"/>
      <c r="P52" s="38"/>
      <c r="Q52" s="38"/>
      <c r="R52" s="2" t="str">
        <f>D52</f>
        <v>RLCG3B</v>
      </c>
      <c r="S52" s="2">
        <f t="shared" si="42"/>
        <v>3</v>
      </c>
      <c r="T52" s="2">
        <f t="shared" si="45"/>
        <v>3</v>
      </c>
      <c r="U52" s="2">
        <f t="shared" si="43"/>
        <v>8</v>
      </c>
      <c r="V52" s="2">
        <f t="shared" si="45"/>
        <v>8</v>
      </c>
      <c r="W52" s="2">
        <v>12</v>
      </c>
      <c r="AA52" s="2">
        <f t="shared" si="44"/>
        <v>5</v>
      </c>
      <c r="AB52" s="74">
        <v>8</v>
      </c>
      <c r="AC52" s="74">
        <v>9</v>
      </c>
      <c r="AD52" s="74">
        <v>9</v>
      </c>
    </row>
    <row r="53" spans="1:30" ht="68" x14ac:dyDescent="0.2">
      <c r="B53" s="2" t="s">
        <v>63</v>
      </c>
      <c r="C53" s="2" t="s">
        <v>64</v>
      </c>
      <c r="D53" s="2" t="s">
        <v>470</v>
      </c>
      <c r="E53" s="3" t="s">
        <v>262</v>
      </c>
      <c r="F53" s="2" t="s">
        <v>76</v>
      </c>
      <c r="H53" s="3" t="s">
        <v>80</v>
      </c>
      <c r="I53" s="2" t="s">
        <v>199</v>
      </c>
      <c r="K53" s="2">
        <v>6</v>
      </c>
      <c r="L53" s="8">
        <v>5.75</v>
      </c>
      <c r="M53" s="2">
        <v>4</v>
      </c>
      <c r="N53" s="2">
        <v>4</v>
      </c>
      <c r="O53" s="2">
        <v>3.9</v>
      </c>
      <c r="P53" s="2">
        <v>3.8</v>
      </c>
      <c r="Q53" s="2">
        <v>3.65</v>
      </c>
      <c r="R53" s="2" t="s">
        <v>472</v>
      </c>
      <c r="S53" s="2">
        <f t="shared" si="42"/>
        <v>6</v>
      </c>
      <c r="T53" s="2">
        <f>(10-S53)*2</f>
        <v>8</v>
      </c>
      <c r="U53" s="2">
        <f t="shared" si="43"/>
        <v>4</v>
      </c>
      <c r="V53" s="2">
        <f>(10-U53)*2</f>
        <v>12</v>
      </c>
      <c r="W53" s="2">
        <f>(10-2.75)*2</f>
        <v>14.5</v>
      </c>
      <c r="AA53" s="2">
        <f>(10-L53)*2</f>
        <v>8.5</v>
      </c>
      <c r="AB53" s="2">
        <f>(10-O53)*2</f>
        <v>12.2</v>
      </c>
      <c r="AC53" s="2">
        <f>(10-P53)*2</f>
        <v>12.4</v>
      </c>
      <c r="AD53" s="2">
        <f>(10-Q53)*2</f>
        <v>12.7</v>
      </c>
    </row>
    <row r="54" spans="1:30" s="13" customFormat="1" x14ac:dyDescent="0.2">
      <c r="B54" s="13" t="s">
        <v>405</v>
      </c>
      <c r="E54" s="14"/>
      <c r="H54" s="14"/>
      <c r="N54" s="15" t="s">
        <v>471</v>
      </c>
      <c r="O54" s="15"/>
      <c r="P54" s="15"/>
      <c r="Q54" s="15"/>
    </row>
    <row r="55" spans="1:30" s="23" customFormat="1" x14ac:dyDescent="0.2">
      <c r="B55" s="23" t="s">
        <v>406</v>
      </c>
      <c r="D55" s="23" t="s">
        <v>797</v>
      </c>
      <c r="T55" s="26">
        <f>SUM(T50:T53)</f>
        <v>18</v>
      </c>
      <c r="U55" s="26"/>
      <c r="V55" s="26">
        <f t="shared" ref="V55:W55" si="46">SUM(V50:V53)</f>
        <v>37</v>
      </c>
      <c r="W55" s="26">
        <f t="shared" si="46"/>
        <v>50.5</v>
      </c>
      <c r="X55" s="26">
        <v>50</v>
      </c>
      <c r="Y55" s="26">
        <f>(T55/W55)*X55</f>
        <v>17.82178217821782</v>
      </c>
      <c r="Z55" s="26">
        <f>(V55/W55)*X55</f>
        <v>36.633663366336634</v>
      </c>
      <c r="AA55" s="26">
        <f t="shared" ref="AA55" si="47">SUM(AA50:AA53)</f>
        <v>24.5</v>
      </c>
      <c r="AB55" s="26">
        <f t="shared" ref="AB55:AD55" si="48">SUM(AB50:AB53)</f>
        <v>38.200000000000003</v>
      </c>
      <c r="AC55" s="26">
        <f t="shared" si="48"/>
        <v>40.4</v>
      </c>
      <c r="AD55" s="26">
        <f t="shared" si="48"/>
        <v>42.7</v>
      </c>
    </row>
    <row r="58" spans="1:30" x14ac:dyDescent="0.2">
      <c r="R58" s="11" t="s">
        <v>381</v>
      </c>
      <c r="S58" s="11"/>
      <c r="T58" s="8">
        <f>SUM(T55,T49,T37,T30,T23)</f>
        <v>126.55833333333334</v>
      </c>
      <c r="U58" s="11"/>
      <c r="V58" s="8">
        <f>SUM(V55,V49,V37,V30,V23)</f>
        <v>273.19319094560058</v>
      </c>
      <c r="W58" s="8">
        <f>SUM(W55,W49,W37,W30,W23)</f>
        <v>488</v>
      </c>
      <c r="X58" s="8">
        <f>SUM(X55,X49,X37,X30,X23)</f>
        <v>250</v>
      </c>
      <c r="Y58" s="8">
        <f>SUM(Y55,Y49,Y37,Y30,Y23)</f>
        <v>62.844421180404041</v>
      </c>
      <c r="Z58" s="8">
        <f>SUM(Z55,Z49,Z37,Z30,Z23)</f>
        <v>144.04085936807206</v>
      </c>
      <c r="AA58" s="8">
        <f>SUM(AA55,AA49,AA37,AA30,AA23)</f>
        <v>208.91666666666669</v>
      </c>
      <c r="AB58" s="8">
        <f>SUM(AB55,AB49,AB37,AB30,AB23)</f>
        <v>299.22539682539679</v>
      </c>
      <c r="AC58" s="8">
        <f>SUM(AC55,AC49,AC37,AC30,AC23)</f>
        <v>328.43717948717949</v>
      </c>
      <c r="AD58" s="8">
        <f>SUM(AD55,AD49,AD37,AD30,AD23)</f>
        <v>361.12631578947367</v>
      </c>
    </row>
    <row r="59" spans="1:30" x14ac:dyDescent="0.2">
      <c r="R59" s="11"/>
      <c r="S59" s="11"/>
      <c r="U59" s="11"/>
    </row>
    <row r="60" spans="1:30" x14ac:dyDescent="0.2">
      <c r="R60" s="11"/>
      <c r="S60" s="11"/>
      <c r="T60" s="8"/>
      <c r="U60" s="11"/>
      <c r="V60" s="8"/>
      <c r="W60" s="2" t="s">
        <v>681</v>
      </c>
    </row>
    <row r="61" spans="1:30" ht="34" x14ac:dyDescent="0.2">
      <c r="S61" s="47" t="s">
        <v>510</v>
      </c>
      <c r="T61" s="51" t="s">
        <v>616</v>
      </c>
      <c r="U61" s="50" t="s">
        <v>511</v>
      </c>
      <c r="V61" s="81" t="s">
        <v>988</v>
      </c>
      <c r="W61" s="64" t="s">
        <v>327</v>
      </c>
      <c r="X61" s="60" t="s">
        <v>670</v>
      </c>
      <c r="Y61" s="61" t="s">
        <v>671</v>
      </c>
      <c r="Z61" s="62" t="s">
        <v>672</v>
      </c>
      <c r="AA61" s="62"/>
    </row>
    <row r="62" spans="1:30" x14ac:dyDescent="0.2">
      <c r="R62" s="11" t="s">
        <v>518</v>
      </c>
      <c r="S62" s="48">
        <f>(T58/W58)*X58</f>
        <v>64.835211748633881</v>
      </c>
      <c r="T62" s="48" t="s">
        <v>613</v>
      </c>
      <c r="U62" s="48">
        <f>(V58/W58)*X58</f>
        <v>139.95552814836097</v>
      </c>
      <c r="V62" s="48"/>
      <c r="W62" s="63">
        <f>V58/W58</f>
        <v>0.55982211259344383</v>
      </c>
      <c r="X62" s="63">
        <f>AB58/W58</f>
        <v>0.61316679677335406</v>
      </c>
      <c r="Y62" s="63">
        <f>AC58/W58</f>
        <v>0.67302700714585961</v>
      </c>
      <c r="Z62" s="63">
        <f>AD58/W58</f>
        <v>0.74001294219154434</v>
      </c>
      <c r="AA62" s="63"/>
    </row>
    <row r="63" spans="1:30" x14ac:dyDescent="0.2">
      <c r="S63" s="11"/>
      <c r="T63" s="11"/>
      <c r="U63" s="11"/>
      <c r="V63" s="11"/>
      <c r="W63" s="63"/>
      <c r="X63" s="63"/>
      <c r="Y63" s="63"/>
      <c r="Z63" s="63"/>
      <c r="AA63" s="63"/>
    </row>
    <row r="64" spans="1:30" x14ac:dyDescent="0.2">
      <c r="R64" s="11" t="s">
        <v>519</v>
      </c>
      <c r="S64" s="48">
        <f>Y23</f>
        <v>16.978046594982079</v>
      </c>
      <c r="T64" s="48" t="s">
        <v>613</v>
      </c>
      <c r="U64" s="48">
        <f>Z23</f>
        <v>27.041180361720585</v>
      </c>
      <c r="V64" s="48"/>
      <c r="W64" s="63">
        <f>V23/W23</f>
        <v>0.5408236072344117</v>
      </c>
      <c r="X64" s="63">
        <f>AB23/W23</f>
        <v>0.6200290151903054</v>
      </c>
      <c r="Y64" s="63">
        <f>AC23/W23</f>
        <v>0.66928591122139514</v>
      </c>
      <c r="Z64" s="63">
        <f>AD23/W23</f>
        <v>0.7205715902659876</v>
      </c>
      <c r="AA64" s="63"/>
    </row>
    <row r="65" spans="16:27" x14ac:dyDescent="0.2">
      <c r="S65" s="11"/>
      <c r="T65" s="11"/>
      <c r="U65" s="11"/>
      <c r="V65" s="11"/>
      <c r="W65" s="63"/>
      <c r="X65" s="63"/>
      <c r="Y65" s="63"/>
      <c r="Z65" s="63"/>
      <c r="AA65" s="63"/>
    </row>
    <row r="66" spans="16:27" x14ac:dyDescent="0.2">
      <c r="R66" s="11" t="s">
        <v>520</v>
      </c>
      <c r="S66" s="48">
        <f>Y30</f>
        <v>16.204819277108431</v>
      </c>
      <c r="T66" s="48" t="s">
        <v>613</v>
      </c>
      <c r="U66" s="48">
        <f>Z30</f>
        <v>27.469879518072286</v>
      </c>
      <c r="V66" s="48"/>
      <c r="W66" s="63">
        <f>V30/W30</f>
        <v>0.54939759036144575</v>
      </c>
      <c r="X66" s="63">
        <f>AB30/$W$30</f>
        <v>0.58674698795180724</v>
      </c>
      <c r="Y66" s="63">
        <f t="shared" ref="Y66:Z66" si="49">AC30/$W$30</f>
        <v>0.65120481927710838</v>
      </c>
      <c r="Z66" s="63">
        <f t="shared" si="49"/>
        <v>0.72771084337349401</v>
      </c>
      <c r="AA66" s="63"/>
    </row>
    <row r="67" spans="16:27" x14ac:dyDescent="0.2">
      <c r="R67" s="11"/>
      <c r="S67" s="11"/>
      <c r="T67" s="11"/>
      <c r="U67" s="11"/>
      <c r="V67" s="11"/>
      <c r="W67" s="63"/>
      <c r="X67" s="63"/>
      <c r="Y67" s="63"/>
      <c r="Z67" s="63"/>
      <c r="AA67" s="63"/>
    </row>
    <row r="68" spans="16:27" x14ac:dyDescent="0.2">
      <c r="R68" s="11" t="s">
        <v>521</v>
      </c>
      <c r="S68" s="48">
        <f>Y37</f>
        <v>11.29032258064516</v>
      </c>
      <c r="T68" s="48" t="s">
        <v>613</v>
      </c>
      <c r="U68" s="48">
        <f>Z37</f>
        <v>23.225806451612904</v>
      </c>
      <c r="V68" s="48"/>
      <c r="W68" s="63">
        <f>V37/W37</f>
        <v>0.46451612903225808</v>
      </c>
      <c r="X68" s="63">
        <f>AB37/$W$37</f>
        <v>0.50322580645161286</v>
      </c>
      <c r="Y68" s="63">
        <f t="shared" ref="Y68:Z68" si="50">AC37/$W$37</f>
        <v>0.54838709677419351</v>
      </c>
      <c r="Z68" s="63">
        <f t="shared" si="50"/>
        <v>0.61935483870967745</v>
      </c>
      <c r="AA68" s="63"/>
    </row>
    <row r="69" spans="16:27" x14ac:dyDescent="0.2">
      <c r="Q69" s="8"/>
      <c r="R69" s="11"/>
      <c r="S69" s="11"/>
      <c r="T69" s="11"/>
      <c r="U69" s="11"/>
      <c r="V69" s="11"/>
      <c r="W69" s="63"/>
      <c r="X69" s="63"/>
      <c r="Y69" s="63"/>
      <c r="Z69" s="63"/>
      <c r="AA69" s="63"/>
    </row>
    <row r="70" spans="16:27" x14ac:dyDescent="0.2">
      <c r="R70" s="11" t="s">
        <v>522</v>
      </c>
      <c r="S70" s="48">
        <f>Y49</f>
        <v>0.5494505494505495</v>
      </c>
      <c r="T70" s="48" t="s">
        <v>613</v>
      </c>
      <c r="U70" s="48">
        <f>Z49</f>
        <v>29.670329670329672</v>
      </c>
      <c r="V70" s="48"/>
      <c r="W70" s="63">
        <f>V49/W49</f>
        <v>0.59340659340659341</v>
      </c>
      <c r="X70" s="63">
        <f>AB49/$W$49</f>
        <v>0.63736263736263732</v>
      </c>
      <c r="Y70" s="63">
        <f t="shared" ref="Y70:Z70" si="51">AC49/$W$49</f>
        <v>0.73626373626373631</v>
      </c>
      <c r="Z70" s="63">
        <f t="shared" si="51"/>
        <v>0.8351648351648352</v>
      </c>
      <c r="AA70" s="63"/>
    </row>
    <row r="71" spans="16:27" x14ac:dyDescent="0.2">
      <c r="R71" s="11"/>
      <c r="S71" s="11"/>
      <c r="T71" s="11"/>
      <c r="U71" s="11"/>
      <c r="V71" s="11"/>
      <c r="W71" s="63"/>
      <c r="X71" s="63"/>
      <c r="Y71" s="63"/>
      <c r="Z71" s="63"/>
      <c r="AA71" s="63"/>
    </row>
    <row r="72" spans="16:27" x14ac:dyDescent="0.2">
      <c r="R72" s="11" t="s">
        <v>523</v>
      </c>
      <c r="S72" s="48">
        <f>Y55</f>
        <v>17.82178217821782</v>
      </c>
      <c r="T72" s="48" t="s">
        <v>613</v>
      </c>
      <c r="U72" s="48">
        <f>Z55</f>
        <v>36.633663366336634</v>
      </c>
      <c r="V72" s="48"/>
      <c r="W72" s="63">
        <f>V55/W55</f>
        <v>0.73267326732673266</v>
      </c>
      <c r="X72" s="63">
        <f>AB55/$W$55</f>
        <v>0.75643564356435644</v>
      </c>
      <c r="Y72" s="63">
        <f t="shared" ref="Y72:Z72" si="52">AC55/$W$55</f>
        <v>0.79999999999999993</v>
      </c>
      <c r="Z72" s="63">
        <f t="shared" si="52"/>
        <v>0.84554455445544563</v>
      </c>
      <c r="AA72" s="63"/>
    </row>
    <row r="73" spans="16:27" x14ac:dyDescent="0.2">
      <c r="R73" s="11"/>
      <c r="S73" s="11"/>
      <c r="U73" s="11"/>
      <c r="V73" s="11"/>
      <c r="W73" s="63"/>
      <c r="X73" s="63"/>
      <c r="Y73" s="63"/>
      <c r="Z73" s="63"/>
      <c r="AA73" s="63"/>
    </row>
    <row r="74" spans="16:27" x14ac:dyDescent="0.2">
      <c r="P74" s="2" t="s">
        <v>828</v>
      </c>
      <c r="Q74" s="2" t="s">
        <v>839</v>
      </c>
      <c r="R74" s="2" t="s">
        <v>838</v>
      </c>
      <c r="S74" s="11"/>
      <c r="U74" s="11"/>
      <c r="W74" s="63"/>
      <c r="X74" s="63"/>
      <c r="Y74" s="63"/>
      <c r="Z74" s="63"/>
      <c r="AA74" s="63"/>
    </row>
    <row r="75" spans="16:27" x14ac:dyDescent="0.2">
      <c r="P75" s="2" t="s">
        <v>53</v>
      </c>
      <c r="Q75" s="2" t="s">
        <v>897</v>
      </c>
      <c r="R75" s="2" t="s">
        <v>911</v>
      </c>
      <c r="S75" s="63">
        <f>(T31+T32)/(W31+W32)</f>
        <v>0.26956521739130435</v>
      </c>
      <c r="T75" s="48" t="s">
        <v>613</v>
      </c>
      <c r="U75" s="71">
        <f>(V31+V32)/(W31+W32)</f>
        <v>0.52173913043478259</v>
      </c>
      <c r="V75" s="63">
        <f>(AA31+AA32)/(W31+W32)</f>
        <v>0.33043478260869563</v>
      </c>
      <c r="W75" s="63">
        <f>U75</f>
        <v>0.52173913043478259</v>
      </c>
      <c r="X75" s="63">
        <f>(AB31+AB32)/($W31+$W32)</f>
        <v>0.55652173913043479</v>
      </c>
      <c r="Y75" s="63">
        <f>(AC31+AC32)/($W31+$W32)</f>
        <v>0.6</v>
      </c>
      <c r="Z75" s="63">
        <f>(AD31+AD32)/($W31+$W32)</f>
        <v>0.66086956521739126</v>
      </c>
      <c r="AA75" s="63"/>
    </row>
    <row r="76" spans="16:27" x14ac:dyDescent="0.2">
      <c r="P76" s="2" t="s">
        <v>54</v>
      </c>
      <c r="Q76" s="2" t="s">
        <v>798</v>
      </c>
      <c r="R76" s="2" t="s">
        <v>912</v>
      </c>
      <c r="S76" s="63">
        <f>T49/W49</f>
        <v>1.098901098901099E-2</v>
      </c>
      <c r="T76" s="48" t="s">
        <v>613</v>
      </c>
      <c r="U76" s="63">
        <f>V49/W49</f>
        <v>0.59340659340659341</v>
      </c>
      <c r="V76" s="63">
        <f>Z49/W49</f>
        <v>0.32604757879483154</v>
      </c>
      <c r="W76" s="63">
        <f>U76</f>
        <v>0.59340659340659341</v>
      </c>
      <c r="X76" s="63">
        <f>AB49/$W49</f>
        <v>0.63736263736263732</v>
      </c>
      <c r="Y76" s="63">
        <f>AC49/$W49</f>
        <v>0.73626373626373631</v>
      </c>
      <c r="Z76" s="63">
        <f>AD49/$W49</f>
        <v>0.8351648351648352</v>
      </c>
      <c r="AA76" s="63"/>
    </row>
    <row r="77" spans="16:27" x14ac:dyDescent="0.2">
      <c r="P77" s="2" t="s">
        <v>643</v>
      </c>
      <c r="Q77" s="2" t="s">
        <v>899</v>
      </c>
      <c r="R77" s="2" t="s">
        <v>913</v>
      </c>
      <c r="S77" s="63">
        <f>(T38+T39)/(W38+W39)</f>
        <v>3.3333333333333333E-2</v>
      </c>
      <c r="T77" s="48" t="s">
        <v>613</v>
      </c>
      <c r="U77" s="71">
        <f>(V38+V39)/(W38+W39)</f>
        <v>0.5</v>
      </c>
      <c r="V77" s="63">
        <f>(AA38+AA39)/(W38+W39)</f>
        <v>0.5</v>
      </c>
      <c r="W77" s="63">
        <f>U77</f>
        <v>0.5</v>
      </c>
      <c r="X77" s="63">
        <f>(AB38+AB39)/($W38+$W39)</f>
        <v>0.56666666666666665</v>
      </c>
      <c r="Y77" s="63">
        <f>(AC38+AC39)/($W38+$W39)</f>
        <v>0.6333333333333333</v>
      </c>
      <c r="Z77" s="63">
        <f>(AD38+AD39)/($W38+$W39)</f>
        <v>0.7</v>
      </c>
      <c r="AA77" s="63"/>
    </row>
    <row r="78" spans="16:27" x14ac:dyDescent="0.2">
      <c r="S78" s="63"/>
      <c r="T78" s="63"/>
      <c r="U78" s="63"/>
      <c r="V78" s="63"/>
      <c r="W78" s="63"/>
      <c r="X78" s="63"/>
      <c r="Y78" s="63"/>
      <c r="Z78" s="63"/>
      <c r="AA78" s="63"/>
    </row>
    <row r="79" spans="16:27" ht="85" x14ac:dyDescent="0.2">
      <c r="P79" s="2" t="s">
        <v>645</v>
      </c>
      <c r="Q79" s="3" t="s">
        <v>907</v>
      </c>
      <c r="R79" s="2" t="s">
        <v>914</v>
      </c>
      <c r="S79" s="63">
        <f>(T55+T55+T53+T50+T49+T50)/(W49+W50+W50+W53+W55+W55)</f>
        <v>0.2299349240780911</v>
      </c>
      <c r="T79" s="48" t="s">
        <v>613</v>
      </c>
      <c r="U79" s="71">
        <f>(V55+V55+V53+V50+V50+V49)/(W49+W50+W50+W53+W55+W55)</f>
        <v>0.68546637744034711</v>
      </c>
      <c r="V79" s="63">
        <f>(AA55+AA55+AA53+AA50+AA50+AA49)/(W49+W50+W50+W53+W55+W55)</f>
        <v>0.53579175704989157</v>
      </c>
      <c r="W79" s="63">
        <f>U79</f>
        <v>0.68546637744034711</v>
      </c>
      <c r="X79" s="63">
        <f>(AB55+AB55+AB53+AB50+AB50+AB49)/($W49+$W50+$W50+$W53+$W55+$W55)</f>
        <v>0.71409978308026045</v>
      </c>
      <c r="Y79" s="63">
        <f>(AC55+AC55+AC53+AC50+AC50+AC49)/($W49+$W50+$W50+$W53+$W55+$W55)</f>
        <v>0.78177874186550966</v>
      </c>
      <c r="Z79" s="63">
        <f>(AD55+AD55+AD53+AD50+AD50+AD49)/($W49+$W50+$W50+$W53+$W55+$W55)</f>
        <v>0.85075921908893715</v>
      </c>
      <c r="AA79" s="63"/>
    </row>
    <row r="80" spans="16:27" ht="68" x14ac:dyDescent="0.2">
      <c r="P80" s="2" t="s">
        <v>646</v>
      </c>
      <c r="Q80" s="3" t="s">
        <v>908</v>
      </c>
      <c r="R80" s="2" t="s">
        <v>915</v>
      </c>
      <c r="S80" s="71">
        <f>(T55+T55+T53+T52+T52+T49)/(W49+W52+W52+W53+W55+W55)</f>
        <v>0.22125813449023862</v>
      </c>
      <c r="T80" s="48" t="s">
        <v>613</v>
      </c>
      <c r="U80" s="71">
        <f>(V55+V55+V53+V52+V52+V49)/(W49+W52+W52+W53+W55+W55)</f>
        <v>0.67678958785249455</v>
      </c>
      <c r="V80" s="63">
        <f>(AA55+AA55+AA53+AA52+AA52+AA49)/(W49+W52+W52+W53+W55+W55)</f>
        <v>0.52711496746203901</v>
      </c>
      <c r="W80" s="63">
        <f>U80</f>
        <v>0.67678958785249455</v>
      </c>
      <c r="X80" s="63">
        <f>(AB55+AB55+AB53+AB52+AB52+AB49)/($W49+$W52+$W52+$W53+$W55+$W55)</f>
        <v>0.70542299349240789</v>
      </c>
      <c r="Y80" s="63">
        <f>(AC55+AC55+AC53+AC52+AC52+AC49)/($W49+$W52+$W52+$W53+$W55+$W55)</f>
        <v>0.77310195227765721</v>
      </c>
      <c r="Z80" s="63">
        <f>(AD55+AD55+AD53+AD52+AD52+AD49)/($W49+$W52+$W52+$W53+$W55+$W55)</f>
        <v>0.83340563991323224</v>
      </c>
      <c r="AA80" s="63"/>
    </row>
    <row r="81" spans="16:27" ht="85" x14ac:dyDescent="0.2">
      <c r="P81" s="2" t="s">
        <v>642</v>
      </c>
      <c r="Q81" s="3" t="s">
        <v>909</v>
      </c>
      <c r="R81" s="2" t="s">
        <v>916</v>
      </c>
      <c r="S81" s="71">
        <f>(T55+T55+T53+T51+T51+T49)/(W49+W51+W51+W53+W55+W55)</f>
        <v>0.22125813449023862</v>
      </c>
      <c r="T81" s="48" t="s">
        <v>613</v>
      </c>
      <c r="U81" s="71">
        <f>(V55+V55+V53+V51+V51+V49)/(W49+W51+W51+W53+W55+W55)</f>
        <v>0.67678958785249455</v>
      </c>
      <c r="V81" s="63">
        <f>(AA55+AA55+AA53+AA51+AA51+AA49)/(W49+W51+W51+W53+W55+W55)</f>
        <v>0.52711496746203901</v>
      </c>
      <c r="W81" s="63">
        <f>U81</f>
        <v>0.67678958785249455</v>
      </c>
      <c r="X81" s="63">
        <f>(AB55+AB55+AB53+AB51+AB51+AB49)/($W49+$W51+$W51+$W53+$W55+$W55)</f>
        <v>0.71409978308026045</v>
      </c>
      <c r="Y81" s="63">
        <f>(AC55+AC55+AC53+AC51+AC51+AC49)/($W49+$W51+$W51+$W53+$W55+$W55)</f>
        <v>0.77310195227765721</v>
      </c>
      <c r="Z81" s="63">
        <f>(AD55+AD55+AD53+AD51+AD51+AD49)/($W49+$W51+$W51+$W53+$W55+$W55)</f>
        <v>0.84208242950108469</v>
      </c>
      <c r="AA81" s="63"/>
    </row>
    <row r="82" spans="16:27" ht="68" x14ac:dyDescent="0.2">
      <c r="P82" s="2" t="s">
        <v>904</v>
      </c>
      <c r="Q82" s="3" t="s">
        <v>910</v>
      </c>
      <c r="R82" s="2" t="s">
        <v>917</v>
      </c>
      <c r="S82" s="71">
        <f>(T55+T55+T49)/(W49+W55+W55)</f>
        <v>0.19270833333333334</v>
      </c>
      <c r="T82" s="48" t="s">
        <v>613</v>
      </c>
      <c r="U82" s="71">
        <f>(V55+V55+V49)/(W49+W55+W55)</f>
        <v>0.66666666666666663</v>
      </c>
      <c r="V82" s="63">
        <f>(AA55+AA55+AA49)/(W49+W55+W55)</f>
        <v>0.53645833333333337</v>
      </c>
      <c r="W82" s="63">
        <f>U82</f>
        <v>0.66666666666666663</v>
      </c>
      <c r="X82" s="63">
        <f>(AB55+AB55+AB49)/($W49+$W55+$W55)</f>
        <v>0.70000000000000007</v>
      </c>
      <c r="Y82" s="63">
        <f>(AC55+AC55+AC49)/($W49+$W55+$W55)</f>
        <v>0.76979166666666676</v>
      </c>
      <c r="Z82" s="63">
        <f>(AD55+AD55+AD49)/($W49+$W55+$W55)</f>
        <v>0.84062500000000007</v>
      </c>
      <c r="AA82" s="63"/>
    </row>
    <row r="83" spans="16:27" ht="34" x14ac:dyDescent="0.2">
      <c r="P83" s="2" t="s">
        <v>648</v>
      </c>
      <c r="Q83" s="3" t="s">
        <v>926</v>
      </c>
      <c r="R83" s="2" t="s">
        <v>918</v>
      </c>
      <c r="S83" s="71">
        <f>(T46+T33+T10)/(W10+W33+W46)</f>
        <v>0.30769230769230771</v>
      </c>
      <c r="T83" s="48" t="s">
        <v>613</v>
      </c>
      <c r="U83" s="71">
        <f>(V46+V33+V10)/(W10+W33+W46)</f>
        <v>0.50776813547897881</v>
      </c>
      <c r="V83" s="63">
        <f>(AA46+AA33+AA10)/(W10+W33+W46)</f>
        <v>0.35384615384615387</v>
      </c>
      <c r="W83" s="63">
        <f>U83</f>
        <v>0.50776813547897881</v>
      </c>
      <c r="X83" s="63">
        <f>(AB46+AB33+AB10)/($W10+$W33+$W46)</f>
        <v>0.53968253968253965</v>
      </c>
      <c r="Y83" s="63">
        <f>(AC46+AC33+AC10)/($W10+$W33+$W46)</f>
        <v>0.6165680473372781</v>
      </c>
      <c r="Z83" s="63">
        <f>(AD46+AD33+AD10)/($W10+$W33+$W46)</f>
        <v>0.70404858299595141</v>
      </c>
      <c r="AA83" s="63"/>
    </row>
    <row r="84" spans="16:27" ht="34" x14ac:dyDescent="0.2">
      <c r="P84" s="2" t="s">
        <v>647</v>
      </c>
      <c r="Q84" s="3" t="s">
        <v>927</v>
      </c>
      <c r="R84" s="2" t="s">
        <v>919</v>
      </c>
      <c r="S84" s="71">
        <f>(T50+T46+T43)/(W43+W46+W50)</f>
        <v>9.3023255813953487E-2</v>
      </c>
      <c r="T84" s="48" t="s">
        <v>613</v>
      </c>
      <c r="U84" s="71">
        <f>(V50+V46+V43)/(W43+W46+W50)</f>
        <v>0.65116279069767447</v>
      </c>
      <c r="V84" s="63">
        <f>(AA46+AA50+AA43)/(W43+W46+W50)</f>
        <v>0.30232558139534882</v>
      </c>
      <c r="W84" s="63">
        <f>U84</f>
        <v>0.65116279069767447</v>
      </c>
      <c r="X84" s="63">
        <f>(AB50+AB46+AB43)/($W43+$W46+$W50)</f>
        <v>0.67441860465116277</v>
      </c>
      <c r="Y84" s="63">
        <f>(AC50+AC46+AC43)/($W43+$W46+$W50)</f>
        <v>0.81395348837209303</v>
      </c>
      <c r="Z84" s="63">
        <f>(AD50+AD46+AD43)/($W43+$W46+$W50)</f>
        <v>0.95348837209302328</v>
      </c>
      <c r="AA84" s="63"/>
    </row>
    <row r="85" spans="16:27" ht="34" x14ac:dyDescent="0.2">
      <c r="P85" s="2" t="s">
        <v>649</v>
      </c>
      <c r="Q85" s="3" t="s">
        <v>928</v>
      </c>
      <c r="R85" s="2" t="s">
        <v>920</v>
      </c>
      <c r="S85" s="71">
        <f>(T46+T10)/(W10+W46)</f>
        <v>0.34545454545454546</v>
      </c>
      <c r="T85" s="48" t="s">
        <v>613</v>
      </c>
      <c r="U85" s="71">
        <f>(V46+V10)/(W10+W46)</f>
        <v>0.5455441601115204</v>
      </c>
      <c r="V85" s="63">
        <f>(AA46+AA10)/(W10+W46)</f>
        <v>0.39090909090909093</v>
      </c>
      <c r="W85" s="63">
        <f>U85</f>
        <v>0.5455441601115204</v>
      </c>
      <c r="X85" s="63">
        <f>(AB50+AB43)/($W43+$W50)</f>
        <v>0.77777777777777779</v>
      </c>
      <c r="Y85" s="63">
        <f>(AC50+AC43)/($W43+$W50)</f>
        <v>0.83333333333333337</v>
      </c>
      <c r="Z85" s="63">
        <f>(AD50+AD43)/($W43+$W50)</f>
        <v>0.88888888888888884</v>
      </c>
      <c r="AA85" s="63"/>
    </row>
    <row r="86" spans="16:27" x14ac:dyDescent="0.2">
      <c r="Q86" s="3"/>
      <c r="S86" s="71"/>
      <c r="T86" s="63"/>
      <c r="U86" s="71"/>
      <c r="V86" s="63"/>
      <c r="W86" s="63"/>
      <c r="X86" s="63"/>
      <c r="Y86" s="63"/>
      <c r="Z86" s="63"/>
      <c r="AA86" s="63"/>
    </row>
    <row r="87" spans="16:27" ht="34" x14ac:dyDescent="0.2">
      <c r="P87" s="2" t="s">
        <v>782</v>
      </c>
      <c r="Q87" s="3" t="s">
        <v>929</v>
      </c>
      <c r="R87" s="2" t="s">
        <v>921</v>
      </c>
      <c r="S87" s="71">
        <f>(T46+T44+T51)/(W51+W46+W44)</f>
        <v>6.9767441860465115E-2</v>
      </c>
      <c r="T87" s="48" t="s">
        <v>613</v>
      </c>
      <c r="U87" s="71">
        <f>(V51+V46+V44)/(W44+W46+W51)</f>
        <v>0.62790697674418605</v>
      </c>
      <c r="V87" s="63">
        <f>(AA46+AA44+AA51)/(W51+W46+W44)</f>
        <v>0.27906976744186046</v>
      </c>
      <c r="W87" s="63">
        <f>U87</f>
        <v>0.62790697674418605</v>
      </c>
      <c r="X87" s="63">
        <f>(AB51+AB46+AB44)/($W44+$W46+$W51)</f>
        <v>0.65116279069767447</v>
      </c>
      <c r="Y87" s="63">
        <f>(AC51+AC46+AC44)/($W44+$W46+$W51)</f>
        <v>0.79069767441860461</v>
      </c>
      <c r="Z87" s="63">
        <f>(AD51+AD46+AD44)/($W44+$W46+$W51)</f>
        <v>0.93023255813953487</v>
      </c>
      <c r="AA87" s="63"/>
    </row>
    <row r="88" spans="16:27" ht="34" x14ac:dyDescent="0.2">
      <c r="P88" s="2" t="s">
        <v>781</v>
      </c>
      <c r="Q88" s="3" t="s">
        <v>930</v>
      </c>
      <c r="R88" s="2" t="s">
        <v>922</v>
      </c>
      <c r="S88" s="71">
        <f>(T46+T10)/(W10+W46)</f>
        <v>0.34545454545454546</v>
      </c>
      <c r="T88" s="48" t="s">
        <v>613</v>
      </c>
      <c r="U88" s="71">
        <f>(V46+V10)/(W10+W46)</f>
        <v>0.5455441601115204</v>
      </c>
      <c r="V88" s="63">
        <f>(AA46+AA10)/(W10+W46)</f>
        <v>0.39090909090909093</v>
      </c>
      <c r="W88" s="63">
        <f>U88</f>
        <v>0.5455441601115204</v>
      </c>
      <c r="X88" s="63">
        <f>(AB50+AB43)/($W43+$W50)</f>
        <v>0.77777777777777779</v>
      </c>
      <c r="Y88" s="63">
        <f>(AC50+AC43)/($W43+$W50)</f>
        <v>0.83333333333333337</v>
      </c>
      <c r="Z88" s="63">
        <f>(AD50+AD43)/($W43+$W50)</f>
        <v>0.88888888888888884</v>
      </c>
      <c r="AA88" s="63"/>
    </row>
    <row r="89" spans="16:27" x14ac:dyDescent="0.2">
      <c r="Q89" s="3"/>
      <c r="S89" s="71"/>
      <c r="T89" s="63"/>
      <c r="U89" s="71"/>
      <c r="V89" s="63"/>
      <c r="W89" s="63"/>
      <c r="X89" s="63"/>
      <c r="Y89" s="63"/>
      <c r="Z89" s="63"/>
      <c r="AA89" s="63"/>
    </row>
    <row r="90" spans="16:27" ht="34" x14ac:dyDescent="0.2">
      <c r="P90" s="2" t="s">
        <v>859</v>
      </c>
      <c r="Q90" s="3" t="s">
        <v>868</v>
      </c>
      <c r="R90" s="2" t="s">
        <v>923</v>
      </c>
      <c r="S90" s="71">
        <f>(S76+S77+S79+S80+S81+S82)/6</f>
        <v>0.15158031178570766</v>
      </c>
      <c r="T90" s="48" t="s">
        <v>613</v>
      </c>
      <c r="U90" s="71">
        <f>(U76+U77+U79+U80+U81+U82)/6</f>
        <v>0.63318646886976604</v>
      </c>
      <c r="V90" s="63"/>
      <c r="W90" s="71">
        <f>(W76+W77+W79+W80+W81+W82)/6</f>
        <v>0.63318646886976604</v>
      </c>
      <c r="X90" s="71">
        <f t="shared" ref="X90:Z90" si="53">(X76+X77+X79+X80+X81+X82)/6</f>
        <v>0.67294197728037208</v>
      </c>
      <c r="Y90" s="71">
        <f t="shared" si="53"/>
        <v>0.74456189711409337</v>
      </c>
      <c r="Z90" s="71">
        <f t="shared" si="53"/>
        <v>0.81700618727801488</v>
      </c>
      <c r="AA90" s="71"/>
    </row>
    <row r="91" spans="16:27" x14ac:dyDescent="0.2">
      <c r="Q91" s="3"/>
      <c r="S91" s="71"/>
      <c r="T91" s="63"/>
      <c r="U91" s="71"/>
      <c r="V91" s="63"/>
      <c r="W91" s="71"/>
      <c r="X91" s="71"/>
      <c r="Y91" s="71"/>
      <c r="Z91" s="71"/>
      <c r="AA91" s="71"/>
    </row>
    <row r="92" spans="16:27" ht="34" x14ac:dyDescent="0.2">
      <c r="P92" s="2" t="s">
        <v>65</v>
      </c>
      <c r="Q92" s="3" t="s">
        <v>869</v>
      </c>
      <c r="R92" s="2" t="s">
        <v>924</v>
      </c>
      <c r="S92" s="71">
        <f>(S88+S87+S85+S84+S83)/5</f>
        <v>0.23227841925516346</v>
      </c>
      <c r="T92" s="48" t="s">
        <v>613</v>
      </c>
      <c r="U92" s="71">
        <f>(U88+U87+U85+U84+U83)/5</f>
        <v>0.57558524462877592</v>
      </c>
      <c r="V92" s="63"/>
      <c r="W92" s="71">
        <f>(W88+W87+W85+W84+W83)/5</f>
        <v>0.57558524462877592</v>
      </c>
      <c r="X92" s="71">
        <f>(X88+X87+X85+X84+X83)/5</f>
        <v>0.68416389811738643</v>
      </c>
      <c r="Y92" s="71">
        <f>(Y88+Y87+Y85+Y84+Y83)/5</f>
        <v>0.77757717535892845</v>
      </c>
      <c r="Z92" s="71">
        <f>(Z88+Z87+Z85+Z84+Z83)/5</f>
        <v>0.8731094582012574</v>
      </c>
      <c r="AA92" s="71"/>
    </row>
    <row r="93" spans="16:27" x14ac:dyDescent="0.2">
      <c r="Q93" s="3"/>
      <c r="S93" s="63"/>
      <c r="T93" s="63"/>
      <c r="U93" s="63"/>
      <c r="V93" s="63"/>
      <c r="W93" s="63"/>
      <c r="X93" s="63"/>
      <c r="Y93" s="63"/>
      <c r="Z93" s="63"/>
      <c r="AA93" s="63"/>
    </row>
    <row r="94" spans="16:27" ht="51" x14ac:dyDescent="0.2">
      <c r="P94" s="2" t="s">
        <v>860</v>
      </c>
      <c r="Q94" s="3" t="s">
        <v>864</v>
      </c>
      <c r="R94" s="2" t="s">
        <v>925</v>
      </c>
      <c r="S94" s="63">
        <f>AVERAGE(S88,S87,S85,S84,S83,S81,S80,S79,S82,S77,S76)</f>
        <v>0.18826126972636939</v>
      </c>
      <c r="T94" s="48" t="s">
        <v>613</v>
      </c>
      <c r="U94" s="63">
        <f>AVERAGE(U88,U87,U85,U84,U83,U81,U80,U79,U82,U77,U76)</f>
        <v>0.60700409421477053</v>
      </c>
      <c r="V94" s="63"/>
      <c r="W94" s="63">
        <f>AVERAGE(W88,W87,W85,W84,W83,W81,W80,W79,W82,W77,W76)</f>
        <v>0.60700409421477053</v>
      </c>
      <c r="X94" s="63">
        <f>AVERAGE(X88,X87,X85,X84,X83,X81,X80,X79,X82,X77,X76)</f>
        <v>0.67804285038810586</v>
      </c>
      <c r="Y94" s="63">
        <f>AVERAGE(Y88,Y87,Y85,Y84,Y83,Y81,Y80,Y79,Y82,Y77,Y76)</f>
        <v>0.75956884177083661</v>
      </c>
      <c r="Z94" s="63">
        <f>AVERAGE(Z88,Z87,Z85,Z84,Z83,Z81,Z80,Z79,Z82,Z77,Z76)</f>
        <v>0.84250767406130711</v>
      </c>
      <c r="AA94" s="63"/>
    </row>
    <row r="95" spans="16:27" x14ac:dyDescent="0.2">
      <c r="S95" s="63"/>
      <c r="T95" s="63"/>
      <c r="U95" s="63"/>
      <c r="V95" s="63"/>
      <c r="W95" s="63"/>
      <c r="X95" s="63"/>
      <c r="Y95" s="63"/>
      <c r="Z95" s="63"/>
      <c r="AA95" s="63"/>
    </row>
    <row r="96" spans="16:27" ht="68" x14ac:dyDescent="0.2">
      <c r="P96" s="55" t="s">
        <v>1077</v>
      </c>
      <c r="Q96" s="3" t="s">
        <v>1078</v>
      </c>
      <c r="R96" s="2" t="s">
        <v>763</v>
      </c>
      <c r="S96" s="84">
        <f>(T28/$W28)*100</f>
        <v>21.666666666666668</v>
      </c>
      <c r="T96" s="84"/>
      <c r="U96" s="84">
        <f>(V28/$W28)*100</f>
        <v>45</v>
      </c>
      <c r="V96" s="84"/>
      <c r="W96" s="84">
        <f>U96</f>
        <v>45</v>
      </c>
      <c r="X96" s="84">
        <f>(AB28/$W28)*100</f>
        <v>48.333333333333336</v>
      </c>
      <c r="Y96" s="84">
        <f t="shared" ref="Y96:Z97" si="54">(AC28/$W28)*100</f>
        <v>55.000000000000007</v>
      </c>
      <c r="Z96" s="84">
        <f t="shared" si="54"/>
        <v>63.333333333333329</v>
      </c>
    </row>
    <row r="97" spans="16:26" ht="68" x14ac:dyDescent="0.2">
      <c r="Q97" s="3" t="s">
        <v>1080</v>
      </c>
      <c r="R97" s="2" t="s">
        <v>760</v>
      </c>
      <c r="S97" s="84">
        <f>(T29/$W29)*100</f>
        <v>32.739726027397261</v>
      </c>
      <c r="T97" s="8"/>
      <c r="U97" s="84">
        <f>(V29/$W29)*100</f>
        <v>52.876712328767127</v>
      </c>
      <c r="V97" s="8"/>
      <c r="W97" s="84">
        <f>U97</f>
        <v>52.876712328767127</v>
      </c>
      <c r="X97" s="84">
        <f>(AB29/$W29)*100</f>
        <v>57.12328767123288</v>
      </c>
      <c r="Y97" s="84">
        <f t="shared" si="54"/>
        <v>63.082191780821915</v>
      </c>
      <c r="Z97" s="84">
        <f t="shared" si="54"/>
        <v>69.041095890410958</v>
      </c>
    </row>
    <row r="98" spans="16:26" ht="51" x14ac:dyDescent="0.2">
      <c r="Q98" s="3" t="s">
        <v>1079</v>
      </c>
      <c r="R98" s="2" t="s">
        <v>759</v>
      </c>
      <c r="S98" s="8">
        <f>(T10/$W10)*100</f>
        <v>44.705882352941181</v>
      </c>
      <c r="T98" s="8"/>
      <c r="U98" s="8">
        <f>(V10/$W10)*100</f>
        <v>52.952773661490873</v>
      </c>
      <c r="V98" s="8"/>
      <c r="W98" s="84">
        <f>U98</f>
        <v>52.952773661490873</v>
      </c>
      <c r="X98" s="8">
        <f>(AB10/$W10)*100</f>
        <v>56.65732959850606</v>
      </c>
      <c r="Y98" s="8">
        <f t="shared" ref="Y98:Z98" si="55">(AC10/$W10)*100</f>
        <v>61.357466063348419</v>
      </c>
      <c r="Z98" s="8">
        <f t="shared" si="55"/>
        <v>66.501547987616107</v>
      </c>
    </row>
    <row r="99" spans="16:26" ht="85" x14ac:dyDescent="0.2">
      <c r="Q99" s="3" t="s">
        <v>1081</v>
      </c>
      <c r="R99" s="2" t="s">
        <v>1072</v>
      </c>
      <c r="S99" s="85">
        <f>((1-(S96/90)))</f>
        <v>0.7592592592592593</v>
      </c>
      <c r="T99" s="85"/>
      <c r="U99" s="85">
        <f>((1-(U96/90)))</f>
        <v>0.5</v>
      </c>
      <c r="V99" s="85"/>
      <c r="W99" s="85">
        <f t="shared" ref="W99:Z99" si="56">((1-(W96/90)))</f>
        <v>0.5</v>
      </c>
      <c r="X99" s="85">
        <f t="shared" si="56"/>
        <v>0.46296296296296291</v>
      </c>
      <c r="Y99" s="85">
        <f t="shared" si="56"/>
        <v>0.38888888888888884</v>
      </c>
      <c r="Z99" s="85">
        <f t="shared" si="56"/>
        <v>0.29629629629629639</v>
      </c>
    </row>
    <row r="101" spans="16:26" x14ac:dyDescent="0.2">
      <c r="Q101" s="2" t="s">
        <v>1099</v>
      </c>
      <c r="R101" s="2" t="s">
        <v>1100</v>
      </c>
      <c r="S101" s="63">
        <f>T30/$W30</f>
        <v>0.32409638554216863</v>
      </c>
      <c r="T101" s="63"/>
      <c r="U101" s="63">
        <f>V30/$W30</f>
        <v>0.54939759036144575</v>
      </c>
      <c r="V101" s="63"/>
      <c r="W101" s="63">
        <f>U101</f>
        <v>0.54939759036144575</v>
      </c>
      <c r="X101" s="63">
        <f>AB30/$W30</f>
        <v>0.58674698795180724</v>
      </c>
      <c r="Y101" s="63">
        <f>AC30/$W30</f>
        <v>0.65120481927710838</v>
      </c>
      <c r="Z101" s="63">
        <f>AD30/$W30</f>
        <v>0.72771084337349401</v>
      </c>
    </row>
    <row r="103" spans="16:26" x14ac:dyDescent="0.2">
      <c r="P103" s="55" t="s">
        <v>1143</v>
      </c>
      <c r="S103" s="63"/>
      <c r="T103" s="63"/>
      <c r="U103" s="63"/>
      <c r="V103" s="63"/>
      <c r="W103" s="63"/>
      <c r="X103" s="63"/>
      <c r="Y103" s="63"/>
      <c r="Z103" s="63"/>
    </row>
    <row r="104" spans="16:26" x14ac:dyDescent="0.2">
      <c r="Q104" s="2" t="s">
        <v>1144</v>
      </c>
      <c r="R104" s="8"/>
      <c r="S104" s="8">
        <f>(T31+T32)/($W31+$W32)*100</f>
        <v>26.956521739130434</v>
      </c>
      <c r="T104" s="8"/>
      <c r="U104" s="8">
        <f>(V31+V32)/($W31+$W32)*100</f>
        <v>52.173913043478258</v>
      </c>
      <c r="V104" s="8"/>
      <c r="W104" s="84">
        <f>U104</f>
        <v>52.173913043478258</v>
      </c>
      <c r="X104" s="8">
        <f>(AB31+AB32)/($W28+$W29)*100</f>
        <v>24.060150375939848</v>
      </c>
      <c r="Y104" s="8">
        <f t="shared" ref="Y104:Z104" si="57">(AC31+AC32)/($W28+$W29)*100</f>
        <v>25.939849624060152</v>
      </c>
      <c r="Z104" s="8">
        <f t="shared" si="57"/>
        <v>28.571428571428569</v>
      </c>
    </row>
    <row r="105" spans="16:26" x14ac:dyDescent="0.2">
      <c r="Q105" s="2" t="s">
        <v>1134</v>
      </c>
      <c r="R105" s="8"/>
      <c r="S105" s="8">
        <f>T31/$W31*100</f>
        <v>45.454545454545453</v>
      </c>
      <c r="T105" s="8"/>
      <c r="U105" s="8">
        <f>V31/$W31*100</f>
        <v>72.727272727272734</v>
      </c>
      <c r="V105" s="8"/>
      <c r="W105" s="84">
        <f>U105</f>
        <v>72.727272727272734</v>
      </c>
      <c r="X105" s="8">
        <f>AB31/$W31*100</f>
        <v>76.363636363636374</v>
      </c>
      <c r="Y105" s="8">
        <f t="shared" ref="Y105:Z105" si="58">AC31/$W31*100</f>
        <v>81.818181818181827</v>
      </c>
      <c r="Z105" s="8">
        <f t="shared" si="58"/>
        <v>87.272727272727266</v>
      </c>
    </row>
    <row r="106" spans="16:26" x14ac:dyDescent="0.2">
      <c r="Q106" s="2" t="s">
        <v>1161</v>
      </c>
      <c r="R106" s="8"/>
      <c r="S106" s="8">
        <f>K31</f>
        <v>25</v>
      </c>
      <c r="T106" s="8"/>
      <c r="U106" s="8">
        <f t="shared" ref="T106:U106" si="59">M31</f>
        <v>40</v>
      </c>
      <c r="V106" s="8"/>
      <c r="W106" s="84">
        <f>U106</f>
        <v>40</v>
      </c>
      <c r="X106" s="8">
        <f>O31</f>
        <v>42</v>
      </c>
      <c r="Y106" s="8">
        <f t="shared" ref="Y106:Z106" si="60">P31</f>
        <v>45</v>
      </c>
      <c r="Z106" s="8">
        <f t="shared" si="60"/>
        <v>48</v>
      </c>
    </row>
    <row r="107" spans="16:26" x14ac:dyDescent="0.2">
      <c r="Q107" s="2" t="s">
        <v>1133</v>
      </c>
      <c r="R107" s="8"/>
      <c r="S107" s="8">
        <f>S32/$W32*100</f>
        <v>10</v>
      </c>
      <c r="T107" s="8"/>
      <c r="U107" s="8">
        <f>U32/$W32*100</f>
        <v>33.333333333333329</v>
      </c>
      <c r="V107" s="8"/>
      <c r="W107" s="84">
        <f>U107</f>
        <v>33.333333333333329</v>
      </c>
      <c r="X107" s="8">
        <f>AB32/$W32*100</f>
        <v>36.666666666666664</v>
      </c>
      <c r="Y107" s="8">
        <f t="shared" ref="Y107:Z107" si="61">AC32/$W32*100</f>
        <v>40</v>
      </c>
      <c r="Z107" s="8">
        <f t="shared" si="61"/>
        <v>46.666666666666664</v>
      </c>
    </row>
    <row r="108" spans="16:26" x14ac:dyDescent="0.2">
      <c r="R108" s="8"/>
      <c r="S108" s="8"/>
      <c r="T108" s="8"/>
      <c r="U108" s="8"/>
      <c r="V108" s="8"/>
      <c r="W108" s="84"/>
      <c r="X108" s="8"/>
      <c r="Y108" s="8"/>
      <c r="Z108" s="8"/>
    </row>
    <row r="109" spans="16:26" x14ac:dyDescent="0.2">
      <c r="R109" s="8"/>
      <c r="S109" s="8"/>
      <c r="T109" s="8"/>
      <c r="U109" s="8"/>
      <c r="V109" s="8"/>
      <c r="W109" s="84"/>
      <c r="X109" s="8"/>
      <c r="Y109" s="8"/>
      <c r="Z109" s="8"/>
    </row>
    <row r="110" spans="16:26" x14ac:dyDescent="0.2">
      <c r="R110" s="8"/>
      <c r="S110" s="8"/>
      <c r="T110" s="8"/>
      <c r="U110" s="8"/>
      <c r="V110" s="8"/>
      <c r="W110" s="8"/>
      <c r="X110" s="8"/>
      <c r="Y110" s="8"/>
      <c r="Z110" s="8"/>
    </row>
    <row r="111" spans="16:26" x14ac:dyDescent="0.2">
      <c r="Q111" s="2" t="s">
        <v>1141</v>
      </c>
      <c r="R111" s="8"/>
      <c r="S111" s="63">
        <f>S119</f>
        <v>9.752783704079257E-2</v>
      </c>
      <c r="T111" s="8"/>
      <c r="U111" s="63">
        <f>U119</f>
        <v>0.1358728970090943</v>
      </c>
      <c r="V111" s="8"/>
      <c r="W111" s="63">
        <f>W119</f>
        <v>0.1358728970090943</v>
      </c>
      <c r="X111" s="63">
        <f>X119</f>
        <v>0.14867895458390737</v>
      </c>
      <c r="Y111" s="63">
        <f>Y119</f>
        <v>0.16798161486607555</v>
      </c>
      <c r="Z111" s="63">
        <f>Z119</f>
        <v>0.19309868423321647</v>
      </c>
    </row>
    <row r="112" spans="16:26" x14ac:dyDescent="0.2">
      <c r="R112" s="8"/>
      <c r="S112" s="8"/>
      <c r="T112" s="8"/>
      <c r="U112" s="8"/>
      <c r="V112" s="8"/>
      <c r="W112" s="8"/>
      <c r="X112" s="8"/>
      <c r="Y112" s="8"/>
      <c r="Z112" s="8"/>
    </row>
    <row r="113" spans="16:26" x14ac:dyDescent="0.2">
      <c r="P113" s="2" t="s">
        <v>1162</v>
      </c>
      <c r="Q113" s="2" t="s">
        <v>1145</v>
      </c>
      <c r="R113" s="8"/>
      <c r="S113" s="8">
        <f>MAX(0, MIN(1, (S106 - $R125) / ($S125-$R125)))</f>
        <v>0</v>
      </c>
      <c r="T113" s="8"/>
      <c r="U113" s="8">
        <f>MAX(0, MIN(1, (U106 - $R125) / ($S125-$R125)))</f>
        <v>0.25</v>
      </c>
      <c r="V113" s="8"/>
      <c r="W113" s="84">
        <f>U113</f>
        <v>0.25</v>
      </c>
      <c r="X113" s="8">
        <f t="shared" ref="X113:Z113" si="62">MAX(0, MIN(1, (X106 - $R125) / ($S125-$R125)))</f>
        <v>0.35</v>
      </c>
      <c r="Y113" s="8">
        <f t="shared" si="62"/>
        <v>0.5</v>
      </c>
      <c r="Z113" s="8">
        <f t="shared" si="62"/>
        <v>0.65</v>
      </c>
    </row>
    <row r="114" spans="16:26" x14ac:dyDescent="0.2">
      <c r="Q114" s="2" t="s">
        <v>1129</v>
      </c>
      <c r="R114" s="8"/>
      <c r="S114" s="8">
        <f>S107/100</f>
        <v>0.1</v>
      </c>
      <c r="T114" s="8"/>
      <c r="U114" s="8">
        <f>U107/100</f>
        <v>0.33333333333333326</v>
      </c>
      <c r="V114" s="8"/>
      <c r="W114" s="8">
        <f>W107/100</f>
        <v>0.33333333333333326</v>
      </c>
      <c r="X114" s="8">
        <f>X107/100</f>
        <v>0.36666666666666664</v>
      </c>
      <c r="Y114" s="8">
        <f>Y107/100</f>
        <v>0.4</v>
      </c>
      <c r="Z114" s="8">
        <f>Z107/100</f>
        <v>0.46666666666666662</v>
      </c>
    </row>
    <row r="115" spans="16:26" x14ac:dyDescent="0.2">
      <c r="R115" s="8"/>
      <c r="S115" s="91"/>
      <c r="T115" s="8"/>
      <c r="U115" s="91"/>
      <c r="V115" s="8"/>
      <c r="W115" s="91"/>
      <c r="X115" s="91"/>
      <c r="Y115" s="91"/>
      <c r="Z115" s="91"/>
    </row>
    <row r="116" spans="16:26" x14ac:dyDescent="0.2">
      <c r="R116" s="8"/>
      <c r="S116" s="8"/>
      <c r="T116" s="8"/>
      <c r="U116" s="8"/>
      <c r="V116" s="8"/>
      <c r="W116" s="8"/>
      <c r="X116" s="8"/>
      <c r="Y116" s="8"/>
      <c r="Z116" s="8"/>
    </row>
    <row r="117" spans="16:26" x14ac:dyDescent="0.2">
      <c r="Q117" s="2" t="s">
        <v>1153</v>
      </c>
      <c r="R117" s="8"/>
      <c r="S117" s="8">
        <f>$R122+$S122*S113+$T122*S114</f>
        <v>-2.2249999999999996</v>
      </c>
      <c r="T117" s="8"/>
      <c r="U117" s="8">
        <f>$R122+$S122*U113+$T122*U114</f>
        <v>-1.8499999999999996</v>
      </c>
      <c r="V117" s="8"/>
      <c r="W117" s="8">
        <f t="shared" ref="W117:Z117" si="63">$R122+$S122*W113+$T122*W114</f>
        <v>-1.8499999999999996</v>
      </c>
      <c r="X117" s="8">
        <f t="shared" si="63"/>
        <v>-1.7450000000000001</v>
      </c>
      <c r="Y117" s="8">
        <f t="shared" si="63"/>
        <v>-1.5999999999999999</v>
      </c>
      <c r="Z117" s="8">
        <f t="shared" si="63"/>
        <v>-1.4299999999999997</v>
      </c>
    </row>
    <row r="118" spans="16:26" x14ac:dyDescent="0.2">
      <c r="Q118" s="2" t="s">
        <v>1154</v>
      </c>
      <c r="R118" s="8"/>
      <c r="S118" s="8">
        <f>EXP(-S117)</f>
        <v>9.2534828039068895</v>
      </c>
      <c r="T118" s="8"/>
      <c r="U118" s="8">
        <f>EXP(-U117)</f>
        <v>6.3598195226018293</v>
      </c>
      <c r="V118" s="8"/>
      <c r="W118" s="8">
        <f>EXP(-W117)</f>
        <v>6.3598195226018293</v>
      </c>
      <c r="X118" s="8">
        <f>EXP(-X117)</f>
        <v>5.7259014754213062</v>
      </c>
      <c r="Y118" s="8">
        <f>EXP(-Y117)</f>
        <v>4.953032424395114</v>
      </c>
      <c r="Z118" s="8">
        <f>EXP(-Z117)</f>
        <v>4.1786991919232452</v>
      </c>
    </row>
    <row r="119" spans="16:26" x14ac:dyDescent="0.2">
      <c r="Q119" s="2" t="s">
        <v>1155</v>
      </c>
      <c r="R119" s="8"/>
      <c r="S119" s="8">
        <f>(1/(1+S118))</f>
        <v>9.752783704079257E-2</v>
      </c>
      <c r="T119" s="8"/>
      <c r="U119" s="8">
        <f>(1/(1+U118))</f>
        <v>0.1358728970090943</v>
      </c>
      <c r="V119" s="8"/>
      <c r="W119" s="8">
        <f>(1/(1+W118))</f>
        <v>0.1358728970090943</v>
      </c>
      <c r="X119" s="8">
        <f>(1/(1+X118))</f>
        <v>0.14867895458390737</v>
      </c>
      <c r="Y119" s="8">
        <f>(1/(1+Y118))</f>
        <v>0.16798161486607555</v>
      </c>
      <c r="Z119" s="8">
        <f>(1/(1+Z118))</f>
        <v>0.19309868423321647</v>
      </c>
    </row>
    <row r="120" spans="16:26" x14ac:dyDescent="0.2">
      <c r="S120" s="8"/>
      <c r="T120" s="8"/>
      <c r="U120" s="8"/>
      <c r="V120" s="8"/>
      <c r="W120" s="8"/>
      <c r="X120" s="8"/>
      <c r="Y120" s="8"/>
    </row>
    <row r="121" spans="16:26" x14ac:dyDescent="0.2">
      <c r="Q121" s="76" t="s">
        <v>1148</v>
      </c>
      <c r="R121" s="76" t="s">
        <v>1156</v>
      </c>
      <c r="S121" s="76" t="s">
        <v>1157</v>
      </c>
      <c r="T121" s="92" t="s">
        <v>1158</v>
      </c>
      <c r="U121" s="92"/>
      <c r="V121" s="92"/>
    </row>
    <row r="122" spans="16:26" x14ac:dyDescent="0.2">
      <c r="Q122" s="76" t="s">
        <v>594</v>
      </c>
      <c r="R122" s="76">
        <v>-2.2999999999999998</v>
      </c>
      <c r="S122" s="76">
        <v>0.8</v>
      </c>
      <c r="T122" s="92">
        <v>0.75</v>
      </c>
      <c r="U122" s="92"/>
      <c r="V122" s="92"/>
    </row>
    <row r="124" spans="16:26" x14ac:dyDescent="0.2">
      <c r="Q124" s="76" t="s">
        <v>1148</v>
      </c>
      <c r="R124" s="76" t="s">
        <v>1149</v>
      </c>
      <c r="S124" s="76" t="s">
        <v>1150</v>
      </c>
      <c r="T124" s="92"/>
      <c r="U124" s="92"/>
      <c r="V124" s="92"/>
    </row>
    <row r="125" spans="16:26" x14ac:dyDescent="0.2">
      <c r="Q125" s="86" t="s">
        <v>594</v>
      </c>
      <c r="R125">
        <v>35</v>
      </c>
      <c r="S125" s="86">
        <v>55</v>
      </c>
      <c r="T125" s="92"/>
      <c r="U125" s="92"/>
      <c r="V125" s="92"/>
    </row>
  </sheetData>
  <mergeCells count="24">
    <mergeCell ref="N10:Q10"/>
    <mergeCell ref="P43:P45"/>
    <mergeCell ref="Q43:Q45"/>
    <mergeCell ref="N50:N52"/>
    <mergeCell ref="O50:O52"/>
    <mergeCell ref="P50:P52"/>
    <mergeCell ref="Q50:Q52"/>
    <mergeCell ref="N48:Q48"/>
    <mergeCell ref="N47:Q47"/>
    <mergeCell ref="N54:Q54"/>
    <mergeCell ref="N34:Q34"/>
    <mergeCell ref="N35:Q35"/>
    <mergeCell ref="N40:N42"/>
    <mergeCell ref="O40:O42"/>
    <mergeCell ref="P40:P42"/>
    <mergeCell ref="Q40:Q42"/>
    <mergeCell ref="N43:N45"/>
    <mergeCell ref="O43:O45"/>
    <mergeCell ref="N28:Q28"/>
    <mergeCell ref="N29:Q29"/>
    <mergeCell ref="N13:Q13"/>
    <mergeCell ref="N18:Q18"/>
    <mergeCell ref="N15:Q15"/>
    <mergeCell ref="N36:Q36"/>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586F5-E6AB-974E-BB8A-11F6AEC5C061}">
  <dimension ref="A1:AQ117"/>
  <sheetViews>
    <sheetView topLeftCell="L49" zoomScale="125" zoomScaleNormal="125" workbookViewId="0">
      <selection activeCell="P95" sqref="P95:Z100"/>
    </sheetView>
  </sheetViews>
  <sheetFormatPr baseColWidth="10" defaultRowHeight="16" x14ac:dyDescent="0.2"/>
  <cols>
    <col min="1" max="1" width="17.83203125" style="2" customWidth="1"/>
    <col min="2" max="2" width="22.1640625" style="2" customWidth="1"/>
    <col min="3" max="4" width="32.33203125" style="2" customWidth="1"/>
    <col min="5" max="5" width="75.1640625" style="3" customWidth="1"/>
    <col min="6" max="6" width="33" style="2" customWidth="1"/>
    <col min="7" max="7" width="18.6640625" style="2" customWidth="1"/>
    <col min="8" max="8" width="26" style="3" customWidth="1"/>
    <col min="9" max="9" width="29.1640625" style="2" customWidth="1"/>
    <col min="10" max="10" width="16.6640625" style="2" customWidth="1"/>
    <col min="11" max="11" width="18.6640625" style="2" customWidth="1"/>
    <col min="12" max="12" width="18.83203125" style="2" customWidth="1"/>
    <col min="13" max="13" width="18.33203125" style="2" customWidth="1"/>
    <col min="14" max="14" width="18" style="2" customWidth="1"/>
    <col min="15" max="15" width="17.5" style="2" customWidth="1"/>
    <col min="16" max="16" width="16.6640625" style="2" customWidth="1"/>
    <col min="17" max="17" width="18.6640625" style="2" customWidth="1"/>
    <col min="18" max="18" width="23.6640625" style="2" customWidth="1"/>
    <col min="19" max="19" width="18.6640625" style="2" customWidth="1"/>
    <col min="20" max="20" width="18.83203125" style="2" customWidth="1"/>
    <col min="21" max="21" width="19.83203125" style="2" customWidth="1"/>
    <col min="22" max="22" width="18.83203125" style="2" customWidth="1"/>
    <col min="23" max="23" width="18.33203125" style="2" customWidth="1"/>
    <col min="24" max="24" width="18" style="2" customWidth="1"/>
    <col min="25" max="25" width="17.5" style="2" customWidth="1"/>
    <col min="26" max="27" width="16.6640625" style="2" customWidth="1"/>
    <col min="28" max="28" width="18.6640625" style="2" customWidth="1"/>
    <col min="29" max="29" width="19.5" style="2" customWidth="1"/>
    <col min="30" max="30" width="18.6640625" style="2" customWidth="1"/>
    <col min="31" max="31" width="18.83203125" style="2" customWidth="1"/>
    <col min="32" max="32" width="18.33203125" style="2" customWidth="1"/>
    <col min="33" max="33" width="18" style="2" customWidth="1"/>
    <col min="34" max="34" width="17.5" style="2" customWidth="1"/>
    <col min="35" max="35" width="16.6640625" style="2" customWidth="1"/>
    <col min="36" max="36" width="18.6640625" style="2" customWidth="1"/>
    <col min="37" max="16384" width="10.83203125" style="2"/>
  </cols>
  <sheetData>
    <row r="1" spans="1:43" ht="133" customHeight="1" x14ac:dyDescent="0.2">
      <c r="A1" s="43" t="e" vm="6">
        <v>#VALUE!</v>
      </c>
      <c r="B1" s="43"/>
      <c r="C1" s="57" t="s">
        <v>637</v>
      </c>
    </row>
    <row r="2" spans="1:43" x14ac:dyDescent="0.2">
      <c r="K2" s="2" t="s">
        <v>320</v>
      </c>
    </row>
    <row r="3" spans="1:43" ht="51" x14ac:dyDescent="0.2">
      <c r="A3" s="2" t="s">
        <v>18</v>
      </c>
      <c r="B3" s="2" t="s">
        <v>19</v>
      </c>
      <c r="C3" s="2" t="s">
        <v>20</v>
      </c>
      <c r="D3" s="2" t="s">
        <v>407</v>
      </c>
      <c r="E3" s="3" t="s">
        <v>21</v>
      </c>
      <c r="F3" s="2" t="s">
        <v>22</v>
      </c>
      <c r="G3" s="2" t="s">
        <v>143</v>
      </c>
      <c r="H3" s="3" t="s">
        <v>24</v>
      </c>
      <c r="I3" s="2" t="s">
        <v>93</v>
      </c>
      <c r="K3" s="2" t="s">
        <v>94</v>
      </c>
      <c r="L3" s="3" t="s">
        <v>990</v>
      </c>
      <c r="M3" s="2" t="s">
        <v>96</v>
      </c>
      <c r="N3" s="2" t="s">
        <v>25</v>
      </c>
      <c r="O3" s="2" t="s">
        <v>26</v>
      </c>
      <c r="P3" s="2" t="s">
        <v>27</v>
      </c>
      <c r="Q3" s="2" t="s">
        <v>28</v>
      </c>
      <c r="R3" s="3" t="s">
        <v>348</v>
      </c>
      <c r="S3" s="3" t="s">
        <v>609</v>
      </c>
      <c r="T3" s="3" t="s">
        <v>610</v>
      </c>
      <c r="U3" s="3" t="s">
        <v>611</v>
      </c>
      <c r="V3" s="3" t="s">
        <v>612</v>
      </c>
      <c r="W3" s="2" t="s">
        <v>373</v>
      </c>
      <c r="X3" s="3" t="s">
        <v>378</v>
      </c>
      <c r="Y3" s="3" t="s">
        <v>820</v>
      </c>
      <c r="Z3" s="3" t="s">
        <v>668</v>
      </c>
      <c r="AA3" s="3" t="s">
        <v>989</v>
      </c>
      <c r="AB3" s="3" t="s">
        <v>664</v>
      </c>
      <c r="AC3" s="3" t="s">
        <v>665</v>
      </c>
      <c r="AD3" s="3" t="s">
        <v>666</v>
      </c>
    </row>
    <row r="5" spans="1:43" ht="68" x14ac:dyDescent="0.2">
      <c r="A5" s="2" t="s">
        <v>29</v>
      </c>
      <c r="B5" s="2" t="s">
        <v>30</v>
      </c>
      <c r="C5" s="2" t="s">
        <v>617</v>
      </c>
      <c r="D5" s="2" t="s">
        <v>350</v>
      </c>
      <c r="E5" s="3" t="s">
        <v>68</v>
      </c>
      <c r="F5" s="3" t="s">
        <v>603</v>
      </c>
      <c r="G5" s="52" t="s">
        <v>619</v>
      </c>
      <c r="H5" s="3" t="s">
        <v>604</v>
      </c>
      <c r="I5" s="2" t="s">
        <v>605</v>
      </c>
      <c r="K5" s="2">
        <v>4.75</v>
      </c>
      <c r="L5" s="43">
        <v>4.75</v>
      </c>
      <c r="M5" s="2">
        <v>4.25</v>
      </c>
      <c r="N5" s="2">
        <v>4.25</v>
      </c>
      <c r="O5" s="2">
        <v>4.1500000000000004</v>
      </c>
      <c r="P5" s="2">
        <v>4.05</v>
      </c>
      <c r="Q5" s="2">
        <v>3.95</v>
      </c>
      <c r="R5" s="2" t="s">
        <v>614</v>
      </c>
      <c r="S5" s="8">
        <f>K6</f>
        <v>12.631578947368421</v>
      </c>
      <c r="T5" s="8">
        <f>(S5-7)*3</f>
        <v>16.894736842105264</v>
      </c>
      <c r="U5" s="8">
        <f>M6</f>
        <v>14.117647058823529</v>
      </c>
      <c r="V5" s="8">
        <f>(U5-7)*3</f>
        <v>21.352941176470587</v>
      </c>
      <c r="W5" s="8">
        <v>30</v>
      </c>
      <c r="AA5" s="8">
        <f>(L6-7)*3</f>
        <v>16.894736842105264</v>
      </c>
      <c r="AB5" s="8">
        <f>(O6-7)*3</f>
        <v>22.37349397590361</v>
      </c>
      <c r="AC5" s="8">
        <f>(P6-7)*3</f>
        <v>23.444444444444443</v>
      </c>
      <c r="AD5" s="8">
        <f>(Q6-7)*3</f>
        <v>24.569620253164555</v>
      </c>
    </row>
    <row r="6" spans="1:43" x14ac:dyDescent="0.2">
      <c r="F6" s="3"/>
      <c r="G6" s="4"/>
      <c r="J6" s="2" t="s">
        <v>607</v>
      </c>
      <c r="K6" s="8">
        <f>$K$9/K5</f>
        <v>12.631578947368421</v>
      </c>
      <c r="L6" s="8">
        <f>$K$9/L5</f>
        <v>12.631578947368421</v>
      </c>
      <c r="M6" s="8">
        <f t="shared" ref="M6:Q6" si="0">$K$9/M5</f>
        <v>14.117647058823529</v>
      </c>
      <c r="N6" s="8">
        <f t="shared" si="0"/>
        <v>14.117647058823529</v>
      </c>
      <c r="O6" s="8">
        <f t="shared" si="0"/>
        <v>14.457831325301203</v>
      </c>
      <c r="P6" s="8">
        <f t="shared" si="0"/>
        <v>14.814814814814815</v>
      </c>
      <c r="Q6" s="8">
        <f t="shared" si="0"/>
        <v>15.189873417721518</v>
      </c>
      <c r="T6" s="8"/>
      <c r="U6" s="8"/>
      <c r="V6" s="8"/>
      <c r="W6" s="8"/>
      <c r="X6" s="8"/>
      <c r="Y6" s="8"/>
      <c r="Z6" s="8"/>
      <c r="AA6" s="8"/>
      <c r="AE6" s="8"/>
      <c r="AF6" s="8"/>
      <c r="AG6" s="8"/>
      <c r="AH6" s="8"/>
      <c r="AI6" s="8"/>
      <c r="AL6" s="8"/>
      <c r="AM6" s="8"/>
      <c r="AN6" s="8"/>
      <c r="AO6" s="8"/>
      <c r="AP6" s="8"/>
      <c r="AQ6" s="8"/>
    </row>
    <row r="7" spans="1:43" ht="68" x14ac:dyDescent="0.2">
      <c r="B7" s="2" t="s">
        <v>30</v>
      </c>
      <c r="C7" s="2" t="s">
        <v>618</v>
      </c>
      <c r="D7" s="2" t="s">
        <v>602</v>
      </c>
      <c r="E7" s="3" t="s">
        <v>69</v>
      </c>
      <c r="F7" s="3" t="s">
        <v>603</v>
      </c>
      <c r="G7" s="52" t="s">
        <v>619</v>
      </c>
      <c r="H7" s="3" t="s">
        <v>604</v>
      </c>
      <c r="I7" s="2" t="s">
        <v>606</v>
      </c>
      <c r="K7" s="2">
        <v>20</v>
      </c>
      <c r="L7" s="43">
        <v>20</v>
      </c>
      <c r="M7" s="2">
        <v>17</v>
      </c>
      <c r="N7" s="2">
        <v>17</v>
      </c>
      <c r="O7" s="2">
        <v>16.25</v>
      </c>
      <c r="P7" s="2">
        <v>15.75</v>
      </c>
      <c r="Q7" s="2">
        <v>15</v>
      </c>
      <c r="R7" s="2" t="s">
        <v>615</v>
      </c>
      <c r="S7" s="8">
        <f>K8</f>
        <v>12</v>
      </c>
      <c r="T7" s="8">
        <f>(S7-7)*3</f>
        <v>15</v>
      </c>
      <c r="U7" s="8">
        <f>N8</f>
        <v>14.117647058823529</v>
      </c>
      <c r="V7" s="8">
        <f>(U7-7)*3</f>
        <v>21.352941176470587</v>
      </c>
      <c r="W7" s="8">
        <v>35</v>
      </c>
      <c r="AA7" s="8">
        <f>(L8-7)*3</f>
        <v>15</v>
      </c>
      <c r="AB7" s="8">
        <f>(O8-7)*3</f>
        <v>23.30769230769231</v>
      </c>
      <c r="AC7" s="8">
        <f>(P8-7)*3</f>
        <v>24.714285714285712</v>
      </c>
      <c r="AD7" s="8">
        <f>(Q8-7)*3</f>
        <v>27</v>
      </c>
    </row>
    <row r="8" spans="1:43" x14ac:dyDescent="0.2">
      <c r="F8" s="3"/>
      <c r="G8" s="4"/>
      <c r="J8" s="2" t="s">
        <v>607</v>
      </c>
      <c r="K8" s="8">
        <f>($K$9*4)/K7</f>
        <v>12</v>
      </c>
      <c r="L8" s="8">
        <f>($K$9*4)/L7</f>
        <v>12</v>
      </c>
      <c r="M8" s="8">
        <f t="shared" ref="M8:Q8" si="1">($K$9*4)/M7</f>
        <v>14.117647058823529</v>
      </c>
      <c r="N8" s="8">
        <f t="shared" si="1"/>
        <v>14.117647058823529</v>
      </c>
      <c r="O8" s="8">
        <f t="shared" si="1"/>
        <v>14.76923076923077</v>
      </c>
      <c r="P8" s="8">
        <f t="shared" si="1"/>
        <v>15.238095238095237</v>
      </c>
      <c r="Q8" s="8">
        <f t="shared" si="1"/>
        <v>16</v>
      </c>
      <c r="T8" s="8"/>
      <c r="U8" s="8"/>
      <c r="V8" s="8"/>
      <c r="W8" s="8"/>
      <c r="X8" s="8"/>
      <c r="Y8" s="8"/>
      <c r="Z8" s="8"/>
      <c r="AA8" s="8"/>
      <c r="AE8" s="8"/>
      <c r="AF8" s="8"/>
      <c r="AG8" s="8"/>
      <c r="AH8" s="8"/>
      <c r="AI8" s="8"/>
      <c r="AL8" s="8"/>
      <c r="AM8" s="8"/>
      <c r="AN8" s="8"/>
      <c r="AO8" s="8"/>
      <c r="AP8" s="8"/>
      <c r="AQ8" s="8"/>
    </row>
    <row r="9" spans="1:43" x14ac:dyDescent="0.2">
      <c r="F9" s="3"/>
      <c r="G9" s="4"/>
      <c r="J9" s="2" t="s">
        <v>601</v>
      </c>
      <c r="K9" s="8">
        <v>60</v>
      </c>
      <c r="M9" s="8"/>
      <c r="N9" s="8"/>
      <c r="O9" s="8"/>
      <c r="P9" s="8"/>
      <c r="Q9" s="8"/>
      <c r="T9" s="8"/>
      <c r="U9" s="8"/>
      <c r="V9" s="8"/>
      <c r="W9" s="8"/>
      <c r="X9" s="8"/>
      <c r="Y9" s="8"/>
      <c r="Z9" s="8"/>
      <c r="AA9" s="8"/>
      <c r="AC9" s="8"/>
      <c r="AL9" s="8"/>
      <c r="AM9" s="8"/>
      <c r="AN9" s="8"/>
      <c r="AO9" s="8"/>
      <c r="AP9" s="8"/>
      <c r="AQ9" s="8"/>
    </row>
    <row r="10" spans="1:43" s="13" customFormat="1" x14ac:dyDescent="0.2">
      <c r="B10" s="13" t="s">
        <v>341</v>
      </c>
      <c r="D10" s="13" t="s">
        <v>759</v>
      </c>
      <c r="F10" s="14"/>
      <c r="I10" s="14"/>
      <c r="M10" s="15" t="s">
        <v>471</v>
      </c>
      <c r="N10" s="15"/>
      <c r="O10" s="15"/>
      <c r="P10" s="15"/>
      <c r="Q10" s="33"/>
      <c r="T10" s="17">
        <f>SUM(T5,T7)</f>
        <v>31.894736842105264</v>
      </c>
      <c r="V10" s="17">
        <f>SUM(V5,V7)</f>
        <v>42.705882352941174</v>
      </c>
      <c r="W10" s="17">
        <f>SUM(W5,W7)</f>
        <v>65</v>
      </c>
      <c r="AA10" s="17">
        <f t="shared" ref="AA10" si="2">SUM(AA5,AA7)</f>
        <v>31.894736842105264</v>
      </c>
      <c r="AB10" s="17">
        <f t="shared" ref="AB10:AD10" si="3">SUM(AB5,AB7)</f>
        <v>45.68118628359592</v>
      </c>
      <c r="AC10" s="17">
        <f t="shared" si="3"/>
        <v>48.158730158730151</v>
      </c>
      <c r="AD10" s="17">
        <f t="shared" si="3"/>
        <v>51.569620253164558</v>
      </c>
    </row>
    <row r="11" spans="1:43" ht="17" x14ac:dyDescent="0.2">
      <c r="B11" s="2" t="s">
        <v>34</v>
      </c>
      <c r="C11" s="2" t="s">
        <v>36</v>
      </c>
      <c r="D11" s="2" t="s">
        <v>425</v>
      </c>
      <c r="E11" s="3" t="s">
        <v>225</v>
      </c>
      <c r="F11" s="2" t="s">
        <v>227</v>
      </c>
      <c r="H11" s="3" t="s">
        <v>79</v>
      </c>
      <c r="I11" s="2" t="s">
        <v>427</v>
      </c>
      <c r="K11" s="2">
        <v>6</v>
      </c>
      <c r="L11" s="8">
        <v>6</v>
      </c>
      <c r="M11" s="2">
        <v>15</v>
      </c>
      <c r="N11" s="2">
        <v>15</v>
      </c>
      <c r="O11" s="2">
        <v>16</v>
      </c>
      <c r="P11" s="2">
        <v>18</v>
      </c>
      <c r="Q11" s="2">
        <v>20</v>
      </c>
      <c r="R11" s="2" t="s">
        <v>428</v>
      </c>
      <c r="S11" s="2">
        <f>K11</f>
        <v>6</v>
      </c>
      <c r="T11" s="2">
        <f>S11/2</f>
        <v>3</v>
      </c>
      <c r="U11" s="2">
        <f t="shared" ref="U11:U12" si="4">M11</f>
        <v>15</v>
      </c>
      <c r="V11" s="2">
        <f>U11/2</f>
        <v>7.5</v>
      </c>
      <c r="W11" s="2">
        <f>40/2</f>
        <v>20</v>
      </c>
      <c r="AA11" s="8">
        <f>L11/2</f>
        <v>3</v>
      </c>
      <c r="AB11" s="8">
        <f>O11/2</f>
        <v>8</v>
      </c>
      <c r="AC11" s="8">
        <f>P11/2</f>
        <v>9</v>
      </c>
      <c r="AD11" s="8">
        <f>Q11/2</f>
        <v>10</v>
      </c>
    </row>
    <row r="12" spans="1:43" ht="17" x14ac:dyDescent="0.2">
      <c r="B12" s="2" t="s">
        <v>34</v>
      </c>
      <c r="C12" s="2" t="s">
        <v>71</v>
      </c>
      <c r="D12" s="2" t="s">
        <v>426</v>
      </c>
      <c r="E12" s="3" t="s">
        <v>226</v>
      </c>
      <c r="F12" s="2" t="s">
        <v>227</v>
      </c>
      <c r="H12" s="3" t="s">
        <v>79</v>
      </c>
      <c r="I12" s="2" t="s">
        <v>427</v>
      </c>
      <c r="K12" s="2">
        <v>8</v>
      </c>
      <c r="L12" s="43">
        <v>8</v>
      </c>
      <c r="M12" s="2">
        <v>18</v>
      </c>
      <c r="N12" s="2">
        <v>18</v>
      </c>
      <c r="O12" s="2">
        <v>18</v>
      </c>
      <c r="P12" s="2">
        <v>20</v>
      </c>
      <c r="Q12" s="2">
        <v>22</v>
      </c>
      <c r="R12" s="2" t="s">
        <v>429</v>
      </c>
      <c r="S12" s="2">
        <f>K12</f>
        <v>8</v>
      </c>
      <c r="T12" s="8">
        <f>S12/3</f>
        <v>2.6666666666666665</v>
      </c>
      <c r="U12" s="2">
        <f t="shared" si="4"/>
        <v>18</v>
      </c>
      <c r="V12" s="8">
        <f>U12/3</f>
        <v>6</v>
      </c>
      <c r="W12" s="2">
        <f>45/3</f>
        <v>15</v>
      </c>
      <c r="AA12" s="8">
        <f>L12/3</f>
        <v>2.6666666666666665</v>
      </c>
      <c r="AB12" s="8">
        <f>O12/3</f>
        <v>6</v>
      </c>
      <c r="AC12" s="8">
        <f>P12/3</f>
        <v>6.666666666666667</v>
      </c>
      <c r="AD12" s="8">
        <f>Q12/3</f>
        <v>7.333333333333333</v>
      </c>
    </row>
    <row r="13" spans="1:43" s="13" customFormat="1" x14ac:dyDescent="0.2">
      <c r="B13" s="13" t="s">
        <v>397</v>
      </c>
      <c r="D13" s="13" t="s">
        <v>761</v>
      </c>
      <c r="F13" s="14"/>
      <c r="I13" s="14"/>
      <c r="M13" s="32" t="s">
        <v>440</v>
      </c>
      <c r="N13" s="32"/>
      <c r="O13" s="32"/>
      <c r="P13" s="32"/>
      <c r="Q13" s="59"/>
      <c r="R13" s="59"/>
      <c r="T13" s="17">
        <f>SUM(T11:T12)</f>
        <v>5.6666666666666661</v>
      </c>
      <c r="V13" s="17">
        <f t="shared" ref="V13:W13" si="5">SUM(V11:V12)</f>
        <v>13.5</v>
      </c>
      <c r="W13" s="17">
        <f t="shared" si="5"/>
        <v>35</v>
      </c>
      <c r="AA13" s="17">
        <f t="shared" ref="AA13" si="6">SUM(AA11:AA12)</f>
        <v>5.6666666666666661</v>
      </c>
      <c r="AB13" s="17">
        <f t="shared" ref="AB13:AD13" si="7">SUM(AB11:AB12)</f>
        <v>14</v>
      </c>
      <c r="AC13" s="17">
        <f t="shared" si="7"/>
        <v>15.666666666666668</v>
      </c>
      <c r="AD13" s="17">
        <f t="shared" si="7"/>
        <v>17.333333333333332</v>
      </c>
    </row>
    <row r="14" spans="1:43" ht="68" x14ac:dyDescent="0.2">
      <c r="B14" s="2" t="s">
        <v>41</v>
      </c>
      <c r="C14" s="2" t="s">
        <v>42</v>
      </c>
      <c r="D14" s="2" t="s">
        <v>352</v>
      </c>
      <c r="E14" s="3" t="s">
        <v>85</v>
      </c>
      <c r="F14" s="3" t="s">
        <v>172</v>
      </c>
      <c r="G14" s="3" t="s">
        <v>171</v>
      </c>
      <c r="H14" s="3" t="s">
        <v>80</v>
      </c>
      <c r="I14" s="2" t="s">
        <v>173</v>
      </c>
      <c r="K14" s="2">
        <v>7.5</v>
      </c>
      <c r="L14" s="2">
        <v>7.5</v>
      </c>
      <c r="M14" s="2">
        <v>17.510000000000002</v>
      </c>
      <c r="N14" s="2">
        <v>17.600000000000001</v>
      </c>
      <c r="O14" s="2">
        <v>20</v>
      </c>
      <c r="P14" s="2">
        <v>22.5</v>
      </c>
      <c r="Q14" s="2">
        <v>25</v>
      </c>
      <c r="R14" s="2" t="s">
        <v>367</v>
      </c>
      <c r="S14" s="2">
        <f t="shared" ref="S14:S15" si="8">K14</f>
        <v>7.5</v>
      </c>
      <c r="T14" s="8">
        <f>S14/3</f>
        <v>2.5</v>
      </c>
      <c r="U14" s="2">
        <f t="shared" ref="U14:U15" si="9">M14</f>
        <v>17.510000000000002</v>
      </c>
      <c r="V14" s="8">
        <f>U14/3</f>
        <v>5.8366666666666669</v>
      </c>
      <c r="W14" s="8">
        <f>30/3</f>
        <v>10</v>
      </c>
      <c r="AA14" s="8">
        <f>L14/3</f>
        <v>2.5</v>
      </c>
      <c r="AB14" s="8">
        <f>O14/3</f>
        <v>6.666666666666667</v>
      </c>
      <c r="AC14" s="8">
        <f>P14/3</f>
        <v>7.5</v>
      </c>
      <c r="AD14" s="8">
        <f>Q14/3</f>
        <v>8.3333333333333339</v>
      </c>
    </row>
    <row r="15" spans="1:43" ht="68" x14ac:dyDescent="0.2">
      <c r="B15" s="2" t="s">
        <v>41</v>
      </c>
      <c r="C15" s="2" t="s">
        <v>43</v>
      </c>
      <c r="D15" s="2" t="s">
        <v>351</v>
      </c>
      <c r="E15" s="3" t="s">
        <v>86</v>
      </c>
      <c r="F15" s="3" t="s">
        <v>172</v>
      </c>
      <c r="G15" s="3" t="s">
        <v>171</v>
      </c>
      <c r="H15" s="3" t="s">
        <v>80</v>
      </c>
      <c r="I15" s="2" t="s">
        <v>173</v>
      </c>
      <c r="K15" s="9">
        <v>5</v>
      </c>
      <c r="L15" s="2">
        <v>5</v>
      </c>
      <c r="M15" s="9">
        <v>14.01</v>
      </c>
      <c r="N15" s="8">
        <v>15</v>
      </c>
      <c r="O15" s="2">
        <v>17.5</v>
      </c>
      <c r="P15" s="2">
        <v>20</v>
      </c>
      <c r="Q15" s="2">
        <v>22.5</v>
      </c>
      <c r="R15" s="2" t="s">
        <v>366</v>
      </c>
      <c r="S15" s="2">
        <f t="shared" si="8"/>
        <v>5</v>
      </c>
      <c r="T15" s="8">
        <f>S15/2</f>
        <v>2.5</v>
      </c>
      <c r="U15" s="2">
        <f t="shared" si="9"/>
        <v>14.01</v>
      </c>
      <c r="V15" s="8">
        <f>U15/2</f>
        <v>7.0049999999999999</v>
      </c>
      <c r="W15" s="8">
        <f>30/2</f>
        <v>15</v>
      </c>
      <c r="AA15" s="8">
        <f>L15/2</f>
        <v>2.5</v>
      </c>
      <c r="AB15" s="8">
        <f>O15/2</f>
        <v>8.75</v>
      </c>
      <c r="AC15" s="8">
        <f>P15/2</f>
        <v>10</v>
      </c>
      <c r="AD15" s="8">
        <f>Q15/2</f>
        <v>11.25</v>
      </c>
    </row>
    <row r="16" spans="1:43" s="13" customFormat="1" x14ac:dyDescent="0.2">
      <c r="B16" s="13" t="s">
        <v>342</v>
      </c>
      <c r="D16" s="13" t="s">
        <v>762</v>
      </c>
      <c r="F16" s="14"/>
      <c r="G16" s="14"/>
      <c r="H16" s="14"/>
      <c r="I16" s="14"/>
      <c r="M16" s="32" t="s">
        <v>441</v>
      </c>
      <c r="N16" s="32"/>
      <c r="O16" s="32"/>
      <c r="P16" s="32"/>
      <c r="Q16" s="59"/>
      <c r="R16" s="59"/>
      <c r="T16" s="17">
        <f>SUM(T14:T15)</f>
        <v>5</v>
      </c>
      <c r="V16" s="17">
        <f t="shared" ref="V16:W16" si="10">SUM(V14:V15)</f>
        <v>12.841666666666667</v>
      </c>
      <c r="W16" s="17">
        <f t="shared" si="10"/>
        <v>25</v>
      </c>
      <c r="AA16" s="17">
        <f t="shared" ref="AA16" si="11">SUM(AA14:AA15)</f>
        <v>5</v>
      </c>
      <c r="AB16" s="17">
        <f t="shared" ref="AB16:AD16" si="12">SUM(AB14:AB15)</f>
        <v>15.416666666666668</v>
      </c>
      <c r="AC16" s="17">
        <f t="shared" si="12"/>
        <v>17.5</v>
      </c>
      <c r="AD16" s="17">
        <f t="shared" si="12"/>
        <v>19.583333333333336</v>
      </c>
    </row>
    <row r="17" spans="1:30" ht="85" x14ac:dyDescent="0.2">
      <c r="B17" s="2" t="s">
        <v>44</v>
      </c>
      <c r="C17" s="2" t="s">
        <v>45</v>
      </c>
      <c r="D17" s="2" t="s">
        <v>45</v>
      </c>
      <c r="E17" s="3" t="s">
        <v>89</v>
      </c>
      <c r="F17" s="3" t="s">
        <v>174</v>
      </c>
      <c r="G17" s="3" t="s">
        <v>175</v>
      </c>
      <c r="H17" s="3" t="s">
        <v>90</v>
      </c>
      <c r="I17" s="2" t="s">
        <v>182</v>
      </c>
      <c r="K17" s="3" t="s">
        <v>430</v>
      </c>
      <c r="L17" s="3" t="s">
        <v>432</v>
      </c>
      <c r="M17" s="3" t="s">
        <v>431</v>
      </c>
      <c r="N17" s="2" t="s">
        <v>181</v>
      </c>
      <c r="O17" s="2" t="s">
        <v>181</v>
      </c>
      <c r="P17" s="2" t="s">
        <v>181</v>
      </c>
      <c r="Q17" s="3" t="s">
        <v>431</v>
      </c>
      <c r="R17" s="3" t="s">
        <v>439</v>
      </c>
      <c r="S17" s="3" t="str">
        <f>K17</f>
        <v>Less than 180 Degrees Both Sides</v>
      </c>
      <c r="T17" s="8">
        <v>0</v>
      </c>
      <c r="U17" s="3" t="str">
        <f>L17</f>
        <v>This could be any combinantion between the low and high options</v>
      </c>
      <c r="V17" s="8">
        <v>4</v>
      </c>
      <c r="W17" s="8">
        <v>6</v>
      </c>
      <c r="AA17" s="2">
        <v>4</v>
      </c>
      <c r="AB17" s="2">
        <v>6</v>
      </c>
      <c r="AC17" s="2">
        <v>6</v>
      </c>
      <c r="AD17" s="2">
        <v>6</v>
      </c>
    </row>
    <row r="18" spans="1:30" ht="51" x14ac:dyDescent="0.2">
      <c r="B18" s="2" t="s">
        <v>44</v>
      </c>
      <c r="C18" s="2" t="s">
        <v>46</v>
      </c>
      <c r="D18" s="2" t="s">
        <v>353</v>
      </c>
      <c r="E18" s="3" t="s">
        <v>87</v>
      </c>
      <c r="F18" s="3" t="s">
        <v>176</v>
      </c>
      <c r="G18" s="3"/>
      <c r="H18" s="3" t="s">
        <v>90</v>
      </c>
      <c r="I18" s="2" t="s">
        <v>182</v>
      </c>
      <c r="K18" s="2" t="s">
        <v>330</v>
      </c>
      <c r="L18" s="2" t="s">
        <v>329</v>
      </c>
      <c r="M18" s="2" t="s">
        <v>331</v>
      </c>
      <c r="N18" s="2" t="s">
        <v>181</v>
      </c>
      <c r="O18" s="2" t="s">
        <v>329</v>
      </c>
      <c r="P18" s="2" t="s">
        <v>181</v>
      </c>
      <c r="Q18" s="2" t="s">
        <v>331</v>
      </c>
      <c r="R18" s="3" t="s">
        <v>368</v>
      </c>
      <c r="S18" s="3" t="str">
        <f>K18</f>
        <v>Cannot Touch Toes</v>
      </c>
      <c r="T18" s="8">
        <v>0</v>
      </c>
      <c r="U18" s="3" t="s">
        <v>329</v>
      </c>
      <c r="V18" s="8">
        <v>3</v>
      </c>
      <c r="W18" s="8">
        <v>6</v>
      </c>
      <c r="AA18" s="2">
        <v>3</v>
      </c>
      <c r="AB18" s="2">
        <v>6</v>
      </c>
      <c r="AC18" s="2">
        <v>6</v>
      </c>
      <c r="AD18" s="2">
        <v>6</v>
      </c>
    </row>
    <row r="19" spans="1:30" ht="115" customHeight="1" x14ac:dyDescent="0.2">
      <c r="B19" s="2" t="s">
        <v>44</v>
      </c>
      <c r="C19" s="2" t="s">
        <v>47</v>
      </c>
      <c r="D19" s="2" t="s">
        <v>354</v>
      </c>
      <c r="E19" s="3" t="s">
        <v>88</v>
      </c>
      <c r="F19" s="3" t="s">
        <v>177</v>
      </c>
      <c r="G19" s="3" t="s">
        <v>91</v>
      </c>
      <c r="H19" s="3" t="s">
        <v>92</v>
      </c>
      <c r="I19" s="2" t="s">
        <v>182</v>
      </c>
      <c r="K19" s="3" t="s">
        <v>333</v>
      </c>
      <c r="L19" s="3" t="s">
        <v>334</v>
      </c>
      <c r="M19" s="3" t="s">
        <v>332</v>
      </c>
      <c r="N19" s="2" t="s">
        <v>181</v>
      </c>
      <c r="O19" s="2" t="s">
        <v>181</v>
      </c>
      <c r="P19" s="2" t="s">
        <v>181</v>
      </c>
      <c r="Q19" s="3" t="s">
        <v>332</v>
      </c>
      <c r="R19" s="3" t="s">
        <v>369</v>
      </c>
      <c r="S19" s="3" t="str">
        <f>K19</f>
        <v>2 or more of Arms move forward of head, Pelvis not below the hips, Ankles Flare</v>
      </c>
      <c r="T19" s="8">
        <v>3</v>
      </c>
      <c r="U19" s="3" t="str">
        <f>L19</f>
        <v>1 or less of Arms move forward of head, Pelvis not below the hips, Ankles Flare</v>
      </c>
      <c r="V19" s="8">
        <v>6</v>
      </c>
      <c r="W19" s="8">
        <v>9</v>
      </c>
      <c r="AA19" s="2">
        <v>6</v>
      </c>
      <c r="AB19" s="2">
        <v>9</v>
      </c>
      <c r="AC19" s="2">
        <v>9</v>
      </c>
      <c r="AD19" s="2">
        <v>9</v>
      </c>
    </row>
    <row r="20" spans="1:30" s="13" customFormat="1" ht="83" customHeight="1" x14ac:dyDescent="0.2">
      <c r="B20" s="13" t="s">
        <v>343</v>
      </c>
      <c r="F20" s="14"/>
      <c r="I20" s="14"/>
      <c r="M20" s="14" t="s">
        <v>434</v>
      </c>
      <c r="N20" s="14" t="s">
        <v>433</v>
      </c>
      <c r="O20" s="14" t="s">
        <v>435</v>
      </c>
      <c r="P20" s="14" t="s">
        <v>436</v>
      </c>
      <c r="T20" s="17">
        <f>SUM(T17:T19)</f>
        <v>3</v>
      </c>
      <c r="V20" s="17">
        <f t="shared" ref="V20:W20" si="13">SUM(V17:V19)</f>
        <v>13</v>
      </c>
      <c r="W20" s="17">
        <f t="shared" si="13"/>
        <v>21</v>
      </c>
      <c r="AA20" s="17">
        <f t="shared" ref="AA20" si="14">SUM(AA17:AA19)</f>
        <v>13</v>
      </c>
      <c r="AB20" s="17">
        <f t="shared" ref="AB20:AD20" si="15">SUM(AB17:AB19)</f>
        <v>21</v>
      </c>
      <c r="AC20" s="17">
        <f t="shared" si="15"/>
        <v>21</v>
      </c>
      <c r="AD20" s="17">
        <f t="shared" si="15"/>
        <v>21</v>
      </c>
    </row>
    <row r="21" spans="1:30" s="23" customFormat="1" x14ac:dyDescent="0.2">
      <c r="B21" s="23" t="s">
        <v>376</v>
      </c>
      <c r="D21" s="23" t="s">
        <v>758</v>
      </c>
      <c r="F21" s="24"/>
      <c r="I21" s="24"/>
      <c r="S21" s="26"/>
      <c r="T21" s="26">
        <f>SUM(T20,T16,T13,T11,T8)</f>
        <v>16.666666666666664</v>
      </c>
      <c r="U21" s="26"/>
      <c r="V21" s="26">
        <f t="shared" ref="V21:W21" si="16">SUM(V20,V16,V13,V11,V8)</f>
        <v>46.841666666666669</v>
      </c>
      <c r="W21" s="26">
        <f t="shared" si="16"/>
        <v>101</v>
      </c>
      <c r="X21" s="26">
        <v>50</v>
      </c>
      <c r="Y21" s="26">
        <f>(T21/W21)*X21</f>
        <v>8.2508250825082499</v>
      </c>
      <c r="Z21" s="26">
        <f>(V21/W21)*X21</f>
        <v>23.188943894389443</v>
      </c>
      <c r="AA21" s="26">
        <f t="shared" ref="AA21" si="17">SUM(AA20,AA16,AA13,AA11,AA8)</f>
        <v>26.666666666666664</v>
      </c>
      <c r="AB21" s="26">
        <f t="shared" ref="AB21:AD21" si="18">SUM(AB20,AB16,AB13,AB11,AB8)</f>
        <v>58.416666666666671</v>
      </c>
      <c r="AC21" s="26">
        <f t="shared" si="18"/>
        <v>63.166666666666671</v>
      </c>
      <c r="AD21" s="26">
        <f t="shared" si="18"/>
        <v>67.916666666666671</v>
      </c>
    </row>
    <row r="22" spans="1:30" ht="34" x14ac:dyDescent="0.2">
      <c r="A22" s="2" t="s">
        <v>48</v>
      </c>
      <c r="B22" s="2" t="s">
        <v>255</v>
      </c>
      <c r="C22" s="2" t="s">
        <v>49</v>
      </c>
      <c r="D22" s="2" t="s">
        <v>384</v>
      </c>
      <c r="E22" s="3" t="s">
        <v>97</v>
      </c>
      <c r="F22" s="2" t="s">
        <v>77</v>
      </c>
      <c r="H22" s="3" t="s">
        <v>79</v>
      </c>
      <c r="I22" s="2" t="s">
        <v>183</v>
      </c>
      <c r="K22" s="2">
        <v>2</v>
      </c>
      <c r="L22" s="2">
        <v>3</v>
      </c>
      <c r="M22" s="2">
        <v>6</v>
      </c>
      <c r="N22" s="2">
        <v>6</v>
      </c>
      <c r="O22" s="2">
        <v>7</v>
      </c>
      <c r="P22" s="2">
        <v>8</v>
      </c>
      <c r="Q22" s="2">
        <v>10</v>
      </c>
      <c r="R22" s="2" t="str">
        <f>D22</f>
        <v>HC10LD</v>
      </c>
      <c r="S22" s="2">
        <f t="shared" ref="S22:S24" si="19">K22</f>
        <v>2</v>
      </c>
      <c r="T22" s="2">
        <f>S22</f>
        <v>2</v>
      </c>
      <c r="U22" s="2">
        <f t="shared" ref="U22:U25" si="20">M22</f>
        <v>6</v>
      </c>
      <c r="V22" s="2">
        <f>U22</f>
        <v>6</v>
      </c>
      <c r="W22" s="2">
        <v>10</v>
      </c>
      <c r="AA22" s="2">
        <f>L22</f>
        <v>3</v>
      </c>
      <c r="AB22" s="8">
        <f>O22</f>
        <v>7</v>
      </c>
      <c r="AC22" s="8">
        <f>P22</f>
        <v>8</v>
      </c>
      <c r="AD22" s="8">
        <f>Q22</f>
        <v>10</v>
      </c>
    </row>
    <row r="23" spans="1:30" ht="51" x14ac:dyDescent="0.2">
      <c r="B23" s="2" t="s">
        <v>37</v>
      </c>
      <c r="C23" s="2" t="s">
        <v>67</v>
      </c>
      <c r="D23" s="2" t="s">
        <v>385</v>
      </c>
      <c r="E23" s="3" t="s">
        <v>245</v>
      </c>
      <c r="F23" s="3" t="s">
        <v>179</v>
      </c>
      <c r="G23" s="3" t="s">
        <v>180</v>
      </c>
      <c r="H23" s="3" t="s">
        <v>109</v>
      </c>
      <c r="I23" s="2" t="s">
        <v>184</v>
      </c>
      <c r="K23" s="2">
        <v>26</v>
      </c>
      <c r="L23" s="2">
        <v>30</v>
      </c>
      <c r="M23" s="2">
        <v>38</v>
      </c>
      <c r="N23" s="2">
        <v>38</v>
      </c>
      <c r="O23" s="2">
        <v>40</v>
      </c>
      <c r="P23" s="2">
        <v>42</v>
      </c>
      <c r="Q23" s="2">
        <v>45</v>
      </c>
      <c r="R23" s="2" t="s">
        <v>448</v>
      </c>
      <c r="S23" s="2">
        <f t="shared" si="19"/>
        <v>26</v>
      </c>
      <c r="T23" s="8">
        <f>S23/5</f>
        <v>5.2</v>
      </c>
      <c r="U23" s="2">
        <f t="shared" si="20"/>
        <v>38</v>
      </c>
      <c r="V23" s="8">
        <f>U23/5</f>
        <v>7.6</v>
      </c>
      <c r="W23" s="2">
        <f>55/5</f>
        <v>11</v>
      </c>
      <c r="AA23" s="2">
        <f>L23/5</f>
        <v>6</v>
      </c>
      <c r="AB23" s="8">
        <f>O23/5</f>
        <v>8</v>
      </c>
      <c r="AC23" s="8">
        <f>P23/5</f>
        <v>8.4</v>
      </c>
      <c r="AD23" s="8">
        <f>Q23/5</f>
        <v>9</v>
      </c>
    </row>
    <row r="24" spans="1:30" ht="111" customHeight="1" x14ac:dyDescent="0.2">
      <c r="B24" s="2" t="s">
        <v>256</v>
      </c>
      <c r="C24" s="2" t="s">
        <v>291</v>
      </c>
      <c r="D24" s="2" t="s">
        <v>355</v>
      </c>
      <c r="E24" s="3" t="s">
        <v>290</v>
      </c>
      <c r="F24" s="3" t="s">
        <v>292</v>
      </c>
      <c r="G24" s="3" t="s">
        <v>104</v>
      </c>
      <c r="H24" s="3" t="s">
        <v>289</v>
      </c>
      <c r="I24" s="2" t="s">
        <v>193</v>
      </c>
      <c r="K24" s="2">
        <v>8</v>
      </c>
      <c r="L24" s="2">
        <v>16</v>
      </c>
      <c r="M24" s="2">
        <v>18</v>
      </c>
      <c r="N24" s="2">
        <v>18</v>
      </c>
      <c r="O24" s="2">
        <v>20</v>
      </c>
      <c r="P24" s="2">
        <v>22</v>
      </c>
      <c r="Q24" s="2">
        <v>24</v>
      </c>
      <c r="R24" s="2" t="str">
        <f>D24</f>
        <v>H10PITCH</v>
      </c>
      <c r="S24" s="2">
        <f t="shared" si="19"/>
        <v>8</v>
      </c>
      <c r="T24" s="2">
        <f>S24</f>
        <v>8</v>
      </c>
      <c r="U24" s="2">
        <f t="shared" si="20"/>
        <v>18</v>
      </c>
      <c r="V24" s="2">
        <f>U24</f>
        <v>18</v>
      </c>
      <c r="W24" s="2">
        <v>50</v>
      </c>
      <c r="AA24" s="2">
        <f>L24</f>
        <v>16</v>
      </c>
      <c r="AB24" s="8">
        <f>O24</f>
        <v>20</v>
      </c>
      <c r="AC24" s="8">
        <f>P24</f>
        <v>22</v>
      </c>
      <c r="AD24" s="8">
        <f>Q24</f>
        <v>24</v>
      </c>
    </row>
    <row r="25" spans="1:30" ht="51" x14ac:dyDescent="0.2">
      <c r="B25" s="2" t="s">
        <v>37</v>
      </c>
      <c r="C25" s="2" t="s">
        <v>98</v>
      </c>
      <c r="D25" s="2" t="s">
        <v>386</v>
      </c>
      <c r="E25" s="3" t="s">
        <v>99</v>
      </c>
      <c r="F25" s="2" t="s">
        <v>77</v>
      </c>
      <c r="G25" s="3" t="s">
        <v>180</v>
      </c>
      <c r="H25" s="3" t="s">
        <v>108</v>
      </c>
      <c r="I25" s="2" t="s">
        <v>187</v>
      </c>
      <c r="K25" s="2">
        <v>24</v>
      </c>
      <c r="L25" s="2">
        <v>30</v>
      </c>
      <c r="M25" s="2">
        <v>35</v>
      </c>
      <c r="N25" s="2">
        <v>35</v>
      </c>
      <c r="O25" s="2">
        <v>37</v>
      </c>
      <c r="P25" s="2">
        <v>39</v>
      </c>
      <c r="Q25" s="2">
        <v>42</v>
      </c>
      <c r="R25" s="2" t="s">
        <v>449</v>
      </c>
      <c r="S25" s="2">
        <f>K25</f>
        <v>24</v>
      </c>
      <c r="T25" s="8">
        <f>S25/4</f>
        <v>6</v>
      </c>
      <c r="U25" s="2">
        <f t="shared" si="20"/>
        <v>35</v>
      </c>
      <c r="V25" s="8">
        <f>U25/4</f>
        <v>8.75</v>
      </c>
      <c r="W25" s="8">
        <f>45/5</f>
        <v>9</v>
      </c>
      <c r="AA25" s="2">
        <f>L25/4</f>
        <v>7.5</v>
      </c>
      <c r="AB25" s="8">
        <f>O25/4</f>
        <v>9.25</v>
      </c>
      <c r="AC25" s="8">
        <f>P25/4</f>
        <v>9.75</v>
      </c>
      <c r="AD25" s="8">
        <f>Q25/4</f>
        <v>10.5</v>
      </c>
    </row>
    <row r="26" spans="1:30" s="13" customFormat="1" x14ac:dyDescent="0.2">
      <c r="B26" s="13" t="s">
        <v>398</v>
      </c>
      <c r="D26" s="13" t="s">
        <v>763</v>
      </c>
      <c r="F26" s="14"/>
      <c r="H26" s="14"/>
      <c r="I26" s="14"/>
      <c r="N26" s="15" t="s">
        <v>442</v>
      </c>
      <c r="O26" s="15"/>
      <c r="P26" s="15"/>
      <c r="Q26" s="15"/>
      <c r="R26" s="33"/>
      <c r="T26" s="13">
        <f>SUM(T22,T24)</f>
        <v>10</v>
      </c>
      <c r="V26" s="13">
        <f t="shared" ref="V26:W26" si="21">SUM(V22,V24)</f>
        <v>24</v>
      </c>
      <c r="W26" s="13">
        <f t="shared" si="21"/>
        <v>60</v>
      </c>
      <c r="AA26" s="13">
        <f t="shared" ref="AA26:AD26" si="22">SUM(AA22,AA24)</f>
        <v>19</v>
      </c>
      <c r="AB26" s="13">
        <f t="shared" si="22"/>
        <v>27</v>
      </c>
      <c r="AC26" s="13">
        <f t="shared" si="22"/>
        <v>30</v>
      </c>
      <c r="AD26" s="13">
        <f t="shared" si="22"/>
        <v>34</v>
      </c>
    </row>
    <row r="27" spans="1:30" s="30" customFormat="1" x14ac:dyDescent="0.2">
      <c r="B27" s="30" t="s">
        <v>399</v>
      </c>
      <c r="D27" s="30" t="s">
        <v>764</v>
      </c>
      <c r="F27" s="31"/>
      <c r="H27" s="31"/>
      <c r="I27" s="31"/>
      <c r="N27" s="35" t="s">
        <v>1128</v>
      </c>
      <c r="O27" s="35"/>
      <c r="P27" s="35"/>
      <c r="Q27" s="35"/>
      <c r="R27" s="69"/>
      <c r="T27" s="36">
        <f>SUM(T23:T25)</f>
        <v>19.2</v>
      </c>
      <c r="V27" s="36">
        <f t="shared" ref="V27:W27" si="23">SUM(V23:V25)</f>
        <v>34.35</v>
      </c>
      <c r="W27" s="36">
        <f t="shared" si="23"/>
        <v>70</v>
      </c>
      <c r="AA27" s="36">
        <f t="shared" ref="AA27:AD27" si="24">SUM(AA23:AA25)</f>
        <v>29.5</v>
      </c>
      <c r="AB27" s="36">
        <f t="shared" si="24"/>
        <v>37.25</v>
      </c>
      <c r="AC27" s="36">
        <f t="shared" si="24"/>
        <v>40.15</v>
      </c>
      <c r="AD27" s="36">
        <f t="shared" si="24"/>
        <v>43.5</v>
      </c>
    </row>
    <row r="28" spans="1:30" s="23" customFormat="1" x14ac:dyDescent="0.2">
      <c r="B28" s="23" t="s">
        <v>400</v>
      </c>
      <c r="D28" s="23" t="s">
        <v>656</v>
      </c>
      <c r="F28" s="24"/>
      <c r="I28" s="24"/>
      <c r="T28" s="26">
        <f>SUM(T22:T25)</f>
        <v>21.2</v>
      </c>
      <c r="U28" s="26"/>
      <c r="V28" s="26">
        <f t="shared" ref="V28:W28" si="25">SUM(V22:V25)</f>
        <v>40.35</v>
      </c>
      <c r="W28" s="26">
        <f t="shared" si="25"/>
        <v>80</v>
      </c>
      <c r="X28" s="26">
        <v>50</v>
      </c>
      <c r="Y28" s="26">
        <f>(T28/W28)*X28</f>
        <v>13.25</v>
      </c>
      <c r="Z28" s="26">
        <f>(V28/W28)*X28</f>
        <v>25.21875</v>
      </c>
      <c r="AA28" s="26">
        <f t="shared" ref="AA28:AD28" si="26">SUM(AA22:AA25)</f>
        <v>32.5</v>
      </c>
      <c r="AB28" s="26">
        <f t="shared" si="26"/>
        <v>44.25</v>
      </c>
      <c r="AC28" s="26">
        <f t="shared" si="26"/>
        <v>48.15</v>
      </c>
      <c r="AD28" s="26">
        <f t="shared" si="26"/>
        <v>53.5</v>
      </c>
    </row>
    <row r="29" spans="1:30" ht="51" x14ac:dyDescent="0.2">
      <c r="A29" s="2" t="s">
        <v>247</v>
      </c>
      <c r="B29" s="2" t="s">
        <v>247</v>
      </c>
      <c r="C29" s="2" t="s">
        <v>50</v>
      </c>
      <c r="D29" s="2" t="s">
        <v>413</v>
      </c>
      <c r="E29" s="3" t="s">
        <v>274</v>
      </c>
      <c r="F29" s="2" t="s">
        <v>77</v>
      </c>
      <c r="G29" s="3" t="s">
        <v>186</v>
      </c>
      <c r="H29" s="3" t="s">
        <v>108</v>
      </c>
      <c r="I29" s="2" t="s">
        <v>187</v>
      </c>
      <c r="K29" s="2">
        <v>20</v>
      </c>
      <c r="L29" s="2">
        <v>28</v>
      </c>
      <c r="M29" s="2">
        <v>31</v>
      </c>
      <c r="N29" s="2">
        <v>31</v>
      </c>
      <c r="O29" s="2">
        <v>34</v>
      </c>
      <c r="P29" s="2">
        <v>37</v>
      </c>
      <c r="Q29" s="2">
        <v>40</v>
      </c>
      <c r="R29" s="2" t="s">
        <v>372</v>
      </c>
      <c r="S29" s="2">
        <f t="shared" ref="S29:S32" si="27">K29</f>
        <v>20</v>
      </c>
      <c r="T29" s="8">
        <f>S29/4</f>
        <v>5</v>
      </c>
      <c r="U29" s="2">
        <f t="shared" ref="U29:U32" si="28">M29</f>
        <v>31</v>
      </c>
      <c r="V29" s="8">
        <f>U29/4</f>
        <v>7.75</v>
      </c>
      <c r="W29" s="8">
        <f>50/4</f>
        <v>12.5</v>
      </c>
      <c r="AA29" s="2">
        <f>L29/4</f>
        <v>7</v>
      </c>
      <c r="AB29" s="2">
        <f>O29/4</f>
        <v>8.5</v>
      </c>
      <c r="AC29" s="2">
        <f>P29/4</f>
        <v>9.25</v>
      </c>
      <c r="AD29" s="2">
        <f>Q29/4</f>
        <v>10</v>
      </c>
    </row>
    <row r="30" spans="1:30" ht="85" customHeight="1" x14ac:dyDescent="0.2">
      <c r="B30" s="2" t="s">
        <v>247</v>
      </c>
      <c r="C30" s="3" t="s">
        <v>410</v>
      </c>
      <c r="D30" s="2" t="s">
        <v>411</v>
      </c>
      <c r="E30" s="3" t="s">
        <v>414</v>
      </c>
      <c r="F30" s="3" t="s">
        <v>416</v>
      </c>
      <c r="G30" s="3" t="s">
        <v>417</v>
      </c>
      <c r="H30" s="3" t="s">
        <v>418</v>
      </c>
      <c r="I30" s="2" t="s">
        <v>415</v>
      </c>
      <c r="K30" s="2">
        <v>24</v>
      </c>
      <c r="L30" s="2">
        <v>32</v>
      </c>
      <c r="M30" s="2">
        <v>35</v>
      </c>
      <c r="N30" s="2">
        <v>35</v>
      </c>
      <c r="O30" s="2">
        <v>38</v>
      </c>
      <c r="P30" s="2">
        <v>41</v>
      </c>
      <c r="Q30" s="2">
        <v>44</v>
      </c>
      <c r="R30" s="2" t="s">
        <v>420</v>
      </c>
      <c r="S30" s="2">
        <f t="shared" si="27"/>
        <v>24</v>
      </c>
      <c r="T30" s="8">
        <f>S30/5</f>
        <v>4.8</v>
      </c>
      <c r="U30" s="2">
        <f t="shared" si="28"/>
        <v>35</v>
      </c>
      <c r="V30" s="8">
        <f>U30/5</f>
        <v>7</v>
      </c>
      <c r="W30" s="8">
        <f>50/5</f>
        <v>10</v>
      </c>
      <c r="AA30" s="2">
        <f>L30/5</f>
        <v>6.4</v>
      </c>
      <c r="AB30" s="2">
        <f>O30/5</f>
        <v>7.6</v>
      </c>
      <c r="AC30" s="2">
        <f>P30/5</f>
        <v>8.1999999999999993</v>
      </c>
      <c r="AD30" s="2">
        <f>Q30/5</f>
        <v>8.8000000000000007</v>
      </c>
    </row>
    <row r="31" spans="1:30" ht="55" customHeight="1" x14ac:dyDescent="0.2">
      <c r="B31" s="2" t="s">
        <v>247</v>
      </c>
      <c r="C31" s="2" t="s">
        <v>294</v>
      </c>
      <c r="D31" s="2" t="s">
        <v>358</v>
      </c>
      <c r="E31" s="3" t="s">
        <v>296</v>
      </c>
      <c r="F31" s="3" t="s">
        <v>297</v>
      </c>
      <c r="G31" s="3" t="s">
        <v>110</v>
      </c>
      <c r="H31" s="3" t="s">
        <v>289</v>
      </c>
      <c r="I31" s="3" t="s">
        <v>258</v>
      </c>
      <c r="K31" s="2">
        <v>4</v>
      </c>
      <c r="L31" s="2">
        <v>6</v>
      </c>
      <c r="M31" s="8">
        <v>8</v>
      </c>
      <c r="N31" s="37">
        <v>14</v>
      </c>
      <c r="O31" s="37">
        <v>16</v>
      </c>
      <c r="P31" s="37">
        <v>17</v>
      </c>
      <c r="Q31" s="37">
        <v>18</v>
      </c>
      <c r="R31" s="11" t="s">
        <v>358</v>
      </c>
      <c r="S31" s="2">
        <f t="shared" si="27"/>
        <v>4</v>
      </c>
      <c r="T31" s="8">
        <f>S31</f>
        <v>4</v>
      </c>
      <c r="U31" s="2">
        <f t="shared" si="28"/>
        <v>8</v>
      </c>
      <c r="V31" s="8">
        <f>U31</f>
        <v>8</v>
      </c>
      <c r="W31" s="8">
        <v>10</v>
      </c>
      <c r="AA31" s="2">
        <f>L31</f>
        <v>6</v>
      </c>
      <c r="AB31" s="2">
        <v>9</v>
      </c>
      <c r="AC31" s="2">
        <v>9</v>
      </c>
      <c r="AD31" s="2">
        <v>10</v>
      </c>
    </row>
    <row r="32" spans="1:30" ht="59" customHeight="1" x14ac:dyDescent="0.2">
      <c r="B32" s="2" t="s">
        <v>247</v>
      </c>
      <c r="C32" s="2" t="s">
        <v>295</v>
      </c>
      <c r="D32" s="2" t="s">
        <v>359</v>
      </c>
      <c r="E32" s="3" t="s">
        <v>298</v>
      </c>
      <c r="F32" s="3" t="s">
        <v>297</v>
      </c>
      <c r="G32" s="3" t="s">
        <v>110</v>
      </c>
      <c r="H32" s="3" t="s">
        <v>289</v>
      </c>
      <c r="I32" s="3" t="s">
        <v>258</v>
      </c>
      <c r="J32" s="3"/>
      <c r="K32" s="2">
        <v>3</v>
      </c>
      <c r="L32" s="2">
        <v>4</v>
      </c>
      <c r="M32" s="8">
        <v>6</v>
      </c>
      <c r="N32" s="37"/>
      <c r="O32" s="37"/>
      <c r="P32" s="37"/>
      <c r="Q32" s="37"/>
      <c r="R32" s="11" t="s">
        <v>359</v>
      </c>
      <c r="S32" s="2">
        <f t="shared" si="27"/>
        <v>3</v>
      </c>
      <c r="T32" s="8">
        <f>S32</f>
        <v>3</v>
      </c>
      <c r="U32" s="2">
        <f t="shared" si="28"/>
        <v>6</v>
      </c>
      <c r="V32" s="8">
        <f>U32</f>
        <v>6</v>
      </c>
      <c r="W32" s="8">
        <v>10</v>
      </c>
      <c r="AA32" s="2">
        <f>L32</f>
        <v>4</v>
      </c>
      <c r="AB32" s="2">
        <v>7</v>
      </c>
      <c r="AC32" s="2">
        <v>8</v>
      </c>
      <c r="AD32" s="2">
        <v>8</v>
      </c>
    </row>
    <row r="33" spans="1:30" s="13" customFormat="1" x14ac:dyDescent="0.2">
      <c r="B33" s="13" t="s">
        <v>401</v>
      </c>
      <c r="E33" s="14"/>
      <c r="F33" s="14"/>
      <c r="G33" s="14"/>
      <c r="H33" s="14"/>
      <c r="I33" s="14"/>
      <c r="J33" s="14"/>
      <c r="N33" s="29" t="s">
        <v>471</v>
      </c>
      <c r="O33" s="29"/>
      <c r="P33" s="29"/>
      <c r="Q33" s="29"/>
    </row>
    <row r="34" spans="1:30" s="23" customFormat="1" x14ac:dyDescent="0.2">
      <c r="B34" s="23" t="s">
        <v>402</v>
      </c>
      <c r="D34" s="23" t="s">
        <v>947</v>
      </c>
      <c r="E34" s="24"/>
      <c r="F34" s="24"/>
      <c r="G34" s="24"/>
      <c r="H34" s="24"/>
      <c r="I34" s="24"/>
      <c r="J34" s="24"/>
      <c r="T34" s="26">
        <f>SUM(T29:T32)</f>
        <v>16.8</v>
      </c>
      <c r="U34" s="26"/>
      <c r="V34" s="26">
        <f t="shared" ref="V34:W34" si="29">SUM(V29:V32)</f>
        <v>28.75</v>
      </c>
      <c r="W34" s="26">
        <f t="shared" si="29"/>
        <v>42.5</v>
      </c>
      <c r="X34" s="26">
        <v>50</v>
      </c>
      <c r="Y34" s="26">
        <f>(T34/W34)*X34</f>
        <v>19.764705882352942</v>
      </c>
      <c r="Z34" s="26">
        <f>(V34/W34)*X34</f>
        <v>33.82352941176471</v>
      </c>
      <c r="AA34" s="26">
        <f t="shared" ref="AA34:AD34" si="30">SUM(AA29:AA32)</f>
        <v>23.4</v>
      </c>
      <c r="AB34" s="26">
        <f t="shared" si="30"/>
        <v>32.1</v>
      </c>
      <c r="AC34" s="26">
        <f t="shared" si="30"/>
        <v>34.450000000000003</v>
      </c>
      <c r="AD34" s="26">
        <f t="shared" si="30"/>
        <v>36.799999999999997</v>
      </c>
    </row>
    <row r="35" spans="1:30" ht="70" customHeight="1" x14ac:dyDescent="0.2">
      <c r="A35" s="2" t="s">
        <v>259</v>
      </c>
      <c r="B35" s="2" t="s">
        <v>259</v>
      </c>
      <c r="C35" s="2" t="s">
        <v>249</v>
      </c>
      <c r="D35" s="2" t="s">
        <v>388</v>
      </c>
      <c r="E35" s="3" t="s">
        <v>250</v>
      </c>
      <c r="F35" s="3" t="s">
        <v>149</v>
      </c>
      <c r="G35" s="3" t="s">
        <v>141</v>
      </c>
      <c r="H35" s="3" t="s">
        <v>150</v>
      </c>
      <c r="I35" s="2" t="s">
        <v>195</v>
      </c>
      <c r="K35" s="2">
        <v>3</v>
      </c>
      <c r="L35" s="2">
        <v>8</v>
      </c>
      <c r="M35" s="2">
        <v>10</v>
      </c>
      <c r="N35" s="2">
        <v>10</v>
      </c>
      <c r="O35" s="2">
        <v>11</v>
      </c>
      <c r="P35" s="2">
        <v>12</v>
      </c>
      <c r="Q35" s="2">
        <v>14</v>
      </c>
      <c r="R35" s="2" t="str">
        <f>D35</f>
        <v>C51B</v>
      </c>
      <c r="S35" s="2">
        <f t="shared" ref="S35:S39" si="31">K35</f>
        <v>3</v>
      </c>
      <c r="T35" s="2">
        <f>S35</f>
        <v>3</v>
      </c>
      <c r="U35" s="2">
        <f t="shared" ref="U35:U39" si="32">M35</f>
        <v>10</v>
      </c>
      <c r="V35" s="2">
        <f>U35</f>
        <v>10</v>
      </c>
      <c r="W35" s="2">
        <v>15</v>
      </c>
      <c r="AA35" s="2">
        <f t="shared" ref="AA35:AA39" si="33">L35</f>
        <v>8</v>
      </c>
      <c r="AB35" s="2">
        <f>O35</f>
        <v>11</v>
      </c>
      <c r="AC35" s="2">
        <f>P35</f>
        <v>12</v>
      </c>
      <c r="AD35" s="2">
        <f>Q35</f>
        <v>14</v>
      </c>
    </row>
    <row r="36" spans="1:30" ht="45" customHeight="1" x14ac:dyDescent="0.2">
      <c r="B36" s="2" t="s">
        <v>259</v>
      </c>
      <c r="C36" s="2" t="s">
        <v>276</v>
      </c>
      <c r="D36" s="2" t="s">
        <v>389</v>
      </c>
      <c r="E36" s="3" t="s">
        <v>279</v>
      </c>
      <c r="F36" s="2" t="s">
        <v>156</v>
      </c>
      <c r="G36" s="3" t="s">
        <v>157</v>
      </c>
      <c r="H36" s="3" t="s">
        <v>147</v>
      </c>
      <c r="I36" s="2" t="s">
        <v>198</v>
      </c>
      <c r="K36" s="2">
        <v>0</v>
      </c>
      <c r="L36" s="2">
        <v>2</v>
      </c>
      <c r="M36" s="2">
        <v>4</v>
      </c>
      <c r="N36" s="38">
        <v>12</v>
      </c>
      <c r="O36" s="38">
        <v>13</v>
      </c>
      <c r="P36" s="38">
        <v>15</v>
      </c>
      <c r="Q36" s="38">
        <v>17</v>
      </c>
      <c r="R36" s="2" t="str">
        <f>D36</f>
        <v>CIFFLD2B</v>
      </c>
      <c r="S36" s="2">
        <f t="shared" si="31"/>
        <v>0</v>
      </c>
      <c r="T36" s="2">
        <f>S36</f>
        <v>0</v>
      </c>
      <c r="U36" s="2">
        <f t="shared" si="32"/>
        <v>4</v>
      </c>
      <c r="V36" s="2">
        <f>U36</f>
        <v>4</v>
      </c>
      <c r="W36" s="2">
        <v>6</v>
      </c>
      <c r="AA36" s="2">
        <f t="shared" si="33"/>
        <v>2</v>
      </c>
      <c r="AB36" s="2">
        <v>5</v>
      </c>
      <c r="AC36" s="2">
        <v>5</v>
      </c>
      <c r="AD36" s="2">
        <v>6</v>
      </c>
    </row>
    <row r="37" spans="1:30" ht="34" x14ac:dyDescent="0.2">
      <c r="B37" s="2" t="s">
        <v>259</v>
      </c>
      <c r="C37" s="2" t="s">
        <v>277</v>
      </c>
      <c r="D37" s="2" t="s">
        <v>390</v>
      </c>
      <c r="E37" s="3" t="s">
        <v>280</v>
      </c>
      <c r="F37" s="2" t="s">
        <v>156</v>
      </c>
      <c r="G37" s="3" t="s">
        <v>157</v>
      </c>
      <c r="H37" s="3" t="s">
        <v>147</v>
      </c>
      <c r="I37" s="2" t="s">
        <v>198</v>
      </c>
      <c r="K37" s="2">
        <v>0</v>
      </c>
      <c r="L37" s="2">
        <v>2</v>
      </c>
      <c r="M37" s="2">
        <v>4</v>
      </c>
      <c r="N37" s="38"/>
      <c r="O37" s="38"/>
      <c r="P37" s="38"/>
      <c r="Q37" s="38"/>
      <c r="R37" s="2" t="str">
        <f t="shared" ref="R37:R38" si="34">D37</f>
        <v>CIFFLDSS</v>
      </c>
      <c r="S37" s="2">
        <f t="shared" si="31"/>
        <v>0</v>
      </c>
      <c r="T37" s="2">
        <f t="shared" ref="T37:V38" si="35">S37</f>
        <v>0</v>
      </c>
      <c r="U37" s="2">
        <f t="shared" si="32"/>
        <v>4</v>
      </c>
      <c r="V37" s="2">
        <f t="shared" si="35"/>
        <v>4</v>
      </c>
      <c r="W37" s="2">
        <v>6</v>
      </c>
      <c r="AA37" s="2">
        <f t="shared" si="33"/>
        <v>2</v>
      </c>
      <c r="AB37" s="2">
        <v>4</v>
      </c>
      <c r="AC37" s="2">
        <v>5</v>
      </c>
      <c r="AD37" s="2">
        <v>6</v>
      </c>
    </row>
    <row r="38" spans="1:30" ht="34" x14ac:dyDescent="0.2">
      <c r="B38" s="2" t="s">
        <v>259</v>
      </c>
      <c r="C38" s="2" t="s">
        <v>278</v>
      </c>
      <c r="D38" s="2" t="s">
        <v>391</v>
      </c>
      <c r="E38" s="3" t="s">
        <v>281</v>
      </c>
      <c r="F38" s="2" t="s">
        <v>156</v>
      </c>
      <c r="G38" s="3" t="s">
        <v>157</v>
      </c>
      <c r="H38" s="3" t="s">
        <v>147</v>
      </c>
      <c r="I38" s="2" t="s">
        <v>198</v>
      </c>
      <c r="K38" s="2">
        <v>0</v>
      </c>
      <c r="L38" s="2">
        <v>2</v>
      </c>
      <c r="M38" s="2">
        <v>4</v>
      </c>
      <c r="N38" s="38"/>
      <c r="O38" s="38"/>
      <c r="P38" s="38"/>
      <c r="Q38" s="38"/>
      <c r="R38" s="2" t="str">
        <f t="shared" si="34"/>
        <v>CIFFLD3B</v>
      </c>
      <c r="S38" s="2">
        <f t="shared" si="31"/>
        <v>0</v>
      </c>
      <c r="T38" s="2">
        <f t="shared" si="35"/>
        <v>0</v>
      </c>
      <c r="U38" s="2">
        <f t="shared" si="32"/>
        <v>4</v>
      </c>
      <c r="V38" s="2">
        <f t="shared" si="35"/>
        <v>4</v>
      </c>
      <c r="W38" s="2">
        <v>6</v>
      </c>
      <c r="AA38" s="2">
        <f t="shared" si="33"/>
        <v>2</v>
      </c>
      <c r="AB38" s="2">
        <v>4</v>
      </c>
      <c r="AC38" s="2">
        <v>5</v>
      </c>
      <c r="AD38" s="2">
        <v>5</v>
      </c>
    </row>
    <row r="39" spans="1:30" ht="135" customHeight="1" x14ac:dyDescent="0.2">
      <c r="B39" s="2" t="s">
        <v>259</v>
      </c>
      <c r="C39" s="2" t="s">
        <v>283</v>
      </c>
      <c r="D39" s="2" t="s">
        <v>392</v>
      </c>
      <c r="E39" s="3" t="s">
        <v>284</v>
      </c>
      <c r="F39" s="3" t="s">
        <v>271</v>
      </c>
      <c r="G39" s="3"/>
      <c r="H39" s="3" t="s">
        <v>147</v>
      </c>
      <c r="I39" s="3" t="s">
        <v>272</v>
      </c>
      <c r="K39" s="2">
        <v>0</v>
      </c>
      <c r="L39" s="2">
        <v>5</v>
      </c>
      <c r="M39" s="2">
        <v>15</v>
      </c>
      <c r="N39" s="2" t="s">
        <v>181</v>
      </c>
      <c r="O39" s="2">
        <v>15</v>
      </c>
      <c r="P39" s="2">
        <v>20</v>
      </c>
      <c r="Q39" s="2">
        <v>25</v>
      </c>
      <c r="R39" s="2" t="str">
        <f>D39</f>
        <v>C5X5LD</v>
      </c>
      <c r="S39" s="2">
        <f t="shared" si="31"/>
        <v>0</v>
      </c>
      <c r="T39" s="2">
        <f>S39</f>
        <v>0</v>
      </c>
      <c r="U39" s="2">
        <f t="shared" si="32"/>
        <v>15</v>
      </c>
      <c r="V39" s="2">
        <f>U39</f>
        <v>15</v>
      </c>
      <c r="W39" s="2">
        <v>25</v>
      </c>
      <c r="AA39" s="2">
        <f t="shared" si="33"/>
        <v>5</v>
      </c>
      <c r="AB39" s="2">
        <f>O39</f>
        <v>15</v>
      </c>
      <c r="AC39" s="2">
        <f>P39</f>
        <v>20</v>
      </c>
      <c r="AD39" s="2">
        <f>Q39</f>
        <v>25</v>
      </c>
    </row>
    <row r="40" spans="1:30" s="13" customFormat="1" x14ac:dyDescent="0.2">
      <c r="B40" s="13" t="s">
        <v>403</v>
      </c>
      <c r="E40" s="14"/>
      <c r="F40" s="14"/>
      <c r="G40" s="14"/>
      <c r="H40" s="14"/>
      <c r="I40" s="14"/>
      <c r="N40" s="15" t="s">
        <v>446</v>
      </c>
      <c r="O40" s="15"/>
      <c r="P40" s="15"/>
      <c r="Q40" s="15"/>
    </row>
    <row r="41" spans="1:30" s="23" customFormat="1" x14ac:dyDescent="0.2">
      <c r="B41" s="23" t="s">
        <v>404</v>
      </c>
      <c r="D41" s="23" t="s">
        <v>798</v>
      </c>
      <c r="E41" s="24"/>
      <c r="F41" s="24"/>
      <c r="G41" s="24"/>
      <c r="H41" s="24"/>
      <c r="I41" s="24"/>
      <c r="T41" s="23">
        <f>SUM(T35:T39)</f>
        <v>3</v>
      </c>
      <c r="V41" s="23">
        <f t="shared" ref="V41:W41" si="36">SUM(V35:V39)</f>
        <v>37</v>
      </c>
      <c r="W41" s="23">
        <f t="shared" si="36"/>
        <v>58</v>
      </c>
      <c r="X41" s="23">
        <v>50</v>
      </c>
      <c r="Y41" s="26">
        <f>(T41/W41)*X41</f>
        <v>2.5862068965517242</v>
      </c>
      <c r="Z41" s="26">
        <f>(V41/W41)*X41</f>
        <v>31.896551724137932</v>
      </c>
      <c r="AA41" s="23">
        <f t="shared" ref="AA41:AD41" si="37">SUM(AA35:AA39)</f>
        <v>19</v>
      </c>
      <c r="AB41" s="23">
        <f t="shared" si="37"/>
        <v>39</v>
      </c>
      <c r="AC41" s="23">
        <f t="shared" si="37"/>
        <v>47</v>
      </c>
      <c r="AD41" s="23">
        <f t="shared" si="37"/>
        <v>56</v>
      </c>
    </row>
    <row r="42" spans="1:30" ht="69" customHeight="1" x14ac:dyDescent="0.2">
      <c r="A42" s="2" t="s">
        <v>260</v>
      </c>
      <c r="B42" s="2" t="s">
        <v>260</v>
      </c>
      <c r="C42" s="2" t="s">
        <v>121</v>
      </c>
      <c r="D42" s="2" t="s">
        <v>393</v>
      </c>
      <c r="E42" s="3" t="s">
        <v>311</v>
      </c>
      <c r="F42" s="3" t="s">
        <v>155</v>
      </c>
      <c r="G42" s="3" t="s">
        <v>154</v>
      </c>
      <c r="H42" s="3" t="s">
        <v>150</v>
      </c>
      <c r="I42" s="2" t="s">
        <v>197</v>
      </c>
      <c r="K42" s="2">
        <v>3</v>
      </c>
      <c r="L42" s="2">
        <v>7</v>
      </c>
      <c r="M42" s="2">
        <v>8</v>
      </c>
      <c r="N42" s="37">
        <v>30</v>
      </c>
      <c r="O42" s="37">
        <v>34</v>
      </c>
      <c r="P42" s="37">
        <v>38</v>
      </c>
      <c r="Q42" s="37">
        <v>42</v>
      </c>
      <c r="R42" s="11" t="str">
        <f>D42</f>
        <v>RLCG2B</v>
      </c>
      <c r="S42" s="2">
        <f t="shared" ref="S42:S45" si="38">K42</f>
        <v>3</v>
      </c>
      <c r="T42" s="8">
        <f>S42</f>
        <v>3</v>
      </c>
      <c r="U42" s="2">
        <f t="shared" ref="U42:U45" si="39">M42</f>
        <v>8</v>
      </c>
      <c r="V42" s="8">
        <f>U42</f>
        <v>8</v>
      </c>
      <c r="W42" s="8">
        <v>12</v>
      </c>
      <c r="AA42" s="2">
        <f t="shared" ref="AA42:AA45" si="40">L42</f>
        <v>7</v>
      </c>
      <c r="AB42" s="2">
        <v>9</v>
      </c>
      <c r="AC42" s="2">
        <v>10</v>
      </c>
      <c r="AD42" s="2">
        <v>12</v>
      </c>
    </row>
    <row r="43" spans="1:30" ht="67" customHeight="1" x14ac:dyDescent="0.2">
      <c r="B43" s="2" t="s">
        <v>260</v>
      </c>
      <c r="C43" s="2" t="s">
        <v>122</v>
      </c>
      <c r="D43" s="2" t="s">
        <v>394</v>
      </c>
      <c r="E43" s="3" t="s">
        <v>312</v>
      </c>
      <c r="F43" s="3" t="s">
        <v>155</v>
      </c>
      <c r="G43" s="3" t="s">
        <v>154</v>
      </c>
      <c r="H43" s="3" t="s">
        <v>150</v>
      </c>
      <c r="I43" s="2" t="s">
        <v>197</v>
      </c>
      <c r="K43" s="2">
        <v>2</v>
      </c>
      <c r="L43" s="2">
        <v>6</v>
      </c>
      <c r="M43" s="2">
        <v>7</v>
      </c>
      <c r="N43" s="37"/>
      <c r="O43" s="37"/>
      <c r="P43" s="37"/>
      <c r="Q43" s="37"/>
      <c r="R43" s="11" t="str">
        <f t="shared" ref="R43:R45" si="41">D43</f>
        <v>RLCGSS</v>
      </c>
      <c r="S43" s="2">
        <f t="shared" si="38"/>
        <v>2</v>
      </c>
      <c r="T43" s="8">
        <f t="shared" ref="T43:V45" si="42">S43</f>
        <v>2</v>
      </c>
      <c r="U43" s="2">
        <f t="shared" si="39"/>
        <v>7</v>
      </c>
      <c r="V43" s="8">
        <f t="shared" si="42"/>
        <v>7</v>
      </c>
      <c r="W43" s="8">
        <v>12</v>
      </c>
      <c r="AA43" s="2">
        <f t="shared" si="40"/>
        <v>6</v>
      </c>
      <c r="AB43" s="2">
        <v>8</v>
      </c>
      <c r="AC43" s="2">
        <v>9</v>
      </c>
      <c r="AD43" s="2">
        <v>9</v>
      </c>
    </row>
    <row r="44" spans="1:30" ht="67" customHeight="1" x14ac:dyDescent="0.2">
      <c r="B44" s="2" t="s">
        <v>260</v>
      </c>
      <c r="C44" s="2" t="s">
        <v>123</v>
      </c>
      <c r="D44" s="2" t="s">
        <v>395</v>
      </c>
      <c r="E44" s="3" t="s">
        <v>313</v>
      </c>
      <c r="F44" s="3" t="s">
        <v>155</v>
      </c>
      <c r="G44" s="3" t="s">
        <v>154</v>
      </c>
      <c r="H44" s="3" t="s">
        <v>150</v>
      </c>
      <c r="I44" s="2" t="s">
        <v>197</v>
      </c>
      <c r="K44" s="2">
        <v>2</v>
      </c>
      <c r="L44" s="2">
        <v>6</v>
      </c>
      <c r="M44" s="2">
        <v>7</v>
      </c>
      <c r="N44" s="37"/>
      <c r="O44" s="37"/>
      <c r="P44" s="37"/>
      <c r="Q44" s="37"/>
      <c r="R44" s="11" t="str">
        <f t="shared" si="41"/>
        <v>RLCG3B</v>
      </c>
      <c r="S44" s="2">
        <f t="shared" si="38"/>
        <v>2</v>
      </c>
      <c r="T44" s="8">
        <f t="shared" si="42"/>
        <v>2</v>
      </c>
      <c r="U44" s="2">
        <f t="shared" si="39"/>
        <v>7</v>
      </c>
      <c r="V44" s="8">
        <f t="shared" si="42"/>
        <v>7</v>
      </c>
      <c r="W44" s="8">
        <v>12</v>
      </c>
      <c r="AA44" s="2">
        <f t="shared" si="40"/>
        <v>6</v>
      </c>
      <c r="AB44" s="2">
        <v>8</v>
      </c>
      <c r="AC44" s="2">
        <v>8</v>
      </c>
      <c r="AD44" s="2">
        <v>9</v>
      </c>
    </row>
    <row r="45" spans="1:30" ht="68" customHeight="1" x14ac:dyDescent="0.2">
      <c r="B45" s="2" t="s">
        <v>260</v>
      </c>
      <c r="C45" s="2" t="s">
        <v>282</v>
      </c>
      <c r="D45" s="2" t="s">
        <v>396</v>
      </c>
      <c r="E45" s="3" t="s">
        <v>314</v>
      </c>
      <c r="F45" s="3" t="s">
        <v>155</v>
      </c>
      <c r="G45" s="3" t="s">
        <v>154</v>
      </c>
      <c r="H45" s="3" t="s">
        <v>150</v>
      </c>
      <c r="I45" s="2" t="s">
        <v>197</v>
      </c>
      <c r="K45" s="2">
        <v>3</v>
      </c>
      <c r="L45" s="2">
        <v>7</v>
      </c>
      <c r="M45" s="2">
        <v>8</v>
      </c>
      <c r="N45" s="37"/>
      <c r="O45" s="37"/>
      <c r="P45" s="37"/>
      <c r="Q45" s="37"/>
      <c r="R45" s="11" t="str">
        <f t="shared" si="41"/>
        <v>RLCGP</v>
      </c>
      <c r="S45" s="2">
        <f t="shared" si="38"/>
        <v>3</v>
      </c>
      <c r="T45" s="8">
        <f t="shared" si="42"/>
        <v>3</v>
      </c>
      <c r="U45" s="2">
        <f t="shared" si="39"/>
        <v>8</v>
      </c>
      <c r="V45" s="8">
        <f t="shared" si="42"/>
        <v>8</v>
      </c>
      <c r="W45" s="8">
        <v>12</v>
      </c>
      <c r="AA45" s="2">
        <f t="shared" si="40"/>
        <v>7</v>
      </c>
      <c r="AB45" s="2">
        <v>9</v>
      </c>
      <c r="AC45" s="2">
        <v>11</v>
      </c>
      <c r="AD45" s="2">
        <v>12</v>
      </c>
    </row>
    <row r="46" spans="1:30" s="13" customFormat="1" x14ac:dyDescent="0.2">
      <c r="B46" s="13" t="s">
        <v>405</v>
      </c>
      <c r="E46" s="14"/>
      <c r="H46" s="14"/>
      <c r="N46" s="15" t="s">
        <v>447</v>
      </c>
      <c r="O46" s="15"/>
      <c r="P46" s="15"/>
      <c r="Q46" s="15"/>
    </row>
    <row r="47" spans="1:30" s="23" customFormat="1" x14ac:dyDescent="0.2">
      <c r="B47" s="23" t="s">
        <v>406</v>
      </c>
      <c r="D47" s="23" t="s">
        <v>797</v>
      </c>
      <c r="T47" s="26">
        <f>SUM(T42:T45)</f>
        <v>10</v>
      </c>
      <c r="U47" s="26"/>
      <c r="V47" s="26">
        <f>SUM(V42:V45)</f>
        <v>30</v>
      </c>
      <c r="W47" s="26">
        <f>SUM(W42:W45)</f>
        <v>48</v>
      </c>
      <c r="X47" s="23">
        <v>50</v>
      </c>
      <c r="Y47" s="26">
        <f>(T47/W47)*X47</f>
        <v>10.416666666666668</v>
      </c>
      <c r="Z47" s="26">
        <f>(V47/W47)*X47</f>
        <v>31.25</v>
      </c>
      <c r="AA47" s="26">
        <f t="shared" ref="AA47:AD47" si="43">SUM(AA42:AA45)</f>
        <v>26</v>
      </c>
      <c r="AB47" s="26">
        <f t="shared" si="43"/>
        <v>34</v>
      </c>
      <c r="AC47" s="26">
        <f t="shared" si="43"/>
        <v>38</v>
      </c>
      <c r="AD47" s="26">
        <f t="shared" si="43"/>
        <v>42</v>
      </c>
    </row>
    <row r="50" spans="17:30" x14ac:dyDescent="0.2">
      <c r="R50" s="11" t="s">
        <v>381</v>
      </c>
      <c r="S50" s="11"/>
      <c r="T50" s="8">
        <f>SUM(T47,T41,T34,T28,T21)</f>
        <v>67.666666666666657</v>
      </c>
      <c r="U50" s="8"/>
      <c r="V50" s="8">
        <f>SUM(V47,V41,V34,V28,V21)</f>
        <v>182.94166666666666</v>
      </c>
      <c r="W50" s="8">
        <f>SUM(W47,W41,W34,W28,W21)</f>
        <v>329.5</v>
      </c>
      <c r="X50" s="8">
        <f>SUM(X47,X41,X34,X28,X21)</f>
        <v>250</v>
      </c>
      <c r="Y50" s="8">
        <f>SUM(Y47,Y41,Y34,Y28,Y21)</f>
        <v>54.268404528079586</v>
      </c>
      <c r="AA50" s="8">
        <f t="shared" ref="AA50:AD50" si="44">SUM(AA47,AA41,AA34,AA28,AA21)</f>
        <v>127.56666666666666</v>
      </c>
      <c r="AB50" s="8">
        <f t="shared" si="44"/>
        <v>207.76666666666665</v>
      </c>
      <c r="AC50" s="8">
        <f t="shared" si="44"/>
        <v>230.76666666666665</v>
      </c>
      <c r="AD50" s="8">
        <f t="shared" si="44"/>
        <v>256.2166666666667</v>
      </c>
    </row>
    <row r="51" spans="17:30" x14ac:dyDescent="0.2">
      <c r="R51" s="11"/>
      <c r="S51" s="11"/>
    </row>
    <row r="52" spans="17:30" x14ac:dyDescent="0.2">
      <c r="R52" s="11"/>
      <c r="S52" s="11"/>
      <c r="T52" s="8"/>
      <c r="U52" s="8"/>
      <c r="V52" s="8"/>
      <c r="W52" s="2" t="s">
        <v>681</v>
      </c>
    </row>
    <row r="53" spans="17:30" ht="34" x14ac:dyDescent="0.2">
      <c r="S53" s="47" t="s">
        <v>510</v>
      </c>
      <c r="T53" s="51" t="s">
        <v>616</v>
      </c>
      <c r="U53" s="50" t="s">
        <v>511</v>
      </c>
      <c r="V53" s="81" t="s">
        <v>988</v>
      </c>
      <c r="W53" s="64" t="s">
        <v>327</v>
      </c>
      <c r="X53" s="60" t="s">
        <v>670</v>
      </c>
      <c r="Y53" s="61" t="s">
        <v>671</v>
      </c>
      <c r="Z53" s="62" t="s">
        <v>672</v>
      </c>
      <c r="AA53" s="62"/>
    </row>
    <row r="54" spans="17:30" x14ac:dyDescent="0.2">
      <c r="R54" s="11" t="s">
        <v>524</v>
      </c>
      <c r="S54" s="48">
        <f>(T50/W50)*X50</f>
        <v>51.340414769853304</v>
      </c>
      <c r="T54" s="48" t="s">
        <v>613</v>
      </c>
      <c r="U54" s="48">
        <f>(V50/W50)*X50</f>
        <v>138.80247850278198</v>
      </c>
      <c r="V54" s="48"/>
      <c r="W54" s="63">
        <f>V50/W50</f>
        <v>0.55520991401112796</v>
      </c>
      <c r="X54" s="63">
        <f>AB50/$W50</f>
        <v>0.63055134041476979</v>
      </c>
      <c r="Y54" s="63">
        <f>AC50/$W50</f>
        <v>0.70035407182599896</v>
      </c>
      <c r="Z54" s="63">
        <f t="shared" ref="Z54" si="45">AD50/$W50</f>
        <v>0.77759231158320696</v>
      </c>
      <c r="AA54" s="63"/>
    </row>
    <row r="55" spans="17:30" x14ac:dyDescent="0.2">
      <c r="S55" s="11"/>
      <c r="T55" s="11"/>
      <c r="U55" s="11"/>
      <c r="V55" s="11"/>
      <c r="W55" s="63"/>
      <c r="X55" s="63"/>
      <c r="Y55" s="63"/>
      <c r="Z55" s="63"/>
      <c r="AA55" s="63"/>
    </row>
    <row r="56" spans="17:30" x14ac:dyDescent="0.2">
      <c r="R56" s="11" t="s">
        <v>525</v>
      </c>
      <c r="S56" s="48">
        <f>Y21</f>
        <v>8.2508250825082499</v>
      </c>
      <c r="T56" s="48" t="s">
        <v>613</v>
      </c>
      <c r="U56" s="48">
        <f>Z21</f>
        <v>23.188943894389443</v>
      </c>
      <c r="V56" s="48"/>
      <c r="W56" s="63">
        <f>V21/W21</f>
        <v>0.46377887788778882</v>
      </c>
      <c r="X56" s="63">
        <f>AB21/$W21</f>
        <v>0.57838283828382842</v>
      </c>
      <c r="Y56" s="63">
        <f>AC21/$W21</f>
        <v>0.62541254125412549</v>
      </c>
      <c r="Z56" s="63">
        <f t="shared" ref="Z56" si="46">AD21/$W21</f>
        <v>0.67244224422442245</v>
      </c>
      <c r="AA56" s="63"/>
    </row>
    <row r="57" spans="17:30" x14ac:dyDescent="0.2">
      <c r="S57" s="11"/>
      <c r="T57" s="11"/>
      <c r="U57" s="11"/>
      <c r="V57" s="11"/>
      <c r="W57" s="63"/>
      <c r="X57" s="63"/>
      <c r="Y57" s="63"/>
      <c r="Z57" s="63"/>
      <c r="AA57" s="63"/>
    </row>
    <row r="58" spans="17:30" x14ac:dyDescent="0.2">
      <c r="R58" s="11" t="s">
        <v>526</v>
      </c>
      <c r="S58" s="48">
        <f>Y28</f>
        <v>13.25</v>
      </c>
      <c r="T58" s="48" t="s">
        <v>613</v>
      </c>
      <c r="U58" s="48">
        <f>Z28</f>
        <v>25.21875</v>
      </c>
      <c r="V58" s="48"/>
      <c r="W58" s="63">
        <f>V28/W28</f>
        <v>0.50437500000000002</v>
      </c>
      <c r="X58" s="63">
        <f>AB28/$W28</f>
        <v>0.55312499999999998</v>
      </c>
      <c r="Y58" s="63">
        <f>AC28/$W28</f>
        <v>0.60187499999999994</v>
      </c>
      <c r="Z58" s="63">
        <f t="shared" ref="Z58" si="47">AD28/$W28</f>
        <v>0.66874999999999996</v>
      </c>
      <c r="AA58" s="63"/>
    </row>
    <row r="59" spans="17:30" x14ac:dyDescent="0.2">
      <c r="R59" s="11"/>
      <c r="S59" s="11"/>
      <c r="T59" s="11"/>
      <c r="U59" s="11"/>
      <c r="V59" s="11"/>
      <c r="W59" s="63"/>
      <c r="X59" s="63"/>
      <c r="Y59" s="63"/>
      <c r="Z59" s="63"/>
      <c r="AA59" s="63"/>
    </row>
    <row r="60" spans="17:30" x14ac:dyDescent="0.2">
      <c r="R60" s="11" t="s">
        <v>527</v>
      </c>
      <c r="S60" s="48">
        <f>Y34</f>
        <v>19.764705882352942</v>
      </c>
      <c r="T60" s="48" t="s">
        <v>613</v>
      </c>
      <c r="U60" s="48">
        <f>Z34</f>
        <v>33.82352941176471</v>
      </c>
      <c r="V60" s="48"/>
      <c r="W60" s="63">
        <f>V34/W34</f>
        <v>0.67647058823529416</v>
      </c>
      <c r="X60" s="63">
        <f>AB34/$W34</f>
        <v>0.75529411764705889</v>
      </c>
      <c r="Y60" s="63">
        <f>AC34/$W34</f>
        <v>0.81058823529411772</v>
      </c>
      <c r="Z60" s="63">
        <f t="shared" ref="Z60" si="48">AD34/$W34</f>
        <v>0.86588235294117644</v>
      </c>
      <c r="AA60" s="63"/>
    </row>
    <row r="61" spans="17:30" x14ac:dyDescent="0.2">
      <c r="Q61" s="8"/>
      <c r="R61" s="11"/>
      <c r="S61" s="11"/>
      <c r="T61" s="11"/>
      <c r="U61" s="11"/>
      <c r="V61" s="11"/>
      <c r="W61" s="63"/>
      <c r="X61" s="63"/>
      <c r="Y61" s="63"/>
      <c r="Z61" s="63"/>
      <c r="AA61" s="63"/>
    </row>
    <row r="62" spans="17:30" x14ac:dyDescent="0.2">
      <c r="R62" s="11" t="s">
        <v>528</v>
      </c>
      <c r="S62" s="48">
        <f>Y41</f>
        <v>2.5862068965517242</v>
      </c>
      <c r="T62" s="48" t="s">
        <v>613</v>
      </c>
      <c r="U62" s="48">
        <f>Z41</f>
        <v>31.896551724137932</v>
      </c>
      <c r="V62" s="48"/>
      <c r="W62" s="63">
        <f>V41/W41</f>
        <v>0.63793103448275867</v>
      </c>
      <c r="X62" s="63">
        <f>AB41/$W41</f>
        <v>0.67241379310344829</v>
      </c>
      <c r="Y62" s="63">
        <f>AC41/$W41</f>
        <v>0.81034482758620685</v>
      </c>
      <c r="Z62" s="63">
        <f t="shared" ref="Z62" si="49">AD41/$W41</f>
        <v>0.96551724137931039</v>
      </c>
      <c r="AA62" s="63"/>
    </row>
    <row r="63" spans="17:30" x14ac:dyDescent="0.2">
      <c r="R63" s="11"/>
      <c r="S63" s="11"/>
      <c r="T63" s="11"/>
      <c r="U63" s="11"/>
      <c r="V63" s="11"/>
      <c r="W63" s="63"/>
      <c r="X63" s="63"/>
      <c r="Y63" s="63"/>
      <c r="Z63" s="63"/>
      <c r="AA63" s="63"/>
    </row>
    <row r="64" spans="17:30" x14ac:dyDescent="0.2">
      <c r="R64" s="11" t="s">
        <v>529</v>
      </c>
      <c r="S64" s="48">
        <f>Y47</f>
        <v>10.416666666666668</v>
      </c>
      <c r="T64" s="48" t="s">
        <v>613</v>
      </c>
      <c r="U64" s="48">
        <f>Z47</f>
        <v>31.25</v>
      </c>
      <c r="V64" s="48"/>
      <c r="W64" s="63">
        <f>V47/W47</f>
        <v>0.625</v>
      </c>
      <c r="X64" s="63">
        <f>AB47/$W47</f>
        <v>0.70833333333333337</v>
      </c>
      <c r="Y64" s="63">
        <f>AC47/$W47</f>
        <v>0.79166666666666663</v>
      </c>
      <c r="Z64" s="63">
        <f t="shared" ref="Z64" si="50">AD47/$W47</f>
        <v>0.875</v>
      </c>
      <c r="AA64" s="63"/>
    </row>
    <row r="65" spans="16:27" x14ac:dyDescent="0.2">
      <c r="R65" s="11"/>
      <c r="S65" s="11"/>
      <c r="V65" s="11"/>
      <c r="W65" s="63"/>
      <c r="X65" s="63"/>
      <c r="Y65" s="63"/>
      <c r="Z65" s="63"/>
      <c r="AA65" s="63"/>
    </row>
    <row r="66" spans="16:27" x14ac:dyDescent="0.2">
      <c r="P66" s="2" t="s">
        <v>828</v>
      </c>
      <c r="Q66" s="2" t="s">
        <v>839</v>
      </c>
      <c r="R66" s="2" t="s">
        <v>838</v>
      </c>
      <c r="S66" s="11"/>
      <c r="U66" s="11"/>
      <c r="V66" s="11"/>
      <c r="W66" s="63"/>
      <c r="X66" s="63"/>
      <c r="Y66" s="63"/>
      <c r="Z66" s="63"/>
      <c r="AA66" s="63"/>
    </row>
    <row r="67" spans="16:27" ht="17" x14ac:dyDescent="0.2">
      <c r="P67" s="2" t="s">
        <v>53</v>
      </c>
      <c r="Q67" s="3" t="s">
        <v>947</v>
      </c>
      <c r="R67" s="2" t="s">
        <v>948</v>
      </c>
      <c r="S67" s="63">
        <f>T34/W34</f>
        <v>0.39529411764705885</v>
      </c>
      <c r="T67" s="48" t="s">
        <v>613</v>
      </c>
      <c r="U67" s="71">
        <f>V34/W34</f>
        <v>0.67647058823529416</v>
      </c>
      <c r="V67" s="63">
        <f>(AA28/W28)</f>
        <v>0.40625</v>
      </c>
      <c r="W67" s="63">
        <f>U67</f>
        <v>0.67647058823529416</v>
      </c>
      <c r="X67" s="63">
        <f>AB34/$W34</f>
        <v>0.75529411764705889</v>
      </c>
      <c r="Y67" s="63">
        <f>AC34/$W34</f>
        <v>0.81058823529411772</v>
      </c>
      <c r="Z67" s="63">
        <f t="shared" ref="Z67" si="51">AD34/$W34</f>
        <v>0.86588235294117644</v>
      </c>
      <c r="AA67" s="63"/>
    </row>
    <row r="68" spans="16:27" ht="17" x14ac:dyDescent="0.2">
      <c r="P68" s="2" t="s">
        <v>54</v>
      </c>
      <c r="Q68" s="3" t="s">
        <v>798</v>
      </c>
      <c r="R68" s="2" t="s">
        <v>933</v>
      </c>
      <c r="S68" s="63">
        <f>T41/W41</f>
        <v>5.1724137931034482E-2</v>
      </c>
      <c r="T68" s="48" t="s">
        <v>613</v>
      </c>
      <c r="U68" s="63">
        <f>V41/W41</f>
        <v>0.63793103448275867</v>
      </c>
      <c r="V68" s="63">
        <f>AA41/W41</f>
        <v>0.32758620689655171</v>
      </c>
      <c r="W68" s="63">
        <f>U68</f>
        <v>0.63793103448275867</v>
      </c>
      <c r="X68" s="63">
        <f>AB41/$W41</f>
        <v>0.67241379310344829</v>
      </c>
      <c r="Y68" s="63">
        <f>AC41/$W41</f>
        <v>0.81034482758620685</v>
      </c>
      <c r="Z68" s="63">
        <f t="shared" ref="Z68" si="52">AD41/$W41</f>
        <v>0.96551724137931039</v>
      </c>
      <c r="AA68" s="63"/>
    </row>
    <row r="69" spans="16:27" ht="34" x14ac:dyDescent="0.2">
      <c r="P69" s="2" t="s">
        <v>643</v>
      </c>
      <c r="Q69" s="3" t="s">
        <v>949</v>
      </c>
      <c r="R69" s="2" t="s">
        <v>934</v>
      </c>
      <c r="S69" s="63">
        <f>(T41+T35+T35+T35)/(W35+W35+W35+W41)</f>
        <v>0.11650485436893204</v>
      </c>
      <c r="T69" s="48" t="s">
        <v>613</v>
      </c>
      <c r="U69" s="71">
        <f>(V41+V35+V35+V35)/(W35+W35+W35+W41)</f>
        <v>0.65048543689320393</v>
      </c>
      <c r="V69" s="63">
        <f>(AA35+AA35+AA35+AA41)/(W35+W35+W35+W41)</f>
        <v>0.41747572815533979</v>
      </c>
      <c r="W69" s="63">
        <f>U69</f>
        <v>0.65048543689320393</v>
      </c>
      <c r="X69" s="63">
        <f>(AB41+AB35+AB35+AB35)/($W35+$W35+$W35+$W41)</f>
        <v>0.69902912621359226</v>
      </c>
      <c r="Y69" s="63">
        <f>(AC41+AC35+AC35+AC35)/($W35+$W35+$W35+$W41)</f>
        <v>0.80582524271844658</v>
      </c>
      <c r="Z69" s="63">
        <f t="shared" ref="Z69" si="53">(AD41+AD35+AD35+AD35)/($W35+$W35+$W35+$W41)</f>
        <v>0.95145631067961167</v>
      </c>
      <c r="AA69" s="63"/>
    </row>
    <row r="70" spans="16:27" x14ac:dyDescent="0.2">
      <c r="Q70" s="3"/>
      <c r="S70" s="63"/>
      <c r="T70" s="63"/>
      <c r="U70" s="63"/>
      <c r="V70" s="63"/>
      <c r="W70" s="63"/>
      <c r="X70" s="63"/>
      <c r="Y70" s="63"/>
      <c r="Z70" s="63"/>
      <c r="AA70" s="63"/>
    </row>
    <row r="71" spans="16:27" ht="68" x14ac:dyDescent="0.2">
      <c r="P71" s="2" t="s">
        <v>645</v>
      </c>
      <c r="Q71" s="3" t="s">
        <v>950</v>
      </c>
      <c r="R71" s="2" t="s">
        <v>935</v>
      </c>
      <c r="S71" s="63">
        <f>(T47+T47+T41+T42+T42)/(W47+W47+W42+W42+W41)</f>
        <v>0.16292134831460675</v>
      </c>
      <c r="T71" s="48" t="s">
        <v>613</v>
      </c>
      <c r="U71" s="71">
        <f>(V47+V47+V42+V42+V41)/(W41+W42+W42+W47+W47)</f>
        <v>0.6348314606741573</v>
      </c>
      <c r="V71" s="63">
        <f>(AA47+AA47+AA42+AA42+AA41)/(W41+W42+W42+W47+W47)</f>
        <v>0.47752808988764045</v>
      </c>
      <c r="W71" s="63">
        <f>U71</f>
        <v>0.6348314606741573</v>
      </c>
      <c r="X71" s="63">
        <f>(AB47+AB47+AB42+AB42+AB41)/($W41+$W42+$W42+$W47+$W47)</f>
        <v>0.702247191011236</v>
      </c>
      <c r="Y71" s="63">
        <f>(AC47+AC47+AC42+AC42+AC41)/($W41+$W42+$W42+$W47+$W47)</f>
        <v>0.8033707865168539</v>
      </c>
      <c r="Z71" s="63">
        <f t="shared" ref="Z71" si="54">(AD47+AD47+AD42+AD42+AD41)/($W41+$W42+$W42+$W47+$W47)</f>
        <v>0.9213483146067416</v>
      </c>
      <c r="AA71" s="63"/>
    </row>
    <row r="72" spans="16:27" ht="51" x14ac:dyDescent="0.2">
      <c r="P72" s="2" t="s">
        <v>646</v>
      </c>
      <c r="Q72" s="3" t="s">
        <v>951</v>
      </c>
      <c r="R72" s="2" t="s">
        <v>936</v>
      </c>
      <c r="S72" s="71">
        <f>(T47+T47+T41+T44+T44)/(W47+W47+W44+W44+W41)</f>
        <v>0.15168539325842698</v>
      </c>
      <c r="T72" s="48" t="s">
        <v>613</v>
      </c>
      <c r="U72" s="71">
        <f>(V47+V47+V44+V44+V41)/(W41+W44+W44+W47+W47)</f>
        <v>0.6235955056179775</v>
      </c>
      <c r="V72" s="63">
        <f>(AA47+AA47+AA44+AA44+AA41)/(W41+W44+W44+W47+W47)</f>
        <v>0.46629213483146065</v>
      </c>
      <c r="W72" s="63">
        <f>U72</f>
        <v>0.6235955056179775</v>
      </c>
      <c r="X72" s="63">
        <f>(AB47+AB47+AB44+AB44+AB41)/($W41+$W44+$W44+$W47+$W47)</f>
        <v>0.6910112359550562</v>
      </c>
      <c r="Y72" s="63">
        <f>(AC47+AC47+AC44+AC44+AC41)/($W41+$W44+$W44+$W47+$W47)</f>
        <v>0.7808988764044944</v>
      </c>
      <c r="Z72" s="63">
        <f t="shared" ref="Z72" si="55">(AD47+AD47+AD44+AD44+AD41)/($W41+$W44+$W44+$W47+$W47)</f>
        <v>0.88764044943820219</v>
      </c>
      <c r="AA72" s="63"/>
    </row>
    <row r="73" spans="16:27" ht="68" x14ac:dyDescent="0.2">
      <c r="P73" s="2" t="s">
        <v>642</v>
      </c>
      <c r="Q73" s="3" t="s">
        <v>952</v>
      </c>
      <c r="R73" s="2" t="s">
        <v>937</v>
      </c>
      <c r="S73" s="71">
        <f>(T47+T47+T41+T43+T43)/(W47+W47+W43+W43+W41)</f>
        <v>0.15168539325842698</v>
      </c>
      <c r="T73" s="48" t="s">
        <v>613</v>
      </c>
      <c r="U73" s="71">
        <f>(V47+V47+V43+V43+V41)/(W41+W43+W43+W47+W47)</f>
        <v>0.6235955056179775</v>
      </c>
      <c r="V73" s="63">
        <f>(AA47+AA47+AA43+AA43+AA41)/(W41+W43+W43+W47+W47)</f>
        <v>0.46629213483146065</v>
      </c>
      <c r="W73" s="63">
        <f>U73</f>
        <v>0.6235955056179775</v>
      </c>
      <c r="X73" s="63">
        <f>(AB47+AB47+AB43+AB43+AB41)/($W41+$W43+$W43+$W47+$W47)</f>
        <v>0.6910112359550562</v>
      </c>
      <c r="Y73" s="63">
        <f>(AC47+AC47+AC43+AC43+AC41)/($W41+$W43+$W43+$W47+$W47)</f>
        <v>0.7921348314606742</v>
      </c>
      <c r="Z73" s="63">
        <f t="shared" ref="Z73" si="56">(AD47+AD47+AD43+AD43+AD41)/($W41+$W43+$W43+$W47+$W47)</f>
        <v>0.88764044943820219</v>
      </c>
      <c r="AA73" s="63"/>
    </row>
    <row r="74" spans="16:27" ht="68" x14ac:dyDescent="0.2">
      <c r="P74" s="2" t="s">
        <v>904</v>
      </c>
      <c r="Q74" s="3" t="s">
        <v>953</v>
      </c>
      <c r="R74" s="2" t="s">
        <v>943</v>
      </c>
      <c r="S74" s="71">
        <f>(T47+T47+T41+T45+T45)/(W47+W47+W45+W45+W41)</f>
        <v>0.16292134831460675</v>
      </c>
      <c r="T74" s="63"/>
      <c r="U74" s="71">
        <f>(V47+V47+V45+V45+V41)/(W41+W45+W45+W47+W47)</f>
        <v>0.6348314606741573</v>
      </c>
      <c r="V74" s="63">
        <f>(AA47+AA47+AA45+AA45+AA41)/(W41+W45+W45+W47+W47)</f>
        <v>0.47752808988764045</v>
      </c>
      <c r="W74" s="63">
        <f>U74</f>
        <v>0.6348314606741573</v>
      </c>
      <c r="X74" s="63">
        <f>(AB47+AB47+AB45+AB45+AB41)/($W41+$W45+$W45+$W47+$W47)</f>
        <v>0.702247191011236</v>
      </c>
      <c r="Y74" s="63">
        <f>(AC47+AC47+AC45+AC45+AC41)/($W41+$W45+$W45+$W47+$W47)</f>
        <v>0.8146067415730337</v>
      </c>
      <c r="Z74" s="63">
        <f t="shared" ref="Z74" si="57">(AD47+AD47+AD45+AD45+AD41)/($W41+$W45+$W45+$W47+$W47)</f>
        <v>0.9213483146067416</v>
      </c>
      <c r="AA74" s="63"/>
    </row>
    <row r="75" spans="16:27" ht="17" x14ac:dyDescent="0.2">
      <c r="P75" s="2" t="s">
        <v>648</v>
      </c>
      <c r="Q75" s="3" t="s">
        <v>954</v>
      </c>
      <c r="R75" s="2" t="s">
        <v>939</v>
      </c>
      <c r="S75" s="71">
        <f>(S39+S32)/(W32+W39)</f>
        <v>8.5714285714285715E-2</v>
      </c>
      <c r="T75" s="48" t="s">
        <v>613</v>
      </c>
      <c r="U75" s="71">
        <f>(V39+V32)/(W32+W39)</f>
        <v>0.6</v>
      </c>
      <c r="V75" s="63">
        <f>(AA39+AA32)/(W32+W39)</f>
        <v>0.25714285714285712</v>
      </c>
      <c r="W75" s="63">
        <f>U75</f>
        <v>0.6</v>
      </c>
      <c r="X75" s="63">
        <f>(AB39+AB32)/($W32+$W39)</f>
        <v>0.62857142857142856</v>
      </c>
      <c r="Y75" s="63">
        <f>(AC39+AC32)/($W32+$W39)</f>
        <v>0.8</v>
      </c>
      <c r="Z75" s="63">
        <f t="shared" ref="Z75" si="58">(AD39+AD32)/($W32+$W39)</f>
        <v>0.94285714285714284</v>
      </c>
      <c r="AA75" s="63"/>
    </row>
    <row r="76" spans="16:27" ht="17" x14ac:dyDescent="0.2">
      <c r="P76" s="2" t="s">
        <v>647</v>
      </c>
      <c r="Q76" s="3" t="s">
        <v>955</v>
      </c>
      <c r="R76" s="2" t="s">
        <v>938</v>
      </c>
      <c r="S76" s="71">
        <f>(T39+T42)/(W39+W42)</f>
        <v>8.1081081081081086E-2</v>
      </c>
      <c r="T76" s="48" t="s">
        <v>613</v>
      </c>
      <c r="U76" s="71">
        <f>(U39+U42)/(W39+W42)</f>
        <v>0.6216216216216216</v>
      </c>
      <c r="V76" s="63">
        <f>(AA39+AA42)/(W39+W42)</f>
        <v>0.32432432432432434</v>
      </c>
      <c r="W76" s="63">
        <f>U76</f>
        <v>0.6216216216216216</v>
      </c>
      <c r="X76" s="63">
        <f>(AB39+AB42)/($W42+$W39)</f>
        <v>0.64864864864864868</v>
      </c>
      <c r="Y76" s="63">
        <f>(AC39+AC42)/($W42+$W39)</f>
        <v>0.81081081081081086</v>
      </c>
      <c r="Z76" s="63">
        <f t="shared" ref="Z76" si="59">(AD39+AD42)/($W42+$W39)</f>
        <v>1</v>
      </c>
      <c r="AA76" s="63"/>
    </row>
    <row r="77" spans="16:27" ht="34" x14ac:dyDescent="0.2">
      <c r="P77" s="2" t="s">
        <v>649</v>
      </c>
      <c r="Q77" s="3" t="s">
        <v>928</v>
      </c>
      <c r="R77" s="2" t="s">
        <v>940</v>
      </c>
      <c r="S77" s="71">
        <f>(T39+T10)/(W10+W39)</f>
        <v>0.35438596491228069</v>
      </c>
      <c r="T77" s="48" t="s">
        <v>613</v>
      </c>
      <c r="U77" s="71">
        <f>(V39+V10)/(W10+W39)</f>
        <v>0.64117647058823524</v>
      </c>
      <c r="V77" s="63">
        <f>(AA39+AA10)/(W10+W39)</f>
        <v>0.40994152046783622</v>
      </c>
      <c r="W77" s="63">
        <f>U77</f>
        <v>0.64117647058823524</v>
      </c>
      <c r="X77" s="63">
        <f>(AB39+AB10)/($W10+$W39)</f>
        <v>0.67423540315106578</v>
      </c>
      <c r="Y77" s="63">
        <f>(AC39+AC10)/($W10+$W39)</f>
        <v>0.75731922398589058</v>
      </c>
      <c r="Z77" s="63">
        <f t="shared" ref="Z77" si="60">(AD39+AD10)/($W10+$W39)</f>
        <v>0.85077355836849511</v>
      </c>
      <c r="AA77" s="63"/>
    </row>
    <row r="78" spans="16:27" x14ac:dyDescent="0.2">
      <c r="Q78" s="3"/>
      <c r="S78" s="71"/>
      <c r="T78" s="63"/>
      <c r="U78" s="71"/>
      <c r="V78" s="63"/>
      <c r="W78" s="63"/>
      <c r="X78" s="63"/>
      <c r="Y78" s="63"/>
      <c r="Z78" s="63"/>
      <c r="AA78" s="63"/>
    </row>
    <row r="79" spans="16:27" ht="17" x14ac:dyDescent="0.2">
      <c r="P79" s="2" t="s">
        <v>782</v>
      </c>
      <c r="Q79" s="3" t="s">
        <v>956</v>
      </c>
      <c r="R79" s="2" t="s">
        <v>942</v>
      </c>
      <c r="S79" s="71">
        <f>(T39+T43)/(W39+W43)</f>
        <v>5.4054054054054057E-2</v>
      </c>
      <c r="T79" s="48" t="s">
        <v>613</v>
      </c>
      <c r="U79" s="71">
        <f>(V39+V43)/(W39+W43)</f>
        <v>0.59459459459459463</v>
      </c>
      <c r="V79" s="63">
        <f>(AA39+AA43)/(W43+W39)</f>
        <v>0.29729729729729731</v>
      </c>
      <c r="W79" s="63">
        <f>U79</f>
        <v>0.59459459459459463</v>
      </c>
      <c r="X79" s="63">
        <f>(AB39+AB43)/($W43+$W39)</f>
        <v>0.6216216216216216</v>
      </c>
      <c r="Y79" s="63">
        <f>(AC39+AC43)/($W43+$W39)</f>
        <v>0.78378378378378377</v>
      </c>
      <c r="Z79" s="63">
        <f t="shared" ref="Z79" si="61">(AD39+AD43)/($W43+$W39)</f>
        <v>0.91891891891891897</v>
      </c>
      <c r="AA79" s="63"/>
    </row>
    <row r="80" spans="16:27" ht="34" x14ac:dyDescent="0.2">
      <c r="P80" s="2" t="s">
        <v>781</v>
      </c>
      <c r="Q80" s="3" t="s">
        <v>930</v>
      </c>
      <c r="R80" s="2" t="s">
        <v>941</v>
      </c>
      <c r="S80" s="71">
        <f>(T39+T10)/(W10+W39)</f>
        <v>0.35438596491228069</v>
      </c>
      <c r="T80" s="48" t="s">
        <v>613</v>
      </c>
      <c r="U80" s="71">
        <f>(V39+V10)/(W10+W39)</f>
        <v>0.64117647058823524</v>
      </c>
      <c r="V80" s="63">
        <f>(AA39+AA10)/(W10+W39)</f>
        <v>0.40994152046783622</v>
      </c>
      <c r="W80" s="63">
        <f>U80</f>
        <v>0.64117647058823524</v>
      </c>
      <c r="X80" s="63">
        <f>(AB39+AB10)/($W10+$W39)</f>
        <v>0.67423540315106578</v>
      </c>
      <c r="Y80" s="63">
        <f>(AC39+AC10)/($W10+$W39)</f>
        <v>0.75731922398589058</v>
      </c>
      <c r="Z80" s="63">
        <f t="shared" ref="Z80" si="62">(AD39+AD10)/($W10+$W39)</f>
        <v>0.85077355836849511</v>
      </c>
      <c r="AA80" s="63"/>
    </row>
    <row r="81" spans="16:27" x14ac:dyDescent="0.2">
      <c r="Q81" s="3"/>
      <c r="S81" s="71"/>
      <c r="T81" s="63"/>
      <c r="U81" s="71"/>
      <c r="V81" s="63"/>
      <c r="W81" s="63"/>
      <c r="X81" s="63"/>
      <c r="Y81" s="63"/>
      <c r="Z81" s="63"/>
      <c r="AA81" s="63"/>
    </row>
    <row r="82" spans="16:27" ht="34" x14ac:dyDescent="0.2">
      <c r="P82" s="2" t="s">
        <v>859</v>
      </c>
      <c r="Q82" s="3" t="s">
        <v>868</v>
      </c>
      <c r="R82" s="2" t="s">
        <v>945</v>
      </c>
      <c r="S82" s="71">
        <f>(S68+S69+S71+S72+S73+S74)/6</f>
        <v>0.13290707924100567</v>
      </c>
      <c r="T82" s="48" t="s">
        <v>613</v>
      </c>
      <c r="U82" s="71">
        <f>(U68+U69+U71+U72+U73+U74)/6</f>
        <v>0.63421173399337205</v>
      </c>
      <c r="W82" s="71">
        <f>(W68+W69+W71+W72+W73+W74)/6</f>
        <v>0.63421173399337205</v>
      </c>
      <c r="X82" s="71">
        <f t="shared" ref="X82:Z82" si="63">(X68+X69+X71+X72+X73+X74)/6</f>
        <v>0.69299329554160405</v>
      </c>
      <c r="Y82" s="71">
        <f t="shared" si="63"/>
        <v>0.80119688437661829</v>
      </c>
      <c r="Z82" s="71">
        <f t="shared" si="63"/>
        <v>0.92249184669146833</v>
      </c>
      <c r="AA82" s="71"/>
    </row>
    <row r="83" spans="16:27" x14ac:dyDescent="0.2">
      <c r="Q83" s="3"/>
      <c r="S83" s="71"/>
      <c r="T83" s="63"/>
      <c r="U83" s="71"/>
      <c r="W83" s="71"/>
      <c r="X83" s="71"/>
      <c r="Y83" s="71"/>
      <c r="Z83" s="71"/>
      <c r="AA83" s="71"/>
    </row>
    <row r="84" spans="16:27" ht="34" x14ac:dyDescent="0.2">
      <c r="P84" s="2" t="s">
        <v>65</v>
      </c>
      <c r="Q84" s="3" t="s">
        <v>869</v>
      </c>
      <c r="R84" s="2" t="s">
        <v>946</v>
      </c>
      <c r="S84" s="71">
        <f>(S80+S79+S77+S76+S75)/5</f>
        <v>0.18592427013479645</v>
      </c>
      <c r="T84" s="48" t="s">
        <v>613</v>
      </c>
      <c r="U84" s="71">
        <f>(U80+U79+U77+U76+U75)/5</f>
        <v>0.61971383147853731</v>
      </c>
      <c r="W84" s="71">
        <f>(W80+W79+W77+W76+W75)/5</f>
        <v>0.61971383147853731</v>
      </c>
      <c r="X84" s="71">
        <f>(X80+X79+X77+X76+X75)/5</f>
        <v>0.64946250102876601</v>
      </c>
      <c r="Y84" s="71">
        <f>(Y80+Y79+Y77+Y76+Y75)/5</f>
        <v>0.78184660851327514</v>
      </c>
      <c r="Z84" s="71">
        <f>(Z80+Z79+Z77+Z76+Z75)/5</f>
        <v>0.91266463570261036</v>
      </c>
      <c r="AA84" s="71"/>
    </row>
    <row r="85" spans="16:27" x14ac:dyDescent="0.2">
      <c r="Q85" s="3"/>
      <c r="S85" s="63"/>
      <c r="T85" s="63"/>
      <c r="U85" s="63"/>
      <c r="W85" s="63"/>
      <c r="X85" s="63"/>
      <c r="Y85" s="63"/>
      <c r="Z85" s="63"/>
      <c r="AA85" s="63"/>
    </row>
    <row r="86" spans="16:27" ht="51" x14ac:dyDescent="0.2">
      <c r="P86" s="2" t="s">
        <v>860</v>
      </c>
      <c r="Q86" s="3" t="s">
        <v>864</v>
      </c>
      <c r="R86" s="2" t="s">
        <v>944</v>
      </c>
      <c r="S86" s="63">
        <f>AVERAGE(S80,S79,S77,S76,S75,S73,S72,S71,S74,S69,S68)</f>
        <v>0.15700580237454692</v>
      </c>
      <c r="T86" s="48" t="s">
        <v>613</v>
      </c>
      <c r="U86" s="63">
        <f>AVERAGE(U80,U79,U77,U76,U75,U73,U72,U71,U74,U69,U68)</f>
        <v>0.62762177830481092</v>
      </c>
      <c r="W86" s="63">
        <f>AVERAGE(W80,W79,W77,W76,W75,W73,W72,W71,W74,W69,W68)</f>
        <v>0.62762177830481092</v>
      </c>
      <c r="X86" s="63">
        <f>AVERAGE(X80,X79,X77,X76,X75,X73,X72,X71,X74,X69,X68)</f>
        <v>0.67320657076304136</v>
      </c>
      <c r="Y86" s="63">
        <f>AVERAGE(Y80,Y79,Y77,Y76,Y75,Y73,Y72,Y71,Y74,Y69,Y68)</f>
        <v>0.79240130443873502</v>
      </c>
      <c r="Z86" s="63">
        <f>AVERAGE(Z80,Z79,Z77,Z76,Z75,Z73,Z72,Z71,Z74,Z69,Z68)</f>
        <v>0.91802493260562379</v>
      </c>
      <c r="AA86" s="63"/>
    </row>
    <row r="87" spans="16:27" x14ac:dyDescent="0.2">
      <c r="S87" s="63"/>
      <c r="T87" s="63"/>
      <c r="U87" s="63"/>
    </row>
    <row r="88" spans="16:27" ht="68" x14ac:dyDescent="0.2">
      <c r="P88" s="55" t="s">
        <v>1077</v>
      </c>
      <c r="Q88" s="3" t="s">
        <v>1078</v>
      </c>
      <c r="R88" s="2" t="s">
        <v>763</v>
      </c>
      <c r="S88" s="84">
        <f>(T26/$W26)*100</f>
        <v>16.666666666666664</v>
      </c>
      <c r="T88" s="84"/>
      <c r="U88" s="84">
        <f>(V26/$W26)*100</f>
        <v>40</v>
      </c>
      <c r="V88" s="84"/>
      <c r="W88" s="84">
        <f>U88</f>
        <v>40</v>
      </c>
      <c r="X88" s="84">
        <f>(AB26/$W26)*100</f>
        <v>45</v>
      </c>
      <c r="Y88" s="84">
        <f t="shared" ref="Y88:Z88" si="64">(AC26/$W26)*100</f>
        <v>50</v>
      </c>
      <c r="Z88" s="84">
        <f t="shared" si="64"/>
        <v>56.666666666666664</v>
      </c>
    </row>
    <row r="89" spans="16:27" ht="68" x14ac:dyDescent="0.2">
      <c r="Q89" s="3" t="s">
        <v>1080</v>
      </c>
      <c r="R89" s="2" t="s">
        <v>760</v>
      </c>
      <c r="S89" s="84">
        <f>(T27/$W27)*100</f>
        <v>27.428571428571431</v>
      </c>
      <c r="T89" s="8"/>
      <c r="U89" s="84">
        <f>(V27/$W27)*100</f>
        <v>49.071428571428569</v>
      </c>
      <c r="V89" s="8"/>
      <c r="W89" s="84">
        <f>U89</f>
        <v>49.071428571428569</v>
      </c>
      <c r="X89" s="84">
        <f>(AB27/$W27)*100</f>
        <v>53.214285714285715</v>
      </c>
      <c r="Y89" s="84">
        <f t="shared" ref="Y89:Z89" si="65">(AC27/$W27)*100</f>
        <v>57.357142857142854</v>
      </c>
      <c r="Z89" s="84">
        <f t="shared" si="65"/>
        <v>62.142857142857146</v>
      </c>
    </row>
    <row r="90" spans="16:27" ht="51" x14ac:dyDescent="0.2">
      <c r="Q90" s="3" t="s">
        <v>1079</v>
      </c>
      <c r="R90" s="2" t="s">
        <v>759</v>
      </c>
      <c r="S90" s="8">
        <f>(T10/$W10)*100</f>
        <v>49.068825910931174</v>
      </c>
      <c r="T90" s="8"/>
      <c r="U90" s="8">
        <f>(V10/$W10)*100</f>
        <v>65.701357466063342</v>
      </c>
      <c r="V90" s="8"/>
      <c r="W90" s="84">
        <f>U90</f>
        <v>65.701357466063342</v>
      </c>
      <c r="X90" s="8">
        <f>(AB10/$W10)*100</f>
        <v>70.278748128609109</v>
      </c>
      <c r="Y90" s="8">
        <f t="shared" ref="Y90:Z90" si="66">(AC10/$W10)*100</f>
        <v>74.090354090354083</v>
      </c>
      <c r="Z90" s="8">
        <f t="shared" si="66"/>
        <v>79.337877312560863</v>
      </c>
    </row>
    <row r="91" spans="16:27" ht="85" x14ac:dyDescent="0.2">
      <c r="Q91" s="3" t="s">
        <v>1081</v>
      </c>
      <c r="R91" s="2" t="s">
        <v>1072</v>
      </c>
      <c r="S91" s="85">
        <f>((1-(S88/90)))</f>
        <v>0.81481481481481488</v>
      </c>
      <c r="T91" s="85"/>
      <c r="U91" s="85">
        <f>((1-(U88/90)))</f>
        <v>0.55555555555555558</v>
      </c>
      <c r="V91" s="85"/>
      <c r="W91" s="85">
        <f t="shared" ref="W91:Z91" si="67">((1-(W88/90)))</f>
        <v>0.55555555555555558</v>
      </c>
      <c r="X91" s="85">
        <f t="shared" si="67"/>
        <v>0.5</v>
      </c>
      <c r="Y91" s="85">
        <f t="shared" si="67"/>
        <v>0.44444444444444442</v>
      </c>
      <c r="Z91" s="85">
        <f t="shared" si="67"/>
        <v>0.37037037037037035</v>
      </c>
    </row>
    <row r="93" spans="16:27" x14ac:dyDescent="0.2">
      <c r="Q93" s="2" t="s">
        <v>1099</v>
      </c>
      <c r="R93" s="2" t="s">
        <v>1100</v>
      </c>
      <c r="S93" s="63">
        <f>T28/$W28</f>
        <v>0.26500000000000001</v>
      </c>
      <c r="T93" s="63"/>
      <c r="U93" s="63">
        <f>V28/$W28</f>
        <v>0.50437500000000002</v>
      </c>
      <c r="V93" s="63"/>
      <c r="W93" s="63">
        <f>U93</f>
        <v>0.50437500000000002</v>
      </c>
      <c r="X93" s="63">
        <f>AB28/$W28</f>
        <v>0.55312499999999998</v>
      </c>
      <c r="Y93" s="63">
        <f t="shared" ref="Y93:Z93" si="68">AC28/$W28</f>
        <v>0.60187499999999994</v>
      </c>
      <c r="Z93" s="63">
        <f t="shared" si="68"/>
        <v>0.66874999999999996</v>
      </c>
    </row>
    <row r="95" spans="16:27" x14ac:dyDescent="0.2">
      <c r="P95" s="55" t="s">
        <v>1143</v>
      </c>
      <c r="S95" s="63"/>
      <c r="T95" s="63"/>
      <c r="U95" s="63"/>
      <c r="V95" s="63"/>
      <c r="W95" s="63"/>
      <c r="X95" s="63"/>
      <c r="Y95" s="63"/>
      <c r="Z95" s="63"/>
    </row>
    <row r="96" spans="16:27" x14ac:dyDescent="0.2">
      <c r="Q96" s="2" t="s">
        <v>1144</v>
      </c>
      <c r="R96" s="8"/>
      <c r="S96" s="8">
        <f>(T29+T32)/($W29+$W32)*100</f>
        <v>35.555555555555557</v>
      </c>
      <c r="T96" s="8"/>
      <c r="U96" s="8">
        <f>(V29+V32)/($W29+$W32)*100</f>
        <v>61.111111111111114</v>
      </c>
      <c r="V96" s="8"/>
      <c r="W96" s="84">
        <f>U96</f>
        <v>61.111111111111114</v>
      </c>
      <c r="X96" s="8">
        <f>(AB29+AB32)/($W29+$W32)*100</f>
        <v>68.888888888888886</v>
      </c>
      <c r="Y96" s="8">
        <f t="shared" ref="Y96:Z96" si="69">(AC29+AC32)/($W29+$W32)*100</f>
        <v>76.666666666666671</v>
      </c>
      <c r="Z96" s="8">
        <f t="shared" si="69"/>
        <v>80</v>
      </c>
    </row>
    <row r="97" spans="17:26" x14ac:dyDescent="0.2">
      <c r="Q97" s="2" t="s">
        <v>1134</v>
      </c>
      <c r="R97" s="8"/>
      <c r="S97" s="8">
        <f>T23/$W23*100</f>
        <v>47.272727272727273</v>
      </c>
      <c r="T97" s="8"/>
      <c r="U97" s="8">
        <f>V23/$W23*100</f>
        <v>69.090909090909093</v>
      </c>
      <c r="V97" s="8"/>
      <c r="W97" s="84">
        <f>U97</f>
        <v>69.090909090909093</v>
      </c>
      <c r="X97" s="8">
        <f>AB23/$W23*100</f>
        <v>72.727272727272734</v>
      </c>
      <c r="Y97" s="8">
        <f t="shared" ref="Y97:Z97" si="70">AC23/$W23*100</f>
        <v>76.363636363636374</v>
      </c>
      <c r="Z97" s="8">
        <f t="shared" si="70"/>
        <v>81.818181818181827</v>
      </c>
    </row>
    <row r="98" spans="17:26" x14ac:dyDescent="0.2">
      <c r="Q98" s="2" t="s">
        <v>1161</v>
      </c>
      <c r="R98" s="8"/>
      <c r="S98" s="8">
        <f>K29</f>
        <v>20</v>
      </c>
      <c r="T98" s="8"/>
      <c r="U98" s="8">
        <f>M29</f>
        <v>31</v>
      </c>
      <c r="V98" s="8"/>
      <c r="W98" s="84">
        <f>U98</f>
        <v>31</v>
      </c>
      <c r="X98" s="8">
        <f>O29</f>
        <v>34</v>
      </c>
      <c r="Y98" s="8">
        <f t="shared" ref="Y98:Z98" si="71">P29</f>
        <v>37</v>
      </c>
      <c r="Z98" s="8">
        <f t="shared" si="71"/>
        <v>40</v>
      </c>
    </row>
    <row r="99" spans="17:26" x14ac:dyDescent="0.2">
      <c r="Q99" s="2" t="s">
        <v>1133</v>
      </c>
      <c r="R99" s="8"/>
      <c r="S99" s="8">
        <f>T32/$W32*100</f>
        <v>30</v>
      </c>
      <c r="T99" s="8"/>
      <c r="U99" s="8">
        <f>V32/$W32*100</f>
        <v>60</v>
      </c>
      <c r="V99" s="8"/>
      <c r="W99" s="84">
        <f>U99</f>
        <v>60</v>
      </c>
      <c r="X99" s="8">
        <f>AB29/$W29*100</f>
        <v>68</v>
      </c>
      <c r="Y99" s="8">
        <f t="shared" ref="Y99:Z99" si="72">AC29/$W29*100</f>
        <v>74</v>
      </c>
      <c r="Z99" s="8">
        <f t="shared" si="72"/>
        <v>80</v>
      </c>
    </row>
    <row r="100" spans="17:26" x14ac:dyDescent="0.2">
      <c r="R100" s="8"/>
      <c r="S100" s="8"/>
      <c r="T100" s="8"/>
      <c r="U100" s="8"/>
      <c r="V100" s="8"/>
      <c r="W100" s="84"/>
      <c r="X100" s="8"/>
      <c r="Y100" s="8"/>
      <c r="Z100" s="8"/>
    </row>
    <row r="101" spans="17:26" x14ac:dyDescent="0.2">
      <c r="R101" s="8"/>
      <c r="S101" s="8"/>
      <c r="T101" s="8"/>
      <c r="U101" s="8"/>
      <c r="V101" s="8"/>
      <c r="W101" s="84"/>
      <c r="X101" s="8"/>
      <c r="Y101" s="8"/>
      <c r="Z101" s="8"/>
    </row>
    <row r="102" spans="17:26" x14ac:dyDescent="0.2">
      <c r="R102" s="8"/>
      <c r="S102" s="8"/>
      <c r="T102" s="8"/>
      <c r="U102" s="8"/>
      <c r="V102" s="8"/>
      <c r="W102" s="8"/>
      <c r="X102" s="8"/>
      <c r="Y102" s="8"/>
      <c r="Z102" s="8"/>
    </row>
    <row r="103" spans="17:26" x14ac:dyDescent="0.2">
      <c r="R103" s="8"/>
      <c r="S103" s="63"/>
      <c r="T103" s="8"/>
      <c r="U103" s="63"/>
      <c r="V103" s="8"/>
      <c r="W103" s="63"/>
      <c r="X103" s="63"/>
      <c r="Y103" s="63"/>
      <c r="Z103" s="63"/>
    </row>
    <row r="104" spans="17:26" x14ac:dyDescent="0.2">
      <c r="R104" s="8"/>
      <c r="S104" s="8"/>
      <c r="T104" s="8"/>
      <c r="U104" s="8"/>
      <c r="V104" s="8"/>
      <c r="W104" s="8"/>
      <c r="X104" s="8"/>
      <c r="Y104" s="8"/>
      <c r="Z104" s="8"/>
    </row>
    <row r="105" spans="17:26" x14ac:dyDescent="0.2">
      <c r="R105" s="8"/>
      <c r="S105" s="8"/>
      <c r="T105" s="8"/>
      <c r="U105" s="8"/>
      <c r="V105" s="8"/>
      <c r="W105" s="84"/>
      <c r="X105" s="8"/>
      <c r="Y105" s="8"/>
      <c r="Z105" s="8"/>
    </row>
    <row r="106" spans="17:26" x14ac:dyDescent="0.2">
      <c r="R106" s="8"/>
      <c r="S106" s="8"/>
      <c r="T106" s="8"/>
      <c r="U106" s="8"/>
      <c r="V106" s="8"/>
      <c r="W106" s="8"/>
      <c r="X106" s="8"/>
      <c r="Y106" s="8"/>
      <c r="Z106" s="8"/>
    </row>
    <row r="107" spans="17:26" x14ac:dyDescent="0.2">
      <c r="R107" s="8"/>
      <c r="S107" s="91"/>
      <c r="T107" s="8"/>
      <c r="U107" s="91"/>
      <c r="V107" s="8"/>
      <c r="W107" s="91"/>
      <c r="X107" s="91"/>
      <c r="Y107" s="91"/>
      <c r="Z107" s="91"/>
    </row>
    <row r="108" spans="17:26" x14ac:dyDescent="0.2">
      <c r="R108" s="8"/>
      <c r="S108" s="8"/>
      <c r="T108" s="8"/>
      <c r="U108" s="8"/>
      <c r="V108" s="8"/>
      <c r="W108" s="8"/>
      <c r="X108" s="8"/>
      <c r="Y108" s="8"/>
      <c r="Z108" s="8"/>
    </row>
    <row r="109" spans="17:26" x14ac:dyDescent="0.2">
      <c r="R109" s="8"/>
      <c r="S109" s="8"/>
      <c r="T109" s="8"/>
      <c r="U109" s="8"/>
      <c r="V109" s="8"/>
      <c r="W109" s="8"/>
      <c r="X109" s="8"/>
      <c r="Y109" s="8"/>
      <c r="Z109" s="8"/>
    </row>
    <row r="110" spans="17:26" x14ac:dyDescent="0.2">
      <c r="R110" s="8"/>
      <c r="S110" s="8"/>
      <c r="T110" s="8"/>
      <c r="U110" s="8"/>
      <c r="V110" s="8"/>
      <c r="W110" s="8"/>
      <c r="X110" s="8"/>
      <c r="Y110" s="8"/>
      <c r="Z110" s="8"/>
    </row>
    <row r="111" spans="17:26" x14ac:dyDescent="0.2">
      <c r="R111" s="8"/>
      <c r="S111" s="8"/>
      <c r="T111" s="8"/>
      <c r="U111" s="8"/>
      <c r="V111" s="8"/>
      <c r="W111" s="8"/>
      <c r="X111" s="8"/>
      <c r="Y111" s="8"/>
      <c r="Z111" s="8"/>
    </row>
    <row r="112" spans="17:26" x14ac:dyDescent="0.2">
      <c r="S112" s="8"/>
      <c r="T112" s="8"/>
      <c r="U112" s="8"/>
      <c r="V112" s="8"/>
      <c r="W112" s="8"/>
      <c r="X112" s="8"/>
      <c r="Y112" s="8"/>
    </row>
    <row r="113" spans="17:22" x14ac:dyDescent="0.2">
      <c r="Q113" s="76"/>
      <c r="R113" s="76"/>
      <c r="S113" s="76"/>
      <c r="T113" s="92"/>
      <c r="U113" s="92"/>
      <c r="V113" s="92"/>
    </row>
    <row r="114" spans="17:22" x14ac:dyDescent="0.2">
      <c r="Q114" s="76"/>
      <c r="R114" s="76"/>
      <c r="S114" s="76"/>
      <c r="T114" s="92"/>
      <c r="U114" s="92"/>
      <c r="V114" s="92"/>
    </row>
    <row r="116" spans="17:22" x14ac:dyDescent="0.2">
      <c r="Q116" s="76"/>
      <c r="R116" s="76"/>
      <c r="S116" s="76"/>
      <c r="T116" s="92"/>
      <c r="U116" s="92"/>
      <c r="V116" s="92"/>
    </row>
    <row r="117" spans="17:22" x14ac:dyDescent="0.2">
      <c r="Q117" s="86"/>
      <c r="R117"/>
      <c r="S117" s="86"/>
      <c r="T117" s="92"/>
      <c r="U117" s="92"/>
      <c r="V117" s="92"/>
    </row>
  </sheetData>
  <mergeCells count="20">
    <mergeCell ref="N26:Q26"/>
    <mergeCell ref="M10:P10"/>
    <mergeCell ref="M13:P13"/>
    <mergeCell ref="M16:P16"/>
    <mergeCell ref="N42:N45"/>
    <mergeCell ref="O42:O45"/>
    <mergeCell ref="P42:P45"/>
    <mergeCell ref="Q42:Q45"/>
    <mergeCell ref="N46:Q46"/>
    <mergeCell ref="N33:Q33"/>
    <mergeCell ref="N36:N38"/>
    <mergeCell ref="O36:O38"/>
    <mergeCell ref="P36:P38"/>
    <mergeCell ref="Q36:Q38"/>
    <mergeCell ref="N40:Q40"/>
    <mergeCell ref="N27:Q27"/>
    <mergeCell ref="N31:N32"/>
    <mergeCell ref="O31:O32"/>
    <mergeCell ref="P31:P32"/>
    <mergeCell ref="Q31:Q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03F4-465B-7B40-A107-6BF298C5EA9C}">
  <dimension ref="A1:AY91"/>
  <sheetViews>
    <sheetView topLeftCell="A3" zoomScale="125" zoomScaleNormal="125" workbookViewId="0">
      <selection activeCell="Z91" sqref="Z91"/>
    </sheetView>
  </sheetViews>
  <sheetFormatPr baseColWidth="10" defaultRowHeight="16" x14ac:dyDescent="0.2"/>
  <cols>
    <col min="1" max="1" width="17.83203125" style="2" customWidth="1"/>
    <col min="2" max="2" width="25.33203125" style="2" customWidth="1"/>
    <col min="3" max="3" width="23" style="2" customWidth="1"/>
    <col min="4" max="4" width="20.33203125" style="2" customWidth="1"/>
    <col min="5" max="5" width="45.83203125" style="3" customWidth="1"/>
    <col min="6" max="6" width="33" style="2" customWidth="1"/>
    <col min="7" max="7" width="18.6640625" style="2" customWidth="1"/>
    <col min="8" max="8" width="26" style="3" customWidth="1"/>
    <col min="9" max="9" width="29.1640625" style="2" customWidth="1"/>
    <col min="10" max="10" width="14.5" style="2" customWidth="1"/>
    <col min="11" max="11" width="17.6640625" style="2" customWidth="1"/>
    <col min="12" max="12" width="18.83203125" style="2" customWidth="1"/>
    <col min="13" max="13" width="18.33203125" style="2" customWidth="1"/>
    <col min="14" max="14" width="18" style="2" customWidth="1"/>
    <col min="15" max="15" width="17.5" style="2" customWidth="1"/>
    <col min="16" max="16" width="16.6640625" style="2" customWidth="1"/>
    <col min="17" max="17" width="20" style="2" customWidth="1"/>
    <col min="18" max="18" width="24" style="2" customWidth="1"/>
    <col min="19" max="19" width="12.6640625" style="2" customWidth="1"/>
    <col min="20" max="30" width="13" style="2" customWidth="1"/>
    <col min="31" max="31" width="11.6640625" style="2" customWidth="1"/>
    <col min="32" max="32" width="18.6640625" style="2" customWidth="1"/>
    <col min="33" max="33" width="18.83203125" style="2" customWidth="1"/>
    <col min="34" max="34" width="18.33203125" style="2" customWidth="1"/>
    <col min="35" max="35" width="18" style="2" customWidth="1"/>
    <col min="36" max="36" width="17.5" style="2" customWidth="1"/>
    <col min="37" max="37" width="16.6640625" style="2" customWidth="1"/>
    <col min="38" max="38" width="18.6640625" style="2" customWidth="1"/>
    <col min="39" max="39" width="22.6640625" style="2" customWidth="1"/>
    <col min="40" max="40" width="12.6640625" style="2" customWidth="1"/>
    <col min="41" max="47" width="13" style="2" customWidth="1"/>
    <col min="48" max="48" width="15.5" style="2" customWidth="1"/>
    <col min="49" max="49" width="13" style="2" customWidth="1"/>
    <col min="50" max="16384" width="10.83203125" style="2"/>
  </cols>
  <sheetData>
    <row r="1" spans="1:51" ht="132" customHeight="1" x14ac:dyDescent="0.2">
      <c r="A1" s="43" t="e" vm="6">
        <v>#VALUE!</v>
      </c>
      <c r="B1" s="43"/>
      <c r="C1" s="57" t="s">
        <v>638</v>
      </c>
    </row>
    <row r="2" spans="1:51" x14ac:dyDescent="0.2">
      <c r="K2" s="2" t="s">
        <v>321</v>
      </c>
      <c r="AF2" s="2" t="s">
        <v>322</v>
      </c>
    </row>
    <row r="3" spans="1:51" ht="48" customHeight="1" x14ac:dyDescent="0.2">
      <c r="A3" s="2" t="s">
        <v>18</v>
      </c>
      <c r="B3" s="2" t="s">
        <v>19</v>
      </c>
      <c r="C3" s="2" t="s">
        <v>20</v>
      </c>
      <c r="D3" s="2" t="s">
        <v>407</v>
      </c>
      <c r="E3" s="3" t="s">
        <v>21</v>
      </c>
      <c r="F3" s="2" t="s">
        <v>22</v>
      </c>
      <c r="G3" s="2" t="s">
        <v>143</v>
      </c>
      <c r="H3" s="3" t="s">
        <v>24</v>
      </c>
      <c r="I3" s="2" t="s">
        <v>93</v>
      </c>
      <c r="K3" s="2" t="s">
        <v>94</v>
      </c>
      <c r="L3" s="3" t="s">
        <v>990</v>
      </c>
      <c r="M3" s="2" t="s">
        <v>96</v>
      </c>
      <c r="N3" s="2" t="s">
        <v>25</v>
      </c>
      <c r="O3" s="2" t="s">
        <v>26</v>
      </c>
      <c r="P3" s="2" t="s">
        <v>27</v>
      </c>
      <c r="Q3" s="2" t="s">
        <v>28</v>
      </c>
      <c r="R3" s="3" t="s">
        <v>348</v>
      </c>
      <c r="S3" s="3" t="s">
        <v>609</v>
      </c>
      <c r="T3" s="3" t="s">
        <v>610</v>
      </c>
      <c r="U3" s="3" t="s">
        <v>611</v>
      </c>
      <c r="V3" s="3" t="s">
        <v>612</v>
      </c>
      <c r="W3" s="3" t="s">
        <v>373</v>
      </c>
      <c r="X3" s="3" t="s">
        <v>378</v>
      </c>
      <c r="Y3" s="3" t="s">
        <v>667</v>
      </c>
      <c r="Z3" s="3" t="s">
        <v>668</v>
      </c>
      <c r="AA3" s="3" t="s">
        <v>989</v>
      </c>
      <c r="AB3" s="3" t="s">
        <v>664</v>
      </c>
      <c r="AC3" s="3" t="s">
        <v>665</v>
      </c>
      <c r="AD3" s="3" t="s">
        <v>666</v>
      </c>
      <c r="AE3" s="3"/>
      <c r="AF3" s="2" t="s">
        <v>94</v>
      </c>
      <c r="AG3" s="3" t="s">
        <v>990</v>
      </c>
      <c r="AH3" s="2" t="s">
        <v>96</v>
      </c>
      <c r="AI3" s="2" t="s">
        <v>25</v>
      </c>
      <c r="AJ3" s="2" t="s">
        <v>26</v>
      </c>
      <c r="AK3" s="2" t="s">
        <v>27</v>
      </c>
      <c r="AL3" s="2" t="s">
        <v>28</v>
      </c>
      <c r="AM3" s="3" t="s">
        <v>348</v>
      </c>
      <c r="AN3" s="3" t="s">
        <v>609</v>
      </c>
      <c r="AO3" s="3" t="s">
        <v>610</v>
      </c>
      <c r="AP3" s="3" t="s">
        <v>611</v>
      </c>
      <c r="AQ3" s="3" t="s">
        <v>612</v>
      </c>
      <c r="AR3" s="3" t="s">
        <v>373</v>
      </c>
      <c r="AS3" s="3" t="s">
        <v>378</v>
      </c>
      <c r="AT3" s="3" t="s">
        <v>667</v>
      </c>
      <c r="AU3" s="3" t="s">
        <v>668</v>
      </c>
      <c r="AV3" s="3" t="s">
        <v>989</v>
      </c>
      <c r="AW3" s="3" t="s">
        <v>664</v>
      </c>
      <c r="AX3" s="3" t="s">
        <v>665</v>
      </c>
      <c r="AY3" s="3" t="s">
        <v>666</v>
      </c>
    </row>
    <row r="5" spans="1:51" ht="68" x14ac:dyDescent="0.2">
      <c r="A5" s="2" t="s">
        <v>29</v>
      </c>
      <c r="B5" s="2" t="s">
        <v>30</v>
      </c>
      <c r="C5" s="2" t="s">
        <v>617</v>
      </c>
      <c r="D5" s="2" t="s">
        <v>350</v>
      </c>
      <c r="E5" s="3" t="s">
        <v>68</v>
      </c>
      <c r="F5" s="3" t="s">
        <v>603</v>
      </c>
      <c r="G5" s="52" t="s">
        <v>619</v>
      </c>
      <c r="H5" s="3" t="s">
        <v>604</v>
      </c>
      <c r="I5" s="2" t="s">
        <v>605</v>
      </c>
      <c r="J5" s="2" t="s">
        <v>608</v>
      </c>
      <c r="K5" s="2">
        <v>5</v>
      </c>
      <c r="L5" s="2">
        <v>5</v>
      </c>
      <c r="M5" s="2">
        <v>4.5</v>
      </c>
      <c r="N5" s="2">
        <v>4.5</v>
      </c>
      <c r="O5" s="2">
        <v>4.3499999999999996</v>
      </c>
      <c r="P5" s="2">
        <v>4.25</v>
      </c>
      <c r="Q5" s="2">
        <v>4.1500000000000004</v>
      </c>
      <c r="R5" s="2" t="s">
        <v>614</v>
      </c>
      <c r="S5" s="8">
        <f>K6</f>
        <v>10</v>
      </c>
      <c r="T5" s="8">
        <f>(S5-7)*3</f>
        <v>9</v>
      </c>
      <c r="U5" s="8">
        <f>M6</f>
        <v>11.111111111111111</v>
      </c>
      <c r="V5" s="8">
        <f>(U5-7)*3</f>
        <v>12.333333333333332</v>
      </c>
      <c r="W5" s="8">
        <v>20</v>
      </c>
      <c r="X5" s="8"/>
      <c r="Y5" s="8"/>
      <c r="Z5" s="8"/>
      <c r="AA5" s="8">
        <f>(K6-7)*3</f>
        <v>9</v>
      </c>
      <c r="AB5" s="8">
        <f>(N6-7)*3</f>
        <v>12.333333333333332</v>
      </c>
      <c r="AC5" s="8">
        <f>(O6-7)*3</f>
        <v>13.482758620689658</v>
      </c>
      <c r="AD5" s="8">
        <f>(P6-7)*3</f>
        <v>14.294117647058826</v>
      </c>
      <c r="AE5" s="2" t="s">
        <v>608</v>
      </c>
      <c r="AF5" s="2">
        <v>5</v>
      </c>
      <c r="AG5" s="2">
        <v>5</v>
      </c>
      <c r="AH5" s="2">
        <v>4.5</v>
      </c>
      <c r="AI5" s="2">
        <v>4.5</v>
      </c>
      <c r="AJ5" s="2">
        <v>4.3499999999999996</v>
      </c>
      <c r="AK5" s="2">
        <v>4.25</v>
      </c>
      <c r="AL5" s="2">
        <v>4.1500000000000004</v>
      </c>
      <c r="AM5" s="2" t="s">
        <v>614</v>
      </c>
      <c r="AN5" s="8">
        <f>AF6</f>
        <v>12</v>
      </c>
      <c r="AO5" s="8">
        <f>(AN5-7)*3</f>
        <v>15</v>
      </c>
      <c r="AP5" s="8">
        <f>AH6</f>
        <v>13.333333333333334</v>
      </c>
      <c r="AQ5" s="8">
        <f>(AP5-7)*3</f>
        <v>19</v>
      </c>
      <c r="AR5" s="8">
        <v>30</v>
      </c>
      <c r="AS5" s="8"/>
      <c r="AT5" s="8"/>
      <c r="AU5" s="8"/>
      <c r="AV5" s="8">
        <f>(AF6-7)*3</f>
        <v>15</v>
      </c>
      <c r="AW5" s="8">
        <f>(AI6-7)*3</f>
        <v>19</v>
      </c>
      <c r="AX5" s="8">
        <f>(AJ6-7)*3</f>
        <v>20.379310344827587</v>
      </c>
      <c r="AY5" s="8">
        <f>(AK6-7)*3</f>
        <v>21.352941176470587</v>
      </c>
    </row>
    <row r="6" spans="1:51" x14ac:dyDescent="0.2">
      <c r="F6" s="3"/>
      <c r="G6" s="4"/>
      <c r="J6" s="2" t="s">
        <v>607</v>
      </c>
      <c r="K6" s="8">
        <f>$K$9/K5</f>
        <v>10</v>
      </c>
      <c r="L6" s="8">
        <f>$K$9/L5</f>
        <v>10</v>
      </c>
      <c r="M6" s="8">
        <f t="shared" ref="M6:Q6" si="0">$K$9/M5</f>
        <v>11.111111111111111</v>
      </c>
      <c r="N6" s="8">
        <f t="shared" si="0"/>
        <v>11.111111111111111</v>
      </c>
      <c r="O6" s="8">
        <f t="shared" si="0"/>
        <v>11.494252873563219</v>
      </c>
      <c r="P6" s="8">
        <f t="shared" si="0"/>
        <v>11.764705882352942</v>
      </c>
      <c r="Q6" s="8">
        <f t="shared" si="0"/>
        <v>12.048192771084336</v>
      </c>
      <c r="T6" s="8"/>
      <c r="U6" s="8"/>
      <c r="V6" s="8"/>
      <c r="W6" s="8"/>
      <c r="X6" s="8"/>
      <c r="Y6" s="8"/>
      <c r="Z6" s="8"/>
      <c r="AA6" s="8"/>
      <c r="AE6" s="2" t="s">
        <v>607</v>
      </c>
      <c r="AF6" s="8">
        <f>$AF$9/AF5</f>
        <v>12</v>
      </c>
      <c r="AG6" s="8">
        <f>$AF$9/AG5</f>
        <v>12</v>
      </c>
      <c r="AH6" s="8">
        <f t="shared" ref="AH6:AL6" si="1">$AF$9/AH5</f>
        <v>13.333333333333334</v>
      </c>
      <c r="AI6" s="8">
        <f t="shared" si="1"/>
        <v>13.333333333333334</v>
      </c>
      <c r="AJ6" s="8">
        <f t="shared" si="1"/>
        <v>13.793103448275863</v>
      </c>
      <c r="AK6" s="8">
        <f t="shared" si="1"/>
        <v>14.117647058823529</v>
      </c>
      <c r="AL6" s="8">
        <f t="shared" si="1"/>
        <v>14.457831325301203</v>
      </c>
      <c r="AO6" s="8"/>
      <c r="AP6" s="8"/>
      <c r="AQ6" s="8"/>
      <c r="AR6" s="8"/>
      <c r="AS6" s="8"/>
      <c r="AT6" s="8"/>
      <c r="AU6" s="8"/>
      <c r="AV6" s="8"/>
    </row>
    <row r="7" spans="1:51" ht="68" x14ac:dyDescent="0.2">
      <c r="B7" s="2" t="s">
        <v>30</v>
      </c>
      <c r="C7" s="2" t="s">
        <v>618</v>
      </c>
      <c r="D7" s="2" t="s">
        <v>602</v>
      </c>
      <c r="E7" s="3" t="s">
        <v>69</v>
      </c>
      <c r="F7" s="3" t="s">
        <v>603</v>
      </c>
      <c r="G7" s="52" t="s">
        <v>619</v>
      </c>
      <c r="H7" s="3" t="s">
        <v>604</v>
      </c>
      <c r="I7" s="2" t="s">
        <v>606</v>
      </c>
      <c r="J7" s="2" t="s">
        <v>608</v>
      </c>
      <c r="K7" s="2">
        <v>22</v>
      </c>
      <c r="L7" s="2">
        <v>22</v>
      </c>
      <c r="M7" s="2">
        <v>18</v>
      </c>
      <c r="N7" s="2">
        <v>18</v>
      </c>
      <c r="O7" s="2">
        <v>17.5</v>
      </c>
      <c r="P7" s="2">
        <v>17</v>
      </c>
      <c r="Q7" s="2">
        <v>16.5</v>
      </c>
      <c r="R7" s="2" t="s">
        <v>615</v>
      </c>
      <c r="S7" s="8">
        <f>K8</f>
        <v>9.0909090909090917</v>
      </c>
      <c r="T7" s="8">
        <f>(S7-7)*3</f>
        <v>6.2727272727272751</v>
      </c>
      <c r="U7" s="8">
        <f>M8</f>
        <v>11.111111111111111</v>
      </c>
      <c r="V7" s="8">
        <f>(U7-7)*3</f>
        <v>12.333333333333332</v>
      </c>
      <c r="W7" s="8">
        <v>25</v>
      </c>
      <c r="X7" s="8"/>
      <c r="Y7" s="8"/>
      <c r="Z7" s="8"/>
      <c r="AA7" s="8">
        <f>(K8-7)*3</f>
        <v>6.2727272727272751</v>
      </c>
      <c r="AB7" s="8">
        <f>(N8-7)*3</f>
        <v>12.333333333333332</v>
      </c>
      <c r="AC7" s="8">
        <f>(O8-7)*3</f>
        <v>13.285714285714286</v>
      </c>
      <c r="AD7" s="8">
        <f>(P8-7)*3</f>
        <v>14.294117647058826</v>
      </c>
      <c r="AE7" s="2" t="s">
        <v>608</v>
      </c>
      <c r="AF7" s="2">
        <v>22</v>
      </c>
      <c r="AG7" s="2">
        <v>22</v>
      </c>
      <c r="AH7" s="2">
        <v>18</v>
      </c>
      <c r="AI7" s="2">
        <v>18</v>
      </c>
      <c r="AJ7" s="2">
        <v>17.5</v>
      </c>
      <c r="AK7" s="2">
        <v>17</v>
      </c>
      <c r="AL7" s="2">
        <v>16.5</v>
      </c>
      <c r="AM7" s="2" t="s">
        <v>615</v>
      </c>
      <c r="AN7" s="8">
        <f>AF8</f>
        <v>10.909090909090908</v>
      </c>
      <c r="AO7" s="8">
        <f>(AN7-7)*3</f>
        <v>11.727272727272725</v>
      </c>
      <c r="AP7" s="8">
        <f>AH8</f>
        <v>13.333333333333334</v>
      </c>
      <c r="AQ7" s="8">
        <f>(AP7-7)*3</f>
        <v>19</v>
      </c>
      <c r="AR7" s="8">
        <v>35</v>
      </c>
      <c r="AS7" s="8"/>
      <c r="AT7" s="8"/>
      <c r="AU7" s="8"/>
      <c r="AV7" s="8">
        <f>(AF8-7)*3</f>
        <v>11.727272727272725</v>
      </c>
      <c r="AW7" s="8">
        <f>(AI8-7)*3</f>
        <v>19</v>
      </c>
      <c r="AX7" s="8">
        <f>(AJ8-7)*3</f>
        <v>20.142857142857139</v>
      </c>
      <c r="AY7" s="8">
        <f>(AK8-7)*3</f>
        <v>21.352941176470587</v>
      </c>
    </row>
    <row r="8" spans="1:51" x14ac:dyDescent="0.2">
      <c r="F8" s="3"/>
      <c r="G8" s="4"/>
      <c r="J8" s="2" t="s">
        <v>607</v>
      </c>
      <c r="K8" s="8">
        <f>($K$9*4)/K7</f>
        <v>9.0909090909090917</v>
      </c>
      <c r="L8" s="8">
        <f>($K$9*4)/L7</f>
        <v>9.0909090909090917</v>
      </c>
      <c r="M8" s="8">
        <f t="shared" ref="M8:Q8" si="2">($K$9*4)/M7</f>
        <v>11.111111111111111</v>
      </c>
      <c r="N8" s="8">
        <f t="shared" si="2"/>
        <v>11.111111111111111</v>
      </c>
      <c r="O8" s="8">
        <f t="shared" si="2"/>
        <v>11.428571428571429</v>
      </c>
      <c r="P8" s="8">
        <f t="shared" si="2"/>
        <v>11.764705882352942</v>
      </c>
      <c r="Q8" s="8">
        <f t="shared" si="2"/>
        <v>12.121212121212121</v>
      </c>
      <c r="T8" s="8"/>
      <c r="U8" s="8"/>
      <c r="V8" s="8"/>
      <c r="W8" s="8"/>
      <c r="X8" s="8"/>
      <c r="Y8" s="8"/>
      <c r="Z8" s="8"/>
      <c r="AA8" s="8"/>
      <c r="AE8" s="2" t="s">
        <v>607</v>
      </c>
      <c r="AF8" s="8">
        <f>($AF$9*4)/AF7</f>
        <v>10.909090909090908</v>
      </c>
      <c r="AG8" s="8">
        <f>($AF$9*4)/AG7</f>
        <v>10.909090909090908</v>
      </c>
      <c r="AH8" s="8">
        <f t="shared" ref="AH8:AL8" si="3">($AF$9*4)/AH7</f>
        <v>13.333333333333334</v>
      </c>
      <c r="AI8" s="8">
        <f t="shared" si="3"/>
        <v>13.333333333333334</v>
      </c>
      <c r="AJ8" s="8">
        <f t="shared" si="3"/>
        <v>13.714285714285714</v>
      </c>
      <c r="AK8" s="8">
        <f t="shared" si="3"/>
        <v>14.117647058823529</v>
      </c>
      <c r="AL8" s="8">
        <f t="shared" si="3"/>
        <v>14.545454545454545</v>
      </c>
      <c r="AO8" s="8"/>
      <c r="AP8" s="8"/>
      <c r="AQ8" s="8"/>
      <c r="AR8" s="8"/>
      <c r="AS8" s="8"/>
      <c r="AT8" s="8"/>
      <c r="AU8" s="8"/>
      <c r="AV8" s="8"/>
    </row>
    <row r="9" spans="1:51" x14ac:dyDescent="0.2">
      <c r="F9" s="3"/>
      <c r="G9" s="4"/>
      <c r="J9" s="2" t="s">
        <v>601</v>
      </c>
      <c r="K9" s="8">
        <v>50</v>
      </c>
      <c r="M9" s="8"/>
      <c r="N9" s="8"/>
      <c r="O9" s="8"/>
      <c r="P9" s="8"/>
      <c r="Q9" s="8"/>
      <c r="T9" s="8"/>
      <c r="U9" s="8"/>
      <c r="V9" s="8"/>
      <c r="W9" s="8"/>
      <c r="X9" s="8"/>
      <c r="Y9" s="8"/>
      <c r="Z9" s="8"/>
      <c r="AA9" s="8"/>
      <c r="AC9" s="8"/>
      <c r="AE9" s="2" t="s">
        <v>601</v>
      </c>
      <c r="AF9" s="8">
        <v>60</v>
      </c>
      <c r="AO9" s="8"/>
      <c r="AP9" s="8"/>
      <c r="AQ9" s="8"/>
      <c r="AR9" s="8"/>
      <c r="AS9" s="8"/>
      <c r="AT9" s="8"/>
      <c r="AU9" s="8"/>
      <c r="AV9" s="8"/>
      <c r="AX9" s="8"/>
    </row>
    <row r="10" spans="1:51" s="13" customFormat="1" x14ac:dyDescent="0.2">
      <c r="B10" s="13" t="s">
        <v>341</v>
      </c>
      <c r="D10" s="13" t="s">
        <v>759</v>
      </c>
      <c r="E10" s="14"/>
      <c r="H10" s="14"/>
      <c r="N10" s="15" t="s">
        <v>347</v>
      </c>
      <c r="O10" s="15"/>
      <c r="P10" s="15"/>
      <c r="Q10" s="15"/>
      <c r="R10" s="16"/>
      <c r="S10" s="16"/>
      <c r="T10" s="17">
        <f t="shared" ref="T10" si="4">SUM(T5,T7)</f>
        <v>15.272727272727275</v>
      </c>
      <c r="U10" s="17"/>
      <c r="V10" s="17">
        <f t="shared" ref="V10:W10" si="5">SUM(V5,V7)</f>
        <v>24.666666666666664</v>
      </c>
      <c r="W10" s="17">
        <f t="shared" si="5"/>
        <v>45</v>
      </c>
      <c r="X10" s="17"/>
      <c r="Y10" s="17"/>
      <c r="Z10" s="17"/>
      <c r="AA10" s="17">
        <f t="shared" ref="AA10:AD10" si="6">SUM(AA5,AA7)</f>
        <v>15.272727272727275</v>
      </c>
      <c r="AB10" s="17">
        <f t="shared" si="6"/>
        <v>24.666666666666664</v>
      </c>
      <c r="AC10" s="17">
        <f t="shared" si="6"/>
        <v>26.768472906403943</v>
      </c>
      <c r="AD10" s="17">
        <f t="shared" si="6"/>
        <v>28.588235294117652</v>
      </c>
      <c r="AE10" s="17"/>
      <c r="AI10" s="15" t="s">
        <v>347</v>
      </c>
      <c r="AJ10" s="15"/>
      <c r="AK10" s="15"/>
      <c r="AL10" s="15"/>
      <c r="AM10" s="16"/>
      <c r="AN10" s="16"/>
      <c r="AO10" s="17">
        <f t="shared" ref="AO10" si="7">SUM(AO5,AO7)</f>
        <v>26.727272727272727</v>
      </c>
      <c r="AP10" s="17"/>
      <c r="AQ10" s="17">
        <f t="shared" ref="AQ10:AR10" si="8">SUM(AQ5,AQ7)</f>
        <v>38</v>
      </c>
      <c r="AR10" s="17">
        <f t="shared" si="8"/>
        <v>65</v>
      </c>
      <c r="AS10" s="17"/>
      <c r="AT10" s="17"/>
      <c r="AU10" s="17"/>
      <c r="AV10" s="17">
        <f t="shared" ref="AV10:AY10" si="9">SUM(AV5,AV7)</f>
        <v>26.727272727272727</v>
      </c>
      <c r="AW10" s="17">
        <f t="shared" si="9"/>
        <v>38</v>
      </c>
      <c r="AX10" s="17">
        <f t="shared" si="9"/>
        <v>40.522167487684726</v>
      </c>
      <c r="AY10" s="17">
        <f t="shared" si="9"/>
        <v>42.705882352941174</v>
      </c>
    </row>
    <row r="11" spans="1:51" ht="68" x14ac:dyDescent="0.2">
      <c r="B11" s="2" t="s">
        <v>41</v>
      </c>
      <c r="C11" s="2" t="s">
        <v>42</v>
      </c>
      <c r="D11" s="2" t="s">
        <v>352</v>
      </c>
      <c r="E11" s="3" t="s">
        <v>85</v>
      </c>
      <c r="F11" s="3" t="s">
        <v>172</v>
      </c>
      <c r="G11" s="3" t="s">
        <v>171</v>
      </c>
      <c r="H11" s="3" t="s">
        <v>80</v>
      </c>
      <c r="I11" s="2" t="s">
        <v>173</v>
      </c>
      <c r="K11" s="9">
        <v>5.99</v>
      </c>
      <c r="L11" s="8">
        <v>8</v>
      </c>
      <c r="M11" s="9">
        <v>15</v>
      </c>
      <c r="N11" s="8">
        <v>15</v>
      </c>
      <c r="O11" s="2">
        <v>17.5</v>
      </c>
      <c r="P11" s="2">
        <v>20</v>
      </c>
      <c r="Q11" s="2">
        <v>22.5</v>
      </c>
      <c r="R11" s="2" t="s">
        <v>367</v>
      </c>
      <c r="S11" s="2">
        <f>K11</f>
        <v>5.99</v>
      </c>
      <c r="T11" s="8">
        <f>S11/3</f>
        <v>1.9966666666666668</v>
      </c>
      <c r="U11" s="8">
        <f>M11</f>
        <v>15</v>
      </c>
      <c r="V11" s="8">
        <f>U11/3</f>
        <v>5</v>
      </c>
      <c r="W11" s="8">
        <f>30/3</f>
        <v>10</v>
      </c>
      <c r="X11" s="8"/>
      <c r="Y11" s="8"/>
      <c r="Z11" s="8"/>
      <c r="AA11" s="8">
        <f>K11/3</f>
        <v>1.9966666666666668</v>
      </c>
      <c r="AB11" s="8">
        <f>N11/3</f>
        <v>5</v>
      </c>
      <c r="AC11" s="8">
        <f>O11/3</f>
        <v>5.833333333333333</v>
      </c>
      <c r="AD11" s="8">
        <f>P11/3</f>
        <v>6.666666666666667</v>
      </c>
      <c r="AE11" s="8"/>
      <c r="AF11" s="2">
        <v>7.5</v>
      </c>
      <c r="AG11" s="2">
        <v>8</v>
      </c>
      <c r="AH11" s="2">
        <v>17.510000000000002</v>
      </c>
      <c r="AI11" s="2">
        <v>17.600000000000001</v>
      </c>
      <c r="AJ11" s="2">
        <v>20</v>
      </c>
      <c r="AK11" s="2">
        <v>22.5</v>
      </c>
      <c r="AL11" s="2">
        <v>25</v>
      </c>
      <c r="AM11" s="2" t="s">
        <v>367</v>
      </c>
      <c r="AN11" s="2">
        <f>AF11</f>
        <v>7.5</v>
      </c>
      <c r="AO11" s="8">
        <f>AN11/3</f>
        <v>2.5</v>
      </c>
      <c r="AP11" s="8">
        <f>AH11</f>
        <v>17.510000000000002</v>
      </c>
      <c r="AQ11" s="8">
        <f>AP11/3</f>
        <v>5.8366666666666669</v>
      </c>
      <c r="AR11" s="8">
        <f>30/3</f>
        <v>10</v>
      </c>
      <c r="AS11" s="8"/>
      <c r="AT11" s="8"/>
      <c r="AU11" s="8"/>
      <c r="AV11" s="8">
        <f>AF11/3</f>
        <v>2.5</v>
      </c>
      <c r="AW11" s="8">
        <f>AI11/3</f>
        <v>5.8666666666666671</v>
      </c>
      <c r="AX11" s="8">
        <f>AJ11/3</f>
        <v>6.666666666666667</v>
      </c>
      <c r="AY11" s="8">
        <f>AK11/3</f>
        <v>7.5</v>
      </c>
    </row>
    <row r="12" spans="1:51" ht="68" x14ac:dyDescent="0.2">
      <c r="B12" s="2" t="s">
        <v>41</v>
      </c>
      <c r="C12" s="2" t="s">
        <v>43</v>
      </c>
      <c r="D12" s="2" t="s">
        <v>351</v>
      </c>
      <c r="E12" s="3" t="s">
        <v>86</v>
      </c>
      <c r="F12" s="3" t="s">
        <v>172</v>
      </c>
      <c r="G12" s="3" t="s">
        <v>171</v>
      </c>
      <c r="H12" s="3" t="s">
        <v>80</v>
      </c>
      <c r="I12" s="2" t="s">
        <v>173</v>
      </c>
      <c r="K12" s="2">
        <v>3.99</v>
      </c>
      <c r="L12" s="8">
        <v>6</v>
      </c>
      <c r="M12" s="2">
        <v>13</v>
      </c>
      <c r="N12" s="2">
        <v>13</v>
      </c>
      <c r="O12" s="2">
        <v>15</v>
      </c>
      <c r="P12" s="2">
        <v>17.5</v>
      </c>
      <c r="Q12" s="2">
        <v>20</v>
      </c>
      <c r="R12" s="2" t="s">
        <v>366</v>
      </c>
      <c r="S12" s="2">
        <f>K12</f>
        <v>3.99</v>
      </c>
      <c r="T12" s="8">
        <f>S12/2</f>
        <v>1.9950000000000001</v>
      </c>
      <c r="U12" s="8">
        <f>M12</f>
        <v>13</v>
      </c>
      <c r="V12" s="8">
        <f>U12/2</f>
        <v>6.5</v>
      </c>
      <c r="W12" s="8">
        <f>30/2</f>
        <v>15</v>
      </c>
      <c r="X12" s="8"/>
      <c r="Y12" s="8"/>
      <c r="Z12" s="8"/>
      <c r="AA12" s="8">
        <f>K12/2</f>
        <v>1.9950000000000001</v>
      </c>
      <c r="AB12" s="8">
        <f>N12/2</f>
        <v>6.5</v>
      </c>
      <c r="AC12" s="8">
        <f>O12/2</f>
        <v>7.5</v>
      </c>
      <c r="AD12" s="8">
        <f>P12/2</f>
        <v>8.75</v>
      </c>
      <c r="AE12" s="8"/>
      <c r="AF12" s="9">
        <v>5</v>
      </c>
      <c r="AG12" s="9">
        <v>6</v>
      </c>
      <c r="AH12" s="9">
        <v>14.01</v>
      </c>
      <c r="AI12" s="8">
        <v>15</v>
      </c>
      <c r="AJ12" s="2">
        <v>17.5</v>
      </c>
      <c r="AK12" s="2">
        <v>20</v>
      </c>
      <c r="AL12" s="2">
        <v>22.5</v>
      </c>
      <c r="AM12" s="2" t="s">
        <v>366</v>
      </c>
      <c r="AN12" s="2">
        <f>AF12</f>
        <v>5</v>
      </c>
      <c r="AO12" s="8">
        <f>AN12/2</f>
        <v>2.5</v>
      </c>
      <c r="AP12" s="8">
        <f>AH12</f>
        <v>14.01</v>
      </c>
      <c r="AQ12" s="8">
        <f>AP12/2</f>
        <v>7.0049999999999999</v>
      </c>
      <c r="AR12" s="8">
        <f>30/2</f>
        <v>15</v>
      </c>
      <c r="AS12" s="8"/>
      <c r="AT12" s="8"/>
      <c r="AU12" s="8"/>
      <c r="AV12" s="8">
        <f>AF12/2</f>
        <v>2.5</v>
      </c>
      <c r="AW12" s="8">
        <f>AI12/2</f>
        <v>7.5</v>
      </c>
      <c r="AX12" s="8">
        <f>AJ12/2</f>
        <v>8.75</v>
      </c>
      <c r="AY12" s="8">
        <f>AK12/2</f>
        <v>10</v>
      </c>
    </row>
    <row r="13" spans="1:51" s="13" customFormat="1" x14ac:dyDescent="0.2">
      <c r="B13" s="13" t="s">
        <v>342</v>
      </c>
      <c r="D13" s="13" t="s">
        <v>762</v>
      </c>
      <c r="E13" s="14"/>
      <c r="F13" s="14"/>
      <c r="G13" s="14"/>
      <c r="H13" s="14"/>
      <c r="L13" s="27"/>
      <c r="N13" s="15" t="s">
        <v>340</v>
      </c>
      <c r="O13" s="15"/>
      <c r="P13" s="15"/>
      <c r="Q13" s="15"/>
      <c r="R13" s="16"/>
      <c r="S13" s="16"/>
      <c r="T13" s="17">
        <f t="shared" ref="T13" si="10">SUM(T11:T12)</f>
        <v>3.9916666666666671</v>
      </c>
      <c r="U13" s="17"/>
      <c r="V13" s="17">
        <f t="shared" ref="V13" si="11">SUM(V11:V12)</f>
        <v>11.5</v>
      </c>
      <c r="W13" s="17">
        <f t="shared" ref="W13" si="12">SUM(W11:W12)</f>
        <v>25</v>
      </c>
      <c r="X13" s="17"/>
      <c r="Y13" s="17"/>
      <c r="Z13" s="17"/>
      <c r="AA13" s="17">
        <f t="shared" ref="AA13" si="13">SUM(AA11:AA12)</f>
        <v>3.9916666666666671</v>
      </c>
      <c r="AB13" s="17">
        <f t="shared" ref="AB13" si="14">SUM(AB11:AB12)</f>
        <v>11.5</v>
      </c>
      <c r="AC13" s="17">
        <f t="shared" ref="AC13" si="15">SUM(AC11:AC12)</f>
        <v>13.333333333333332</v>
      </c>
      <c r="AD13" s="17">
        <f t="shared" ref="AD13" si="16">SUM(AD11:AD12)</f>
        <v>15.416666666666668</v>
      </c>
      <c r="AE13" s="17"/>
      <c r="AF13" s="28"/>
      <c r="AG13" s="28"/>
      <c r="AH13" s="28"/>
      <c r="AI13" s="15" t="s">
        <v>340</v>
      </c>
      <c r="AJ13" s="15"/>
      <c r="AK13" s="15"/>
      <c r="AL13" s="15"/>
      <c r="AM13" s="16"/>
      <c r="AN13" s="16"/>
      <c r="AO13" s="17">
        <f t="shared" ref="AO13" si="17">SUM(AO11:AO12)</f>
        <v>5</v>
      </c>
      <c r="AP13" s="17"/>
      <c r="AQ13" s="17">
        <f t="shared" ref="AQ13:AR13" si="18">SUM(AQ11:AQ12)</f>
        <v>12.841666666666667</v>
      </c>
      <c r="AR13" s="17">
        <f t="shared" si="18"/>
        <v>25</v>
      </c>
      <c r="AS13" s="17"/>
      <c r="AT13" s="17"/>
      <c r="AU13" s="17"/>
      <c r="AV13" s="17">
        <f t="shared" ref="AV13:AY13" si="19">SUM(AV11:AV12)</f>
        <v>5</v>
      </c>
      <c r="AW13" s="17">
        <f t="shared" si="19"/>
        <v>13.366666666666667</v>
      </c>
      <c r="AX13" s="17">
        <f t="shared" si="19"/>
        <v>15.416666666666668</v>
      </c>
      <c r="AY13" s="17">
        <f t="shared" si="19"/>
        <v>17.5</v>
      </c>
    </row>
    <row r="14" spans="1:51" ht="68" x14ac:dyDescent="0.2">
      <c r="B14" s="2" t="s">
        <v>44</v>
      </c>
      <c r="C14" s="2" t="s">
        <v>46</v>
      </c>
      <c r="D14" s="2" t="s">
        <v>353</v>
      </c>
      <c r="E14" s="3" t="s">
        <v>87</v>
      </c>
      <c r="F14" s="3" t="s">
        <v>176</v>
      </c>
      <c r="G14" s="3"/>
      <c r="H14" s="3" t="s">
        <v>90</v>
      </c>
      <c r="I14" s="2" t="s">
        <v>182</v>
      </c>
      <c r="K14" s="2" t="s">
        <v>330</v>
      </c>
      <c r="L14" s="2" t="s">
        <v>329</v>
      </c>
      <c r="M14" s="2" t="s">
        <v>331</v>
      </c>
      <c r="N14" s="2" t="s">
        <v>181</v>
      </c>
      <c r="O14" s="2" t="s">
        <v>329</v>
      </c>
      <c r="P14" s="2" t="s">
        <v>181</v>
      </c>
      <c r="Q14" s="2" t="s">
        <v>331</v>
      </c>
      <c r="R14" s="3" t="s">
        <v>368</v>
      </c>
      <c r="S14" s="3" t="str">
        <f>K14</f>
        <v>Cannot Touch Toes</v>
      </c>
      <c r="T14" s="8">
        <v>0</v>
      </c>
      <c r="U14" s="8" t="str">
        <f>L14</f>
        <v>Touches Toes</v>
      </c>
      <c r="V14" s="8">
        <v>3</v>
      </c>
      <c r="W14" s="8">
        <v>6</v>
      </c>
      <c r="X14" s="8"/>
      <c r="Y14" s="8"/>
      <c r="Z14" s="8"/>
      <c r="AA14" s="2">
        <v>3</v>
      </c>
      <c r="AB14" s="2">
        <v>6</v>
      </c>
      <c r="AC14" s="2">
        <v>6</v>
      </c>
      <c r="AD14" s="2">
        <v>6</v>
      </c>
      <c r="AE14" s="8"/>
      <c r="AF14" s="2" t="s">
        <v>330</v>
      </c>
      <c r="AG14" s="2" t="s">
        <v>329</v>
      </c>
      <c r="AH14" s="2" t="s">
        <v>331</v>
      </c>
      <c r="AI14" s="2" t="s">
        <v>181</v>
      </c>
      <c r="AJ14" s="2" t="s">
        <v>329</v>
      </c>
      <c r="AK14" s="2" t="s">
        <v>181</v>
      </c>
      <c r="AL14" s="2" t="s">
        <v>331</v>
      </c>
      <c r="AM14" s="3" t="s">
        <v>368</v>
      </c>
      <c r="AN14" s="3" t="str">
        <f>AF14</f>
        <v>Cannot Touch Toes</v>
      </c>
      <c r="AO14" s="8">
        <v>0</v>
      </c>
      <c r="AP14" s="8" t="str">
        <f>AG14</f>
        <v>Touches Toes</v>
      </c>
      <c r="AQ14" s="8">
        <v>3</v>
      </c>
      <c r="AR14" s="8">
        <v>6</v>
      </c>
      <c r="AS14" s="8"/>
      <c r="AT14" s="8"/>
      <c r="AU14" s="8"/>
      <c r="AV14" s="2">
        <v>3</v>
      </c>
      <c r="AW14" s="2">
        <v>6</v>
      </c>
      <c r="AX14" s="2">
        <v>6</v>
      </c>
      <c r="AY14" s="2">
        <v>6</v>
      </c>
    </row>
    <row r="15" spans="1:51" ht="115" customHeight="1" x14ac:dyDescent="0.2">
      <c r="B15" s="2" t="s">
        <v>44</v>
      </c>
      <c r="C15" s="2" t="s">
        <v>47</v>
      </c>
      <c r="D15" s="2" t="s">
        <v>354</v>
      </c>
      <c r="E15" s="3" t="s">
        <v>88</v>
      </c>
      <c r="F15" s="3" t="s">
        <v>177</v>
      </c>
      <c r="G15" s="3" t="s">
        <v>91</v>
      </c>
      <c r="H15" s="3" t="s">
        <v>92</v>
      </c>
      <c r="I15" s="2" t="s">
        <v>182</v>
      </c>
      <c r="K15" s="3" t="s">
        <v>333</v>
      </c>
      <c r="L15" s="3" t="s">
        <v>334</v>
      </c>
      <c r="M15" s="3" t="s">
        <v>332</v>
      </c>
      <c r="N15" s="2" t="s">
        <v>181</v>
      </c>
      <c r="O15" s="2" t="s">
        <v>181</v>
      </c>
      <c r="P15" s="2" t="s">
        <v>181</v>
      </c>
      <c r="Q15" s="3" t="s">
        <v>332</v>
      </c>
      <c r="R15" s="3" t="s">
        <v>369</v>
      </c>
      <c r="S15" s="3" t="str">
        <f>K15</f>
        <v>2 or more of Arms move forward of head, Pelvis not below the hips, Ankles Flare</v>
      </c>
      <c r="T15" s="8">
        <v>3</v>
      </c>
      <c r="U15" s="49" t="str">
        <f>L15</f>
        <v>1 or less of Arms move forward of head, Pelvis not below the hips, Ankles Flare</v>
      </c>
      <c r="V15" s="8">
        <v>6</v>
      </c>
      <c r="W15" s="8">
        <v>9</v>
      </c>
      <c r="X15" s="8"/>
      <c r="Y15" s="8"/>
      <c r="Z15" s="8"/>
      <c r="AA15" s="2">
        <v>6</v>
      </c>
      <c r="AB15" s="2">
        <v>9</v>
      </c>
      <c r="AC15" s="2">
        <v>9</v>
      </c>
      <c r="AD15" s="2">
        <v>9</v>
      </c>
      <c r="AE15" s="8"/>
      <c r="AF15" s="3" t="s">
        <v>333</v>
      </c>
      <c r="AG15" s="3" t="s">
        <v>334</v>
      </c>
      <c r="AH15" s="3" t="s">
        <v>332</v>
      </c>
      <c r="AI15" s="2" t="s">
        <v>181</v>
      </c>
      <c r="AJ15" s="2" t="s">
        <v>181</v>
      </c>
      <c r="AK15" s="2" t="s">
        <v>181</v>
      </c>
      <c r="AL15" s="3" t="s">
        <v>332</v>
      </c>
      <c r="AM15" s="3" t="s">
        <v>369</v>
      </c>
      <c r="AN15" s="3" t="str">
        <f>AF15</f>
        <v>2 or more of Arms move forward of head, Pelvis not below the hips, Ankles Flare</v>
      </c>
      <c r="AO15" s="8">
        <v>3</v>
      </c>
      <c r="AP15" s="49" t="str">
        <f>AG15</f>
        <v>1 or less of Arms move forward of head, Pelvis not below the hips, Ankles Flare</v>
      </c>
      <c r="AQ15" s="8">
        <v>6</v>
      </c>
      <c r="AR15" s="8">
        <v>9</v>
      </c>
      <c r="AS15" s="8"/>
      <c r="AT15" s="8"/>
      <c r="AU15" s="8"/>
      <c r="AV15" s="2">
        <v>6</v>
      </c>
      <c r="AW15" s="2">
        <v>9</v>
      </c>
      <c r="AX15" s="2">
        <v>9</v>
      </c>
      <c r="AY15" s="2">
        <v>9</v>
      </c>
    </row>
    <row r="16" spans="1:51" s="13" customFormat="1" ht="102" x14ac:dyDescent="0.2">
      <c r="B16" s="13" t="s">
        <v>343</v>
      </c>
      <c r="D16" s="13" t="s">
        <v>1027</v>
      </c>
      <c r="E16" s="14"/>
      <c r="H16" s="14"/>
      <c r="N16" s="33" t="s">
        <v>181</v>
      </c>
      <c r="O16" s="33" t="s">
        <v>181</v>
      </c>
      <c r="P16" s="34" t="s">
        <v>437</v>
      </c>
      <c r="Q16" s="34" t="s">
        <v>438</v>
      </c>
      <c r="R16" s="16"/>
      <c r="S16" s="16"/>
      <c r="T16" s="17">
        <f t="shared" ref="T16" si="20">SUM(T14:T15)</f>
        <v>3</v>
      </c>
      <c r="U16" s="17"/>
      <c r="V16" s="17">
        <f t="shared" ref="V16:W16" si="21">SUM(V14:V15)</f>
        <v>9</v>
      </c>
      <c r="W16" s="17">
        <f t="shared" si="21"/>
        <v>15</v>
      </c>
      <c r="X16" s="17"/>
      <c r="Y16" s="17"/>
      <c r="Z16" s="17"/>
      <c r="AA16" s="17">
        <f t="shared" ref="AA16" si="22">SUM(AA14:AA15)</f>
        <v>9</v>
      </c>
      <c r="AB16" s="17">
        <f t="shared" ref="AB16" si="23">SUM(AB14:AB15)</f>
        <v>15</v>
      </c>
      <c r="AC16" s="17">
        <f t="shared" ref="AC16" si="24">SUM(AC14:AC15)</f>
        <v>15</v>
      </c>
      <c r="AD16" s="17">
        <f t="shared" ref="AD16" si="25">SUM(AD14:AD15)</f>
        <v>15</v>
      </c>
      <c r="AE16" s="17"/>
      <c r="AI16" s="33" t="s">
        <v>181</v>
      </c>
      <c r="AJ16" s="33" t="s">
        <v>181</v>
      </c>
      <c r="AK16" s="34" t="s">
        <v>437</v>
      </c>
      <c r="AL16" s="34" t="s">
        <v>438</v>
      </c>
      <c r="AM16" s="16"/>
      <c r="AN16" s="16"/>
      <c r="AO16" s="17">
        <f t="shared" ref="AO16" si="26">SUM(AO14:AO15)</f>
        <v>3</v>
      </c>
      <c r="AP16" s="17"/>
      <c r="AQ16" s="17">
        <f t="shared" ref="AQ16" si="27">SUM(AQ14:AQ15)</f>
        <v>9</v>
      </c>
      <c r="AR16" s="17">
        <f t="shared" ref="AR16" si="28">SUM(AR14:AR15)</f>
        <v>15</v>
      </c>
      <c r="AS16" s="17"/>
      <c r="AT16" s="17"/>
      <c r="AU16" s="17"/>
      <c r="AV16" s="17">
        <f t="shared" ref="AV16" si="29">SUM(AV14:AV15)</f>
        <v>9</v>
      </c>
      <c r="AW16" s="17">
        <f t="shared" ref="AW16" si="30">SUM(AW14:AW15)</f>
        <v>15</v>
      </c>
      <c r="AX16" s="17">
        <f t="shared" ref="AX16" si="31">SUM(AX14:AX15)</f>
        <v>15</v>
      </c>
      <c r="AY16" s="17">
        <f t="shared" ref="AY16" si="32">SUM(AY14:AY15)</f>
        <v>15</v>
      </c>
    </row>
    <row r="17" spans="1:51" s="23" customFormat="1" x14ac:dyDescent="0.2">
      <c r="B17" s="23" t="s">
        <v>376</v>
      </c>
      <c r="D17" s="23" t="s">
        <v>758</v>
      </c>
      <c r="E17" s="24"/>
      <c r="H17" s="24"/>
      <c r="N17" s="25"/>
      <c r="O17" s="25"/>
      <c r="P17" s="25"/>
      <c r="Q17" s="25"/>
      <c r="R17" s="25"/>
      <c r="S17" s="25"/>
      <c r="T17" s="26">
        <f>SUM(T16,T13,T10)</f>
        <v>22.264393939393941</v>
      </c>
      <c r="U17" s="26"/>
      <c r="V17" s="26">
        <f t="shared" ref="V17:W17" si="33">SUM(V16,V13,V10)</f>
        <v>45.166666666666664</v>
      </c>
      <c r="W17" s="26">
        <f t="shared" si="33"/>
        <v>85</v>
      </c>
      <c r="X17" s="26">
        <v>50</v>
      </c>
      <c r="Y17" s="26">
        <f>(T17/W17)*X17</f>
        <v>13.096702317290553</v>
      </c>
      <c r="Z17" s="26">
        <f>(V17/W17)*X17</f>
        <v>26.568627450980394</v>
      </c>
      <c r="AA17" s="26">
        <f t="shared" ref="AA17:AD17" si="34">SUM(AA16,AA13,AA10)</f>
        <v>28.264393939393941</v>
      </c>
      <c r="AB17" s="26">
        <f t="shared" si="34"/>
        <v>51.166666666666664</v>
      </c>
      <c r="AC17" s="26">
        <f t="shared" si="34"/>
        <v>55.101806239737272</v>
      </c>
      <c r="AD17" s="26">
        <f t="shared" si="34"/>
        <v>59.004901960784323</v>
      </c>
      <c r="AE17" s="26"/>
      <c r="AM17" s="25"/>
      <c r="AN17" s="25"/>
      <c r="AO17" s="26">
        <f>SUM(AO16,AO13,AO10)</f>
        <v>34.727272727272727</v>
      </c>
      <c r="AP17" s="26"/>
      <c r="AQ17" s="26">
        <f t="shared" ref="AQ17:AR17" si="35">SUM(AQ16,AQ13,AQ10)</f>
        <v>59.841666666666669</v>
      </c>
      <c r="AR17" s="26">
        <f t="shared" si="35"/>
        <v>105</v>
      </c>
      <c r="AS17" s="26">
        <v>50</v>
      </c>
      <c r="AT17" s="26">
        <f>(AO17/AR17)*AS17</f>
        <v>16.536796536796537</v>
      </c>
      <c r="AU17" s="26">
        <f>(AQ17/AR17)*AS17</f>
        <v>28.496031746031747</v>
      </c>
      <c r="AV17" s="26">
        <f t="shared" ref="AV17:AY17" si="36">SUM(AV16,AV13,AV10)</f>
        <v>40.727272727272727</v>
      </c>
      <c r="AW17" s="26">
        <f t="shared" si="36"/>
        <v>66.366666666666674</v>
      </c>
      <c r="AX17" s="26">
        <f t="shared" si="36"/>
        <v>70.938834154351397</v>
      </c>
      <c r="AY17" s="26">
        <f t="shared" si="36"/>
        <v>75.205882352941174</v>
      </c>
    </row>
    <row r="18" spans="1:51" ht="51" x14ac:dyDescent="0.2">
      <c r="A18" s="2" t="s">
        <v>48</v>
      </c>
      <c r="B18" s="2" t="s">
        <v>255</v>
      </c>
      <c r="C18" s="2" t="s">
        <v>286</v>
      </c>
      <c r="D18" s="2" t="s">
        <v>356</v>
      </c>
      <c r="E18" s="3" t="s">
        <v>285</v>
      </c>
      <c r="F18" s="2" t="s">
        <v>287</v>
      </c>
      <c r="G18" s="3" t="s">
        <v>104</v>
      </c>
      <c r="H18" s="3" t="s">
        <v>289</v>
      </c>
      <c r="I18" s="2" t="s">
        <v>288</v>
      </c>
      <c r="K18" s="2">
        <v>4</v>
      </c>
      <c r="L18" s="8">
        <v>5</v>
      </c>
      <c r="M18" s="2">
        <v>12</v>
      </c>
      <c r="N18" s="2">
        <v>12</v>
      </c>
      <c r="O18" s="2">
        <v>13</v>
      </c>
      <c r="P18" s="2">
        <v>14</v>
      </c>
      <c r="Q18" s="2">
        <v>16</v>
      </c>
      <c r="R18" s="2" t="s">
        <v>370</v>
      </c>
      <c r="S18" s="2">
        <f t="shared" ref="S18:S20" si="37">K18</f>
        <v>4</v>
      </c>
      <c r="T18" s="8">
        <f>S18/2</f>
        <v>2</v>
      </c>
      <c r="U18" s="8">
        <f t="shared" ref="U18:U20" si="38">M18</f>
        <v>12</v>
      </c>
      <c r="V18" s="8">
        <f>U18/2</f>
        <v>6</v>
      </c>
      <c r="W18" s="8">
        <f>20/2</f>
        <v>10</v>
      </c>
      <c r="X18" s="8"/>
      <c r="Y18" s="8"/>
      <c r="Z18" s="8"/>
      <c r="AA18" s="8">
        <f>L18/2</f>
        <v>2.5</v>
      </c>
      <c r="AB18" s="8">
        <f>O18/2</f>
        <v>6.5</v>
      </c>
      <c r="AC18" s="8">
        <f t="shared" ref="AC18" si="39">P18/2</f>
        <v>7</v>
      </c>
      <c r="AD18" s="8">
        <f t="shared" ref="AD18" si="40">Q18/2</f>
        <v>8</v>
      </c>
      <c r="AE18" s="8"/>
      <c r="AF18" s="2">
        <v>8</v>
      </c>
      <c r="AG18" s="8">
        <v>10</v>
      </c>
      <c r="AH18" s="2">
        <v>14</v>
      </c>
      <c r="AI18" s="2">
        <v>14</v>
      </c>
      <c r="AJ18" s="2">
        <v>15</v>
      </c>
      <c r="AK18" s="2">
        <v>16</v>
      </c>
      <c r="AL18" s="2">
        <v>18</v>
      </c>
      <c r="AM18" s="2" t="s">
        <v>370</v>
      </c>
      <c r="AN18" s="2">
        <f t="shared" ref="AN18:AN20" si="41">AF18</f>
        <v>8</v>
      </c>
      <c r="AO18" s="8">
        <f>AN18/2</f>
        <v>4</v>
      </c>
      <c r="AP18" s="8">
        <f t="shared" ref="AP18:AP20" si="42">AH18</f>
        <v>14</v>
      </c>
      <c r="AQ18" s="8">
        <f>AP18/2</f>
        <v>7</v>
      </c>
      <c r="AR18" s="8">
        <f>20/2</f>
        <v>10</v>
      </c>
      <c r="AS18" s="8"/>
      <c r="AT18" s="8"/>
      <c r="AU18" s="8"/>
      <c r="AV18" s="8">
        <f>AG18/2</f>
        <v>5</v>
      </c>
      <c r="AW18" s="8">
        <f>AJ18/2</f>
        <v>7.5</v>
      </c>
      <c r="AX18" s="8">
        <f t="shared" ref="AX18:AY18" si="43">AK18/2</f>
        <v>8</v>
      </c>
      <c r="AY18" s="8">
        <f t="shared" si="43"/>
        <v>9</v>
      </c>
    </row>
    <row r="19" spans="1:51" ht="68" x14ac:dyDescent="0.2">
      <c r="B19" s="2" t="s">
        <v>256</v>
      </c>
      <c r="C19" s="2" t="s">
        <v>291</v>
      </c>
      <c r="D19" s="2" t="s">
        <v>355</v>
      </c>
      <c r="E19" s="3" t="s">
        <v>374</v>
      </c>
      <c r="F19" s="2" t="s">
        <v>375</v>
      </c>
      <c r="G19" s="3" t="s">
        <v>104</v>
      </c>
      <c r="H19" s="3" t="s">
        <v>147</v>
      </c>
      <c r="I19" s="2" t="s">
        <v>200</v>
      </c>
      <c r="K19" s="2">
        <v>2</v>
      </c>
      <c r="L19" s="8">
        <v>3</v>
      </c>
      <c r="M19" s="2">
        <v>9</v>
      </c>
      <c r="N19" s="2">
        <v>9</v>
      </c>
      <c r="O19" s="2">
        <v>10</v>
      </c>
      <c r="P19" s="2">
        <v>11</v>
      </c>
      <c r="Q19" s="2">
        <v>12</v>
      </c>
      <c r="R19" s="2" t="s">
        <v>355</v>
      </c>
      <c r="S19" s="2">
        <f t="shared" si="37"/>
        <v>2</v>
      </c>
      <c r="T19" s="8">
        <f>S19</f>
        <v>2</v>
      </c>
      <c r="U19" s="8">
        <f t="shared" si="38"/>
        <v>9</v>
      </c>
      <c r="V19" s="8">
        <f>U19</f>
        <v>9</v>
      </c>
      <c r="W19" s="8">
        <v>20</v>
      </c>
      <c r="X19" s="8"/>
      <c r="Y19" s="8"/>
      <c r="Z19" s="8"/>
      <c r="AA19" s="8">
        <f>L19</f>
        <v>3</v>
      </c>
      <c r="AB19" s="8">
        <f>O19</f>
        <v>10</v>
      </c>
      <c r="AC19" s="8">
        <f t="shared" ref="AC19" si="44">P19</f>
        <v>11</v>
      </c>
      <c r="AD19" s="8">
        <f t="shared" ref="AD19" si="45">Q19</f>
        <v>12</v>
      </c>
      <c r="AE19" s="8"/>
      <c r="AF19" s="2">
        <v>5</v>
      </c>
      <c r="AG19" s="8">
        <v>7</v>
      </c>
      <c r="AH19" s="2">
        <v>12</v>
      </c>
      <c r="AI19" s="2">
        <v>12</v>
      </c>
      <c r="AJ19" s="2">
        <v>13</v>
      </c>
      <c r="AK19" s="2">
        <v>14</v>
      </c>
      <c r="AL19" s="2">
        <v>16</v>
      </c>
      <c r="AM19" s="2" t="s">
        <v>355</v>
      </c>
      <c r="AN19" s="2">
        <f t="shared" si="41"/>
        <v>5</v>
      </c>
      <c r="AO19" s="8">
        <f>AN19</f>
        <v>5</v>
      </c>
      <c r="AP19" s="8">
        <f t="shared" si="42"/>
        <v>12</v>
      </c>
      <c r="AQ19" s="8">
        <f>AP19</f>
        <v>12</v>
      </c>
      <c r="AR19" s="8">
        <v>20</v>
      </c>
      <c r="AS19" s="8"/>
      <c r="AT19" s="8"/>
      <c r="AU19" s="8"/>
      <c r="AV19" s="8">
        <f>AG19</f>
        <v>7</v>
      </c>
      <c r="AW19" s="8">
        <f>AJ19</f>
        <v>13</v>
      </c>
      <c r="AX19" s="8">
        <f t="shared" ref="AX19:AY19" si="46">AK19</f>
        <v>14</v>
      </c>
      <c r="AY19" s="8">
        <f t="shared" si="46"/>
        <v>16</v>
      </c>
    </row>
    <row r="20" spans="1:51" ht="51" x14ac:dyDescent="0.2">
      <c r="B20" s="2" t="s">
        <v>37</v>
      </c>
      <c r="C20" s="2" t="s">
        <v>98</v>
      </c>
      <c r="D20" s="2" t="s">
        <v>386</v>
      </c>
      <c r="E20" s="3" t="s">
        <v>99</v>
      </c>
      <c r="F20" s="2" t="s">
        <v>77</v>
      </c>
      <c r="G20" s="3" t="s">
        <v>180</v>
      </c>
      <c r="H20" s="3" t="s">
        <v>108</v>
      </c>
      <c r="I20" s="2" t="s">
        <v>187</v>
      </c>
      <c r="K20" s="2">
        <v>19</v>
      </c>
      <c r="L20" s="8">
        <v>25</v>
      </c>
      <c r="M20" s="2">
        <v>31</v>
      </c>
      <c r="N20" s="2">
        <v>31</v>
      </c>
      <c r="O20" s="2">
        <v>32</v>
      </c>
      <c r="P20" s="2">
        <v>33</v>
      </c>
      <c r="Q20" s="2">
        <v>34</v>
      </c>
      <c r="R20" s="2" t="s">
        <v>371</v>
      </c>
      <c r="S20" s="2">
        <f t="shared" si="37"/>
        <v>19</v>
      </c>
      <c r="T20" s="8">
        <f>S20/5</f>
        <v>3.8</v>
      </c>
      <c r="U20" s="8">
        <f t="shared" si="38"/>
        <v>31</v>
      </c>
      <c r="V20" s="8">
        <f>U20/5</f>
        <v>6.2</v>
      </c>
      <c r="W20" s="8">
        <v>9</v>
      </c>
      <c r="X20" s="8"/>
      <c r="Y20" s="8"/>
      <c r="Z20" s="8"/>
      <c r="AA20" s="8">
        <f>L20/5</f>
        <v>5</v>
      </c>
      <c r="AB20" s="8">
        <f>O20/5</f>
        <v>6.4</v>
      </c>
      <c r="AC20" s="8">
        <f t="shared" ref="AC20" si="47">P20/5</f>
        <v>6.6</v>
      </c>
      <c r="AD20" s="8">
        <f t="shared" ref="AD20" si="48">Q20/5</f>
        <v>6.8</v>
      </c>
      <c r="AE20" s="8"/>
      <c r="AF20" s="2">
        <v>24</v>
      </c>
      <c r="AG20" s="8">
        <v>26</v>
      </c>
      <c r="AH20" s="2">
        <v>33</v>
      </c>
      <c r="AI20" s="2">
        <v>33</v>
      </c>
      <c r="AJ20" s="2">
        <v>34</v>
      </c>
      <c r="AK20" s="2">
        <v>36</v>
      </c>
      <c r="AL20" s="2">
        <v>38</v>
      </c>
      <c r="AM20" s="2" t="s">
        <v>371</v>
      </c>
      <c r="AN20" s="2">
        <f t="shared" si="41"/>
        <v>24</v>
      </c>
      <c r="AO20" s="8">
        <f>AN20/5</f>
        <v>4.8</v>
      </c>
      <c r="AP20" s="8">
        <f t="shared" si="42"/>
        <v>33</v>
      </c>
      <c r="AQ20" s="8">
        <f>AP20/5</f>
        <v>6.6</v>
      </c>
      <c r="AR20" s="8">
        <f>50/5</f>
        <v>10</v>
      </c>
      <c r="AS20" s="8"/>
      <c r="AT20" s="8"/>
      <c r="AU20" s="8"/>
      <c r="AV20" s="8">
        <f>AG20/5</f>
        <v>5.2</v>
      </c>
      <c r="AW20" s="8">
        <f>AJ20/5</f>
        <v>6.8</v>
      </c>
      <c r="AX20" s="8">
        <f t="shared" ref="AX20:AY20" si="49">AK20/5</f>
        <v>7.2</v>
      </c>
      <c r="AY20" s="8">
        <f t="shared" si="49"/>
        <v>7.6</v>
      </c>
    </row>
    <row r="21" spans="1:51" s="13" customFormat="1" x14ac:dyDescent="0.2">
      <c r="B21" s="13" t="s">
        <v>398</v>
      </c>
      <c r="D21" s="13" t="s">
        <v>763</v>
      </c>
      <c r="E21" s="14"/>
      <c r="G21" s="14"/>
      <c r="H21" s="14"/>
      <c r="N21" s="15" t="s">
        <v>1130</v>
      </c>
      <c r="O21" s="15"/>
      <c r="P21" s="15"/>
      <c r="Q21" s="15"/>
      <c r="R21" s="16"/>
      <c r="S21" s="16"/>
      <c r="T21" s="17">
        <f>SUM(T18:T19)</f>
        <v>4</v>
      </c>
      <c r="U21" s="17"/>
      <c r="V21" s="17">
        <f t="shared" ref="V21:W21" si="50">SUM(V18:V19)</f>
        <v>15</v>
      </c>
      <c r="W21" s="17">
        <f t="shared" si="50"/>
        <v>30</v>
      </c>
      <c r="X21" s="17"/>
      <c r="Y21" s="17"/>
      <c r="Z21" s="17"/>
      <c r="AA21" s="17">
        <f t="shared" ref="AA21:AD21" si="51">SUM(AA18:AA19)</f>
        <v>5.5</v>
      </c>
      <c r="AB21" s="17">
        <f t="shared" si="51"/>
        <v>16.5</v>
      </c>
      <c r="AC21" s="17">
        <f t="shared" si="51"/>
        <v>18</v>
      </c>
      <c r="AD21" s="17">
        <f t="shared" si="51"/>
        <v>20</v>
      </c>
      <c r="AE21" s="17"/>
      <c r="AI21" s="15" t="s">
        <v>345</v>
      </c>
      <c r="AJ21" s="15"/>
      <c r="AK21" s="15"/>
      <c r="AL21" s="15"/>
      <c r="AM21" s="16"/>
      <c r="AN21" s="16"/>
      <c r="AO21" s="17">
        <f t="shared" ref="AO21" si="52">SUM(AO18:AO19)</f>
        <v>9</v>
      </c>
      <c r="AP21" s="17"/>
      <c r="AQ21" s="17">
        <f t="shared" ref="AQ21:AR21" si="53">SUM(AQ18:AQ19)</f>
        <v>19</v>
      </c>
      <c r="AR21" s="17">
        <f t="shared" si="53"/>
        <v>30</v>
      </c>
      <c r="AS21" s="17"/>
      <c r="AT21" s="17"/>
      <c r="AU21" s="17"/>
      <c r="AV21" s="17">
        <f t="shared" ref="AV21:AY21" si="54">SUM(AV18:AV19)</f>
        <v>12</v>
      </c>
      <c r="AW21" s="17">
        <f t="shared" si="54"/>
        <v>20.5</v>
      </c>
      <c r="AX21" s="17">
        <f t="shared" si="54"/>
        <v>22</v>
      </c>
      <c r="AY21" s="17">
        <f t="shared" si="54"/>
        <v>25</v>
      </c>
    </row>
    <row r="22" spans="1:51" s="18" customFormat="1" x14ac:dyDescent="0.2">
      <c r="B22" s="18" t="s">
        <v>399</v>
      </c>
      <c r="D22" s="18" t="s">
        <v>764</v>
      </c>
      <c r="E22" s="19"/>
      <c r="H22" s="19"/>
      <c r="N22" s="20" t="s">
        <v>1131</v>
      </c>
      <c r="O22" s="20"/>
      <c r="P22" s="20"/>
      <c r="Q22" s="20"/>
      <c r="R22" s="21"/>
      <c r="S22" s="21"/>
      <c r="T22" s="22">
        <f>SUM(T19:T20)</f>
        <v>5.8</v>
      </c>
      <c r="U22" s="22"/>
      <c r="V22" s="22">
        <f t="shared" ref="V22:W22" si="55">SUM(V19:V20)</f>
        <v>15.2</v>
      </c>
      <c r="W22" s="22">
        <f t="shared" si="55"/>
        <v>29</v>
      </c>
      <c r="X22" s="22"/>
      <c r="Y22" s="22"/>
      <c r="Z22" s="22"/>
      <c r="AA22" s="22">
        <f t="shared" ref="AA22:AD22" si="56">SUM(AA19:AA20)</f>
        <v>8</v>
      </c>
      <c r="AB22" s="22">
        <f t="shared" si="56"/>
        <v>16.399999999999999</v>
      </c>
      <c r="AC22" s="22">
        <f t="shared" si="56"/>
        <v>17.600000000000001</v>
      </c>
      <c r="AD22" s="22">
        <f t="shared" si="56"/>
        <v>18.8</v>
      </c>
      <c r="AE22" s="22"/>
      <c r="AI22" s="20" t="s">
        <v>346</v>
      </c>
      <c r="AJ22" s="20"/>
      <c r="AK22" s="20"/>
      <c r="AL22" s="20"/>
      <c r="AM22" s="21"/>
      <c r="AN22" s="21"/>
      <c r="AO22" s="22">
        <f t="shared" ref="AO22" si="57">SUM(AO19:AO20)</f>
        <v>9.8000000000000007</v>
      </c>
      <c r="AP22" s="22"/>
      <c r="AQ22" s="22">
        <f t="shared" ref="AQ22:AR22" si="58">SUM(AQ19:AQ20)</f>
        <v>18.600000000000001</v>
      </c>
      <c r="AR22" s="22">
        <f t="shared" si="58"/>
        <v>30</v>
      </c>
      <c r="AS22" s="22"/>
      <c r="AT22" s="22"/>
      <c r="AU22" s="22"/>
      <c r="AV22" s="22">
        <f t="shared" ref="AV22:AY22" si="59">SUM(AV19:AV20)</f>
        <v>12.2</v>
      </c>
      <c r="AW22" s="22">
        <f t="shared" si="59"/>
        <v>19.8</v>
      </c>
      <c r="AX22" s="22">
        <f t="shared" si="59"/>
        <v>21.2</v>
      </c>
      <c r="AY22" s="22">
        <f t="shared" si="59"/>
        <v>23.6</v>
      </c>
    </row>
    <row r="23" spans="1:51" s="23" customFormat="1" ht="16" customHeight="1" x14ac:dyDescent="0.2">
      <c r="B23" s="23" t="s">
        <v>400</v>
      </c>
      <c r="E23" s="24"/>
      <c r="H23" s="24"/>
      <c r="N23" s="25"/>
      <c r="O23" s="25"/>
      <c r="P23" s="25"/>
      <c r="Q23" s="25"/>
      <c r="R23" s="25"/>
      <c r="S23" s="25"/>
      <c r="T23" s="26">
        <f>SUM(T18:T20)</f>
        <v>7.8</v>
      </c>
      <c r="U23" s="26"/>
      <c r="V23" s="26">
        <f t="shared" ref="V23:W23" si="60">SUM(V18:V20)</f>
        <v>21.2</v>
      </c>
      <c r="W23" s="26">
        <f t="shared" si="60"/>
        <v>39</v>
      </c>
      <c r="X23" s="26">
        <v>50</v>
      </c>
      <c r="Y23" s="26">
        <f>(T23/W23)*X23</f>
        <v>10</v>
      </c>
      <c r="Z23" s="26">
        <f>(V23/W23)*X23</f>
        <v>27.179487179487179</v>
      </c>
      <c r="AA23" s="26">
        <f t="shared" ref="AA23:AD23" si="61">SUM(AA18:AA20)</f>
        <v>10.5</v>
      </c>
      <c r="AB23" s="26">
        <f t="shared" si="61"/>
        <v>22.9</v>
      </c>
      <c r="AC23" s="26">
        <f t="shared" si="61"/>
        <v>24.6</v>
      </c>
      <c r="AD23" s="26">
        <f t="shared" si="61"/>
        <v>26.8</v>
      </c>
      <c r="AE23" s="26"/>
      <c r="AM23" s="25"/>
      <c r="AN23" s="25"/>
      <c r="AO23" s="26">
        <f t="shared" ref="AO23" si="62">SUM(AO18:AO20)</f>
        <v>13.8</v>
      </c>
      <c r="AP23" s="26"/>
      <c r="AQ23" s="26">
        <f t="shared" ref="AQ23:AR23" si="63">SUM(AQ18:AQ20)</f>
        <v>25.6</v>
      </c>
      <c r="AR23" s="26">
        <f t="shared" si="63"/>
        <v>40</v>
      </c>
      <c r="AS23" s="26">
        <v>50</v>
      </c>
      <c r="AT23" s="26">
        <f>(AO23/AR23)*AS23</f>
        <v>17.25</v>
      </c>
      <c r="AU23" s="26">
        <f>(AQ23/AR23)*AS23</f>
        <v>32</v>
      </c>
      <c r="AV23" s="26">
        <f t="shared" ref="AV23:AY23" si="64">SUM(AV18:AV20)</f>
        <v>17.2</v>
      </c>
      <c r="AW23" s="26">
        <f t="shared" si="64"/>
        <v>27.3</v>
      </c>
      <c r="AX23" s="26">
        <f t="shared" si="64"/>
        <v>29.2</v>
      </c>
      <c r="AY23" s="26">
        <f t="shared" si="64"/>
        <v>32.6</v>
      </c>
    </row>
    <row r="24" spans="1:51" ht="51" x14ac:dyDescent="0.2">
      <c r="A24" s="2" t="s">
        <v>247</v>
      </c>
      <c r="B24" s="2" t="s">
        <v>247</v>
      </c>
      <c r="C24" s="2" t="s">
        <v>293</v>
      </c>
      <c r="D24" s="2" t="s">
        <v>412</v>
      </c>
      <c r="E24" s="3" t="s">
        <v>299</v>
      </c>
      <c r="F24" s="2" t="s">
        <v>77</v>
      </c>
      <c r="G24" s="3" t="s">
        <v>186</v>
      </c>
      <c r="H24" s="3" t="s">
        <v>108</v>
      </c>
      <c r="I24" s="2" t="s">
        <v>300</v>
      </c>
      <c r="K24" s="2">
        <v>15</v>
      </c>
      <c r="L24" s="8">
        <v>20</v>
      </c>
      <c r="M24" s="2">
        <v>26</v>
      </c>
      <c r="N24" s="2">
        <v>26</v>
      </c>
      <c r="O24" s="2">
        <v>27</v>
      </c>
      <c r="P24" s="2">
        <v>28</v>
      </c>
      <c r="Q24" s="2">
        <v>30</v>
      </c>
      <c r="R24" s="2" t="s">
        <v>419</v>
      </c>
      <c r="S24" s="2">
        <f t="shared" ref="S24:S27" si="65">K24</f>
        <v>15</v>
      </c>
      <c r="T24" s="8">
        <f>S24/4</f>
        <v>3.75</v>
      </c>
      <c r="U24" s="8">
        <f t="shared" ref="U24:U27" si="66">M24</f>
        <v>26</v>
      </c>
      <c r="V24" s="8">
        <f>U24/4</f>
        <v>6.5</v>
      </c>
      <c r="W24" s="8">
        <f>40/4</f>
        <v>10</v>
      </c>
      <c r="X24" s="8"/>
      <c r="Y24" s="8"/>
      <c r="Z24" s="8"/>
      <c r="AA24" s="8">
        <f>L24/4</f>
        <v>5</v>
      </c>
      <c r="AB24" s="8">
        <f>O24/4</f>
        <v>6.75</v>
      </c>
      <c r="AC24" s="8">
        <f t="shared" ref="AC24:AD24" si="67">P24/4</f>
        <v>7</v>
      </c>
      <c r="AD24" s="8">
        <f t="shared" si="67"/>
        <v>7.5</v>
      </c>
      <c r="AE24" s="8"/>
      <c r="AF24" s="2">
        <v>20</v>
      </c>
      <c r="AG24" s="8">
        <v>26</v>
      </c>
      <c r="AH24" s="2">
        <v>31</v>
      </c>
      <c r="AI24" s="2">
        <v>31</v>
      </c>
      <c r="AJ24" s="2">
        <v>34</v>
      </c>
      <c r="AK24" s="2">
        <v>37</v>
      </c>
      <c r="AL24" s="2">
        <v>40</v>
      </c>
      <c r="AM24" s="2" t="s">
        <v>372</v>
      </c>
      <c r="AN24" s="2">
        <f t="shared" ref="AN24:AN27" si="68">AF24</f>
        <v>20</v>
      </c>
      <c r="AO24" s="8">
        <f>AN24/4</f>
        <v>5</v>
      </c>
      <c r="AP24" s="8">
        <f t="shared" ref="AP24:AP27" si="69">AH24</f>
        <v>31</v>
      </c>
      <c r="AQ24" s="8">
        <f>AP24/4</f>
        <v>7.75</v>
      </c>
      <c r="AR24" s="8">
        <f>45/4</f>
        <v>11.25</v>
      </c>
      <c r="AS24" s="8"/>
      <c r="AT24" s="8"/>
      <c r="AU24" s="8"/>
      <c r="AV24" s="8">
        <f>AG24/4</f>
        <v>6.5</v>
      </c>
      <c r="AW24" s="8">
        <f>AJ24/4</f>
        <v>8.5</v>
      </c>
      <c r="AX24" s="8">
        <f t="shared" ref="AX24:AY24" si="70">AK24/4</f>
        <v>9.25</v>
      </c>
      <c r="AY24" s="8">
        <f t="shared" si="70"/>
        <v>10</v>
      </c>
    </row>
    <row r="25" spans="1:51" ht="85" x14ac:dyDescent="0.2">
      <c r="B25" s="2" t="s">
        <v>247</v>
      </c>
      <c r="C25" s="3" t="s">
        <v>410</v>
      </c>
      <c r="D25" s="2" t="s">
        <v>411</v>
      </c>
      <c r="E25" s="3" t="s">
        <v>414</v>
      </c>
      <c r="F25" s="3" t="s">
        <v>416</v>
      </c>
      <c r="G25" s="3" t="s">
        <v>417</v>
      </c>
      <c r="H25" s="3" t="s">
        <v>418</v>
      </c>
      <c r="I25" s="2" t="s">
        <v>415</v>
      </c>
      <c r="K25" s="2">
        <v>18</v>
      </c>
      <c r="L25" s="8">
        <v>24</v>
      </c>
      <c r="M25" s="2">
        <v>29</v>
      </c>
      <c r="N25" s="2">
        <v>29</v>
      </c>
      <c r="O25" s="2">
        <v>30</v>
      </c>
      <c r="P25" s="2">
        <v>32</v>
      </c>
      <c r="Q25" s="2">
        <v>34</v>
      </c>
      <c r="R25" s="2" t="s">
        <v>420</v>
      </c>
      <c r="S25" s="2">
        <f t="shared" si="65"/>
        <v>18</v>
      </c>
      <c r="T25" s="8">
        <f>S25/5</f>
        <v>3.6</v>
      </c>
      <c r="U25" s="8">
        <f t="shared" si="66"/>
        <v>29</v>
      </c>
      <c r="V25" s="8">
        <f>U25/5</f>
        <v>5.8</v>
      </c>
      <c r="W25" s="8">
        <f>50/5</f>
        <v>10</v>
      </c>
      <c r="X25" s="8"/>
      <c r="Y25" s="8"/>
      <c r="Z25" s="8"/>
      <c r="AA25" s="8">
        <f>L25/5</f>
        <v>4.8</v>
      </c>
      <c r="AB25" s="8">
        <f>O25/5</f>
        <v>6</v>
      </c>
      <c r="AC25" s="8">
        <f t="shared" ref="AC25:AD25" si="71">P25/5</f>
        <v>6.4</v>
      </c>
      <c r="AD25" s="8">
        <f t="shared" si="71"/>
        <v>6.8</v>
      </c>
      <c r="AE25" s="8"/>
      <c r="AF25" s="2">
        <v>24</v>
      </c>
      <c r="AG25" s="8">
        <v>30</v>
      </c>
      <c r="AH25" s="2">
        <v>35</v>
      </c>
      <c r="AI25" s="2">
        <v>35</v>
      </c>
      <c r="AJ25" s="2">
        <v>38</v>
      </c>
      <c r="AK25" s="2">
        <v>41</v>
      </c>
      <c r="AL25" s="2">
        <v>44</v>
      </c>
      <c r="AM25" s="2" t="s">
        <v>420</v>
      </c>
      <c r="AN25" s="2">
        <f t="shared" si="68"/>
        <v>24</v>
      </c>
      <c r="AO25" s="8">
        <f>AN25/5</f>
        <v>4.8</v>
      </c>
      <c r="AP25" s="8">
        <f t="shared" si="69"/>
        <v>35</v>
      </c>
      <c r="AQ25" s="8">
        <f>AP25/5</f>
        <v>7</v>
      </c>
      <c r="AR25" s="8">
        <f>50/5</f>
        <v>10</v>
      </c>
      <c r="AS25" s="8"/>
      <c r="AT25" s="8"/>
      <c r="AU25" s="8"/>
      <c r="AV25" s="8">
        <f>AG25/5</f>
        <v>6</v>
      </c>
      <c r="AW25" s="8">
        <f>AJ25/5</f>
        <v>7.6</v>
      </c>
      <c r="AX25" s="8">
        <f t="shared" ref="AX25:AY25" si="72">AK25/5</f>
        <v>8.1999999999999993</v>
      </c>
      <c r="AY25" s="8">
        <f t="shared" si="72"/>
        <v>8.8000000000000007</v>
      </c>
    </row>
    <row r="26" spans="1:51" ht="85" x14ac:dyDescent="0.2">
      <c r="B26" s="2" t="s">
        <v>247</v>
      </c>
      <c r="C26" s="2" t="s">
        <v>294</v>
      </c>
      <c r="D26" s="2" t="s">
        <v>358</v>
      </c>
      <c r="E26" s="3" t="s">
        <v>296</v>
      </c>
      <c r="F26" s="3" t="s">
        <v>297</v>
      </c>
      <c r="G26" s="3" t="s">
        <v>110</v>
      </c>
      <c r="H26" s="3" t="s">
        <v>289</v>
      </c>
      <c r="I26" s="3" t="s">
        <v>258</v>
      </c>
      <c r="J26" s="3"/>
      <c r="K26" s="2">
        <v>2</v>
      </c>
      <c r="L26" s="8">
        <v>3</v>
      </c>
      <c r="M26" s="2">
        <v>6</v>
      </c>
      <c r="N26" s="37">
        <v>10</v>
      </c>
      <c r="O26" s="37">
        <v>11</v>
      </c>
      <c r="P26" s="37">
        <v>12</v>
      </c>
      <c r="Q26" s="37">
        <v>14</v>
      </c>
      <c r="R26" s="11" t="s">
        <v>358</v>
      </c>
      <c r="S26" s="2">
        <f t="shared" si="65"/>
        <v>2</v>
      </c>
      <c r="T26" s="8">
        <f>S26</f>
        <v>2</v>
      </c>
      <c r="U26" s="8">
        <f t="shared" si="66"/>
        <v>6</v>
      </c>
      <c r="V26" s="8">
        <f>U26</f>
        <v>6</v>
      </c>
      <c r="W26" s="8">
        <v>10</v>
      </c>
      <c r="X26" s="8"/>
      <c r="Y26" s="8"/>
      <c r="Z26" s="8"/>
      <c r="AA26" s="8">
        <f>L26</f>
        <v>3</v>
      </c>
      <c r="AB26" s="8">
        <v>8</v>
      </c>
      <c r="AC26" s="2">
        <v>9</v>
      </c>
      <c r="AD26" s="2">
        <v>10</v>
      </c>
      <c r="AE26" s="8"/>
      <c r="AF26" s="2">
        <v>3</v>
      </c>
      <c r="AG26" s="8">
        <v>4</v>
      </c>
      <c r="AH26" s="8">
        <v>7</v>
      </c>
      <c r="AI26" s="37">
        <v>11</v>
      </c>
      <c r="AJ26" s="37">
        <v>13</v>
      </c>
      <c r="AK26" s="37">
        <v>15</v>
      </c>
      <c r="AL26" s="37">
        <v>17</v>
      </c>
      <c r="AM26" s="11" t="s">
        <v>358</v>
      </c>
      <c r="AN26" s="2">
        <f t="shared" si="68"/>
        <v>3</v>
      </c>
      <c r="AO26" s="8">
        <f>AN26</f>
        <v>3</v>
      </c>
      <c r="AP26" s="8">
        <f t="shared" si="69"/>
        <v>7</v>
      </c>
      <c r="AQ26" s="8">
        <f>AP26</f>
        <v>7</v>
      </c>
      <c r="AR26" s="8">
        <v>10</v>
      </c>
      <c r="AS26" s="8"/>
      <c r="AT26" s="8"/>
      <c r="AU26" s="8"/>
      <c r="AV26" s="8">
        <f>AG26</f>
        <v>4</v>
      </c>
      <c r="AW26" s="8">
        <v>8</v>
      </c>
      <c r="AX26" s="2">
        <v>9</v>
      </c>
      <c r="AY26" s="2">
        <v>10</v>
      </c>
    </row>
    <row r="27" spans="1:51" ht="85" x14ac:dyDescent="0.2">
      <c r="B27" s="2" t="s">
        <v>247</v>
      </c>
      <c r="C27" s="2" t="s">
        <v>295</v>
      </c>
      <c r="D27" s="2" t="s">
        <v>359</v>
      </c>
      <c r="E27" s="3" t="s">
        <v>298</v>
      </c>
      <c r="F27" s="3" t="s">
        <v>297</v>
      </c>
      <c r="G27" s="3" t="s">
        <v>110</v>
      </c>
      <c r="H27" s="3" t="s">
        <v>289</v>
      </c>
      <c r="I27" s="3" t="s">
        <v>258</v>
      </c>
      <c r="J27" s="3"/>
      <c r="K27" s="2">
        <v>1</v>
      </c>
      <c r="L27" s="8">
        <v>2</v>
      </c>
      <c r="M27" s="2">
        <v>4</v>
      </c>
      <c r="N27" s="37"/>
      <c r="O27" s="37"/>
      <c r="P27" s="37"/>
      <c r="Q27" s="37"/>
      <c r="R27" s="11" t="s">
        <v>359</v>
      </c>
      <c r="S27" s="2">
        <f t="shared" si="65"/>
        <v>1</v>
      </c>
      <c r="T27" s="8">
        <f>S27</f>
        <v>1</v>
      </c>
      <c r="U27" s="8">
        <f t="shared" si="66"/>
        <v>4</v>
      </c>
      <c r="V27" s="8">
        <f>U27</f>
        <v>4</v>
      </c>
      <c r="W27" s="8">
        <v>10</v>
      </c>
      <c r="X27" s="8"/>
      <c r="Y27" s="8"/>
      <c r="Z27" s="8"/>
      <c r="AA27" s="8">
        <f>L27</f>
        <v>2</v>
      </c>
      <c r="AB27" s="8">
        <v>5</v>
      </c>
      <c r="AC27" s="2">
        <v>6</v>
      </c>
      <c r="AD27" s="2">
        <v>7</v>
      </c>
      <c r="AE27" s="8"/>
      <c r="AF27" s="2">
        <v>2</v>
      </c>
      <c r="AG27" s="8">
        <v>2</v>
      </c>
      <c r="AH27" s="8">
        <v>4</v>
      </c>
      <c r="AI27" s="37"/>
      <c r="AJ27" s="37"/>
      <c r="AK27" s="37"/>
      <c r="AL27" s="37"/>
      <c r="AM27" s="11" t="s">
        <v>359</v>
      </c>
      <c r="AN27" s="2">
        <f t="shared" si="68"/>
        <v>2</v>
      </c>
      <c r="AO27" s="8">
        <f>AN27</f>
        <v>2</v>
      </c>
      <c r="AP27" s="8">
        <f t="shared" si="69"/>
        <v>4</v>
      </c>
      <c r="AQ27" s="8">
        <f>AP27</f>
        <v>4</v>
      </c>
      <c r="AR27" s="8">
        <v>10</v>
      </c>
      <c r="AS27" s="8"/>
      <c r="AT27" s="8"/>
      <c r="AU27" s="8"/>
      <c r="AV27" s="8">
        <f>AG27</f>
        <v>2</v>
      </c>
      <c r="AW27" s="8">
        <v>5</v>
      </c>
      <c r="AX27" s="2">
        <v>6</v>
      </c>
      <c r="AY27" s="2">
        <v>7</v>
      </c>
    </row>
    <row r="28" spans="1:51" s="13" customFormat="1" ht="19" customHeight="1" x14ac:dyDescent="0.2">
      <c r="B28" s="13" t="s">
        <v>421</v>
      </c>
      <c r="E28" s="14"/>
      <c r="F28" s="14"/>
      <c r="G28" s="14"/>
      <c r="H28" s="14"/>
      <c r="I28" s="14"/>
      <c r="J28" s="14"/>
      <c r="K28" s="16"/>
      <c r="L28" s="16"/>
      <c r="M28" s="16"/>
      <c r="N28" s="29" t="s">
        <v>443</v>
      </c>
      <c r="O28" s="29"/>
      <c r="P28" s="29"/>
      <c r="Q28" s="29"/>
      <c r="T28" s="17"/>
      <c r="U28" s="17"/>
      <c r="V28" s="17"/>
      <c r="W28" s="17"/>
      <c r="X28" s="17"/>
      <c r="Y28" s="17"/>
      <c r="Z28" s="17"/>
      <c r="AA28" s="17"/>
      <c r="AB28" s="17"/>
      <c r="AE28" s="17"/>
      <c r="AI28" s="29" t="s">
        <v>422</v>
      </c>
      <c r="AJ28" s="29"/>
      <c r="AK28" s="29"/>
      <c r="AL28" s="29"/>
      <c r="AO28" s="17"/>
      <c r="AP28" s="17"/>
      <c r="AQ28" s="17"/>
      <c r="AR28" s="17"/>
      <c r="AS28" s="17"/>
      <c r="AT28" s="17"/>
      <c r="AU28" s="17"/>
      <c r="AV28" s="17"/>
      <c r="AW28" s="17"/>
    </row>
    <row r="29" spans="1:51" s="23" customFormat="1" ht="20" customHeight="1" x14ac:dyDescent="0.2">
      <c r="B29" s="23" t="s">
        <v>377</v>
      </c>
      <c r="D29" s="23" t="s">
        <v>947</v>
      </c>
      <c r="E29" s="24"/>
      <c r="F29" s="24"/>
      <c r="G29" s="24"/>
      <c r="H29" s="24"/>
      <c r="I29" s="24"/>
      <c r="J29" s="24"/>
      <c r="K29" s="25"/>
      <c r="L29" s="25"/>
      <c r="M29" s="25"/>
      <c r="T29" s="26">
        <f>SUM(T24:T27)</f>
        <v>10.35</v>
      </c>
      <c r="U29" s="26"/>
      <c r="V29" s="26">
        <f>SUM(V24:V27)</f>
        <v>22.3</v>
      </c>
      <c r="W29" s="26">
        <f>SUM(W24:W27)</f>
        <v>40</v>
      </c>
      <c r="X29" s="26">
        <v>50</v>
      </c>
      <c r="Y29" s="26">
        <f>(T29/W29)*X29</f>
        <v>12.937499999999998</v>
      </c>
      <c r="Z29" s="26">
        <f>(V29/W29)*X29</f>
        <v>27.875</v>
      </c>
      <c r="AA29" s="26">
        <f>SUM(AA24:AA27)</f>
        <v>14.8</v>
      </c>
      <c r="AB29" s="26">
        <f t="shared" ref="AB29:AD29" si="73">SUM(AB24:AB27)</f>
        <v>25.75</v>
      </c>
      <c r="AC29" s="26">
        <f t="shared" si="73"/>
        <v>28.4</v>
      </c>
      <c r="AD29" s="26">
        <f t="shared" si="73"/>
        <v>31.3</v>
      </c>
      <c r="AE29" s="26"/>
      <c r="AO29" s="26">
        <f>SUM(AO24:AO27)</f>
        <v>14.8</v>
      </c>
      <c r="AP29" s="26"/>
      <c r="AQ29" s="26">
        <f>SUM(AQ24:AQ27)</f>
        <v>25.75</v>
      </c>
      <c r="AR29" s="26">
        <f>SUM(AR24:AR27)</f>
        <v>41.25</v>
      </c>
      <c r="AS29" s="26">
        <v>50</v>
      </c>
      <c r="AT29" s="26">
        <f>(AO29/AR29)*AS29</f>
        <v>17.939393939393941</v>
      </c>
      <c r="AU29" s="26">
        <f>(AQ29/AR29)*AS29</f>
        <v>31.212121212121215</v>
      </c>
      <c r="AV29" s="26">
        <f>SUM(AV24:AV27)</f>
        <v>18.5</v>
      </c>
      <c r="AW29" s="26">
        <f t="shared" ref="AW29:AY29" si="74">SUM(AW24:AW27)</f>
        <v>29.1</v>
      </c>
      <c r="AX29" s="26">
        <f t="shared" si="74"/>
        <v>32.450000000000003</v>
      </c>
      <c r="AY29" s="26">
        <f t="shared" si="74"/>
        <v>35.799999999999997</v>
      </c>
    </row>
    <row r="30" spans="1:51" ht="68" x14ac:dyDescent="0.2">
      <c r="A30" s="2" t="s">
        <v>259</v>
      </c>
      <c r="B30" s="2" t="s">
        <v>259</v>
      </c>
      <c r="C30" s="2" t="s">
        <v>315</v>
      </c>
      <c r="D30" s="2" t="s">
        <v>360</v>
      </c>
      <c r="E30" s="3" t="s">
        <v>317</v>
      </c>
      <c r="F30" s="3" t="s">
        <v>319</v>
      </c>
      <c r="G30" s="3" t="s">
        <v>162</v>
      </c>
      <c r="H30" s="3" t="s">
        <v>147</v>
      </c>
      <c r="I30" s="2" t="s">
        <v>258</v>
      </c>
      <c r="K30" s="2">
        <v>2</v>
      </c>
      <c r="L30" s="8">
        <v>3</v>
      </c>
      <c r="M30" s="8">
        <v>6</v>
      </c>
      <c r="N30" s="37">
        <v>10</v>
      </c>
      <c r="O30" s="37">
        <v>11</v>
      </c>
      <c r="P30" s="37">
        <v>12</v>
      </c>
      <c r="Q30" s="37">
        <v>14</v>
      </c>
      <c r="R30" s="11" t="s">
        <v>360</v>
      </c>
      <c r="S30" s="2">
        <f t="shared" ref="S30:S31" si="75">K30</f>
        <v>2</v>
      </c>
      <c r="T30" s="8">
        <f>S30</f>
        <v>2</v>
      </c>
      <c r="U30" s="8">
        <f t="shared" ref="U30:U31" si="76">M30</f>
        <v>6</v>
      </c>
      <c r="V30" s="8">
        <f>U30</f>
        <v>6</v>
      </c>
      <c r="W30" s="8">
        <v>10</v>
      </c>
      <c r="X30" s="8"/>
      <c r="Y30" s="8"/>
      <c r="Z30" s="8"/>
      <c r="AA30" s="8">
        <f>L30</f>
        <v>3</v>
      </c>
      <c r="AB30" s="8">
        <v>8</v>
      </c>
      <c r="AC30" s="2">
        <v>9</v>
      </c>
      <c r="AD30" s="2">
        <v>10</v>
      </c>
      <c r="AE30" s="8"/>
      <c r="AF30" s="2">
        <v>3</v>
      </c>
      <c r="AG30" s="8">
        <v>4</v>
      </c>
      <c r="AH30" s="8">
        <v>7</v>
      </c>
      <c r="AI30" s="37">
        <v>12</v>
      </c>
      <c r="AJ30" s="37">
        <v>13</v>
      </c>
      <c r="AK30" s="37">
        <v>15</v>
      </c>
      <c r="AL30" s="37">
        <v>17</v>
      </c>
      <c r="AM30" s="11" t="s">
        <v>360</v>
      </c>
      <c r="AN30" s="2">
        <f t="shared" ref="AN30:AN31" si="77">AF30</f>
        <v>3</v>
      </c>
      <c r="AO30" s="8">
        <f>AN30</f>
        <v>3</v>
      </c>
      <c r="AP30" s="8">
        <f t="shared" ref="AP30:AP31" si="78">AH30</f>
        <v>7</v>
      </c>
      <c r="AQ30" s="8">
        <f>AP30</f>
        <v>7</v>
      </c>
      <c r="AR30" s="8">
        <v>10</v>
      </c>
      <c r="AS30" s="8"/>
      <c r="AT30" s="8"/>
      <c r="AU30" s="8"/>
      <c r="AV30" s="8">
        <f>AG30</f>
        <v>4</v>
      </c>
      <c r="AW30" s="8">
        <v>8</v>
      </c>
      <c r="AX30" s="2">
        <v>9</v>
      </c>
      <c r="AY30" s="2">
        <v>10</v>
      </c>
    </row>
    <row r="31" spans="1:51" ht="68" x14ac:dyDescent="0.2">
      <c r="B31" s="2" t="s">
        <v>259</v>
      </c>
      <c r="C31" s="2" t="s">
        <v>316</v>
      </c>
      <c r="D31" s="2" t="s">
        <v>361</v>
      </c>
      <c r="E31" s="3" t="s">
        <v>318</v>
      </c>
      <c r="F31" s="2" t="s">
        <v>156</v>
      </c>
      <c r="G31" s="3" t="s">
        <v>162</v>
      </c>
      <c r="H31" s="3" t="s">
        <v>147</v>
      </c>
      <c r="I31" s="2" t="s">
        <v>258</v>
      </c>
      <c r="K31" s="2">
        <v>1</v>
      </c>
      <c r="L31" s="8">
        <v>3</v>
      </c>
      <c r="M31" s="8">
        <v>4</v>
      </c>
      <c r="N31" s="37"/>
      <c r="O31" s="37"/>
      <c r="P31" s="37"/>
      <c r="Q31" s="37"/>
      <c r="R31" s="11" t="s">
        <v>361</v>
      </c>
      <c r="S31" s="2">
        <f t="shared" si="75"/>
        <v>1</v>
      </c>
      <c r="T31" s="8">
        <f>S31</f>
        <v>1</v>
      </c>
      <c r="U31" s="8">
        <f t="shared" si="76"/>
        <v>4</v>
      </c>
      <c r="V31" s="8">
        <f>U31</f>
        <v>4</v>
      </c>
      <c r="W31" s="8">
        <v>10</v>
      </c>
      <c r="X31" s="8"/>
      <c r="Y31" s="8"/>
      <c r="Z31" s="8"/>
      <c r="AA31" s="8">
        <f>L31</f>
        <v>3</v>
      </c>
      <c r="AB31" s="8">
        <v>5</v>
      </c>
      <c r="AC31" s="2">
        <v>6</v>
      </c>
      <c r="AD31" s="2">
        <v>7</v>
      </c>
      <c r="AE31" s="8"/>
      <c r="AF31" s="2">
        <v>2</v>
      </c>
      <c r="AG31" s="8">
        <v>3</v>
      </c>
      <c r="AH31" s="8">
        <v>5</v>
      </c>
      <c r="AI31" s="37"/>
      <c r="AJ31" s="37"/>
      <c r="AK31" s="37"/>
      <c r="AL31" s="37"/>
      <c r="AM31" s="11" t="s">
        <v>361</v>
      </c>
      <c r="AN31" s="2">
        <f t="shared" si="77"/>
        <v>2</v>
      </c>
      <c r="AO31" s="8">
        <f>AN31</f>
        <v>2</v>
      </c>
      <c r="AP31" s="8">
        <f t="shared" si="78"/>
        <v>5</v>
      </c>
      <c r="AQ31" s="8">
        <f>AP31</f>
        <v>5</v>
      </c>
      <c r="AR31" s="8">
        <v>10</v>
      </c>
      <c r="AS31" s="8"/>
      <c r="AT31" s="8"/>
      <c r="AU31" s="8"/>
      <c r="AV31" s="8">
        <f>AG31</f>
        <v>3</v>
      </c>
      <c r="AW31" s="8">
        <v>5</v>
      </c>
      <c r="AX31" s="2">
        <v>6</v>
      </c>
      <c r="AY31" s="2">
        <v>7</v>
      </c>
    </row>
    <row r="32" spans="1:51" s="13" customFormat="1" ht="16" customHeight="1" x14ac:dyDescent="0.2">
      <c r="B32" s="13" t="s">
        <v>403</v>
      </c>
      <c r="E32" s="14"/>
      <c r="F32" s="14"/>
      <c r="G32" s="14"/>
      <c r="H32" s="14"/>
      <c r="I32" s="14"/>
      <c r="J32" s="14"/>
      <c r="K32" s="16"/>
      <c r="L32" s="16"/>
      <c r="M32" s="16"/>
      <c r="N32" s="29" t="s">
        <v>423</v>
      </c>
      <c r="O32" s="29"/>
      <c r="P32" s="29"/>
      <c r="Q32" s="29"/>
      <c r="T32" s="17"/>
      <c r="U32" s="17"/>
      <c r="V32" s="17"/>
      <c r="W32" s="17"/>
      <c r="X32" s="17"/>
      <c r="Y32" s="17"/>
      <c r="Z32" s="17"/>
      <c r="AA32" s="17"/>
      <c r="AB32" s="17"/>
      <c r="AE32" s="17"/>
      <c r="AI32" s="29" t="s">
        <v>423</v>
      </c>
      <c r="AJ32" s="29"/>
      <c r="AK32" s="29"/>
      <c r="AL32" s="29"/>
      <c r="AO32" s="17"/>
      <c r="AP32" s="17"/>
      <c r="AQ32" s="17"/>
      <c r="AR32" s="17"/>
      <c r="AS32" s="17"/>
      <c r="AT32" s="17"/>
      <c r="AU32" s="17"/>
      <c r="AV32" s="17"/>
      <c r="AW32" s="17"/>
    </row>
    <row r="33" spans="1:51" s="23" customFormat="1" x14ac:dyDescent="0.2">
      <c r="B33" s="23" t="s">
        <v>379</v>
      </c>
      <c r="D33" s="23" t="s">
        <v>798</v>
      </c>
      <c r="E33" s="24"/>
      <c r="F33" s="24"/>
      <c r="G33" s="24"/>
      <c r="H33" s="24"/>
      <c r="I33" s="24"/>
      <c r="J33" s="24"/>
      <c r="K33" s="25"/>
      <c r="L33" s="25"/>
      <c r="M33" s="25"/>
      <c r="T33" s="26">
        <f>SUM(T30:T31)</f>
        <v>3</v>
      </c>
      <c r="U33" s="26"/>
      <c r="V33" s="26">
        <f>SUM(V30:V31)</f>
        <v>10</v>
      </c>
      <c r="W33" s="26">
        <f>SUM(W30:W31)</f>
        <v>20</v>
      </c>
      <c r="X33" s="26">
        <v>50</v>
      </c>
      <c r="Y33" s="26">
        <f>(T33/W33)*X33</f>
        <v>7.5</v>
      </c>
      <c r="Z33" s="26">
        <f>(V33/W33)*X33</f>
        <v>25</v>
      </c>
      <c r="AA33" s="26">
        <f>SUM(AA30:AA31)</f>
        <v>6</v>
      </c>
      <c r="AB33" s="26">
        <f t="shared" ref="AB33:AD33" si="79">SUM(AB30:AB31)</f>
        <v>13</v>
      </c>
      <c r="AC33" s="26">
        <f t="shared" si="79"/>
        <v>15</v>
      </c>
      <c r="AD33" s="26">
        <f t="shared" si="79"/>
        <v>17</v>
      </c>
      <c r="AE33" s="26"/>
      <c r="AO33" s="26">
        <f>SUM(AO30:AO31)</f>
        <v>5</v>
      </c>
      <c r="AP33" s="26"/>
      <c r="AQ33" s="26">
        <f t="shared" ref="AQ33:AR33" si="80">SUM(AQ30:AQ31)</f>
        <v>12</v>
      </c>
      <c r="AR33" s="26">
        <f t="shared" si="80"/>
        <v>20</v>
      </c>
      <c r="AS33" s="26">
        <v>50</v>
      </c>
      <c r="AT33" s="26">
        <f>(AO33/AR33)*AS33</f>
        <v>12.5</v>
      </c>
      <c r="AU33" s="26">
        <f>(AQ33/AR33)*AS33</f>
        <v>30</v>
      </c>
      <c r="AV33" s="26">
        <f>SUM(AV30:AV31)</f>
        <v>7</v>
      </c>
      <c r="AW33" s="26">
        <f t="shared" ref="AW33:AY33" si="81">SUM(AW30:AW31)</f>
        <v>13</v>
      </c>
      <c r="AX33" s="26">
        <f t="shared" si="81"/>
        <v>15</v>
      </c>
      <c r="AY33" s="26">
        <f t="shared" si="81"/>
        <v>17</v>
      </c>
    </row>
    <row r="34" spans="1:51" ht="51" x14ac:dyDescent="0.2">
      <c r="A34" s="2" t="s">
        <v>260</v>
      </c>
      <c r="B34" s="2" t="s">
        <v>260</v>
      </c>
      <c r="C34" s="2" t="s">
        <v>301</v>
      </c>
      <c r="D34" s="2" t="s">
        <v>362</v>
      </c>
      <c r="E34" s="3" t="s">
        <v>306</v>
      </c>
      <c r="F34" s="3" t="s">
        <v>305</v>
      </c>
      <c r="G34" s="3" t="s">
        <v>310</v>
      </c>
      <c r="H34" s="3" t="s">
        <v>150</v>
      </c>
      <c r="I34" s="2" t="s">
        <v>198</v>
      </c>
      <c r="K34" s="2">
        <v>1</v>
      </c>
      <c r="L34" s="8">
        <v>2</v>
      </c>
      <c r="M34" s="8">
        <v>3</v>
      </c>
      <c r="N34" s="37">
        <v>12</v>
      </c>
      <c r="O34" s="37">
        <v>14</v>
      </c>
      <c r="P34" s="37">
        <v>16</v>
      </c>
      <c r="Q34" s="37">
        <v>18</v>
      </c>
      <c r="R34" s="11" t="s">
        <v>362</v>
      </c>
      <c r="S34" s="2">
        <f t="shared" ref="S34:S37" si="82">K34</f>
        <v>1</v>
      </c>
      <c r="T34" s="8">
        <f>S34</f>
        <v>1</v>
      </c>
      <c r="U34" s="8">
        <f t="shared" ref="U34:U37" si="83">M34</f>
        <v>3</v>
      </c>
      <c r="V34" s="8">
        <f>U34</f>
        <v>3</v>
      </c>
      <c r="W34" s="8">
        <v>6</v>
      </c>
      <c r="X34" s="8"/>
      <c r="Y34" s="8"/>
      <c r="Z34" s="8"/>
      <c r="AA34" s="8">
        <f t="shared" ref="AA34:AA37" si="84">L34</f>
        <v>2</v>
      </c>
      <c r="AB34" s="8">
        <v>4</v>
      </c>
      <c r="AC34" s="2">
        <v>5</v>
      </c>
      <c r="AD34" s="2">
        <v>5</v>
      </c>
      <c r="AE34" s="8"/>
      <c r="AF34" s="2">
        <v>1</v>
      </c>
      <c r="AG34" s="8">
        <v>3</v>
      </c>
      <c r="AH34" s="8">
        <v>4</v>
      </c>
      <c r="AI34" s="37">
        <v>14</v>
      </c>
      <c r="AJ34" s="37">
        <v>16</v>
      </c>
      <c r="AK34" s="37">
        <v>18</v>
      </c>
      <c r="AL34" s="37">
        <v>20</v>
      </c>
      <c r="AM34" s="11" t="s">
        <v>362</v>
      </c>
      <c r="AN34" s="2">
        <f t="shared" ref="AN34:AN37" si="85">AF34</f>
        <v>1</v>
      </c>
      <c r="AO34" s="8">
        <f>AN34</f>
        <v>1</v>
      </c>
      <c r="AP34" s="8">
        <f t="shared" ref="AP34:AP37" si="86">AH34</f>
        <v>4</v>
      </c>
      <c r="AQ34" s="8">
        <f>AP34</f>
        <v>4</v>
      </c>
      <c r="AR34" s="8">
        <v>6</v>
      </c>
      <c r="AS34" s="8"/>
      <c r="AT34" s="8"/>
      <c r="AU34" s="8"/>
      <c r="AV34" s="8">
        <f t="shared" ref="AV34:AV37" si="87">AG34</f>
        <v>3</v>
      </c>
      <c r="AW34" s="8">
        <v>4</v>
      </c>
      <c r="AX34" s="2">
        <v>5</v>
      </c>
      <c r="AY34" s="2">
        <v>5</v>
      </c>
    </row>
    <row r="35" spans="1:51" ht="51" x14ac:dyDescent="0.2">
      <c r="B35" s="2" t="s">
        <v>260</v>
      </c>
      <c r="C35" s="2" t="s">
        <v>302</v>
      </c>
      <c r="D35" s="2" t="s">
        <v>363</v>
      </c>
      <c r="E35" s="3" t="s">
        <v>307</v>
      </c>
      <c r="F35" s="3" t="s">
        <v>305</v>
      </c>
      <c r="G35" s="3" t="s">
        <v>310</v>
      </c>
      <c r="H35" s="3" t="s">
        <v>150</v>
      </c>
      <c r="I35" s="2" t="s">
        <v>198</v>
      </c>
      <c r="K35" s="2">
        <v>1</v>
      </c>
      <c r="L35" s="8">
        <v>2</v>
      </c>
      <c r="M35" s="8">
        <v>3</v>
      </c>
      <c r="N35" s="37"/>
      <c r="O35" s="37"/>
      <c r="P35" s="37"/>
      <c r="Q35" s="37"/>
      <c r="R35" s="11" t="s">
        <v>363</v>
      </c>
      <c r="S35" s="2">
        <f t="shared" si="82"/>
        <v>1</v>
      </c>
      <c r="T35" s="8">
        <f t="shared" ref="T35:V37" si="88">S35</f>
        <v>1</v>
      </c>
      <c r="U35" s="8">
        <f t="shared" si="83"/>
        <v>3</v>
      </c>
      <c r="V35" s="8">
        <f t="shared" si="88"/>
        <v>3</v>
      </c>
      <c r="W35" s="8">
        <v>6</v>
      </c>
      <c r="X35" s="8"/>
      <c r="Y35" s="8"/>
      <c r="Z35" s="8"/>
      <c r="AA35" s="8">
        <f t="shared" si="84"/>
        <v>2</v>
      </c>
      <c r="AB35" s="8">
        <v>4</v>
      </c>
      <c r="AC35" s="2">
        <v>4</v>
      </c>
      <c r="AD35" s="2">
        <v>5</v>
      </c>
      <c r="AE35" s="8"/>
      <c r="AF35" s="2">
        <v>2</v>
      </c>
      <c r="AG35" s="8">
        <v>2</v>
      </c>
      <c r="AH35" s="8">
        <v>3</v>
      </c>
      <c r="AI35" s="37"/>
      <c r="AJ35" s="37"/>
      <c r="AK35" s="37"/>
      <c r="AL35" s="37"/>
      <c r="AM35" s="11" t="s">
        <v>363</v>
      </c>
      <c r="AN35" s="2">
        <f t="shared" si="85"/>
        <v>2</v>
      </c>
      <c r="AO35" s="8">
        <f t="shared" ref="AO35:AQ37" si="89">AN35</f>
        <v>2</v>
      </c>
      <c r="AP35" s="8">
        <f t="shared" si="86"/>
        <v>3</v>
      </c>
      <c r="AQ35" s="8">
        <f t="shared" si="89"/>
        <v>3</v>
      </c>
      <c r="AR35" s="8">
        <v>6</v>
      </c>
      <c r="AS35" s="8"/>
      <c r="AT35" s="8"/>
      <c r="AU35" s="8"/>
      <c r="AV35" s="8">
        <f t="shared" si="87"/>
        <v>2</v>
      </c>
      <c r="AW35" s="8">
        <v>4</v>
      </c>
      <c r="AX35" s="2">
        <v>4</v>
      </c>
      <c r="AY35" s="2">
        <v>5</v>
      </c>
    </row>
    <row r="36" spans="1:51" ht="51" x14ac:dyDescent="0.2">
      <c r="B36" s="2" t="s">
        <v>260</v>
      </c>
      <c r="C36" s="2" t="s">
        <v>303</v>
      </c>
      <c r="D36" s="2" t="s">
        <v>364</v>
      </c>
      <c r="E36" s="3" t="s">
        <v>308</v>
      </c>
      <c r="F36" s="3" t="s">
        <v>305</v>
      </c>
      <c r="G36" s="3" t="s">
        <v>310</v>
      </c>
      <c r="H36" s="3" t="s">
        <v>150</v>
      </c>
      <c r="I36" s="2" t="s">
        <v>198</v>
      </c>
      <c r="K36" s="2">
        <v>1</v>
      </c>
      <c r="L36" s="8">
        <v>2</v>
      </c>
      <c r="M36" s="8">
        <v>3</v>
      </c>
      <c r="N36" s="37"/>
      <c r="O36" s="37"/>
      <c r="P36" s="37"/>
      <c r="Q36" s="37"/>
      <c r="R36" s="11" t="s">
        <v>364</v>
      </c>
      <c r="S36" s="2">
        <f t="shared" si="82"/>
        <v>1</v>
      </c>
      <c r="T36" s="8">
        <f t="shared" si="88"/>
        <v>1</v>
      </c>
      <c r="U36" s="8">
        <f t="shared" si="83"/>
        <v>3</v>
      </c>
      <c r="V36" s="8">
        <f t="shared" si="88"/>
        <v>3</v>
      </c>
      <c r="W36" s="8">
        <v>6</v>
      </c>
      <c r="X36" s="8"/>
      <c r="Y36" s="8"/>
      <c r="Z36" s="8"/>
      <c r="AA36" s="8">
        <f t="shared" si="84"/>
        <v>2</v>
      </c>
      <c r="AB36" s="8">
        <v>4</v>
      </c>
      <c r="AC36" s="2">
        <v>4</v>
      </c>
      <c r="AD36" s="2">
        <v>5</v>
      </c>
      <c r="AE36" s="8"/>
      <c r="AF36" s="2">
        <v>2</v>
      </c>
      <c r="AG36" s="8">
        <v>2</v>
      </c>
      <c r="AH36" s="8">
        <v>3</v>
      </c>
      <c r="AI36" s="37"/>
      <c r="AJ36" s="37"/>
      <c r="AK36" s="37"/>
      <c r="AL36" s="37"/>
      <c r="AM36" s="11" t="s">
        <v>364</v>
      </c>
      <c r="AN36" s="2">
        <f t="shared" si="85"/>
        <v>2</v>
      </c>
      <c r="AO36" s="8">
        <f t="shared" si="89"/>
        <v>2</v>
      </c>
      <c r="AP36" s="8">
        <f t="shared" si="86"/>
        <v>3</v>
      </c>
      <c r="AQ36" s="8">
        <f t="shared" si="89"/>
        <v>3</v>
      </c>
      <c r="AR36" s="8">
        <v>6</v>
      </c>
      <c r="AS36" s="8"/>
      <c r="AT36" s="8"/>
      <c r="AU36" s="8"/>
      <c r="AV36" s="8">
        <f t="shared" si="87"/>
        <v>2</v>
      </c>
      <c r="AW36" s="8">
        <v>4</v>
      </c>
      <c r="AX36" s="2">
        <v>4</v>
      </c>
      <c r="AY36" s="2">
        <v>5</v>
      </c>
    </row>
    <row r="37" spans="1:51" ht="68" x14ac:dyDescent="0.2">
      <c r="B37" s="2" t="s">
        <v>260</v>
      </c>
      <c r="C37" s="2" t="s">
        <v>304</v>
      </c>
      <c r="D37" s="2" t="s">
        <v>365</v>
      </c>
      <c r="E37" s="3" t="s">
        <v>309</v>
      </c>
      <c r="F37" s="3" t="s">
        <v>305</v>
      </c>
      <c r="G37" s="3" t="s">
        <v>310</v>
      </c>
      <c r="H37" s="3" t="s">
        <v>150</v>
      </c>
      <c r="I37" s="2" t="s">
        <v>198</v>
      </c>
      <c r="K37" s="2">
        <v>1</v>
      </c>
      <c r="L37" s="8">
        <v>2</v>
      </c>
      <c r="M37" s="8">
        <v>3</v>
      </c>
      <c r="N37" s="37"/>
      <c r="O37" s="37"/>
      <c r="P37" s="37"/>
      <c r="Q37" s="37"/>
      <c r="R37" s="11" t="s">
        <v>365</v>
      </c>
      <c r="S37" s="2">
        <f t="shared" si="82"/>
        <v>1</v>
      </c>
      <c r="T37" s="8">
        <f t="shared" si="88"/>
        <v>1</v>
      </c>
      <c r="U37" s="8">
        <f t="shared" si="83"/>
        <v>3</v>
      </c>
      <c r="V37" s="8">
        <f t="shared" si="88"/>
        <v>3</v>
      </c>
      <c r="W37" s="8">
        <v>6</v>
      </c>
      <c r="X37" s="8"/>
      <c r="Y37" s="8"/>
      <c r="Z37" s="8"/>
      <c r="AA37" s="8">
        <f t="shared" si="84"/>
        <v>2</v>
      </c>
      <c r="AB37" s="8">
        <v>4</v>
      </c>
      <c r="AC37" s="2">
        <v>5</v>
      </c>
      <c r="AD37" s="2">
        <v>5</v>
      </c>
      <c r="AE37" s="8"/>
      <c r="AF37" s="2">
        <v>1</v>
      </c>
      <c r="AG37" s="8">
        <v>3</v>
      </c>
      <c r="AH37" s="8">
        <v>4</v>
      </c>
      <c r="AI37" s="37"/>
      <c r="AJ37" s="37"/>
      <c r="AK37" s="37"/>
      <c r="AL37" s="37"/>
      <c r="AM37" s="11" t="s">
        <v>365</v>
      </c>
      <c r="AN37" s="2">
        <f t="shared" si="85"/>
        <v>1</v>
      </c>
      <c r="AO37" s="8">
        <f t="shared" si="89"/>
        <v>1</v>
      </c>
      <c r="AP37" s="8">
        <f t="shared" si="86"/>
        <v>4</v>
      </c>
      <c r="AQ37" s="8">
        <f t="shared" si="89"/>
        <v>4</v>
      </c>
      <c r="AR37" s="8">
        <v>6</v>
      </c>
      <c r="AS37" s="8"/>
      <c r="AT37" s="8"/>
      <c r="AU37" s="8"/>
      <c r="AV37" s="8">
        <f t="shared" si="87"/>
        <v>3</v>
      </c>
      <c r="AW37" s="8">
        <v>4</v>
      </c>
      <c r="AX37" s="2">
        <v>5</v>
      </c>
      <c r="AY37" s="2">
        <v>5</v>
      </c>
    </row>
    <row r="38" spans="1:51" s="13" customFormat="1" ht="17" x14ac:dyDescent="0.2">
      <c r="B38" s="13" t="s">
        <v>337</v>
      </c>
      <c r="E38" s="14" t="s">
        <v>338</v>
      </c>
      <c r="H38" s="14"/>
      <c r="I38" s="13" t="s">
        <v>339</v>
      </c>
      <c r="K38" s="15"/>
      <c r="L38" s="15"/>
      <c r="M38" s="15"/>
      <c r="N38" s="29" t="s">
        <v>423</v>
      </c>
      <c r="O38" s="29"/>
      <c r="P38" s="29"/>
      <c r="Q38" s="29"/>
      <c r="T38" s="17"/>
      <c r="U38" s="17"/>
      <c r="V38" s="17"/>
      <c r="W38" s="17"/>
      <c r="X38" s="17"/>
      <c r="Y38" s="17"/>
      <c r="Z38" s="17"/>
      <c r="AA38" s="17"/>
      <c r="AB38" s="17"/>
      <c r="AE38" s="17"/>
      <c r="AF38" s="15"/>
      <c r="AG38" s="15"/>
      <c r="AH38" s="15"/>
      <c r="AI38" s="13">
        <v>14</v>
      </c>
      <c r="AJ38" s="13">
        <v>17</v>
      </c>
      <c r="AK38" s="13">
        <v>20</v>
      </c>
      <c r="AL38" s="13">
        <v>23</v>
      </c>
      <c r="AO38" s="17"/>
      <c r="AP38" s="17"/>
      <c r="AQ38" s="17"/>
      <c r="AR38" s="17"/>
      <c r="AS38" s="17"/>
      <c r="AT38" s="17"/>
      <c r="AU38" s="17"/>
      <c r="AV38" s="17"/>
      <c r="AW38" s="17"/>
    </row>
    <row r="39" spans="1:51" s="23" customFormat="1" x14ac:dyDescent="0.2">
      <c r="B39" s="23" t="s">
        <v>380</v>
      </c>
      <c r="D39" s="23" t="s">
        <v>797</v>
      </c>
      <c r="T39" s="26">
        <f>SUM(T34:T37)</f>
        <v>4</v>
      </c>
      <c r="U39" s="26"/>
      <c r="V39" s="26">
        <f>SUM(V34:V37)</f>
        <v>12</v>
      </c>
      <c r="W39" s="26">
        <f>SUM(W34:W37)</f>
        <v>24</v>
      </c>
      <c r="X39" s="23">
        <v>50</v>
      </c>
      <c r="Y39" s="26">
        <f>(T39/W39)*X39</f>
        <v>8.3333333333333321</v>
      </c>
      <c r="Z39" s="26">
        <f>(V39/W39)*X39</f>
        <v>25</v>
      </c>
      <c r="AA39" s="26">
        <f>SUM(AA34:AA37)</f>
        <v>8</v>
      </c>
      <c r="AB39" s="26">
        <f t="shared" ref="AB39:AD39" si="90">SUM(AB34:AB37)</f>
        <v>16</v>
      </c>
      <c r="AC39" s="26">
        <f t="shared" si="90"/>
        <v>18</v>
      </c>
      <c r="AD39" s="26">
        <f t="shared" si="90"/>
        <v>20</v>
      </c>
      <c r="AE39" s="26"/>
      <c r="AO39" s="26">
        <f>SUM(AO34:AO37)</f>
        <v>6</v>
      </c>
      <c r="AP39" s="26"/>
      <c r="AQ39" s="26">
        <f t="shared" ref="AQ39:AR39" si="91">SUM(AQ34:AQ37)</f>
        <v>14</v>
      </c>
      <c r="AR39" s="26">
        <f t="shared" si="91"/>
        <v>24</v>
      </c>
      <c r="AS39" s="23">
        <v>50</v>
      </c>
      <c r="AT39" s="26">
        <f>(AO39/AR39)*AS39</f>
        <v>12.5</v>
      </c>
      <c r="AU39" s="26">
        <f>(AQ39/AR39)*AS39</f>
        <v>29.166666666666668</v>
      </c>
      <c r="AV39" s="26">
        <f>SUM(AV34:AV37)</f>
        <v>10</v>
      </c>
      <c r="AW39" s="26">
        <f t="shared" ref="AW39:AY39" si="92">SUM(AW34:AW37)</f>
        <v>16</v>
      </c>
      <c r="AX39" s="26">
        <f t="shared" si="92"/>
        <v>18</v>
      </c>
      <c r="AY39" s="26">
        <f t="shared" si="92"/>
        <v>20</v>
      </c>
    </row>
    <row r="40" spans="1:51" x14ac:dyDescent="0.2">
      <c r="R40" s="11"/>
      <c r="S40" s="11"/>
      <c r="Y40" s="8"/>
      <c r="Z40" s="8"/>
      <c r="AA40" s="8"/>
      <c r="AB40" s="8"/>
      <c r="AE40" s="8"/>
      <c r="AM40" s="11"/>
      <c r="AN40" s="11"/>
      <c r="AT40" s="8"/>
      <c r="AU40" s="8"/>
      <c r="AV40" s="8"/>
      <c r="AW40" s="8"/>
    </row>
    <row r="41" spans="1:51" x14ac:dyDescent="0.2">
      <c r="R41" s="11" t="s">
        <v>381</v>
      </c>
      <c r="S41" s="11"/>
      <c r="T41" s="8">
        <f>SUM(T39+T33+T29+T23+T17)</f>
        <v>47.414393939393946</v>
      </c>
      <c r="U41" s="8"/>
      <c r="V41" s="8">
        <f>SUM(V39+V33+V29+V23+V17)</f>
        <v>110.66666666666666</v>
      </c>
      <c r="W41" s="8">
        <f>SUM(W39+W33+W29+W23+W17)</f>
        <v>208</v>
      </c>
      <c r="X41" s="8">
        <f>SUM(X39+X33+X29+X23+X17)</f>
        <v>250</v>
      </c>
      <c r="Y41" s="8">
        <f>SUM(Y39+Y33+Y29+Y23+Y17)</f>
        <v>51.867535650623878</v>
      </c>
      <c r="Z41" s="8"/>
      <c r="AA41" s="8">
        <f t="shared" ref="AA41:AD41" si="93">SUM(AA39+AA33+AA29+AA23+AA17)</f>
        <v>67.564393939393938</v>
      </c>
      <c r="AB41" s="8">
        <f t="shared" si="93"/>
        <v>128.81666666666666</v>
      </c>
      <c r="AC41" s="8">
        <f t="shared" si="93"/>
        <v>141.10180623973727</v>
      </c>
      <c r="AD41" s="8">
        <f t="shared" si="93"/>
        <v>154.10490196078433</v>
      </c>
      <c r="AE41" s="8"/>
      <c r="AM41" s="11" t="s">
        <v>381</v>
      </c>
      <c r="AN41" s="11"/>
      <c r="AO41" s="8">
        <f>SUM(AO39+AO33+AO29+AO23+AO17)</f>
        <v>74.327272727272728</v>
      </c>
      <c r="AP41" s="8"/>
      <c r="AQ41" s="8">
        <f t="shared" ref="AQ41:AR41" si="94">SUM(AQ39+AQ33+AQ29+AQ23+AQ17)</f>
        <v>137.19166666666666</v>
      </c>
      <c r="AR41" s="8">
        <f t="shared" si="94"/>
        <v>230.25</v>
      </c>
      <c r="AS41" s="8">
        <f>SUM(AS39+AS33+AS29+AS23+AS17)</f>
        <v>250</v>
      </c>
      <c r="AT41" s="8">
        <f>SUM(AT39+AT33+AT29+AT23+AT17)</f>
        <v>76.726190476190482</v>
      </c>
      <c r="AU41" s="8"/>
      <c r="AV41" s="8">
        <f t="shared" ref="AV41:AY41" si="95">SUM(AV39+AV33+AV29+AV23+AV17)</f>
        <v>93.427272727272737</v>
      </c>
      <c r="AW41" s="8">
        <f t="shared" si="95"/>
        <v>151.76666666666668</v>
      </c>
      <c r="AX41" s="8">
        <f t="shared" si="95"/>
        <v>165.58883415435139</v>
      </c>
      <c r="AY41" s="8">
        <f t="shared" si="95"/>
        <v>180.60588235294119</v>
      </c>
    </row>
    <row r="42" spans="1:51" x14ac:dyDescent="0.2">
      <c r="R42" s="11"/>
      <c r="S42" s="11"/>
      <c r="Y42" s="8"/>
      <c r="Z42" s="8"/>
      <c r="AA42" s="8"/>
      <c r="AB42" s="8"/>
      <c r="AC42" s="8"/>
      <c r="AD42" s="8"/>
      <c r="AE42" s="8"/>
      <c r="AM42" s="11"/>
      <c r="AN42" s="11"/>
      <c r="AT42" s="8"/>
      <c r="AU42" s="8"/>
      <c r="AV42" s="8"/>
      <c r="AW42" s="8"/>
    </row>
    <row r="43" spans="1:51" x14ac:dyDescent="0.2">
      <c r="R43" s="11"/>
      <c r="S43" s="11"/>
      <c r="T43" s="8"/>
      <c r="U43" s="8"/>
      <c r="V43" s="8"/>
      <c r="W43" s="2" t="s">
        <v>681</v>
      </c>
      <c r="AA43" s="8"/>
      <c r="AB43" s="8"/>
      <c r="AC43" s="8"/>
      <c r="AD43" s="8"/>
      <c r="AE43" s="8"/>
      <c r="AM43" s="11"/>
      <c r="AN43" s="11"/>
      <c r="AO43" s="8"/>
      <c r="AP43" s="8"/>
      <c r="AQ43" s="8"/>
      <c r="AR43" s="2" t="s">
        <v>681</v>
      </c>
      <c r="AV43" s="8"/>
      <c r="AW43" s="8"/>
    </row>
    <row r="44" spans="1:51" ht="34" x14ac:dyDescent="0.2">
      <c r="S44" s="47" t="s">
        <v>510</v>
      </c>
      <c r="T44" s="51" t="s">
        <v>616</v>
      </c>
      <c r="U44" s="50" t="s">
        <v>511</v>
      </c>
      <c r="V44" s="81" t="s">
        <v>988</v>
      </c>
      <c r="W44" s="64" t="s">
        <v>327</v>
      </c>
      <c r="X44" s="60" t="s">
        <v>670</v>
      </c>
      <c r="Y44" s="61" t="s">
        <v>671</v>
      </c>
      <c r="Z44" s="62" t="s">
        <v>672</v>
      </c>
      <c r="AA44" s="8"/>
      <c r="AB44" s="8"/>
      <c r="AC44" s="8"/>
      <c r="AD44" s="8"/>
      <c r="AE44" s="8"/>
      <c r="AN44" s="47" t="s">
        <v>510</v>
      </c>
      <c r="AO44" s="51" t="s">
        <v>616</v>
      </c>
      <c r="AP44" s="50" t="s">
        <v>511</v>
      </c>
      <c r="AQ44" s="81" t="s">
        <v>988</v>
      </c>
      <c r="AR44" s="64" t="s">
        <v>327</v>
      </c>
      <c r="AS44" s="60" t="s">
        <v>670</v>
      </c>
      <c r="AT44" s="61" t="s">
        <v>671</v>
      </c>
      <c r="AU44" s="62" t="s">
        <v>672</v>
      </c>
      <c r="AV44" s="8"/>
      <c r="AW44" s="8"/>
    </row>
    <row r="45" spans="1:51" x14ac:dyDescent="0.2">
      <c r="R45" s="11" t="s">
        <v>530</v>
      </c>
      <c r="S45" s="48">
        <f>(T41/W41)*X41</f>
        <v>56.988454254079265</v>
      </c>
      <c r="T45" s="48" t="s">
        <v>613</v>
      </c>
      <c r="U45" s="48">
        <f>(V41/W41)*X41</f>
        <v>133.01282051282053</v>
      </c>
      <c r="V45" s="48"/>
      <c r="W45" s="63">
        <f>V41/W41</f>
        <v>0.53205128205128205</v>
      </c>
      <c r="X45" s="63">
        <f>AB41/$W41</f>
        <v>0.6193108974358974</v>
      </c>
      <c r="Y45" s="63">
        <f>AC41/$W41</f>
        <v>0.67837406846027537</v>
      </c>
      <c r="Z45" s="63">
        <f t="shared" ref="Z45" si="96">AD41/$W41</f>
        <v>0.74088895173454006</v>
      </c>
      <c r="AA45" s="8"/>
      <c r="AB45" s="8"/>
      <c r="AC45" s="8"/>
      <c r="AD45" s="8"/>
      <c r="AE45" s="8"/>
      <c r="AM45" s="11" t="s">
        <v>536</v>
      </c>
      <c r="AN45" s="48">
        <f>(AO41/AR41)*AS41</f>
        <v>80.702793406376472</v>
      </c>
      <c r="AO45" s="48" t="s">
        <v>613</v>
      </c>
      <c r="AP45" s="48">
        <f>(AQ41/AR41)*AS41</f>
        <v>148.95946435034384</v>
      </c>
      <c r="AQ45" s="48"/>
      <c r="AR45" s="63">
        <f>AQ41/AR41</f>
        <v>0.59583785740137529</v>
      </c>
      <c r="AS45" s="63">
        <f>AW41/$W41</f>
        <v>0.72964743589743597</v>
      </c>
      <c r="AT45" s="63">
        <f>AX41/$W41</f>
        <v>0.7961001642036124</v>
      </c>
      <c r="AU45" s="63">
        <f t="shared" ref="AU45" si="97">AY41/$W41</f>
        <v>0.86829751131221733</v>
      </c>
      <c r="AV45" s="8"/>
      <c r="AW45" s="8"/>
    </row>
    <row r="46" spans="1:51" x14ac:dyDescent="0.2">
      <c r="S46" s="11"/>
      <c r="T46" s="11"/>
      <c r="U46" s="11"/>
      <c r="V46" s="11"/>
      <c r="W46" s="63"/>
      <c r="X46" s="63"/>
      <c r="Y46" s="63"/>
      <c r="Z46" s="63"/>
      <c r="AA46" s="8"/>
      <c r="AB46" s="8"/>
      <c r="AC46" s="8"/>
      <c r="AD46" s="8"/>
      <c r="AE46" s="8"/>
      <c r="AL46" s="8"/>
      <c r="AN46" s="11"/>
      <c r="AO46" s="11"/>
      <c r="AP46" s="11"/>
      <c r="AQ46" s="11"/>
      <c r="AR46" s="63"/>
      <c r="AS46" s="63"/>
      <c r="AT46" s="63"/>
      <c r="AU46" s="63"/>
      <c r="AV46" s="8"/>
      <c r="AW46" s="8"/>
    </row>
    <row r="47" spans="1:51" x14ac:dyDescent="0.2">
      <c r="R47" s="11" t="s">
        <v>531</v>
      </c>
      <c r="S47" s="48">
        <f>Y17</f>
        <v>13.096702317290553</v>
      </c>
      <c r="T47" s="48" t="s">
        <v>613</v>
      </c>
      <c r="U47" s="48">
        <f>Z17</f>
        <v>26.568627450980394</v>
      </c>
      <c r="V47" s="48"/>
      <c r="W47" s="63">
        <f>V17/W17</f>
        <v>0.53137254901960784</v>
      </c>
      <c r="X47" s="63">
        <f>AB17/$W17</f>
        <v>0.60196078431372546</v>
      </c>
      <c r="Y47" s="63">
        <f t="shared" ref="Y47:Z47" si="98">AC17/$W17</f>
        <v>0.64825654399690913</v>
      </c>
      <c r="Z47" s="63">
        <f t="shared" si="98"/>
        <v>0.69417531718569792</v>
      </c>
      <c r="AA47" s="8"/>
      <c r="AB47" s="8"/>
      <c r="AC47" s="8"/>
      <c r="AD47" s="8"/>
      <c r="AE47" s="8"/>
      <c r="AM47" s="11" t="s">
        <v>537</v>
      </c>
      <c r="AN47" s="48">
        <f>AT17</f>
        <v>16.536796536796537</v>
      </c>
      <c r="AO47" s="48" t="s">
        <v>613</v>
      </c>
      <c r="AP47" s="48">
        <f>AU17</f>
        <v>28.496031746031747</v>
      </c>
      <c r="AQ47" s="48"/>
      <c r="AR47" s="63">
        <f>AQ17/AR17</f>
        <v>0.56992063492063494</v>
      </c>
      <c r="AS47" s="63">
        <f>AW17/$W17</f>
        <v>0.78078431372549029</v>
      </c>
      <c r="AT47" s="63">
        <f t="shared" ref="AT47" si="99">AX17/$W17</f>
        <v>0.83457451946295758</v>
      </c>
      <c r="AU47" s="63">
        <f t="shared" ref="AU47" si="100">AY17/$W17</f>
        <v>0.88477508650519032</v>
      </c>
      <c r="AV47" s="8"/>
      <c r="AW47" s="8"/>
    </row>
    <row r="48" spans="1:51" x14ac:dyDescent="0.2">
      <c r="S48" s="11"/>
      <c r="T48" s="11"/>
      <c r="U48" s="11"/>
      <c r="V48" s="11"/>
      <c r="W48" s="63"/>
      <c r="X48" s="63"/>
      <c r="Y48" s="63"/>
      <c r="Z48" s="63"/>
      <c r="AA48" s="8"/>
      <c r="AB48" s="8"/>
      <c r="AC48" s="8"/>
      <c r="AD48" s="8"/>
      <c r="AE48" s="8"/>
      <c r="AN48" s="11"/>
      <c r="AO48" s="11"/>
      <c r="AP48" s="11"/>
      <c r="AQ48" s="11"/>
      <c r="AR48" s="63"/>
      <c r="AS48" s="63"/>
      <c r="AT48" s="63"/>
      <c r="AU48" s="63"/>
      <c r="AV48" s="8"/>
      <c r="AW48" s="8"/>
    </row>
    <row r="49" spans="16:49" x14ac:dyDescent="0.2">
      <c r="R49" s="11" t="s">
        <v>532</v>
      </c>
      <c r="S49" s="48">
        <f>Y23</f>
        <v>10</v>
      </c>
      <c r="T49" s="48" t="s">
        <v>613</v>
      </c>
      <c r="U49" s="48">
        <f>Z23</f>
        <v>27.179487179487179</v>
      </c>
      <c r="V49" s="48"/>
      <c r="W49" s="63">
        <f>V23/W23</f>
        <v>0.54358974358974355</v>
      </c>
      <c r="X49" s="63">
        <f>AB23/$W23</f>
        <v>0.58717948717948709</v>
      </c>
      <c r="Y49" s="63">
        <f t="shared" ref="Y49:Z49" si="101">AC23/$W23</f>
        <v>0.63076923076923086</v>
      </c>
      <c r="Z49" s="63">
        <f t="shared" si="101"/>
        <v>0.68717948717948718</v>
      </c>
      <c r="AA49" s="8"/>
      <c r="AB49" s="8"/>
      <c r="AC49" s="8"/>
      <c r="AD49" s="8"/>
      <c r="AE49" s="8"/>
      <c r="AM49" s="11" t="s">
        <v>538</v>
      </c>
      <c r="AN49" s="48">
        <f>AT23</f>
        <v>17.25</v>
      </c>
      <c r="AO49" s="48" t="s">
        <v>613</v>
      </c>
      <c r="AP49" s="48">
        <f>AU23</f>
        <v>32</v>
      </c>
      <c r="AQ49" s="48"/>
      <c r="AR49" s="63">
        <f>AQ23/AR23</f>
        <v>0.64</v>
      </c>
      <c r="AS49" s="63">
        <f>AW23/$W23</f>
        <v>0.70000000000000007</v>
      </c>
      <c r="AT49" s="63">
        <f t="shared" ref="AT49" si="102">AX23/$W23</f>
        <v>0.74871794871794872</v>
      </c>
      <c r="AU49" s="63">
        <f t="shared" ref="AU49" si="103">AY23/$W23</f>
        <v>0.83589743589743593</v>
      </c>
      <c r="AV49" s="8"/>
      <c r="AW49" s="8"/>
    </row>
    <row r="50" spans="16:49" x14ac:dyDescent="0.2">
      <c r="R50" s="11"/>
      <c r="S50" s="11"/>
      <c r="T50" s="11"/>
      <c r="U50" s="11"/>
      <c r="V50" s="11"/>
      <c r="W50" s="63"/>
      <c r="X50" s="63"/>
      <c r="Y50" s="63"/>
      <c r="Z50" s="63"/>
      <c r="AA50" s="8"/>
      <c r="AB50" s="8"/>
      <c r="AC50" s="8"/>
      <c r="AD50" s="8"/>
      <c r="AE50" s="8"/>
      <c r="AM50" s="11"/>
      <c r="AN50" s="11"/>
      <c r="AO50" s="11"/>
      <c r="AP50" s="11"/>
      <c r="AQ50" s="11"/>
      <c r="AR50" s="63"/>
      <c r="AS50" s="63"/>
      <c r="AT50" s="63"/>
      <c r="AU50" s="63"/>
      <c r="AV50" s="8"/>
      <c r="AW50" s="8"/>
    </row>
    <row r="51" spans="16:49" x14ac:dyDescent="0.2">
      <c r="R51" s="11" t="s">
        <v>533</v>
      </c>
      <c r="S51" s="48">
        <f>Y29</f>
        <v>12.937499999999998</v>
      </c>
      <c r="T51" s="48" t="s">
        <v>613</v>
      </c>
      <c r="U51" s="48">
        <f>Z29</f>
        <v>27.875</v>
      </c>
      <c r="V51" s="48"/>
      <c r="W51" s="63">
        <f>V29/W29</f>
        <v>0.5575</v>
      </c>
      <c r="X51" s="63">
        <f>AB29/$W29</f>
        <v>0.64375000000000004</v>
      </c>
      <c r="Y51" s="63">
        <f t="shared" ref="Y51:Z51" si="104">AC29/$W29</f>
        <v>0.71</v>
      </c>
      <c r="Z51" s="63">
        <f t="shared" si="104"/>
        <v>0.78249999999999997</v>
      </c>
      <c r="AA51" s="8"/>
      <c r="AB51" s="8"/>
      <c r="AC51" s="8"/>
      <c r="AD51" s="8"/>
      <c r="AE51" s="8"/>
      <c r="AM51" s="11" t="s">
        <v>539</v>
      </c>
      <c r="AN51" s="48">
        <f>AT29</f>
        <v>17.939393939393941</v>
      </c>
      <c r="AO51" s="48" t="s">
        <v>613</v>
      </c>
      <c r="AP51" s="48">
        <f>AU29</f>
        <v>31.212121212121215</v>
      </c>
      <c r="AQ51" s="48"/>
      <c r="AR51" s="63">
        <f>AQ29/AR29</f>
        <v>0.62424242424242427</v>
      </c>
      <c r="AS51" s="63">
        <f>AW29/$W29</f>
        <v>0.72750000000000004</v>
      </c>
      <c r="AT51" s="63">
        <f t="shared" ref="AT51" si="105">AX29/$W29</f>
        <v>0.81125000000000003</v>
      </c>
      <c r="AU51" s="63">
        <f t="shared" ref="AU51" si="106">AY29/$W29</f>
        <v>0.89499999999999991</v>
      </c>
      <c r="AV51" s="8"/>
      <c r="AW51" s="8"/>
    </row>
    <row r="52" spans="16:49" x14ac:dyDescent="0.2">
      <c r="Q52" s="8"/>
      <c r="R52" s="11"/>
      <c r="S52" s="11"/>
      <c r="T52" s="11"/>
      <c r="U52" s="11"/>
      <c r="V52" s="11"/>
      <c r="W52" s="63"/>
      <c r="X52" s="63"/>
      <c r="Y52" s="63"/>
      <c r="Z52" s="63"/>
      <c r="AA52" s="8"/>
      <c r="AB52" s="8"/>
      <c r="AC52" s="8"/>
      <c r="AD52" s="8"/>
      <c r="AE52" s="8"/>
      <c r="AL52" s="8"/>
      <c r="AM52" s="11"/>
      <c r="AN52" s="11"/>
      <c r="AO52" s="11"/>
      <c r="AP52" s="11"/>
      <c r="AQ52" s="11"/>
      <c r="AR52" s="63"/>
      <c r="AS52" s="63"/>
      <c r="AT52" s="63"/>
      <c r="AU52" s="63"/>
      <c r="AV52" s="8"/>
      <c r="AW52" s="8"/>
    </row>
    <row r="53" spans="16:49" x14ac:dyDescent="0.2">
      <c r="R53" s="11" t="s">
        <v>534</v>
      </c>
      <c r="S53" s="48">
        <f>Y33</f>
        <v>7.5</v>
      </c>
      <c r="T53" s="48" t="s">
        <v>613</v>
      </c>
      <c r="U53" s="48">
        <f>Z33</f>
        <v>25</v>
      </c>
      <c r="V53" s="48"/>
      <c r="W53" s="63">
        <f>V33/W33</f>
        <v>0.5</v>
      </c>
      <c r="X53" s="63">
        <f>AB33/$W33</f>
        <v>0.65</v>
      </c>
      <c r="Y53" s="63">
        <f t="shared" ref="Y53:Z53" si="107">AC33/$W33</f>
        <v>0.75</v>
      </c>
      <c r="Z53" s="63">
        <f t="shared" si="107"/>
        <v>0.85</v>
      </c>
      <c r="AM53" s="11" t="s">
        <v>540</v>
      </c>
      <c r="AN53" s="48">
        <f>AT33</f>
        <v>12.5</v>
      </c>
      <c r="AO53" s="48" t="s">
        <v>613</v>
      </c>
      <c r="AP53" s="48">
        <f>AU33</f>
        <v>30</v>
      </c>
      <c r="AQ53" s="48"/>
      <c r="AR53" s="63">
        <f>AQ33/AR33</f>
        <v>0.6</v>
      </c>
      <c r="AS53" s="63">
        <f>AW33/$W33</f>
        <v>0.65</v>
      </c>
      <c r="AT53" s="63">
        <f t="shared" ref="AT53" si="108">AX33/$W33</f>
        <v>0.75</v>
      </c>
      <c r="AU53" s="63">
        <f t="shared" ref="AU53" si="109">AY33/$W33</f>
        <v>0.85</v>
      </c>
    </row>
    <row r="54" spans="16:49" x14ac:dyDescent="0.2">
      <c r="R54" s="11"/>
      <c r="S54" s="11"/>
      <c r="T54" s="11"/>
      <c r="U54" s="11"/>
      <c r="V54" s="11"/>
      <c r="W54" s="63"/>
      <c r="X54" s="63"/>
      <c r="Y54" s="63"/>
      <c r="Z54" s="63"/>
      <c r="AM54" s="11"/>
      <c r="AN54" s="11"/>
      <c r="AO54" s="11"/>
      <c r="AP54" s="11"/>
      <c r="AQ54" s="11"/>
      <c r="AR54" s="63"/>
      <c r="AS54" s="63"/>
      <c r="AT54" s="63"/>
      <c r="AU54" s="63"/>
    </row>
    <row r="55" spans="16:49" x14ac:dyDescent="0.2">
      <c r="R55" s="11" t="s">
        <v>535</v>
      </c>
      <c r="S55" s="48">
        <f>Y39</f>
        <v>8.3333333333333321</v>
      </c>
      <c r="T55" s="48" t="s">
        <v>613</v>
      </c>
      <c r="U55" s="48">
        <f>Z39</f>
        <v>25</v>
      </c>
      <c r="V55" s="48"/>
      <c r="W55" s="63">
        <f>V39/W39</f>
        <v>0.5</v>
      </c>
      <c r="X55" s="63">
        <f>AB39/$W39</f>
        <v>0.66666666666666663</v>
      </c>
      <c r="Y55" s="63">
        <f t="shared" ref="Y55:Z55" si="110">AC39/$W39</f>
        <v>0.75</v>
      </c>
      <c r="Z55" s="63">
        <f t="shared" si="110"/>
        <v>0.83333333333333337</v>
      </c>
      <c r="AM55" s="11" t="s">
        <v>541</v>
      </c>
      <c r="AN55" s="48">
        <f>AT39</f>
        <v>12.5</v>
      </c>
      <c r="AO55" s="48" t="s">
        <v>613</v>
      </c>
      <c r="AP55" s="48">
        <f>AU39</f>
        <v>29.166666666666668</v>
      </c>
      <c r="AQ55" s="48"/>
      <c r="AR55" s="63">
        <f>AQ39/AR39</f>
        <v>0.58333333333333337</v>
      </c>
      <c r="AS55" s="63">
        <f>AW39/$W39</f>
        <v>0.66666666666666663</v>
      </c>
      <c r="AT55" s="63">
        <f t="shared" ref="AT55" si="111">AX39/$W39</f>
        <v>0.75</v>
      </c>
      <c r="AU55" s="63">
        <f t="shared" ref="AU55" si="112">AY39/$W39</f>
        <v>0.83333333333333337</v>
      </c>
    </row>
    <row r="56" spans="16:49" x14ac:dyDescent="0.2">
      <c r="R56" s="11"/>
      <c r="S56" s="11"/>
      <c r="T56" s="11"/>
      <c r="V56" s="11"/>
      <c r="W56" s="63"/>
      <c r="X56" s="63"/>
      <c r="Y56" s="63"/>
      <c r="Z56" s="63"/>
      <c r="AM56" s="11"/>
      <c r="AN56" s="11"/>
      <c r="AO56" s="11"/>
      <c r="AQ56" s="11"/>
      <c r="AR56" s="63"/>
      <c r="AS56" s="63"/>
      <c r="AT56" s="63"/>
      <c r="AU56" s="63"/>
    </row>
    <row r="57" spans="16:49" x14ac:dyDescent="0.2">
      <c r="P57" s="2" t="s">
        <v>828</v>
      </c>
      <c r="Q57" s="2" t="s">
        <v>839</v>
      </c>
      <c r="R57" s="2" t="s">
        <v>838</v>
      </c>
      <c r="S57" s="11"/>
      <c r="U57" s="11"/>
      <c r="V57" s="11"/>
      <c r="W57" s="63"/>
      <c r="X57" s="63"/>
      <c r="Y57" s="63"/>
      <c r="Z57" s="63"/>
      <c r="AK57" s="2" t="s">
        <v>828</v>
      </c>
      <c r="AL57" s="2" t="s">
        <v>839</v>
      </c>
      <c r="AM57" s="2" t="s">
        <v>838</v>
      </c>
      <c r="AN57" s="11"/>
      <c r="AP57" s="11"/>
      <c r="AQ57" s="11"/>
      <c r="AR57" s="63"/>
      <c r="AS57" s="63"/>
      <c r="AT57" s="63"/>
      <c r="AU57" s="63"/>
    </row>
    <row r="58" spans="16:49" ht="17" x14ac:dyDescent="0.2">
      <c r="P58" s="2" t="s">
        <v>53</v>
      </c>
      <c r="Q58" s="3" t="s">
        <v>947</v>
      </c>
      <c r="R58" s="2" t="s">
        <v>1035</v>
      </c>
      <c r="S58" s="63">
        <f>(T29/W29)</f>
        <v>0.25874999999999998</v>
      </c>
      <c r="T58" s="48" t="s">
        <v>613</v>
      </c>
      <c r="U58" s="71">
        <f>V29/W29</f>
        <v>0.5575</v>
      </c>
      <c r="V58" s="63">
        <f>AA29/W29</f>
        <v>0.37</v>
      </c>
      <c r="W58" s="63">
        <f>U58</f>
        <v>0.5575</v>
      </c>
      <c r="X58" s="63">
        <f>AB29/$W29</f>
        <v>0.64375000000000004</v>
      </c>
      <c r="Y58" s="63">
        <f t="shared" ref="Y58:Z58" si="113">AC29/$W29</f>
        <v>0.71</v>
      </c>
      <c r="Z58" s="63">
        <f t="shared" si="113"/>
        <v>0.78249999999999997</v>
      </c>
      <c r="AK58" s="2" t="s">
        <v>53</v>
      </c>
      <c r="AL58" s="3" t="s">
        <v>947</v>
      </c>
      <c r="AM58" s="2" t="s">
        <v>1052</v>
      </c>
      <c r="AN58" s="63">
        <f>(AO29/AR29)</f>
        <v>0.35878787878787882</v>
      </c>
      <c r="AO58" s="48" t="s">
        <v>613</v>
      </c>
      <c r="AP58" s="71">
        <f>AQ29/AR29</f>
        <v>0.62424242424242427</v>
      </c>
      <c r="AQ58" s="63">
        <f>AV29/AR29</f>
        <v>0.44848484848484849</v>
      </c>
      <c r="AR58" s="63">
        <f>AP58</f>
        <v>0.62424242424242427</v>
      </c>
      <c r="AS58" s="63">
        <f>AW29/$W29</f>
        <v>0.72750000000000004</v>
      </c>
      <c r="AT58" s="63">
        <f t="shared" ref="AT58" si="114">AX29/$W29</f>
        <v>0.81125000000000003</v>
      </c>
      <c r="AU58" s="63">
        <f t="shared" ref="AU58" si="115">AY29/$W29</f>
        <v>0.89499999999999991</v>
      </c>
    </row>
    <row r="59" spans="16:49" ht="17" x14ac:dyDescent="0.2">
      <c r="P59" s="2" t="s">
        <v>54</v>
      </c>
      <c r="Q59" s="3" t="s">
        <v>798</v>
      </c>
      <c r="R59" s="2" t="s">
        <v>1036</v>
      </c>
      <c r="S59" s="63">
        <f>T33/W33</f>
        <v>0.15</v>
      </c>
      <c r="T59" s="48" t="s">
        <v>613</v>
      </c>
      <c r="U59" s="63">
        <f>V33/W33</f>
        <v>0.5</v>
      </c>
      <c r="V59" s="63">
        <f>AA33/W33</f>
        <v>0.3</v>
      </c>
      <c r="W59" s="63">
        <f>U59</f>
        <v>0.5</v>
      </c>
      <c r="X59" s="63">
        <f>AB33/$W33</f>
        <v>0.65</v>
      </c>
      <c r="Y59" s="63">
        <f t="shared" ref="Y59:Z59" si="116">AC33/$W33</f>
        <v>0.75</v>
      </c>
      <c r="Z59" s="63">
        <f t="shared" si="116"/>
        <v>0.85</v>
      </c>
      <c r="AK59" s="2" t="s">
        <v>54</v>
      </c>
      <c r="AL59" s="3" t="s">
        <v>798</v>
      </c>
      <c r="AM59" s="2" t="s">
        <v>961</v>
      </c>
      <c r="AN59" s="63">
        <f>AO33/AR33</f>
        <v>0.25</v>
      </c>
      <c r="AO59" s="48" t="s">
        <v>613</v>
      </c>
      <c r="AP59" s="63">
        <f>AQ33/AR33</f>
        <v>0.6</v>
      </c>
      <c r="AQ59" s="63">
        <f>AV33/AR33</f>
        <v>0.35</v>
      </c>
      <c r="AR59" s="63">
        <f>AP59</f>
        <v>0.6</v>
      </c>
      <c r="AS59" s="63">
        <f>AW33/$W33</f>
        <v>0.65</v>
      </c>
      <c r="AT59" s="63">
        <f t="shared" ref="AT59" si="117">AX33/$W33</f>
        <v>0.75</v>
      </c>
      <c r="AU59" s="63">
        <f t="shared" ref="AU59" si="118">AY33/$W33</f>
        <v>0.85</v>
      </c>
    </row>
    <row r="60" spans="16:49" ht="51" x14ac:dyDescent="0.2">
      <c r="P60" s="2" t="s">
        <v>643</v>
      </c>
      <c r="Q60" s="3" t="s">
        <v>1028</v>
      </c>
      <c r="R60" s="2" t="s">
        <v>1037</v>
      </c>
      <c r="S60" s="63">
        <f>(T33+T33+T39)/(W33+W33+W39)</f>
        <v>0.15625</v>
      </c>
      <c r="T60" s="48" t="s">
        <v>613</v>
      </c>
      <c r="U60" s="71">
        <f>(V33+V33+V39)/(W33+W33+W39)</f>
        <v>0.5</v>
      </c>
      <c r="V60" s="63">
        <f>(AA33+AA33+AA39)/(W33+W33+W39)</f>
        <v>0.3125</v>
      </c>
      <c r="W60" s="63">
        <f>U60</f>
        <v>0.5</v>
      </c>
      <c r="X60" s="63">
        <f>(AB33+AB33+AB39)/($W33+$W33+$W39)</f>
        <v>0.65625</v>
      </c>
      <c r="Y60" s="63">
        <f t="shared" ref="Y60:Z60" si="119">(AC33+AC33+AC39)/($W33+$W33+$W39)</f>
        <v>0.75</v>
      </c>
      <c r="Z60" s="63">
        <f t="shared" si="119"/>
        <v>0.84375</v>
      </c>
      <c r="AK60" s="2" t="s">
        <v>643</v>
      </c>
      <c r="AL60" s="3" t="s">
        <v>1028</v>
      </c>
      <c r="AM60" s="2" t="s">
        <v>962</v>
      </c>
      <c r="AN60" s="63">
        <f>(AO33+AO33+AO39)/(AR33+AR33+AR39)</f>
        <v>0.25</v>
      </c>
      <c r="AO60" s="48" t="s">
        <v>613</v>
      </c>
      <c r="AP60" s="71">
        <f>(AQ33+AQ33+AQ39)/(AR33+AR33+AR39)</f>
        <v>0.59375</v>
      </c>
      <c r="AQ60" s="63">
        <f>(AV33+AV33+AV39)/(AR33+AR33+AR39)</f>
        <v>0.375</v>
      </c>
      <c r="AR60" s="63">
        <f>AP60</f>
        <v>0.59375</v>
      </c>
      <c r="AS60" s="63">
        <f>(AW33+AW33+AW39)/($W33+$W33+$W39)</f>
        <v>0.65625</v>
      </c>
      <c r="AT60" s="63">
        <f t="shared" ref="AT60" si="120">(AX33+AX33+AX39)/($W33+$W33+$W39)</f>
        <v>0.75</v>
      </c>
      <c r="AU60" s="63">
        <f t="shared" ref="AU60" si="121">(AY33+AY33+AY39)/($W33+$W33+$W39)</f>
        <v>0.84375</v>
      </c>
    </row>
    <row r="61" spans="16:49" x14ac:dyDescent="0.2">
      <c r="Q61" s="3"/>
      <c r="S61" s="63"/>
      <c r="T61" s="63"/>
      <c r="U61" s="63"/>
      <c r="V61" s="63"/>
      <c r="W61" s="63"/>
      <c r="X61" s="63"/>
      <c r="Y61" s="63"/>
      <c r="Z61" s="63"/>
      <c r="AL61" s="3"/>
      <c r="AN61" s="63"/>
      <c r="AO61" s="63"/>
      <c r="AP61" s="63"/>
      <c r="AQ61" s="63"/>
      <c r="AR61" s="63"/>
      <c r="AS61" s="63"/>
      <c r="AT61" s="63"/>
      <c r="AU61" s="63"/>
    </row>
    <row r="62" spans="16:49" ht="68" x14ac:dyDescent="0.2">
      <c r="P62" s="2" t="s">
        <v>645</v>
      </c>
      <c r="Q62" s="3" t="s">
        <v>1029</v>
      </c>
      <c r="R62" s="2" t="s">
        <v>1038</v>
      </c>
      <c r="S62" s="63">
        <f>(T39+T39+T34+T34+T33)/(W33+W34+W34+W39+W39)</f>
        <v>0.16250000000000001</v>
      </c>
      <c r="T62" s="48" t="s">
        <v>613</v>
      </c>
      <c r="U62" s="71">
        <f>(V39+V39+V34+V34+V33)/(W33+W34+W34+W39+W39)</f>
        <v>0.5</v>
      </c>
      <c r="V62" s="63">
        <f>(AA39+AA39+AA34+AA34+AA33)/(W33+W34+W34+W39+W39)</f>
        <v>0.32500000000000001</v>
      </c>
      <c r="W62" s="63">
        <f>U62</f>
        <v>0.5</v>
      </c>
      <c r="X62" s="63">
        <f>(AB39+AB39+AB34+AB34+AB33)/($W33+$W34+$W34+$W39+$W39)</f>
        <v>0.66249999999999998</v>
      </c>
      <c r="Y62" s="63">
        <f t="shared" ref="Y62:Z62" si="122">(AC39+AC39+AC34+AC34+AC33)/($W33+$W34+$W34+$W39+$W39)</f>
        <v>0.76249999999999996</v>
      </c>
      <c r="Z62" s="63">
        <f t="shared" si="122"/>
        <v>0.83750000000000002</v>
      </c>
      <c r="AK62" s="2" t="s">
        <v>645</v>
      </c>
      <c r="AL62" s="3" t="s">
        <v>1029</v>
      </c>
      <c r="AM62" s="2" t="s">
        <v>963</v>
      </c>
      <c r="AN62" s="63">
        <f>(AO39+AO39+AO34+AO34+AO33)/(AR33+AR34+AR34+AR39+AR39)</f>
        <v>0.23749999999999999</v>
      </c>
      <c r="AO62" s="48" t="s">
        <v>613</v>
      </c>
      <c r="AP62" s="71">
        <f>(AQ39+AQ39+AQ34+AQ34+AQ33)/(AR33+AR34+AR34+AR39+AR39)</f>
        <v>0.6</v>
      </c>
      <c r="AQ62" s="63">
        <f>(AV39+AV39+AV34+AV34+AV33)/(AR33+AR34+AR34+AR39+AR39)</f>
        <v>0.41249999999999998</v>
      </c>
      <c r="AR62" s="63">
        <f>AP62</f>
        <v>0.6</v>
      </c>
      <c r="AS62" s="63">
        <f>(AW39+AW39+AW34+AW34+AW33)/($W33+$W34+$W34+$W39+$W39)</f>
        <v>0.66249999999999998</v>
      </c>
      <c r="AT62" s="63">
        <f t="shared" ref="AT62" si="123">(AX39+AX39+AX34+AX34+AX33)/($W33+$W34+$W34+$W39+$W39)</f>
        <v>0.76249999999999996</v>
      </c>
      <c r="AU62" s="63">
        <f t="shared" ref="AU62" si="124">(AY39+AY39+AY34+AY34+AY33)/($W33+$W34+$W34+$W39+$W39)</f>
        <v>0.83750000000000002</v>
      </c>
    </row>
    <row r="63" spans="16:49" ht="51" x14ac:dyDescent="0.2">
      <c r="P63" s="2" t="s">
        <v>646</v>
      </c>
      <c r="Q63" s="3" t="s">
        <v>1030</v>
      </c>
      <c r="R63" s="2" t="s">
        <v>1039</v>
      </c>
      <c r="S63" s="71">
        <f>(T39+T39+T36+T36+T33)/(W33+W36+W36+W39+W39)</f>
        <v>0.16250000000000001</v>
      </c>
      <c r="T63" s="48" t="s">
        <v>613</v>
      </c>
      <c r="U63" s="71">
        <f>(V39+V39+V36+V36+V33)/(W33+W36+W36+W39+W39)</f>
        <v>0.5</v>
      </c>
      <c r="V63" s="63">
        <f>(AA39+AA39+AA36+AA36+AA33)/(W33+W36+W36+W39+W39)</f>
        <v>0.32500000000000001</v>
      </c>
      <c r="W63" s="63">
        <f>U63</f>
        <v>0.5</v>
      </c>
      <c r="X63" s="63">
        <f>(AB39+AB39+AB36+AB36+AB33)/($W33+$W36+$W36+$W39+$W39)</f>
        <v>0.66249999999999998</v>
      </c>
      <c r="Y63" s="63">
        <f t="shared" ref="Y63:Z63" si="125">(AC39+AC39+AC36+AC36+AC33)/($W33+$W36+$W36+$W39+$W39)</f>
        <v>0.73750000000000004</v>
      </c>
      <c r="Z63" s="63">
        <f t="shared" si="125"/>
        <v>0.83750000000000002</v>
      </c>
      <c r="AK63" s="2" t="s">
        <v>646</v>
      </c>
      <c r="AL63" s="3" t="s">
        <v>1030</v>
      </c>
      <c r="AM63" s="2" t="s">
        <v>964</v>
      </c>
      <c r="AN63" s="71">
        <f>(AO39+AO39+AO36+AO36+AO33)/(AR33+AR36+AR36+AR39+AR39)</f>
        <v>0.26250000000000001</v>
      </c>
      <c r="AO63" s="48" t="s">
        <v>613</v>
      </c>
      <c r="AP63" s="71">
        <f>(AQ39+AQ39+AQ36+AQ36+AQ33)/(AR33+AR36+AR36+AR39+AR39)</f>
        <v>0.57499999999999996</v>
      </c>
      <c r="AQ63" s="63">
        <f>(AV39+AV39+AV36+AV36+AV33)/(AR33+AR36+AR36+AR39+AR39)</f>
        <v>0.38750000000000001</v>
      </c>
      <c r="AR63" s="63">
        <f>AP63</f>
        <v>0.57499999999999996</v>
      </c>
      <c r="AS63" s="63">
        <f>(AW39+AW39+AW36+AW36+AW33)/($W33+$W36+$W36+$W39+$W39)</f>
        <v>0.66249999999999998</v>
      </c>
      <c r="AT63" s="63">
        <f t="shared" ref="AT63" si="126">(AX39+AX39+AX36+AX36+AX33)/($W33+$W36+$W36+$W39+$W39)</f>
        <v>0.73750000000000004</v>
      </c>
      <c r="AU63" s="63">
        <f t="shared" ref="AU63" si="127">(AY39+AY39+AY36+AY36+AY33)/($W33+$W36+$W36+$W39+$W39)</f>
        <v>0.83750000000000002</v>
      </c>
    </row>
    <row r="64" spans="16:49" ht="68" x14ac:dyDescent="0.2">
      <c r="P64" s="2" t="s">
        <v>642</v>
      </c>
      <c r="Q64" s="3" t="s">
        <v>1031</v>
      </c>
      <c r="R64" s="2" t="s">
        <v>1040</v>
      </c>
      <c r="S64" s="71">
        <f>(T39+T39+T35+T35+T33)/(W33+W35+W35+W39+W39)</f>
        <v>0.16250000000000001</v>
      </c>
      <c r="T64" s="48" t="s">
        <v>613</v>
      </c>
      <c r="U64" s="71">
        <f>(V39+V39+V35+V35+V33)/(W33+W35+W35+W39+W39)</f>
        <v>0.5</v>
      </c>
      <c r="V64" s="63">
        <f>(AA39+AA39+AA35+AA35+AA33)/(W33+W35+W35+W39+W39)</f>
        <v>0.32500000000000001</v>
      </c>
      <c r="W64" s="63">
        <f>U64</f>
        <v>0.5</v>
      </c>
      <c r="X64" s="63">
        <f>(AB39+AB39+AB35+AB35+AB33)/($W33+$W35+$W35+$W39+$W39)</f>
        <v>0.66249999999999998</v>
      </c>
      <c r="Y64" s="63">
        <f t="shared" ref="Y64:Z64" si="128">(AC39+AC39+AC35+AC35+AC33)/($W33+$W35+$W35+$W39+$W39)</f>
        <v>0.73750000000000004</v>
      </c>
      <c r="Z64" s="63">
        <f t="shared" si="128"/>
        <v>0.83750000000000002</v>
      </c>
      <c r="AK64" s="2" t="s">
        <v>642</v>
      </c>
      <c r="AL64" s="3" t="s">
        <v>1031</v>
      </c>
      <c r="AM64" s="2" t="s">
        <v>965</v>
      </c>
      <c r="AN64" s="71">
        <f>(AO39+AO39+AO35+AO35+AO33)/(AR33+AR35+AR35+AR39+AR39)</f>
        <v>0.26250000000000001</v>
      </c>
      <c r="AO64" s="48" t="s">
        <v>613</v>
      </c>
      <c r="AP64" s="71">
        <f>(AQ39+AQ39+AQ35+AQ35+AQ33)/(AR33+AR35+AR35+AR39+AR39)</f>
        <v>0.57499999999999996</v>
      </c>
      <c r="AQ64" s="63">
        <f>(AV39+AV39+AV35+AV35+AV33)/(AR33+AR35+AR35+AR39+AR39)</f>
        <v>0.38750000000000001</v>
      </c>
      <c r="AR64" s="63">
        <f>AP64</f>
        <v>0.57499999999999996</v>
      </c>
      <c r="AS64" s="63">
        <f>(AW39+AW39+AW35+AW35+AW33)/($W33+$W35+$W35+$W39+$W39)</f>
        <v>0.66249999999999998</v>
      </c>
      <c r="AT64" s="63">
        <f t="shared" ref="AT64" si="129">(AX39+AX39+AX35+AX35+AX33)/($W33+$W35+$W35+$W39+$W39)</f>
        <v>0.73750000000000004</v>
      </c>
      <c r="AU64" s="63">
        <f t="shared" ref="AU64" si="130">(AY39+AY39+AY35+AY35+AY33)/($W33+$W35+$W35+$W39+$W39)</f>
        <v>0.83750000000000002</v>
      </c>
    </row>
    <row r="65" spans="16:47" ht="68" x14ac:dyDescent="0.2">
      <c r="P65" s="2" t="s">
        <v>904</v>
      </c>
      <c r="Q65" s="3" t="s">
        <v>1032</v>
      </c>
      <c r="R65" s="2" t="s">
        <v>1041</v>
      </c>
      <c r="S65" s="71">
        <f>(T39+T39+T37+T37+T33)/(W33+W37+W37+W39+W39)</f>
        <v>0.16250000000000001</v>
      </c>
      <c r="T65" s="63"/>
      <c r="U65" s="71">
        <f>(V39+V39+V37+V37+V33)/(W33+W37+W37+W39+W39)</f>
        <v>0.5</v>
      </c>
      <c r="V65" s="63">
        <f>(AA39+AA39+AA37+AA37+AA33)/(W33+W37+W37+W39+W39)</f>
        <v>0.32500000000000001</v>
      </c>
      <c r="W65" s="63">
        <f>U65</f>
        <v>0.5</v>
      </c>
      <c r="X65" s="63">
        <f>(AB39+AB39+AB37+AB37+AB33)/($W33+$W37+$W37+$W39+$W39)</f>
        <v>0.66249999999999998</v>
      </c>
      <c r="Y65" s="63">
        <f t="shared" ref="Y65:Z65" si="131">(AC39+AC39+AC37+AC37+AC33)/($W33+$W37+$W37+$W39+$W39)</f>
        <v>0.76249999999999996</v>
      </c>
      <c r="Z65" s="63">
        <f t="shared" si="131"/>
        <v>0.83750000000000002</v>
      </c>
      <c r="AK65" s="2" t="s">
        <v>904</v>
      </c>
      <c r="AL65" s="3" t="s">
        <v>1032</v>
      </c>
      <c r="AM65" s="2" t="s">
        <v>971</v>
      </c>
      <c r="AN65" s="71">
        <f>(AO39+AO39+AO37+AO37+AO33)/(AR33+AR37+AR37+AR39+AR39)</f>
        <v>0.23749999999999999</v>
      </c>
      <c r="AO65" s="63"/>
      <c r="AP65" s="71">
        <f>(AQ39+AQ39+AQ37+AQ37+AQ33)/(AR33+AR37+AR37+AR39+AR39)</f>
        <v>0.6</v>
      </c>
      <c r="AQ65" s="63">
        <f>(AV39+AV39+AV37+AV37+AV33)/(AR33+AR37+AR37+AR39+AR39)</f>
        <v>0.41249999999999998</v>
      </c>
      <c r="AR65" s="63">
        <f>AP65</f>
        <v>0.6</v>
      </c>
      <c r="AS65" s="63">
        <f>(AW39+AW39+AW37+AW37+AW33)/($W33+$W37+$W37+$W39+$W39)</f>
        <v>0.66249999999999998</v>
      </c>
      <c r="AT65" s="63">
        <f t="shared" ref="AT65" si="132">(AX39+AX39+AX37+AX37+AX33)/($W33+$W37+$W37+$W39+$W39)</f>
        <v>0.76249999999999996</v>
      </c>
      <c r="AU65" s="63">
        <f t="shared" ref="AU65" si="133">(AY39+AY39+AY37+AY37+AY33)/($W33+$W37+$W37+$W39+$W39)</f>
        <v>0.83750000000000002</v>
      </c>
    </row>
    <row r="66" spans="16:47" ht="34" x14ac:dyDescent="0.2">
      <c r="P66" s="2" t="s">
        <v>648</v>
      </c>
      <c r="Q66" s="3" t="s">
        <v>1034</v>
      </c>
      <c r="R66" s="2" t="s">
        <v>1042</v>
      </c>
      <c r="S66" s="71">
        <f>(T33+T27)/(W27+W33)</f>
        <v>0.13333333333333333</v>
      </c>
      <c r="T66" s="48" t="s">
        <v>613</v>
      </c>
      <c r="U66" s="71">
        <f>(V33+V27)/(W27+W33)</f>
        <v>0.46666666666666667</v>
      </c>
      <c r="V66" s="63">
        <f>(AA33+AA27)/(W27+W33)</f>
        <v>0.26666666666666666</v>
      </c>
      <c r="W66" s="63">
        <f>U66</f>
        <v>0.46666666666666667</v>
      </c>
      <c r="X66" s="63">
        <f>(AB33+AB27)/($W27+$W33)</f>
        <v>0.6</v>
      </c>
      <c r="Y66" s="63">
        <f t="shared" ref="Y66:Z66" si="134">(AC33+AC27)/($W27+$W33)</f>
        <v>0.7</v>
      </c>
      <c r="Z66" s="63">
        <f t="shared" si="134"/>
        <v>0.8</v>
      </c>
      <c r="AK66" s="2" t="s">
        <v>648</v>
      </c>
      <c r="AL66" s="3" t="s">
        <v>1034</v>
      </c>
      <c r="AM66" s="2" t="s">
        <v>967</v>
      </c>
      <c r="AN66" s="71">
        <f>(AO33+AO27)/(AR27+AR33)</f>
        <v>0.23333333333333334</v>
      </c>
      <c r="AO66" s="48" t="s">
        <v>613</v>
      </c>
      <c r="AP66" s="71">
        <f>(AQ33+AQ27)/(AR27+AR33)</f>
        <v>0.53333333333333333</v>
      </c>
      <c r="AQ66" s="63">
        <f>(AV33+AV27)/(AR27+AR33)</f>
        <v>0.3</v>
      </c>
      <c r="AR66" s="63">
        <f>AP66</f>
        <v>0.53333333333333333</v>
      </c>
      <c r="AS66" s="63">
        <f>(AW33+AW27)/($W27+$W33)</f>
        <v>0.6</v>
      </c>
      <c r="AT66" s="63">
        <f t="shared" ref="AT66" si="135">(AX33+AX27)/($W27+$W33)</f>
        <v>0.7</v>
      </c>
      <c r="AU66" s="63">
        <f t="shared" ref="AU66" si="136">(AY33+AY27)/($W27+$W33)</f>
        <v>0.8</v>
      </c>
    </row>
    <row r="67" spans="16:47" ht="34" x14ac:dyDescent="0.2">
      <c r="P67" s="2" t="s">
        <v>647</v>
      </c>
      <c r="Q67" s="3" t="s">
        <v>1050</v>
      </c>
      <c r="R67" s="2" t="s">
        <v>1043</v>
      </c>
      <c r="S67" s="71">
        <f>(T33+T34)/(W33+W34)</f>
        <v>0.15384615384615385</v>
      </c>
      <c r="T67" s="48" t="s">
        <v>613</v>
      </c>
      <c r="U67" s="71">
        <f>(V33+V34)/(W33+W34)</f>
        <v>0.5</v>
      </c>
      <c r="V67" s="63">
        <f>(AA33+AA34)/(W33+W34)</f>
        <v>0.30769230769230771</v>
      </c>
      <c r="W67" s="63">
        <f>U67</f>
        <v>0.5</v>
      </c>
      <c r="X67" s="63">
        <f>(AB33+AB34)/($W33+$W34)</f>
        <v>0.65384615384615385</v>
      </c>
      <c r="Y67" s="63">
        <f t="shared" ref="Y67:Z67" si="137">(AC33+AC34)/($W33+$W34)</f>
        <v>0.76923076923076927</v>
      </c>
      <c r="Z67" s="63">
        <f t="shared" si="137"/>
        <v>0.84615384615384615</v>
      </c>
      <c r="AK67" s="2" t="s">
        <v>647</v>
      </c>
      <c r="AL67" s="3" t="s">
        <v>1050</v>
      </c>
      <c r="AM67" s="2" t="s">
        <v>966</v>
      </c>
      <c r="AN67" s="71">
        <f>(AO33+AO34)/(AR33+AR34)</f>
        <v>0.23076923076923078</v>
      </c>
      <c r="AO67" s="48" t="s">
        <v>613</v>
      </c>
      <c r="AP67" s="71">
        <f>(AQ33+AQ34)/(AR33+AR34)</f>
        <v>0.61538461538461542</v>
      </c>
      <c r="AQ67" s="63">
        <f>(AV33+AV34)/(AR33+AR34)</f>
        <v>0.38461538461538464</v>
      </c>
      <c r="AR67" s="63">
        <f>AP67</f>
        <v>0.61538461538461542</v>
      </c>
      <c r="AS67" s="63">
        <f>(AW33+AW34)/($W33+$W34)</f>
        <v>0.65384615384615385</v>
      </c>
      <c r="AT67" s="63">
        <f t="shared" ref="AT67" si="138">(AX33+AX34)/($W33+$W34)</f>
        <v>0.76923076923076927</v>
      </c>
      <c r="AU67" s="63">
        <f t="shared" ref="AU67" si="139">(AY33+AY34)/($W33+$W34)</f>
        <v>0.84615384615384615</v>
      </c>
    </row>
    <row r="68" spans="16:47" ht="34" x14ac:dyDescent="0.2">
      <c r="P68" s="2" t="s">
        <v>649</v>
      </c>
      <c r="Q68" s="3" t="s">
        <v>1033</v>
      </c>
      <c r="R68" s="2" t="s">
        <v>1044</v>
      </c>
      <c r="S68" s="71">
        <f>(T33+T10)/(W10+W33)</f>
        <v>0.28111888111888111</v>
      </c>
      <c r="T68" s="48" t="s">
        <v>613</v>
      </c>
      <c r="U68" s="71">
        <f>(V33+V10)/(W10+W33)</f>
        <v>0.53333333333333333</v>
      </c>
      <c r="V68" s="63">
        <f>(AA33+AA10)/(W10+W33)</f>
        <v>0.32727272727272727</v>
      </c>
      <c r="W68" s="63">
        <f>U68</f>
        <v>0.53333333333333333</v>
      </c>
      <c r="X68" s="63">
        <f>(AB33+AB10)/($W10+$W33)</f>
        <v>0.57948717948717943</v>
      </c>
      <c r="Y68" s="63">
        <f t="shared" ref="Y68:Z68" si="140">(AC33+AC10)/($W10+$W33)</f>
        <v>0.64259189086775292</v>
      </c>
      <c r="Z68" s="63">
        <f t="shared" si="140"/>
        <v>0.70135746606334848</v>
      </c>
      <c r="AK68" s="2" t="s">
        <v>649</v>
      </c>
      <c r="AL68" s="3" t="s">
        <v>1033</v>
      </c>
      <c r="AM68" s="2" t="s">
        <v>968</v>
      </c>
      <c r="AN68" s="71">
        <f>(AO33+AO10)/(AR10+AR33)</f>
        <v>0.37326203208556147</v>
      </c>
      <c r="AO68" s="48" t="s">
        <v>613</v>
      </c>
      <c r="AP68" s="71">
        <f>(AQ33+AQ10)/(AR10+AR33)</f>
        <v>0.58823529411764708</v>
      </c>
      <c r="AQ68" s="63">
        <f>(AV33+AV10)/(AR10+AR33)</f>
        <v>0.39679144385026738</v>
      </c>
      <c r="AR68" s="63">
        <f>AP68</f>
        <v>0.58823529411764708</v>
      </c>
      <c r="AS68" s="63">
        <f>(AW33+AW10)/($W10+$W33)</f>
        <v>0.7846153846153846</v>
      </c>
      <c r="AT68" s="63">
        <f t="shared" ref="AT68" si="141">(AX33+AX10)/($W10+$W33)</f>
        <v>0.85418719211822658</v>
      </c>
      <c r="AU68" s="63">
        <f t="shared" ref="AU68" si="142">(AY33+AY10)/($W10+$W33)</f>
        <v>0.91855203619909498</v>
      </c>
    </row>
    <row r="69" spans="16:47" x14ac:dyDescent="0.2">
      <c r="Q69" s="3"/>
      <c r="S69" s="71"/>
      <c r="T69" s="63"/>
      <c r="U69" s="71"/>
      <c r="V69" s="63"/>
      <c r="W69" s="63"/>
      <c r="X69" s="63"/>
      <c r="Y69" s="63"/>
      <c r="Z69" s="63"/>
      <c r="AL69" s="3"/>
      <c r="AN69" s="71"/>
      <c r="AO69" s="63"/>
      <c r="AP69" s="71"/>
      <c r="AQ69" s="63"/>
      <c r="AR69" s="63"/>
      <c r="AS69" s="63"/>
      <c r="AT69" s="63"/>
      <c r="AU69" s="63"/>
    </row>
    <row r="70" spans="16:47" ht="34" x14ac:dyDescent="0.2">
      <c r="P70" s="2" t="s">
        <v>782</v>
      </c>
      <c r="Q70" s="3" t="s">
        <v>1051</v>
      </c>
      <c r="R70" s="2" t="s">
        <v>1045</v>
      </c>
      <c r="S70" s="71">
        <f>(T33+T35)/(W33+W35)</f>
        <v>0.15384615384615385</v>
      </c>
      <c r="T70" s="48" t="s">
        <v>613</v>
      </c>
      <c r="U70" s="71">
        <f>(V33+V35)/(W33+W35)</f>
        <v>0.5</v>
      </c>
      <c r="V70" s="63">
        <f>(AA33+AA35)/(W33+W35)</f>
        <v>0.30769230769230771</v>
      </c>
      <c r="W70" s="63">
        <f>U70</f>
        <v>0.5</v>
      </c>
      <c r="X70" s="63">
        <f>(AB33+AB35)/($W33+$W35)</f>
        <v>0.65384615384615385</v>
      </c>
      <c r="Y70" s="63">
        <f t="shared" ref="Y70:Z70" si="143">(AC33+AC35)/($W33+$W35)</f>
        <v>0.73076923076923073</v>
      </c>
      <c r="Z70" s="63">
        <f t="shared" si="143"/>
        <v>0.84615384615384615</v>
      </c>
      <c r="AK70" s="2" t="s">
        <v>782</v>
      </c>
      <c r="AL70" s="3" t="s">
        <v>1051</v>
      </c>
      <c r="AM70" s="2" t="s">
        <v>970</v>
      </c>
      <c r="AN70" s="71">
        <f>(AO33+AO35)/(AR33+AR35)</f>
        <v>0.26923076923076922</v>
      </c>
      <c r="AO70" s="48" t="s">
        <v>613</v>
      </c>
      <c r="AP70" s="71">
        <f>(AQ33+AQ35)/(AR33+AR35)</f>
        <v>0.57692307692307687</v>
      </c>
      <c r="AQ70" s="63">
        <f>(AV33+AV35)/(AR33+AR35)</f>
        <v>0.34615384615384615</v>
      </c>
      <c r="AR70" s="63">
        <f>AP70</f>
        <v>0.57692307692307687</v>
      </c>
      <c r="AS70" s="63">
        <f>(AW33+AW35)/($W33+$W35)</f>
        <v>0.65384615384615385</v>
      </c>
      <c r="AT70" s="63">
        <f t="shared" ref="AT70" si="144">(AX33+AX35)/($W33+$W35)</f>
        <v>0.73076923076923073</v>
      </c>
      <c r="AU70" s="63">
        <f t="shared" ref="AU70" si="145">(AY33+AY35)/($W33+$W35)</f>
        <v>0.84615384615384615</v>
      </c>
    </row>
    <row r="71" spans="16:47" ht="34" x14ac:dyDescent="0.2">
      <c r="P71" s="2" t="s">
        <v>781</v>
      </c>
      <c r="Q71" s="3" t="s">
        <v>1033</v>
      </c>
      <c r="R71" s="2" t="s">
        <v>1046</v>
      </c>
      <c r="S71" s="71">
        <f>(T33+T10)/(W10+W33)</f>
        <v>0.28111888111888111</v>
      </c>
      <c r="T71" s="48" t="s">
        <v>613</v>
      </c>
      <c r="U71" s="71">
        <f>(V33+V10)/(W10+W33)</f>
        <v>0.53333333333333333</v>
      </c>
      <c r="V71" s="63">
        <f>(AA33+AA10)/(W10+W33)</f>
        <v>0.32727272727272727</v>
      </c>
      <c r="W71" s="63">
        <f>U71</f>
        <v>0.53333333333333333</v>
      </c>
      <c r="X71" s="63">
        <f>(AB33+AB10)/($W10+$W33)</f>
        <v>0.57948717948717943</v>
      </c>
      <c r="Y71" s="63">
        <f t="shared" ref="Y71:Z71" si="146">(AC33+AC10)/($W10+$W33)</f>
        <v>0.64259189086775292</v>
      </c>
      <c r="Z71" s="63">
        <f t="shared" si="146"/>
        <v>0.70135746606334848</v>
      </c>
      <c r="AK71" s="2" t="s">
        <v>781</v>
      </c>
      <c r="AL71" s="3" t="s">
        <v>1033</v>
      </c>
      <c r="AM71" s="2" t="s">
        <v>969</v>
      </c>
      <c r="AN71" s="71">
        <f>(AO33+AO10)/(AR10+AR33)</f>
        <v>0.37326203208556147</v>
      </c>
      <c r="AO71" s="48" t="s">
        <v>613</v>
      </c>
      <c r="AP71" s="71">
        <f>(AQ33+AQ10)/(AR10+AR33)</f>
        <v>0.58823529411764708</v>
      </c>
      <c r="AQ71" s="63">
        <f>(AV33+AV10)/(AR10+AR33)</f>
        <v>0.39679144385026738</v>
      </c>
      <c r="AR71" s="63">
        <f>AP71</f>
        <v>0.58823529411764708</v>
      </c>
      <c r="AS71" s="63">
        <f>(AW33+AW10)/($W10+$W33)</f>
        <v>0.7846153846153846</v>
      </c>
      <c r="AT71" s="63">
        <f t="shared" ref="AT71" si="147">(AX33+AX10)/($W10+$W33)</f>
        <v>0.85418719211822658</v>
      </c>
      <c r="AU71" s="63">
        <f t="shared" ref="AU71" si="148">(AY33+AY10)/($W10+$W33)</f>
        <v>0.91855203619909498</v>
      </c>
    </row>
    <row r="72" spans="16:47" x14ac:dyDescent="0.2">
      <c r="Q72" s="3"/>
      <c r="S72" s="71"/>
      <c r="T72" s="63"/>
      <c r="U72" s="71"/>
      <c r="V72" s="63"/>
      <c r="W72" s="63"/>
      <c r="X72" s="63"/>
      <c r="Y72" s="63"/>
      <c r="Z72" s="63"/>
      <c r="AL72" s="3"/>
      <c r="AN72" s="71"/>
      <c r="AO72" s="63"/>
      <c r="AP72" s="71"/>
      <c r="AQ72" s="63"/>
      <c r="AR72" s="63"/>
      <c r="AS72" s="63"/>
      <c r="AT72" s="63"/>
      <c r="AU72" s="63"/>
    </row>
    <row r="73" spans="16:47" ht="34" x14ac:dyDescent="0.2">
      <c r="P73" s="2" t="s">
        <v>859</v>
      </c>
      <c r="Q73" s="3" t="s">
        <v>868</v>
      </c>
      <c r="R73" s="2" t="s">
        <v>1047</v>
      </c>
      <c r="S73" s="71">
        <f>(S59+S60+S62+S63+S64+S65)/6</f>
        <v>0.15937499999999999</v>
      </c>
      <c r="T73" s="48" t="s">
        <v>613</v>
      </c>
      <c r="U73" s="71">
        <f>(U59+U60+U62+U63+U64+U65)/6</f>
        <v>0.5</v>
      </c>
      <c r="W73" s="71">
        <f>(W59+W60+W62+W63+W64+W65)/6</f>
        <v>0.5</v>
      </c>
      <c r="X73" s="71">
        <f t="shared" ref="X73:Z73" si="149">(X59+X60+X62+X63+X64+X65)/6</f>
        <v>0.65937500000000004</v>
      </c>
      <c r="Y73" s="71">
        <f t="shared" si="149"/>
        <v>0.75</v>
      </c>
      <c r="Z73" s="71">
        <f t="shared" si="149"/>
        <v>0.84062500000000007</v>
      </c>
      <c r="AK73" s="2" t="s">
        <v>859</v>
      </c>
      <c r="AL73" s="3" t="s">
        <v>868</v>
      </c>
      <c r="AM73" s="2" t="s">
        <v>1019</v>
      </c>
      <c r="AN73" s="71">
        <f>(AN59+AN60+AN62+AN63+AN64+AN65)/6</f>
        <v>0.25</v>
      </c>
      <c r="AO73" s="48" t="s">
        <v>613</v>
      </c>
      <c r="AP73" s="71">
        <f>(AP59+AP60+AP62+AP63+AP64+AP65)/6</f>
        <v>0.59062500000000007</v>
      </c>
      <c r="AR73" s="71">
        <f>(AR59+AR60+AR62+AR63+AR64+AR65)/6</f>
        <v>0.59062500000000007</v>
      </c>
      <c r="AS73" s="71">
        <f t="shared" ref="AS73:AU73" si="150">(AS59+AS60+AS62+AS63+AS64+AS65)/6</f>
        <v>0.65937500000000004</v>
      </c>
      <c r="AT73" s="71">
        <f t="shared" si="150"/>
        <v>0.75</v>
      </c>
      <c r="AU73" s="71">
        <f t="shared" si="150"/>
        <v>0.84062500000000007</v>
      </c>
    </row>
    <row r="74" spans="16:47" x14ac:dyDescent="0.2">
      <c r="Q74" s="3"/>
      <c r="S74" s="71"/>
      <c r="T74" s="63"/>
      <c r="U74" s="71"/>
      <c r="W74" s="71"/>
      <c r="X74" s="71"/>
      <c r="Y74" s="71"/>
      <c r="Z74" s="71"/>
      <c r="AL74" s="3"/>
      <c r="AN74" s="71"/>
      <c r="AO74" s="63"/>
      <c r="AP74" s="71"/>
      <c r="AR74" s="71"/>
      <c r="AS74" s="71"/>
      <c r="AT74" s="71"/>
      <c r="AU74" s="71"/>
    </row>
    <row r="75" spans="16:47" ht="34" x14ac:dyDescent="0.2">
      <c r="P75" s="2" t="s">
        <v>65</v>
      </c>
      <c r="Q75" s="3" t="s">
        <v>869</v>
      </c>
      <c r="R75" s="2" t="s">
        <v>1048</v>
      </c>
      <c r="S75" s="71">
        <f>(S71+S70+S68+S67+S66)/5</f>
        <v>0.20065268065268066</v>
      </c>
      <c r="T75" s="48" t="s">
        <v>613</v>
      </c>
      <c r="U75" s="71">
        <f>(U71+U70+U68+U67+U66)/5</f>
        <v>0.5066666666666666</v>
      </c>
      <c r="W75" s="71">
        <f>(W71+W70+W68+W67+W66)/5</f>
        <v>0.5066666666666666</v>
      </c>
      <c r="X75" s="71">
        <f>(X71+X70+X68+X67+X66)/5</f>
        <v>0.6133333333333334</v>
      </c>
      <c r="Y75" s="71">
        <f>(Y71+Y70+Y68+Y67+Y66)/5</f>
        <v>0.69703675634710116</v>
      </c>
      <c r="Z75" s="71">
        <f>(Z71+Z70+Z68+Z67+Z66)/5</f>
        <v>0.77900452488687788</v>
      </c>
      <c r="AK75" s="2" t="s">
        <v>65</v>
      </c>
      <c r="AL75" s="3" t="s">
        <v>869</v>
      </c>
      <c r="AM75" s="2" t="s">
        <v>1020</v>
      </c>
      <c r="AN75" s="71">
        <f>(AN71+AN70+AN68+AN67+AN66)/5</f>
        <v>0.29597147950089131</v>
      </c>
      <c r="AO75" s="48" t="s">
        <v>613</v>
      </c>
      <c r="AP75" s="71">
        <f>(AP71+AP70+AP68+AP67+AP66)/5</f>
        <v>0.58042232277526395</v>
      </c>
      <c r="AR75" s="71">
        <f>(AR71+AR70+AR68+AR67+AR66)/5</f>
        <v>0.58042232277526395</v>
      </c>
      <c r="AS75" s="71">
        <f>(AS71+AS70+AS68+AS67+AS66)/5</f>
        <v>0.69538461538461538</v>
      </c>
      <c r="AT75" s="71">
        <f>(AT71+AT70+AT68+AT67+AT66)/5</f>
        <v>0.78167487684729053</v>
      </c>
      <c r="AU75" s="71">
        <f>(AU71+AU70+AU68+AU67+AU66)/5</f>
        <v>0.86588235294117644</v>
      </c>
    </row>
    <row r="76" spans="16:47" x14ac:dyDescent="0.2">
      <c r="Q76" s="3"/>
      <c r="S76" s="63"/>
      <c r="T76" s="63"/>
      <c r="U76" s="63"/>
      <c r="W76" s="63"/>
      <c r="X76" s="63"/>
      <c r="Y76" s="63"/>
      <c r="Z76" s="63"/>
      <c r="AL76" s="3"/>
      <c r="AN76" s="63"/>
      <c r="AO76" s="63"/>
      <c r="AP76" s="63"/>
      <c r="AR76" s="63"/>
      <c r="AS76" s="63"/>
      <c r="AT76" s="63"/>
      <c r="AU76" s="63"/>
    </row>
    <row r="77" spans="16:47" ht="51" x14ac:dyDescent="0.2">
      <c r="P77" s="2" t="s">
        <v>860</v>
      </c>
      <c r="Q77" s="3" t="s">
        <v>864</v>
      </c>
      <c r="R77" s="2" t="s">
        <v>1049</v>
      </c>
      <c r="S77" s="63">
        <f>AVERAGE(S71,S70,S68,S67,S66,S64,S63,S62,S65,S60,S59)</f>
        <v>0.17813758211485486</v>
      </c>
      <c r="T77" s="48" t="s">
        <v>613</v>
      </c>
      <c r="U77" s="63">
        <f>AVERAGE(U71,U70,U68,U67,U66,U64,U63,U62,U65,U60,U59)</f>
        <v>0.50303030303030305</v>
      </c>
      <c r="W77" s="63">
        <f>AVERAGE(W71,W70,W68,W67,W66,W64,W63,W62,W65,W60,W59)</f>
        <v>0.50303030303030305</v>
      </c>
      <c r="X77" s="63">
        <f>AVERAGE(X71,X70,X68,X67,X66,X64,X63,X62,X65,X60,X59)</f>
        <v>0.63844696969696968</v>
      </c>
      <c r="Y77" s="63">
        <f>AVERAGE(Y71,Y70,Y68,Y67,Y66,Y64,Y63,Y62,Y65,Y60,Y59)</f>
        <v>0.72592579833959148</v>
      </c>
      <c r="Z77" s="63">
        <f>AVERAGE(Z71,Z70,Z68,Z67,Z66,Z64,Z63,Z62,Z65,Z60,Z59)</f>
        <v>0.81261569313039916</v>
      </c>
      <c r="AK77" s="2" t="s">
        <v>860</v>
      </c>
      <c r="AL77" s="3" t="s">
        <v>864</v>
      </c>
      <c r="AM77" s="2" t="s">
        <v>1018</v>
      </c>
      <c r="AN77" s="63">
        <f>AVERAGE(AN71,AN70,AN68,AN67,AN66,AN64,AN63,AN62,AN65,AN60,AN59)</f>
        <v>0.27089612704585964</v>
      </c>
      <c r="AO77" s="48" t="s">
        <v>613</v>
      </c>
      <c r="AP77" s="63">
        <f>AVERAGE(AP71,AP70,AP68,AP67,AP66,AP64,AP63,AP62,AP65,AP60,AP59)</f>
        <v>0.58598741944330168</v>
      </c>
      <c r="AR77" s="63">
        <f>AVERAGE(AR71,AR70,AR68,AR67,AR66,AR64,AR63,AR62,AR65,AR60,AR59)</f>
        <v>0.58598741944330168</v>
      </c>
      <c r="AS77" s="63">
        <f>AVERAGE(AS71,AS70,AS68,AS67,AS66,AS64,AS63,AS62,AS65,AS60,AS59)</f>
        <v>0.67574300699300693</v>
      </c>
      <c r="AT77" s="63">
        <f>AVERAGE(AT71,AT70,AT68,AT67,AT66,AT64,AT63,AT62,AT65,AT60,AT59)</f>
        <v>0.76439767129422298</v>
      </c>
      <c r="AU77" s="63">
        <f>AVERAGE(AU71,AU70,AU68,AU67,AU66,AU64,AU63,AU62,AU65,AU60,AU59)</f>
        <v>0.85210561497326198</v>
      </c>
    </row>
    <row r="78" spans="16:47" x14ac:dyDescent="0.2">
      <c r="S78" s="63"/>
      <c r="T78" s="63"/>
      <c r="U78" s="63"/>
      <c r="AM78" s="11"/>
    </row>
    <row r="79" spans="16:47" ht="68" x14ac:dyDescent="0.2">
      <c r="P79" s="55" t="s">
        <v>1077</v>
      </c>
      <c r="Q79" s="3" t="s">
        <v>1078</v>
      </c>
      <c r="R79" s="2" t="s">
        <v>763</v>
      </c>
      <c r="S79" s="84">
        <f>(T21/$W21)*100</f>
        <v>13.333333333333334</v>
      </c>
      <c r="T79" s="84"/>
      <c r="U79" s="84">
        <f>(V21/$W21)*100</f>
        <v>50</v>
      </c>
      <c r="V79" s="84"/>
      <c r="W79" s="84">
        <f>U79</f>
        <v>50</v>
      </c>
      <c r="X79" s="84">
        <f>(AB21/$W21)*100</f>
        <v>55.000000000000007</v>
      </c>
      <c r="Y79" s="84">
        <f t="shared" ref="Y79:Z79" si="151">(AC21/$W21)*100</f>
        <v>60</v>
      </c>
      <c r="Z79" s="84">
        <f t="shared" si="151"/>
        <v>66.666666666666657</v>
      </c>
      <c r="AK79" s="55" t="s">
        <v>1077</v>
      </c>
      <c r="AL79" s="3" t="s">
        <v>1078</v>
      </c>
      <c r="AM79" s="2" t="s">
        <v>763</v>
      </c>
      <c r="AN79" s="84">
        <f>(AO21/AR21)*100</f>
        <v>30</v>
      </c>
      <c r="AO79" s="84"/>
      <c r="AP79" s="84">
        <f>(AQ21/AR21)*100</f>
        <v>63.333333333333329</v>
      </c>
      <c r="AQ79" s="84"/>
      <c r="AR79" s="84">
        <f>AP79</f>
        <v>63.333333333333329</v>
      </c>
      <c r="AS79" s="84">
        <f>(AW21/$AR21)*100</f>
        <v>68.333333333333329</v>
      </c>
      <c r="AT79" s="84">
        <f t="shared" ref="AT79:AU79" si="152">(AX21/$AR21)*100</f>
        <v>73.333333333333329</v>
      </c>
      <c r="AU79" s="84">
        <f t="shared" si="152"/>
        <v>83.333333333333343</v>
      </c>
    </row>
    <row r="80" spans="16:47" ht="68" x14ac:dyDescent="0.2">
      <c r="Q80" s="3" t="s">
        <v>1080</v>
      </c>
      <c r="R80" s="2" t="s">
        <v>760</v>
      </c>
      <c r="S80" s="84">
        <f>(T22/$W22)*100</f>
        <v>20</v>
      </c>
      <c r="T80" s="8"/>
      <c r="U80" s="84">
        <f>(V22/$W22)*100</f>
        <v>52.41379310344827</v>
      </c>
      <c r="V80" s="8"/>
      <c r="W80" s="84">
        <f>U80</f>
        <v>52.41379310344827</v>
      </c>
      <c r="X80" s="84">
        <f>(AB22/$W22)*100</f>
        <v>56.551724137931025</v>
      </c>
      <c r="Y80" s="84">
        <f t="shared" ref="Y80:Z80" si="153">(AC22/$W22)*100</f>
        <v>60.689655172413801</v>
      </c>
      <c r="Z80" s="84">
        <f t="shared" si="153"/>
        <v>64.827586206896555</v>
      </c>
      <c r="AL80" s="3" t="s">
        <v>1080</v>
      </c>
      <c r="AM80" s="2" t="s">
        <v>760</v>
      </c>
      <c r="AN80" s="84">
        <f>(AO22/AR22)*100</f>
        <v>32.666666666666671</v>
      </c>
      <c r="AO80" s="8"/>
      <c r="AP80" s="84">
        <f>(AQ22/AR22)*100</f>
        <v>62</v>
      </c>
      <c r="AQ80" s="8"/>
      <c r="AR80" s="84">
        <f>AP80</f>
        <v>62</v>
      </c>
      <c r="AS80" s="84">
        <f>(AW22/$AR22)*100</f>
        <v>66</v>
      </c>
      <c r="AT80" s="84">
        <f t="shared" ref="AT80:AU80" si="154">(AX22/$AR22)*100</f>
        <v>70.666666666666671</v>
      </c>
      <c r="AU80" s="84">
        <f t="shared" si="154"/>
        <v>78.666666666666671</v>
      </c>
    </row>
    <row r="81" spans="16:47" ht="51" x14ac:dyDescent="0.2">
      <c r="Q81" s="3" t="s">
        <v>1079</v>
      </c>
      <c r="R81" s="2" t="s">
        <v>759</v>
      </c>
      <c r="S81" s="8">
        <f>(T10/$W10)*100</f>
        <v>33.939393939393945</v>
      </c>
      <c r="T81" s="8"/>
      <c r="U81" s="8">
        <f>(V10/$W10)*100</f>
        <v>54.814814814814802</v>
      </c>
      <c r="V81" s="8"/>
      <c r="W81" s="84">
        <f>U81</f>
        <v>54.814814814814802</v>
      </c>
      <c r="X81" s="8">
        <f>(AB10/$W10)*100</f>
        <v>54.814814814814802</v>
      </c>
      <c r="Y81" s="8">
        <f t="shared" ref="Y81:Z81" si="155">(AC10/$W10)*100</f>
        <v>59.485495347564324</v>
      </c>
      <c r="Z81" s="8">
        <f t="shared" si="155"/>
        <v>63.529411764705891</v>
      </c>
      <c r="AL81" s="3" t="s">
        <v>1079</v>
      </c>
      <c r="AM81" s="2" t="s">
        <v>759</v>
      </c>
      <c r="AN81" s="8">
        <f>(AO10/$AR10)*100</f>
        <v>41.11888111888112</v>
      </c>
      <c r="AO81" s="8"/>
      <c r="AP81" s="8">
        <f>(AQ10/$AR10)*100</f>
        <v>58.461538461538467</v>
      </c>
      <c r="AQ81" s="8"/>
      <c r="AR81" s="84">
        <f>AP81</f>
        <v>58.461538461538467</v>
      </c>
      <c r="AS81" s="8">
        <f>(AW10/$AR10)*100</f>
        <v>58.461538461538467</v>
      </c>
      <c r="AT81" s="8">
        <f t="shared" ref="AT81:AU81" si="156">(AX10/$AR10)*100</f>
        <v>62.341796134899575</v>
      </c>
      <c r="AU81" s="8">
        <f t="shared" si="156"/>
        <v>65.701357466063342</v>
      </c>
    </row>
    <row r="82" spans="16:47" ht="85" x14ac:dyDescent="0.2">
      <c r="Q82" s="3" t="s">
        <v>1081</v>
      </c>
      <c r="R82" s="2" t="s">
        <v>1072</v>
      </c>
      <c r="S82" s="85">
        <f>((1-(S79/90)))</f>
        <v>0.85185185185185186</v>
      </c>
      <c r="T82" s="85"/>
      <c r="U82" s="85">
        <f>((1-(U79/90)))</f>
        <v>0.44444444444444442</v>
      </c>
      <c r="V82" s="85"/>
      <c r="W82" s="85">
        <f t="shared" ref="W82:Z82" si="157">((1-(W79/90)))</f>
        <v>0.44444444444444442</v>
      </c>
      <c r="X82" s="85">
        <f t="shared" si="157"/>
        <v>0.38888888888888884</v>
      </c>
      <c r="Y82" s="85">
        <f t="shared" si="157"/>
        <v>0.33333333333333337</v>
      </c>
      <c r="Z82" s="85">
        <f t="shared" si="157"/>
        <v>0.25925925925925941</v>
      </c>
      <c r="AL82" s="3" t="s">
        <v>1081</v>
      </c>
      <c r="AM82" s="2" t="s">
        <v>1072</v>
      </c>
      <c r="AN82" s="85">
        <f>((1-(AN79/90)))</f>
        <v>0.66666666666666674</v>
      </c>
      <c r="AO82" s="85"/>
      <c r="AP82" s="85">
        <f>((1-(AP79/90)))</f>
        <v>0.29629629629629639</v>
      </c>
      <c r="AQ82" s="85"/>
      <c r="AR82" s="85">
        <f t="shared" ref="AR82:AU82" si="158">((1-(AR79/90)))</f>
        <v>0.29629629629629639</v>
      </c>
      <c r="AS82" s="85">
        <f t="shared" si="158"/>
        <v>0.24074074074074081</v>
      </c>
      <c r="AT82" s="85">
        <f t="shared" si="158"/>
        <v>0.18518518518518523</v>
      </c>
      <c r="AU82" s="85">
        <f t="shared" si="158"/>
        <v>7.4074074074073959E-2</v>
      </c>
    </row>
    <row r="84" spans="16:47" x14ac:dyDescent="0.2">
      <c r="Q84" s="2" t="s">
        <v>1099</v>
      </c>
      <c r="R84" s="2" t="s">
        <v>1100</v>
      </c>
      <c r="S84" s="63">
        <f>T23/$W23</f>
        <v>0.19999999999999998</v>
      </c>
      <c r="T84" s="63"/>
      <c r="U84" s="63">
        <f>V23/$W23</f>
        <v>0.54358974358974355</v>
      </c>
      <c r="V84" s="63"/>
      <c r="W84" s="63">
        <f>U84</f>
        <v>0.54358974358974355</v>
      </c>
      <c r="X84" s="63">
        <f>AB23/$W23</f>
        <v>0.58717948717948709</v>
      </c>
      <c r="Y84" s="63">
        <f t="shared" ref="Y84:Z84" si="159">AC23/$W23</f>
        <v>0.63076923076923086</v>
      </c>
      <c r="Z84" s="63">
        <f t="shared" si="159"/>
        <v>0.68717948717948718</v>
      </c>
      <c r="AL84" s="2" t="s">
        <v>1099</v>
      </c>
      <c r="AM84" s="2" t="s">
        <v>1100</v>
      </c>
      <c r="AN84" s="63">
        <f>AO23/$AR23</f>
        <v>0.34500000000000003</v>
      </c>
      <c r="AO84" s="63"/>
      <c r="AP84" s="63">
        <f>AQ23/$AR23</f>
        <v>0.64</v>
      </c>
      <c r="AQ84" s="63"/>
      <c r="AR84" s="63">
        <f>AP84</f>
        <v>0.64</v>
      </c>
      <c r="AS84" s="63">
        <f>AW23/$AR23</f>
        <v>0.6825</v>
      </c>
      <c r="AT84" s="63">
        <f t="shared" ref="AT84:AU84" si="160">AX23/$AR23</f>
        <v>0.73</v>
      </c>
      <c r="AU84" s="63">
        <f t="shared" si="160"/>
        <v>0.81500000000000006</v>
      </c>
    </row>
    <row r="86" spans="16:47" x14ac:dyDescent="0.2">
      <c r="P86" s="55" t="s">
        <v>1143</v>
      </c>
      <c r="S86" s="63"/>
      <c r="T86" s="63"/>
      <c r="U86" s="63"/>
      <c r="V86" s="63"/>
      <c r="W86" s="63"/>
      <c r="X86" s="63"/>
      <c r="Y86" s="63"/>
      <c r="Z86" s="63"/>
      <c r="AK86" s="55" t="s">
        <v>1143</v>
      </c>
      <c r="AN86" s="63"/>
      <c r="AO86" s="63"/>
      <c r="AP86" s="63"/>
      <c r="AQ86" s="63"/>
      <c r="AR86" s="63"/>
      <c r="AS86" s="63"/>
      <c r="AT86" s="63"/>
      <c r="AU86" s="63"/>
    </row>
    <row r="87" spans="16:47" x14ac:dyDescent="0.2">
      <c r="Q87" s="2" t="s">
        <v>1144</v>
      </c>
      <c r="R87" s="8"/>
      <c r="S87" s="8">
        <f>(T27+T24)/($W24+$W27)*100</f>
        <v>23.75</v>
      </c>
      <c r="T87" s="8"/>
      <c r="U87" s="8">
        <f>(V27+V24)/($W24+$W27)*100</f>
        <v>52.5</v>
      </c>
      <c r="V87" s="8"/>
      <c r="W87" s="84">
        <f>U87</f>
        <v>52.5</v>
      </c>
      <c r="X87" s="8">
        <f>(AB24+AB27)/($W24+$W27)*100</f>
        <v>58.75</v>
      </c>
      <c r="Y87" s="8">
        <f t="shared" ref="Y87:Z87" si="161">(AC24+AC27)/($W24+$W27)*100</f>
        <v>65</v>
      </c>
      <c r="Z87" s="8">
        <f t="shared" si="161"/>
        <v>72.5</v>
      </c>
      <c r="AL87" s="2" t="s">
        <v>1144</v>
      </c>
      <c r="AM87" s="8"/>
      <c r="AN87" s="8">
        <f>(AO27+AO24)/($AR24+$AR27)*100</f>
        <v>32.941176470588232</v>
      </c>
      <c r="AO87" s="8"/>
      <c r="AP87" s="8">
        <f>(AQ27+AQ24)/($AR24+$AR27)*100</f>
        <v>55.294117647058826</v>
      </c>
      <c r="AQ87" s="8"/>
      <c r="AR87" s="84">
        <f>AP87</f>
        <v>55.294117647058826</v>
      </c>
      <c r="AS87" s="8">
        <f>(AW24+AW27)/($AR24+$AR27)*100</f>
        <v>63.529411764705877</v>
      </c>
      <c r="AT87" s="8">
        <f t="shared" ref="AT87:AU87" si="162">(AX24+AX27)/($AR24+$AR27)*100</f>
        <v>71.764705882352942</v>
      </c>
      <c r="AU87" s="8">
        <f t="shared" si="162"/>
        <v>80</v>
      </c>
    </row>
    <row r="88" spans="16:47" x14ac:dyDescent="0.2">
      <c r="Q88" s="2" t="s">
        <v>1134</v>
      </c>
      <c r="R88" s="8"/>
      <c r="S88" s="8">
        <f>T24/$W24*100</f>
        <v>37.5</v>
      </c>
      <c r="T88" s="8"/>
      <c r="U88" s="8">
        <f>V24/$W24*100</f>
        <v>65</v>
      </c>
      <c r="V88" s="8"/>
      <c r="W88" s="84">
        <f>U88</f>
        <v>65</v>
      </c>
      <c r="X88" s="8">
        <f>AB24/$W24*100</f>
        <v>67.5</v>
      </c>
      <c r="Y88" s="8">
        <f t="shared" ref="Y88:Z88" si="163">AC24/$W24*100</f>
        <v>70</v>
      </c>
      <c r="Z88" s="8">
        <f t="shared" si="163"/>
        <v>75</v>
      </c>
      <c r="AL88" s="2" t="s">
        <v>1134</v>
      </c>
      <c r="AM88" s="8"/>
      <c r="AN88" s="8">
        <f>AO24/$AR24*100</f>
        <v>44.444444444444443</v>
      </c>
      <c r="AO88" s="8"/>
      <c r="AP88" s="8">
        <f>AQ24/$AR24*100</f>
        <v>68.888888888888886</v>
      </c>
      <c r="AQ88" s="8"/>
      <c r="AR88" s="84">
        <f>AP88</f>
        <v>68.888888888888886</v>
      </c>
      <c r="AS88" s="8">
        <f>AW24/$AR24*100</f>
        <v>75.555555555555557</v>
      </c>
      <c r="AT88" s="8">
        <f t="shared" ref="AT88:AU88" si="164">AX24/$AR24*100</f>
        <v>82.222222222222214</v>
      </c>
      <c r="AU88" s="8">
        <f t="shared" si="164"/>
        <v>88.888888888888886</v>
      </c>
    </row>
    <row r="89" spans="16:47" x14ac:dyDescent="0.2">
      <c r="Q89" s="2" t="s">
        <v>1161</v>
      </c>
      <c r="R89" s="8"/>
      <c r="S89" s="8">
        <f>K24</f>
        <v>15</v>
      </c>
      <c r="T89" s="8"/>
      <c r="U89" s="8">
        <f>M24</f>
        <v>26</v>
      </c>
      <c r="V89" s="8"/>
      <c r="W89" s="84">
        <f>U89</f>
        <v>26</v>
      </c>
      <c r="X89" s="8">
        <f>O24</f>
        <v>27</v>
      </c>
      <c r="Y89" s="8">
        <f>P24</f>
        <v>28</v>
      </c>
      <c r="Z89" s="8">
        <f>Q24</f>
        <v>30</v>
      </c>
      <c r="AL89" s="2" t="s">
        <v>1161</v>
      </c>
      <c r="AM89" s="8"/>
      <c r="AN89" s="8">
        <f>AF24</f>
        <v>20</v>
      </c>
      <c r="AO89" s="8"/>
      <c r="AP89" s="8">
        <f>AH24</f>
        <v>31</v>
      </c>
      <c r="AQ89" s="8"/>
      <c r="AR89" s="84">
        <f>AP89</f>
        <v>31</v>
      </c>
      <c r="AS89" s="8">
        <f>AJ24</f>
        <v>34</v>
      </c>
      <c r="AT89" s="8">
        <f>AK24</f>
        <v>37</v>
      </c>
      <c r="AU89" s="8">
        <f>AL24</f>
        <v>40</v>
      </c>
    </row>
    <row r="90" spans="16:47" x14ac:dyDescent="0.2">
      <c r="Q90" s="2" t="s">
        <v>1133</v>
      </c>
      <c r="R90" s="8"/>
      <c r="S90" s="8">
        <f>T27/$W27*100</f>
        <v>10</v>
      </c>
      <c r="T90" s="8"/>
      <c r="U90" s="8">
        <f>V27/$W27*100</f>
        <v>40</v>
      </c>
      <c r="V90" s="8"/>
      <c r="W90" s="84">
        <f>U90</f>
        <v>40</v>
      </c>
      <c r="X90" s="8">
        <f>AB27/$W27*100</f>
        <v>50</v>
      </c>
      <c r="Y90" s="8">
        <f>AC27/$W27*100</f>
        <v>60</v>
      </c>
      <c r="Z90" s="8">
        <f>AD27/$W27*100</f>
        <v>70</v>
      </c>
      <c r="AL90" s="2" t="s">
        <v>1133</v>
      </c>
      <c r="AM90" s="8"/>
      <c r="AN90" s="8">
        <f>AO27/$AR27*100</f>
        <v>20</v>
      </c>
      <c r="AO90" s="8"/>
      <c r="AP90" s="8">
        <f>AQ27/$AR27*100</f>
        <v>40</v>
      </c>
      <c r="AQ90" s="8"/>
      <c r="AR90" s="84">
        <f>AP90</f>
        <v>40</v>
      </c>
      <c r="AS90" s="8">
        <f>AW27/$AR27*100</f>
        <v>50</v>
      </c>
      <c r="AT90" s="8">
        <f t="shared" ref="AT90:AU90" si="165">AX27/$AR27*100</f>
        <v>60</v>
      </c>
      <c r="AU90" s="8">
        <f t="shared" si="165"/>
        <v>70</v>
      </c>
    </row>
    <row r="91" spans="16:47" x14ac:dyDescent="0.2">
      <c r="R91" s="8"/>
      <c r="S91" s="8"/>
      <c r="T91" s="8"/>
      <c r="U91" s="8"/>
      <c r="V91" s="8"/>
      <c r="W91" s="84"/>
      <c r="X91" s="8"/>
      <c r="Y91" s="8"/>
      <c r="Z91" s="8"/>
      <c r="AM91" s="8"/>
      <c r="AN91" s="8"/>
      <c r="AO91" s="8"/>
      <c r="AP91" s="8"/>
      <c r="AQ91" s="8"/>
      <c r="AR91" s="84"/>
      <c r="AS91" s="8"/>
      <c r="AT91" s="8"/>
      <c r="AU91" s="8"/>
    </row>
  </sheetData>
  <mergeCells count="39">
    <mergeCell ref="AJ34:AJ37"/>
    <mergeCell ref="AK34:AK37"/>
    <mergeCell ref="AL34:AL37"/>
    <mergeCell ref="N38:Q38"/>
    <mergeCell ref="AL26:AL27"/>
    <mergeCell ref="AI30:AI31"/>
    <mergeCell ref="AJ30:AJ31"/>
    <mergeCell ref="AK30:AK31"/>
    <mergeCell ref="AL30:AL31"/>
    <mergeCell ref="N34:N37"/>
    <mergeCell ref="O34:O37"/>
    <mergeCell ref="P34:P37"/>
    <mergeCell ref="Q34:Q37"/>
    <mergeCell ref="AI34:AI37"/>
    <mergeCell ref="O30:O31"/>
    <mergeCell ref="P30:P31"/>
    <mergeCell ref="Q30:Q31"/>
    <mergeCell ref="AI26:AI27"/>
    <mergeCell ref="AJ26:AJ27"/>
    <mergeCell ref="AK26:AK27"/>
    <mergeCell ref="AI10:AL10"/>
    <mergeCell ref="AI13:AL13"/>
    <mergeCell ref="AI21:AL21"/>
    <mergeCell ref="AI22:AL22"/>
    <mergeCell ref="N32:Q32"/>
    <mergeCell ref="AI32:AL32"/>
    <mergeCell ref="N26:N27"/>
    <mergeCell ref="O26:O27"/>
    <mergeCell ref="K38:M38"/>
    <mergeCell ref="AF38:AH38"/>
    <mergeCell ref="N10:Q10"/>
    <mergeCell ref="N13:Q13"/>
    <mergeCell ref="N21:Q21"/>
    <mergeCell ref="N22:Q22"/>
    <mergeCell ref="N28:Q28"/>
    <mergeCell ref="AI28:AL28"/>
    <mergeCell ref="P26:P27"/>
    <mergeCell ref="Q26:Q27"/>
    <mergeCell ref="N30:N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BAED-B55D-7C40-B9A7-D5B967F935D9}">
  <dimension ref="A1:Q42"/>
  <sheetViews>
    <sheetView tabSelected="1" topLeftCell="A16" workbookViewId="0">
      <selection sqref="A1:C1"/>
    </sheetView>
  </sheetViews>
  <sheetFormatPr baseColWidth="10" defaultRowHeight="16" x14ac:dyDescent="0.2"/>
  <cols>
    <col min="1" max="1" width="30" customWidth="1"/>
    <col min="2" max="2" width="31.5" customWidth="1"/>
    <col min="3" max="3" width="19.83203125" customWidth="1"/>
    <col min="4" max="5" width="19.5" customWidth="1"/>
    <col min="6" max="6" width="30" customWidth="1"/>
    <col min="7" max="7" width="44.6640625" customWidth="1"/>
    <col min="8" max="8" width="16.5" customWidth="1"/>
    <col min="9" max="9" width="17.5" customWidth="1"/>
    <col min="10" max="10" width="13.33203125" customWidth="1"/>
    <col min="11" max="11" width="16" customWidth="1"/>
    <col min="12" max="12" width="17.33203125" customWidth="1"/>
  </cols>
  <sheetData>
    <row r="1" spans="1:7" ht="136" customHeight="1" x14ac:dyDescent="0.2">
      <c r="A1" s="43" t="e" vm="6">
        <v>#VALUE!</v>
      </c>
      <c r="B1" s="43"/>
      <c r="C1" s="57" t="s">
        <v>700</v>
      </c>
    </row>
    <row r="2" spans="1:7" ht="14" customHeight="1" x14ac:dyDescent="0.2">
      <c r="A2" s="43"/>
      <c r="B2" s="43"/>
      <c r="C2" s="57"/>
    </row>
    <row r="3" spans="1:7" x14ac:dyDescent="0.2">
      <c r="A3" s="58" t="s">
        <v>640</v>
      </c>
      <c r="B3" s="58" t="s">
        <v>717</v>
      </c>
    </row>
    <row r="5" spans="1:7" s="65" customFormat="1" ht="17" x14ac:dyDescent="0.2">
      <c r="A5" s="65" t="s">
        <v>701</v>
      </c>
      <c r="B5" s="65" t="s">
        <v>702</v>
      </c>
      <c r="C5" s="65" t="s">
        <v>703</v>
      </c>
      <c r="D5" s="65" t="s">
        <v>704</v>
      </c>
      <c r="E5" s="65" t="s">
        <v>706</v>
      </c>
      <c r="F5" s="65" t="s">
        <v>821</v>
      </c>
      <c r="G5" s="65" t="s">
        <v>822</v>
      </c>
    </row>
    <row r="6" spans="1:7" x14ac:dyDescent="0.2">
      <c r="A6" s="58"/>
    </row>
    <row r="7" spans="1:7" ht="85" x14ac:dyDescent="0.2">
      <c r="B7" t="s">
        <v>705</v>
      </c>
      <c r="C7" t="s">
        <v>705</v>
      </c>
      <c r="D7" t="s">
        <v>705</v>
      </c>
      <c r="E7" t="s">
        <v>707</v>
      </c>
      <c r="F7" s="65" t="s">
        <v>823</v>
      </c>
      <c r="G7" s="65" t="s">
        <v>824</v>
      </c>
    </row>
    <row r="9" spans="1:7" s="65" customFormat="1" ht="34" x14ac:dyDescent="0.2">
      <c r="A9" s="65" t="s">
        <v>712</v>
      </c>
      <c r="C9" s="65" t="s">
        <v>708</v>
      </c>
      <c r="D9" s="65" t="s">
        <v>710</v>
      </c>
    </row>
    <row r="11" spans="1:7" s="65" customFormat="1" ht="85" x14ac:dyDescent="0.2">
      <c r="C11" s="65" t="s">
        <v>709</v>
      </c>
      <c r="D11" s="65" t="s">
        <v>711</v>
      </c>
    </row>
    <row r="12" spans="1:7" s="65" customFormat="1" x14ac:dyDescent="0.2"/>
    <row r="13" spans="1:7" s="65" customFormat="1" ht="34" x14ac:dyDescent="0.2">
      <c r="A13" s="65" t="s">
        <v>718</v>
      </c>
      <c r="B13" s="65" t="s">
        <v>719</v>
      </c>
      <c r="C13" s="65" t="s">
        <v>722</v>
      </c>
      <c r="D13" s="65" t="s">
        <v>723</v>
      </c>
      <c r="E13" s="65" t="s">
        <v>730</v>
      </c>
    </row>
    <row r="14" spans="1:7" s="65" customFormat="1" ht="34" x14ac:dyDescent="0.2">
      <c r="B14" s="65" t="s">
        <v>720</v>
      </c>
      <c r="C14" s="65" t="s">
        <v>724</v>
      </c>
      <c r="D14" s="65" t="s">
        <v>725</v>
      </c>
      <c r="E14" s="65" t="s">
        <v>731</v>
      </c>
    </row>
    <row r="15" spans="1:7" s="65" customFormat="1" x14ac:dyDescent="0.2"/>
    <row r="16" spans="1:7" s="65" customFormat="1" ht="150" customHeight="1" x14ac:dyDescent="0.2">
      <c r="B16" s="67" t="s">
        <v>727</v>
      </c>
      <c r="C16" s="67" t="s">
        <v>728</v>
      </c>
      <c r="D16" s="67" t="s">
        <v>729</v>
      </c>
    </row>
    <row r="18" spans="1:17" x14ac:dyDescent="0.2">
      <c r="A18" t="s">
        <v>713</v>
      </c>
      <c r="B18" t="s">
        <v>714</v>
      </c>
    </row>
    <row r="19" spans="1:17" x14ac:dyDescent="0.2">
      <c r="A19" s="58"/>
    </row>
    <row r="21" spans="1:17" x14ac:dyDescent="0.2">
      <c r="A21" t="s">
        <v>715</v>
      </c>
      <c r="B21" t="s">
        <v>745</v>
      </c>
      <c r="I21" s="6"/>
      <c r="J21" s="6"/>
      <c r="M21" s="6"/>
      <c r="N21" s="6"/>
      <c r="O21" s="6"/>
      <c r="P21" s="6"/>
    </row>
    <row r="22" spans="1:17" x14ac:dyDescent="0.2">
      <c r="I22" s="6"/>
      <c r="J22" s="6"/>
      <c r="M22" s="6"/>
      <c r="N22" s="6"/>
      <c r="O22" s="6"/>
      <c r="P22" s="6"/>
    </row>
    <row r="23" spans="1:17" x14ac:dyDescent="0.2">
      <c r="A23" t="s">
        <v>663</v>
      </c>
      <c r="B23" s="66" t="s">
        <v>748</v>
      </c>
      <c r="L23" s="5"/>
      <c r="M23" s="5" t="s">
        <v>734</v>
      </c>
      <c r="N23" s="5"/>
      <c r="O23" s="5"/>
      <c r="P23" s="5"/>
      <c r="Q23" s="5"/>
    </row>
    <row r="25" spans="1:17" x14ac:dyDescent="0.2">
      <c r="A25" t="s">
        <v>716</v>
      </c>
      <c r="B25" t="s">
        <v>721</v>
      </c>
    </row>
    <row r="26" spans="1:17" ht="16" customHeight="1" x14ac:dyDescent="0.2"/>
    <row r="27" spans="1:17" ht="20" customHeight="1" x14ac:dyDescent="0.2">
      <c r="A27" t="s">
        <v>726</v>
      </c>
      <c r="B27" s="66" t="s">
        <v>732</v>
      </c>
      <c r="C27" s="65"/>
      <c r="D27" s="65"/>
      <c r="E27" s="65"/>
      <c r="F27" s="65"/>
      <c r="G27" s="65"/>
      <c r="H27" s="65"/>
      <c r="I27" s="65"/>
    </row>
    <row r="28" spans="1:17" ht="19" customHeight="1" x14ac:dyDescent="0.2">
      <c r="B28" s="66"/>
    </row>
    <row r="29" spans="1:17" ht="19" customHeight="1" x14ac:dyDescent="0.2">
      <c r="A29" t="s">
        <v>744</v>
      </c>
      <c r="B29" t="s">
        <v>747</v>
      </c>
    </row>
    <row r="30" spans="1:17" ht="19" customHeight="1" x14ac:dyDescent="0.2"/>
    <row r="31" spans="1:17" ht="19" customHeight="1" x14ac:dyDescent="0.2">
      <c r="B31" s="66" t="s">
        <v>746</v>
      </c>
      <c r="J31" s="6"/>
      <c r="K31" s="6"/>
      <c r="L31" s="6"/>
      <c r="M31" s="6"/>
      <c r="N31" s="6"/>
    </row>
    <row r="32" spans="1:17" x14ac:dyDescent="0.2">
      <c r="B32" s="66"/>
      <c r="J32" s="6"/>
      <c r="K32" s="6"/>
      <c r="L32" s="6"/>
      <c r="M32" s="6"/>
      <c r="N32" s="6"/>
    </row>
    <row r="33" spans="1:14" x14ac:dyDescent="0.2">
      <c r="J33" s="6"/>
      <c r="K33" s="6"/>
      <c r="L33" s="6"/>
      <c r="M33" s="6"/>
      <c r="N33" s="6"/>
    </row>
    <row r="34" spans="1:14" x14ac:dyDescent="0.2">
      <c r="J34" s="6"/>
      <c r="K34" s="6"/>
      <c r="L34" s="6"/>
      <c r="M34" s="6"/>
      <c r="N34" s="6"/>
    </row>
    <row r="35" spans="1:14" x14ac:dyDescent="0.2">
      <c r="J35" s="6"/>
      <c r="K35" s="6"/>
      <c r="L35" s="6"/>
      <c r="M35" s="6"/>
      <c r="N35" s="6"/>
    </row>
    <row r="36" spans="1:14" x14ac:dyDescent="0.2">
      <c r="B36" s="66"/>
      <c r="J36" s="6"/>
      <c r="K36" s="6"/>
      <c r="L36" s="6"/>
      <c r="M36" s="6"/>
      <c r="N36" s="6"/>
    </row>
    <row r="37" spans="1:14" x14ac:dyDescent="0.2">
      <c r="B37" s="66"/>
      <c r="J37" s="6"/>
      <c r="K37" s="6"/>
      <c r="L37" s="6"/>
      <c r="M37" s="6"/>
      <c r="N37" s="6"/>
    </row>
    <row r="38" spans="1:14" x14ac:dyDescent="0.2">
      <c r="J38" s="6"/>
      <c r="K38" s="6"/>
      <c r="L38" s="6"/>
      <c r="M38" s="6"/>
      <c r="N38" s="6"/>
    </row>
    <row r="39" spans="1:14" x14ac:dyDescent="0.2">
      <c r="A39" s="58"/>
      <c r="J39" s="6"/>
      <c r="K39" s="6"/>
      <c r="L39" s="6"/>
      <c r="M39" s="6"/>
      <c r="N39" s="6"/>
    </row>
    <row r="40" spans="1:14" x14ac:dyDescent="0.2">
      <c r="J40" s="6"/>
      <c r="K40" s="6"/>
      <c r="L40" s="6"/>
      <c r="M40" s="6"/>
      <c r="N40" s="6"/>
    </row>
    <row r="41" spans="1:14" x14ac:dyDescent="0.2">
      <c r="J41" s="6"/>
      <c r="K41" s="6"/>
      <c r="L41" s="6"/>
      <c r="M41" s="6"/>
      <c r="N41" s="6"/>
    </row>
    <row r="42" spans="1:14" x14ac:dyDescent="0.2">
      <c r="A42" s="5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03D1E-3D3C-F94F-921E-7A5B65A6A252}">
  <dimension ref="A1:K21"/>
  <sheetViews>
    <sheetView workbookViewId="0">
      <selection sqref="A1:D1"/>
    </sheetView>
  </sheetViews>
  <sheetFormatPr baseColWidth="10" defaultRowHeight="16" x14ac:dyDescent="0.2"/>
  <cols>
    <col min="1" max="1" width="22.33203125" customWidth="1"/>
    <col min="2" max="2" width="15.83203125" customWidth="1"/>
    <col min="3" max="3" width="17.83203125" customWidth="1"/>
    <col min="4" max="6" width="14.83203125" customWidth="1"/>
    <col min="7" max="7" width="22.33203125" customWidth="1"/>
    <col min="8" max="8" width="13.5" customWidth="1"/>
    <col min="10" max="10" width="15.5" customWidth="1"/>
  </cols>
  <sheetData>
    <row r="1" spans="1:11" ht="133" customHeight="1" x14ac:dyDescent="0.2">
      <c r="A1" s="43" t="e" vm="6">
        <v>#VALUE!</v>
      </c>
      <c r="B1" s="43"/>
      <c r="C1" s="57" t="s">
        <v>1231</v>
      </c>
    </row>
    <row r="5" spans="1:11" x14ac:dyDescent="0.2">
      <c r="A5" t="s">
        <v>1206</v>
      </c>
      <c r="B5" t="s">
        <v>1207</v>
      </c>
    </row>
    <row r="7" spans="1:11" x14ac:dyDescent="0.2">
      <c r="A7" t="s">
        <v>1208</v>
      </c>
      <c r="B7" t="s">
        <v>1209</v>
      </c>
    </row>
    <row r="9" spans="1:11" x14ac:dyDescent="0.2">
      <c r="B9" t="s">
        <v>1210</v>
      </c>
      <c r="C9" t="s">
        <v>1211</v>
      </c>
    </row>
    <row r="10" spans="1:11" x14ac:dyDescent="0.2">
      <c r="B10" t="s">
        <v>1212</v>
      </c>
      <c r="C10" t="s">
        <v>1213</v>
      </c>
    </row>
    <row r="11" spans="1:11" x14ac:dyDescent="0.2">
      <c r="B11" t="s">
        <v>1214</v>
      </c>
      <c r="C11" t="s">
        <v>1215</v>
      </c>
    </row>
    <row r="12" spans="1:11" x14ac:dyDescent="0.2">
      <c r="B12" t="s">
        <v>1216</v>
      </c>
      <c r="C12" t="s">
        <v>1217</v>
      </c>
    </row>
    <row r="14" spans="1:11" x14ac:dyDescent="0.2">
      <c r="A14" t="s">
        <v>1218</v>
      </c>
      <c r="B14" t="s">
        <v>1219</v>
      </c>
      <c r="C14" t="s">
        <v>1220</v>
      </c>
      <c r="D14" t="s">
        <v>1221</v>
      </c>
      <c r="E14" t="s">
        <v>1224</v>
      </c>
      <c r="F14" t="s">
        <v>1225</v>
      </c>
      <c r="G14" t="s">
        <v>1222</v>
      </c>
      <c r="H14" t="s">
        <v>1219</v>
      </c>
      <c r="I14" t="s">
        <v>1220</v>
      </c>
      <c r="J14" t="s">
        <v>1227</v>
      </c>
      <c r="K14" t="s">
        <v>1229</v>
      </c>
    </row>
    <row r="15" spans="1:11" x14ac:dyDescent="0.2">
      <c r="G15" t="s">
        <v>1223</v>
      </c>
      <c r="H15" t="s">
        <v>1219</v>
      </c>
      <c r="I15" t="s">
        <v>1220</v>
      </c>
      <c r="J15" t="s">
        <v>1228</v>
      </c>
      <c r="K15" t="s">
        <v>1230</v>
      </c>
    </row>
    <row r="21" spans="2:2" x14ac:dyDescent="0.2">
      <c r="B21" t="s">
        <v>1226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9CAC-0928-5149-96AD-1F48ADACDDD9}">
  <dimension ref="A1:N16"/>
  <sheetViews>
    <sheetView workbookViewId="0">
      <selection activeCell="A19" sqref="A19"/>
    </sheetView>
  </sheetViews>
  <sheetFormatPr baseColWidth="10" defaultRowHeight="16" x14ac:dyDescent="0.2"/>
  <cols>
    <col min="1" max="1" width="20.83203125" customWidth="1"/>
    <col min="15" max="15" width="10.83203125" customWidth="1"/>
  </cols>
  <sheetData>
    <row r="1" spans="1:14" ht="113" customHeight="1" x14ac:dyDescent="0.2">
      <c r="A1" s="43" t="e" vm="6">
        <v>#VALUE!</v>
      </c>
      <c r="B1" s="43"/>
      <c r="C1" s="57" t="s">
        <v>1232</v>
      </c>
    </row>
    <row r="3" spans="1:14" x14ac:dyDescent="0.2">
      <c r="A3" t="s">
        <v>1233</v>
      </c>
      <c r="B3" t="s">
        <v>1238</v>
      </c>
      <c r="M3" s="5" t="s">
        <v>1239</v>
      </c>
      <c r="N3" s="5"/>
    </row>
    <row r="5" spans="1:14" x14ac:dyDescent="0.2">
      <c r="A5" t="s">
        <v>1234</v>
      </c>
    </row>
    <row r="7" spans="1:14" x14ac:dyDescent="0.2">
      <c r="A7" t="s">
        <v>1235</v>
      </c>
    </row>
    <row r="9" spans="1:14" x14ac:dyDescent="0.2">
      <c r="A9" t="s">
        <v>1174</v>
      </c>
    </row>
    <row r="11" spans="1:14" x14ac:dyDescent="0.2">
      <c r="A11" t="s">
        <v>1240</v>
      </c>
    </row>
    <row r="13" spans="1:14" x14ac:dyDescent="0.2">
      <c r="A13" t="s">
        <v>1236</v>
      </c>
      <c r="B13" t="s">
        <v>1237</v>
      </c>
    </row>
    <row r="16" spans="1:14" x14ac:dyDescent="0.2">
      <c r="B16" t="s">
        <v>1241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6C1F-4843-4C4A-9926-9CB0F787D661}">
  <dimension ref="A1:Q688"/>
  <sheetViews>
    <sheetView topLeftCell="A8" workbookViewId="0">
      <selection sqref="A1:D1"/>
    </sheetView>
  </sheetViews>
  <sheetFormatPr baseColWidth="10" defaultRowHeight="16" x14ac:dyDescent="0.2"/>
  <cols>
    <col min="1" max="1" width="34.1640625" customWidth="1"/>
    <col min="2" max="3" width="18.5" customWidth="1"/>
    <col min="4" max="4" width="16.1640625" customWidth="1"/>
    <col min="5" max="5" width="16" customWidth="1"/>
    <col min="6" max="6" width="16.1640625" customWidth="1"/>
    <col min="7" max="8" width="16.5" customWidth="1"/>
    <col min="9" max="9" width="17.5" customWidth="1"/>
    <col min="10" max="10" width="17" customWidth="1"/>
    <col min="11" max="11" width="16" customWidth="1"/>
    <col min="12" max="12" width="17.33203125" customWidth="1"/>
  </cols>
  <sheetData>
    <row r="1" spans="1:17" ht="136" customHeight="1" x14ac:dyDescent="0.2">
      <c r="A1" s="43" t="e" vm="6">
        <v>#VALUE!</v>
      </c>
      <c r="B1" s="43"/>
      <c r="C1" s="57" t="s">
        <v>639</v>
      </c>
    </row>
    <row r="2" spans="1:17" ht="14" customHeight="1" x14ac:dyDescent="0.2">
      <c r="A2" s="43"/>
      <c r="B2" s="43"/>
      <c r="C2" s="57"/>
    </row>
    <row r="3" spans="1:17" x14ac:dyDescent="0.2">
      <c r="A3" s="58" t="s">
        <v>640</v>
      </c>
      <c r="B3" s="58" t="s">
        <v>383</v>
      </c>
      <c r="D3" t="s">
        <v>737</v>
      </c>
    </row>
    <row r="4" spans="1:17" x14ac:dyDescent="0.2">
      <c r="D4" t="s">
        <v>655</v>
      </c>
    </row>
    <row r="6" spans="1:17" x14ac:dyDescent="0.2">
      <c r="A6" s="58" t="s">
        <v>718</v>
      </c>
      <c r="B6" t="s">
        <v>750</v>
      </c>
      <c r="C6" t="s">
        <v>751</v>
      </c>
      <c r="E6" t="s">
        <v>752</v>
      </c>
      <c r="F6" t="s">
        <v>753</v>
      </c>
      <c r="H6" t="s">
        <v>879</v>
      </c>
      <c r="I6" t="s">
        <v>880</v>
      </c>
    </row>
    <row r="8" spans="1:17" x14ac:dyDescent="0.2">
      <c r="A8" s="58" t="s">
        <v>857</v>
      </c>
      <c r="B8" t="s">
        <v>54</v>
      </c>
      <c r="C8" t="s">
        <v>644</v>
      </c>
      <c r="D8" t="s">
        <v>645</v>
      </c>
      <c r="E8" t="s">
        <v>646</v>
      </c>
      <c r="F8" t="s">
        <v>642</v>
      </c>
      <c r="G8" t="s">
        <v>647</v>
      </c>
      <c r="H8" t="s">
        <v>648</v>
      </c>
      <c r="I8" t="s">
        <v>649</v>
      </c>
      <c r="Q8" t="s">
        <v>736</v>
      </c>
    </row>
    <row r="10" spans="1:17" x14ac:dyDescent="0.2">
      <c r="A10" t="s">
        <v>657</v>
      </c>
      <c r="B10" s="42" t="str">
        <f>'BPOP HS COLL PRO Eval'!$D$48</f>
        <v>CATCHERSCORE</v>
      </c>
      <c r="C10" s="42" t="str">
        <f>'BPOP HS COLL PRO Eval'!$D$55</f>
        <v>1BSCORE</v>
      </c>
      <c r="D10" s="42" t="str">
        <f>'BPOP HS COLL PRO Eval'!$D$67</f>
        <v>IFSCORE</v>
      </c>
      <c r="E10" s="42" t="str">
        <f>'BPOP HS COLL PRO Eval'!$D$67</f>
        <v>IFSCORE</v>
      </c>
      <c r="F10" s="42" t="str">
        <f>'BPOP HS COLL PRO Eval'!$D$67</f>
        <v>IFSCORE</v>
      </c>
      <c r="G10" s="42" t="str">
        <f>'BPOP HS COLL PRO Eval'!$D$72</f>
        <v>OFSCORE</v>
      </c>
      <c r="H10" s="42" t="str">
        <f>'BPOP HS COLL PRO Eval'!$D$72</f>
        <v>OFSCORE</v>
      </c>
      <c r="I10" s="42" t="str">
        <f>'BPOP HS COLL PRO Eval'!$D$72</f>
        <v>OFSCORE</v>
      </c>
      <c r="Q10" t="s">
        <v>690</v>
      </c>
    </row>
    <row r="11" spans="1:17" x14ac:dyDescent="0.2">
      <c r="A11" t="s">
        <v>993</v>
      </c>
      <c r="B11" s="70" t="s">
        <v>759</v>
      </c>
      <c r="C11" s="70" t="s">
        <v>759</v>
      </c>
      <c r="D11" s="70" t="s">
        <v>759</v>
      </c>
      <c r="E11" s="70" t="s">
        <v>759</v>
      </c>
      <c r="F11" s="70" t="s">
        <v>759</v>
      </c>
      <c r="G11" s="70" t="s">
        <v>759</v>
      </c>
      <c r="H11" s="70" t="s">
        <v>759</v>
      </c>
      <c r="I11" s="70" t="s">
        <v>759</v>
      </c>
      <c r="Q11" t="s">
        <v>691</v>
      </c>
    </row>
    <row r="12" spans="1:17" x14ac:dyDescent="0.2">
      <c r="B12" s="42"/>
      <c r="C12" s="42"/>
      <c r="D12" s="42"/>
      <c r="E12" s="42"/>
      <c r="F12" s="42"/>
      <c r="G12" s="42"/>
      <c r="H12" s="42"/>
      <c r="I12" s="42"/>
      <c r="Q12" t="s">
        <v>692</v>
      </c>
    </row>
    <row r="13" spans="1:17" x14ac:dyDescent="0.2">
      <c r="Q13" t="s">
        <v>755</v>
      </c>
    </row>
    <row r="14" spans="1:17" x14ac:dyDescent="0.2">
      <c r="A14" t="s">
        <v>659</v>
      </c>
      <c r="B14" t="s">
        <v>54</v>
      </c>
      <c r="C14" t="s">
        <v>643</v>
      </c>
      <c r="D14" t="s">
        <v>328</v>
      </c>
      <c r="E14" t="s">
        <v>328</v>
      </c>
      <c r="F14" t="s">
        <v>328</v>
      </c>
      <c r="G14" t="s">
        <v>65</v>
      </c>
      <c r="H14" t="s">
        <v>65</v>
      </c>
      <c r="I14" t="s">
        <v>65</v>
      </c>
    </row>
    <row r="16" spans="1:17" x14ac:dyDescent="0.2">
      <c r="A16" s="58" t="s">
        <v>660</v>
      </c>
      <c r="B16" t="s">
        <v>739</v>
      </c>
    </row>
    <row r="17" spans="1:12" x14ac:dyDescent="0.2">
      <c r="B17" t="s">
        <v>661</v>
      </c>
    </row>
    <row r="19" spans="1:12" x14ac:dyDescent="0.2">
      <c r="A19" t="s">
        <v>662</v>
      </c>
      <c r="B19" t="s">
        <v>54</v>
      </c>
      <c r="C19" t="s">
        <v>642</v>
      </c>
      <c r="D19" t="s">
        <v>644</v>
      </c>
      <c r="E19" t="s">
        <v>649</v>
      </c>
      <c r="F19" t="s">
        <v>645</v>
      </c>
      <c r="G19" t="s">
        <v>646</v>
      </c>
      <c r="H19" t="s">
        <v>648</v>
      </c>
      <c r="I19" t="s">
        <v>647</v>
      </c>
    </row>
    <row r="20" spans="1:12" x14ac:dyDescent="0.2">
      <c r="B20">
        <v>1</v>
      </c>
      <c r="C20">
        <v>2</v>
      </c>
      <c r="D20">
        <v>3</v>
      </c>
      <c r="E20">
        <v>4</v>
      </c>
      <c r="F20">
        <v>5</v>
      </c>
      <c r="G20">
        <v>6</v>
      </c>
      <c r="H20">
        <v>7</v>
      </c>
      <c r="I20">
        <v>8</v>
      </c>
    </row>
    <row r="21" spans="1:12" x14ac:dyDescent="0.2">
      <c r="B21" t="s">
        <v>878</v>
      </c>
    </row>
    <row r="23" spans="1:12" x14ac:dyDescent="0.2">
      <c r="A23" s="58" t="s">
        <v>858</v>
      </c>
      <c r="B23" t="s">
        <v>687</v>
      </c>
    </row>
    <row r="25" spans="1:12" x14ac:dyDescent="0.2">
      <c r="B25" t="s">
        <v>54</v>
      </c>
      <c r="C25" t="s">
        <v>644</v>
      </c>
      <c r="D25" t="s">
        <v>645</v>
      </c>
      <c r="E25" t="s">
        <v>646</v>
      </c>
      <c r="F25" t="s">
        <v>642</v>
      </c>
      <c r="G25" t="s">
        <v>647</v>
      </c>
      <c r="H25" t="s">
        <v>648</v>
      </c>
      <c r="I25" t="s">
        <v>649</v>
      </c>
    </row>
    <row r="26" spans="1:12" x14ac:dyDescent="0.2">
      <c r="A26" t="s">
        <v>849</v>
      </c>
      <c r="B26" t="str">
        <f>'BPOP HS COLL PRO Eval'!BG96</f>
        <v>CATCHERSCORE</v>
      </c>
      <c r="C26" t="str">
        <f>'BPOP HS COLL PRO Eval'!BG97</f>
        <v>1BSCORE</v>
      </c>
      <c r="D26" t="str">
        <f>'BPOP HS COLL PRO Eval'!BG99</f>
        <v>2BSCORE</v>
      </c>
      <c r="E26" t="str">
        <f>'BPOP HS COLL PRO Eval'!BG100</f>
        <v>3BSCORE</v>
      </c>
      <c r="F26" t="str">
        <f>'BPOP HS COLL PRO Eval'!BG101</f>
        <v>SHORTSCORE</v>
      </c>
      <c r="G26" t="str">
        <f>'BPOP HS COLL PRO Eval'!BG104</f>
        <v>RFSCORE</v>
      </c>
      <c r="H26" t="str">
        <f>'BPOP HS COLL PRO Eval'!BG104</f>
        <v>RFSCORE</v>
      </c>
      <c r="I26" t="str">
        <f>'BPOP HS COLL PRO Eval'!BG105</f>
        <v>CENTERSCORE</v>
      </c>
    </row>
    <row r="27" spans="1:12" ht="132" customHeight="1" x14ac:dyDescent="0.2">
      <c r="B27" s="65" t="s">
        <v>827</v>
      </c>
      <c r="C27" s="65" t="s">
        <v>850</v>
      </c>
      <c r="D27" s="65" t="s">
        <v>851</v>
      </c>
      <c r="E27" s="65" t="s">
        <v>852</v>
      </c>
      <c r="F27" s="65" t="s">
        <v>853</v>
      </c>
      <c r="G27" s="65" t="s">
        <v>854</v>
      </c>
      <c r="H27" s="65" t="s">
        <v>855</v>
      </c>
      <c r="I27" s="65" t="s">
        <v>856</v>
      </c>
    </row>
    <row r="28" spans="1:12" ht="19" customHeight="1" x14ac:dyDescent="0.2">
      <c r="A28" t="s">
        <v>735</v>
      </c>
      <c r="B28" s="65" t="str">
        <f>$B3</f>
        <v>Pro</v>
      </c>
      <c r="C28" s="65" t="str">
        <f t="shared" ref="C28:I28" si="0">$B3</f>
        <v>Pro</v>
      </c>
      <c r="D28" s="65" t="str">
        <f t="shared" si="0"/>
        <v>Pro</v>
      </c>
      <c r="E28" s="65" t="str">
        <f t="shared" si="0"/>
        <v>Pro</v>
      </c>
      <c r="F28" s="65" t="str">
        <f t="shared" si="0"/>
        <v>Pro</v>
      </c>
      <c r="G28" s="65" t="str">
        <f t="shared" si="0"/>
        <v>Pro</v>
      </c>
      <c r="H28" s="65" t="str">
        <f t="shared" si="0"/>
        <v>Pro</v>
      </c>
      <c r="I28" s="65" t="str">
        <f t="shared" si="0"/>
        <v>Pro</v>
      </c>
    </row>
    <row r="29" spans="1:12" ht="35" customHeight="1" x14ac:dyDescent="0.2">
      <c r="A29" t="s">
        <v>825</v>
      </c>
      <c r="B29" s="73" t="s">
        <v>826</v>
      </c>
      <c r="C29" s="73"/>
      <c r="D29" s="73"/>
      <c r="E29" s="73"/>
      <c r="F29" s="73"/>
      <c r="G29" s="73"/>
      <c r="H29" s="73"/>
      <c r="I29" s="73"/>
    </row>
    <row r="30" spans="1:12" ht="19" customHeight="1" x14ac:dyDescent="0.2">
      <c r="B30" s="65"/>
    </row>
    <row r="31" spans="1:12" x14ac:dyDescent="0.2">
      <c r="A31" s="58" t="s">
        <v>663</v>
      </c>
      <c r="B31" s="66" t="s">
        <v>686</v>
      </c>
      <c r="K31" s="5" t="s">
        <v>695</v>
      </c>
      <c r="L31" s="5"/>
    </row>
    <row r="32" spans="1:12" x14ac:dyDescent="0.2">
      <c r="A32" s="76" t="s">
        <v>865</v>
      </c>
      <c r="B32" s="77" t="str">
        <f>'BPOP HS COLL PRO Eval'!BG112</f>
        <v>DEFENSESCORE</v>
      </c>
      <c r="K32" s="5"/>
      <c r="L32" s="5"/>
    </row>
    <row r="33" spans="1:12" x14ac:dyDescent="0.2">
      <c r="A33" s="58"/>
      <c r="B33" t="s">
        <v>689</v>
      </c>
      <c r="K33" s="5"/>
      <c r="L33" s="5"/>
    </row>
    <row r="34" spans="1:12" x14ac:dyDescent="0.2">
      <c r="A34" s="58"/>
      <c r="K34" s="5"/>
      <c r="L34" s="5"/>
    </row>
    <row r="35" spans="1:12" x14ac:dyDescent="0.2">
      <c r="A35" s="58" t="s">
        <v>682</v>
      </c>
      <c r="B35" s="66" t="s">
        <v>685</v>
      </c>
      <c r="K35" s="5" t="s">
        <v>696</v>
      </c>
      <c r="L35" s="5"/>
    </row>
    <row r="36" spans="1:12" x14ac:dyDescent="0.2">
      <c r="A36" s="76" t="s">
        <v>866</v>
      </c>
      <c r="B36" s="77" t="str">
        <f>'BPOP HS COLL PRO Eval'!BG108</f>
        <v>IFTOTAL</v>
      </c>
      <c r="K36" s="5"/>
      <c r="L36" s="5"/>
    </row>
    <row r="37" spans="1:12" x14ac:dyDescent="0.2">
      <c r="A37" s="58" t="s">
        <v>683</v>
      </c>
      <c r="B37" s="66" t="s">
        <v>684</v>
      </c>
      <c r="K37" s="5" t="s">
        <v>697</v>
      </c>
      <c r="L37" s="5"/>
    </row>
    <row r="38" spans="1:12" x14ac:dyDescent="0.2">
      <c r="A38" s="76" t="s">
        <v>867</v>
      </c>
      <c r="B38" s="6" t="str">
        <f>'BPOP HS COLL PRO Eval'!BG110</f>
        <v>OFTOTAL</v>
      </c>
    </row>
    <row r="39" spans="1:12" x14ac:dyDescent="0.2">
      <c r="A39" s="58"/>
    </row>
    <row r="42" spans="1:12" x14ac:dyDescent="0.2">
      <c r="A42" s="58" t="s">
        <v>693</v>
      </c>
      <c r="B42" t="s">
        <v>738</v>
      </c>
    </row>
    <row r="43" spans="1:12" x14ac:dyDescent="0.2">
      <c r="B43" t="s">
        <v>694</v>
      </c>
    </row>
    <row r="47" spans="1:12" x14ac:dyDescent="0.2">
      <c r="A47" s="68"/>
      <c r="B47" s="68"/>
      <c r="C47" s="68"/>
      <c r="D47" s="68"/>
      <c r="E47" s="68"/>
      <c r="F47" s="68"/>
      <c r="G47" s="68"/>
      <c r="H47" s="68"/>
      <c r="I47" s="68"/>
      <c r="J47" s="68"/>
      <c r="K47" s="68"/>
      <c r="L47" s="68"/>
    </row>
    <row r="49" spans="1:12" x14ac:dyDescent="0.2">
      <c r="A49" s="58" t="s">
        <v>640</v>
      </c>
      <c r="B49" s="58" t="s">
        <v>600</v>
      </c>
      <c r="D49" t="s">
        <v>740</v>
      </c>
    </row>
    <row r="50" spans="1:12" x14ac:dyDescent="0.2">
      <c r="D50" t="s">
        <v>768</v>
      </c>
    </row>
    <row r="52" spans="1:12" x14ac:dyDescent="0.2">
      <c r="A52" s="58" t="s">
        <v>718</v>
      </c>
      <c r="B52" t="s">
        <v>750</v>
      </c>
      <c r="C52" t="s">
        <v>751</v>
      </c>
      <c r="E52" t="s">
        <v>754</v>
      </c>
      <c r="F52" t="s">
        <v>753</v>
      </c>
      <c r="H52" t="s">
        <v>879</v>
      </c>
      <c r="I52" t="s">
        <v>880</v>
      </c>
    </row>
    <row r="54" spans="1:12" x14ac:dyDescent="0.2">
      <c r="A54" s="58" t="s">
        <v>857</v>
      </c>
      <c r="B54" t="s">
        <v>54</v>
      </c>
      <c r="C54" t="s">
        <v>644</v>
      </c>
      <c r="D54" t="s">
        <v>645</v>
      </c>
      <c r="E54" t="s">
        <v>646</v>
      </c>
      <c r="F54" t="s">
        <v>642</v>
      </c>
      <c r="G54" t="s">
        <v>647</v>
      </c>
      <c r="H54" t="s">
        <v>648</v>
      </c>
      <c r="I54" t="s">
        <v>649</v>
      </c>
    </row>
    <row r="56" spans="1:12" x14ac:dyDescent="0.2">
      <c r="A56" t="s">
        <v>657</v>
      </c>
      <c r="B56" s="42" t="s">
        <v>651</v>
      </c>
      <c r="C56" s="42" t="s">
        <v>652</v>
      </c>
      <c r="D56" s="42" t="s">
        <v>829</v>
      </c>
      <c r="E56" s="42" t="s">
        <v>830</v>
      </c>
      <c r="F56" s="42" t="s">
        <v>831</v>
      </c>
      <c r="G56" s="42" t="s">
        <v>833</v>
      </c>
      <c r="H56" s="42" t="s">
        <v>832</v>
      </c>
      <c r="I56" s="42" t="s">
        <v>835</v>
      </c>
    </row>
    <row r="57" spans="1:12" x14ac:dyDescent="0.2">
      <c r="A57" t="s">
        <v>993</v>
      </c>
      <c r="B57" s="70" t="s">
        <v>759</v>
      </c>
      <c r="C57" s="70" t="s">
        <v>759</v>
      </c>
      <c r="D57" s="70" t="s">
        <v>759</v>
      </c>
      <c r="E57" s="70" t="s">
        <v>759</v>
      </c>
      <c r="F57" s="70" t="s">
        <v>759</v>
      </c>
      <c r="G57" s="70" t="s">
        <v>759</v>
      </c>
      <c r="H57" s="70" t="s">
        <v>759</v>
      </c>
      <c r="I57" s="70" t="s">
        <v>759</v>
      </c>
      <c r="J57" s="70"/>
      <c r="K57" s="70"/>
      <c r="L57" s="70"/>
    </row>
    <row r="58" spans="1:12" x14ac:dyDescent="0.2">
      <c r="B58" s="42"/>
      <c r="C58" s="42"/>
      <c r="D58" s="42"/>
      <c r="E58" s="42"/>
      <c r="F58" s="42"/>
      <c r="G58" s="70"/>
      <c r="H58" s="70"/>
      <c r="I58" s="70"/>
    </row>
    <row r="60" spans="1:12" x14ac:dyDescent="0.2">
      <c r="A60" t="s">
        <v>659</v>
      </c>
      <c r="B60" t="s">
        <v>54</v>
      </c>
      <c r="C60" t="s">
        <v>643</v>
      </c>
      <c r="D60" t="s">
        <v>328</v>
      </c>
      <c r="E60" t="s">
        <v>328</v>
      </c>
      <c r="F60" t="s">
        <v>328</v>
      </c>
      <c r="G60" t="s">
        <v>65</v>
      </c>
      <c r="H60" t="s">
        <v>65</v>
      </c>
      <c r="I60" t="s">
        <v>65</v>
      </c>
    </row>
    <row r="62" spans="1:12" x14ac:dyDescent="0.2">
      <c r="A62" s="58" t="s">
        <v>660</v>
      </c>
      <c r="B62" t="s">
        <v>739</v>
      </c>
    </row>
    <row r="63" spans="1:12" x14ac:dyDescent="0.2">
      <c r="B63" t="s">
        <v>661</v>
      </c>
    </row>
    <row r="65" spans="1:12" x14ac:dyDescent="0.2">
      <c r="A65" t="s">
        <v>662</v>
      </c>
      <c r="B65" t="s">
        <v>54</v>
      </c>
      <c r="C65" t="s">
        <v>642</v>
      </c>
      <c r="D65" t="s">
        <v>644</v>
      </c>
      <c r="E65" t="s">
        <v>649</v>
      </c>
      <c r="F65" t="s">
        <v>645</v>
      </c>
      <c r="G65" t="s">
        <v>646</v>
      </c>
      <c r="H65" t="s">
        <v>648</v>
      </c>
      <c r="I65" t="s">
        <v>647</v>
      </c>
    </row>
    <row r="66" spans="1:12" x14ac:dyDescent="0.2">
      <c r="B66">
        <v>1</v>
      </c>
      <c r="C66">
        <v>2</v>
      </c>
      <c r="D66">
        <v>3</v>
      </c>
      <c r="E66">
        <v>4</v>
      </c>
      <c r="F66">
        <v>5</v>
      </c>
      <c r="G66">
        <v>6</v>
      </c>
      <c r="H66">
        <v>7</v>
      </c>
      <c r="I66">
        <v>8</v>
      </c>
    </row>
    <row r="67" spans="1:12" x14ac:dyDescent="0.2">
      <c r="B67" t="s">
        <v>878</v>
      </c>
    </row>
    <row r="69" spans="1:12" x14ac:dyDescent="0.2">
      <c r="A69" s="58" t="s">
        <v>858</v>
      </c>
      <c r="B69" t="s">
        <v>687</v>
      </c>
    </row>
    <row r="70" spans="1:12" x14ac:dyDescent="0.2">
      <c r="A70" t="s">
        <v>849</v>
      </c>
      <c r="B70">
        <f>'BPOP HS COLL PRO Eval'!BG141</f>
        <v>0</v>
      </c>
      <c r="C70" t="e">
        <f>'BPOP HS COLL PRO Eval'!#REF!</f>
        <v>#REF!</v>
      </c>
      <c r="D70">
        <f>'BPOP 12U-14U Eval'!AM135</f>
        <v>-2.9</v>
      </c>
      <c r="E70">
        <f>'BPOP HS COLL PRO Eval'!BG145</f>
        <v>0</v>
      </c>
      <c r="F70">
        <f>'BPOP HS COLL PRO Eval'!BG146</f>
        <v>0</v>
      </c>
      <c r="G70">
        <f>'BPOP HS COLL PRO Eval'!BG149</f>
        <v>0</v>
      </c>
      <c r="H70">
        <f>'BPOP HS COLL PRO Eval'!BG149</f>
        <v>0</v>
      </c>
      <c r="I70">
        <f>'BPOP HS COLL PRO Eval'!BG150</f>
        <v>0</v>
      </c>
    </row>
    <row r="71" spans="1:12" x14ac:dyDescent="0.2">
      <c r="B71" t="s">
        <v>54</v>
      </c>
      <c r="C71" t="s">
        <v>644</v>
      </c>
      <c r="D71" t="s">
        <v>645</v>
      </c>
      <c r="E71" t="s">
        <v>646</v>
      </c>
      <c r="F71" t="s">
        <v>642</v>
      </c>
      <c r="G71" t="s">
        <v>647</v>
      </c>
      <c r="H71" t="s">
        <v>648</v>
      </c>
      <c r="I71" t="s">
        <v>649</v>
      </c>
    </row>
    <row r="72" spans="1:12" x14ac:dyDescent="0.2">
      <c r="A72" t="s">
        <v>849</v>
      </c>
      <c r="B72" s="6" t="str">
        <f>'BPOP HS COLL PRO Eval'!AM96</f>
        <v>CATCHERSCORE</v>
      </c>
      <c r="C72" s="6" t="str">
        <f>'BPOP HS COLL PRO Eval'!AM97</f>
        <v>1BSCORE</v>
      </c>
      <c r="D72" s="6" t="str">
        <f>'BPOP HS COLL PRO Eval'!AM99</f>
        <v>2BSCORE</v>
      </c>
      <c r="E72" s="6" t="str">
        <f>'BPOP HS COLL PRO Eval'!AM100</f>
        <v>3BSCORE</v>
      </c>
      <c r="F72" s="6" t="str">
        <f>'BPOP HS COLL PRO Eval'!AM101</f>
        <v>SHORTSCORE</v>
      </c>
      <c r="G72" s="6" t="str">
        <f>'BPOP HS COLL PRO Eval'!AM104</f>
        <v>RFSCORE</v>
      </c>
      <c r="H72" s="6" t="str">
        <f>'BPOP HS COLL PRO Eval'!AM103</f>
        <v>LFSCORE</v>
      </c>
      <c r="I72" s="6" t="str">
        <f>'BPOP HS COLL PRO Eval'!AM105</f>
        <v>CENTERSCORE</v>
      </c>
    </row>
    <row r="73" spans="1:12" ht="119" x14ac:dyDescent="0.2">
      <c r="B73" s="72" t="s">
        <v>827</v>
      </c>
      <c r="C73" s="72" t="s">
        <v>850</v>
      </c>
      <c r="D73" s="72" t="s">
        <v>851</v>
      </c>
      <c r="E73" s="72" t="s">
        <v>852</v>
      </c>
      <c r="F73" s="72" t="s">
        <v>853</v>
      </c>
      <c r="G73" s="72" t="s">
        <v>854</v>
      </c>
      <c r="H73" s="72" t="s">
        <v>855</v>
      </c>
      <c r="I73" s="72" t="s">
        <v>856</v>
      </c>
    </row>
    <row r="74" spans="1:12" ht="17" x14ac:dyDescent="0.2">
      <c r="A74" t="s">
        <v>735</v>
      </c>
      <c r="B74" s="65" t="str">
        <f>$B49</f>
        <v>College</v>
      </c>
      <c r="C74" s="65" t="str">
        <f t="shared" ref="C74:I74" si="1">$B49</f>
        <v>College</v>
      </c>
      <c r="D74" s="65" t="str">
        <f t="shared" si="1"/>
        <v>College</v>
      </c>
      <c r="E74" s="65" t="str">
        <f t="shared" si="1"/>
        <v>College</v>
      </c>
      <c r="F74" s="65" t="str">
        <f t="shared" si="1"/>
        <v>College</v>
      </c>
      <c r="G74" s="65" t="str">
        <f t="shared" si="1"/>
        <v>College</v>
      </c>
      <c r="H74" s="65" t="str">
        <f t="shared" si="1"/>
        <v>College</v>
      </c>
      <c r="I74" s="65" t="str">
        <f t="shared" si="1"/>
        <v>College</v>
      </c>
    </row>
    <row r="75" spans="1:12" x14ac:dyDescent="0.2">
      <c r="B75" s="66"/>
    </row>
    <row r="76" spans="1:12" x14ac:dyDescent="0.2">
      <c r="B76" s="65"/>
    </row>
    <row r="77" spans="1:12" x14ac:dyDescent="0.2">
      <c r="A77" s="58" t="s">
        <v>663</v>
      </c>
      <c r="B77" s="66" t="s">
        <v>749</v>
      </c>
      <c r="K77" s="6"/>
      <c r="L77" s="6"/>
    </row>
    <row r="78" spans="1:12" x14ac:dyDescent="0.2">
      <c r="A78" s="76" t="s">
        <v>865</v>
      </c>
      <c r="B78" s="77" t="str">
        <f>'BPOP HS COLL PRO Eval'!AM112</f>
        <v>DEFENSESCORE</v>
      </c>
      <c r="K78" s="6"/>
      <c r="L78" s="6"/>
    </row>
    <row r="79" spans="1:12" x14ac:dyDescent="0.2">
      <c r="A79" s="58"/>
      <c r="B79" s="6" t="s">
        <v>689</v>
      </c>
      <c r="K79" s="6"/>
      <c r="L79" s="6"/>
    </row>
    <row r="80" spans="1:12" x14ac:dyDescent="0.2">
      <c r="A80" s="58"/>
      <c r="B80" s="6"/>
      <c r="K80" s="6"/>
      <c r="L80" s="6"/>
    </row>
    <row r="81" spans="1:12" x14ac:dyDescent="0.2">
      <c r="A81" s="58" t="s">
        <v>682</v>
      </c>
      <c r="B81" s="77" t="s">
        <v>685</v>
      </c>
      <c r="K81" s="6"/>
      <c r="L81" s="6"/>
    </row>
    <row r="82" spans="1:12" x14ac:dyDescent="0.2">
      <c r="A82" s="76" t="s">
        <v>866</v>
      </c>
      <c r="B82" s="77" t="str">
        <f>'BPOP HS COLL PRO Eval'!AM108</f>
        <v>IFTOTAL</v>
      </c>
      <c r="K82" s="6"/>
      <c r="L82" s="6"/>
    </row>
    <row r="83" spans="1:12" x14ac:dyDescent="0.2">
      <c r="A83" s="58" t="s">
        <v>683</v>
      </c>
      <c r="B83" s="77" t="s">
        <v>684</v>
      </c>
      <c r="K83" s="6"/>
      <c r="L83" s="6"/>
    </row>
    <row r="84" spans="1:12" x14ac:dyDescent="0.2">
      <c r="A84" s="76" t="s">
        <v>867</v>
      </c>
      <c r="B84" s="6" t="str">
        <f>'BPOP HS COLL PRO Eval'!AM110</f>
        <v>OFTOTAL</v>
      </c>
      <c r="K84" s="6"/>
      <c r="L84" s="6"/>
    </row>
    <row r="85" spans="1:12" x14ac:dyDescent="0.2">
      <c r="A85" s="58"/>
    </row>
    <row r="88" spans="1:12" x14ac:dyDescent="0.2">
      <c r="A88" s="58" t="s">
        <v>693</v>
      </c>
      <c r="B88" t="s">
        <v>738</v>
      </c>
    </row>
    <row r="89" spans="1:12" x14ac:dyDescent="0.2">
      <c r="B89" t="s">
        <v>694</v>
      </c>
    </row>
    <row r="94" spans="1:12" x14ac:dyDescent="0.2">
      <c r="A94" s="68"/>
      <c r="B94" s="68"/>
      <c r="C94" s="68"/>
      <c r="D94" s="68"/>
      <c r="E94" s="68"/>
      <c r="F94" s="68"/>
      <c r="G94" s="68"/>
      <c r="H94" s="68"/>
      <c r="I94" s="68"/>
      <c r="J94" s="68"/>
      <c r="K94" s="68"/>
      <c r="L94" s="68"/>
    </row>
    <row r="96" spans="1:12" x14ac:dyDescent="0.2">
      <c r="A96" s="58" t="s">
        <v>640</v>
      </c>
      <c r="B96" s="58" t="s">
        <v>756</v>
      </c>
      <c r="D96" t="s">
        <v>757</v>
      </c>
    </row>
    <row r="97" spans="1:9" x14ac:dyDescent="0.2">
      <c r="D97" t="s">
        <v>767</v>
      </c>
    </row>
    <row r="99" spans="1:9" x14ac:dyDescent="0.2">
      <c r="A99" s="58" t="s">
        <v>718</v>
      </c>
      <c r="B99" t="s">
        <v>750</v>
      </c>
      <c r="C99" t="s">
        <v>751</v>
      </c>
      <c r="E99" t="s">
        <v>754</v>
      </c>
      <c r="F99" t="s">
        <v>753</v>
      </c>
      <c r="H99" t="s">
        <v>879</v>
      </c>
      <c r="I99" t="s">
        <v>880</v>
      </c>
    </row>
    <row r="101" spans="1:9" x14ac:dyDescent="0.2">
      <c r="A101" s="58" t="s">
        <v>857</v>
      </c>
      <c r="B101" t="s">
        <v>54</v>
      </c>
      <c r="C101" t="s">
        <v>644</v>
      </c>
      <c r="D101" t="s">
        <v>645</v>
      </c>
      <c r="E101" t="s">
        <v>646</v>
      </c>
      <c r="F101" t="s">
        <v>642</v>
      </c>
      <c r="G101" t="s">
        <v>647</v>
      </c>
      <c r="H101" t="s">
        <v>648</v>
      </c>
      <c r="I101" t="s">
        <v>649</v>
      </c>
    </row>
    <row r="103" spans="1:9" x14ac:dyDescent="0.2">
      <c r="A103" t="s">
        <v>657</v>
      </c>
      <c r="B103" s="42" t="s">
        <v>651</v>
      </c>
      <c r="C103" s="42" t="s">
        <v>652</v>
      </c>
      <c r="D103" s="42" t="s">
        <v>829</v>
      </c>
      <c r="E103" s="42" t="s">
        <v>830</v>
      </c>
      <c r="F103" s="42" t="s">
        <v>831</v>
      </c>
      <c r="G103" s="42" t="s">
        <v>833</v>
      </c>
      <c r="H103" s="42" t="s">
        <v>832</v>
      </c>
      <c r="I103" s="42" t="s">
        <v>835</v>
      </c>
    </row>
    <row r="104" spans="1:9" x14ac:dyDescent="0.2">
      <c r="A104" t="s">
        <v>698</v>
      </c>
      <c r="B104" s="42" t="str">
        <f>'BPOP HS COLL PRO Eval'!$D$44</f>
        <v>C20PCS</v>
      </c>
      <c r="C104" s="42" t="str">
        <f>'BPOP HS COLL PRO Eval'!$D$49</f>
        <v>C101B</v>
      </c>
      <c r="D104" s="42" t="str">
        <f>'BPOP HS COLL PRO Eval'!$D$56</f>
        <v>RLCG2B</v>
      </c>
      <c r="E104" s="42" t="str">
        <f>'BPOP HS COLL PRO Eval'!$D$58</f>
        <v>RLCG3B</v>
      </c>
      <c r="F104" s="42" t="str">
        <f>'BPOP HS COLL PRO Eval'!$D$57</f>
        <v>RLCGSS</v>
      </c>
      <c r="G104" s="70" t="str">
        <f>'BPOP HS COLL PRO Eval'!D70</f>
        <v>OFGBHT</v>
      </c>
      <c r="H104" s="70" t="str">
        <f>'BPOP HS COLL PRO Eval'!D69</f>
        <v>T120FT</v>
      </c>
      <c r="I104" s="70" t="str">
        <f>'BPOP HS COLL PRO Eval'!D10</f>
        <v>SPEEDSCORE</v>
      </c>
    </row>
    <row r="105" spans="1:9" x14ac:dyDescent="0.2">
      <c r="A105" t="s">
        <v>699</v>
      </c>
      <c r="B105" s="42" t="str">
        <f>'BPOP HS COLL PRO Eval'!$D$45</f>
        <v>CT2BT</v>
      </c>
      <c r="C105" s="42" t="str">
        <f>'BPOP HS COLL PRO Eval'!$D$50</f>
        <v>C1BST</v>
      </c>
      <c r="D105" s="42" t="str">
        <f>'BPOP HS COLL PRO Eval'!$D$65</f>
        <v>IFSS1BT</v>
      </c>
      <c r="E105" s="42" t="str">
        <f>'BPOP HS COLL PRO Eval'!$D$65</f>
        <v>IFSS1BT</v>
      </c>
      <c r="F105" s="42" t="str">
        <f>'BPOP HS COLL PRO Eval'!$D$65</f>
        <v>IFSS1BT</v>
      </c>
      <c r="G105" s="70" t="str">
        <f>'BPOP HS COLL PRO Eval'!D10</f>
        <v>SPEEDSCORE</v>
      </c>
      <c r="H105" s="70" t="str">
        <f>'BPOP HS COLL PRO Eval'!D10</f>
        <v>SPEEDSCORE</v>
      </c>
      <c r="I105" s="70" t="str">
        <f>'BPOP HS COLL PRO Eval'!D70</f>
        <v>OFGBHT</v>
      </c>
    </row>
    <row r="106" spans="1:9" x14ac:dyDescent="0.2">
      <c r="G106" s="6"/>
      <c r="H106" s="6"/>
      <c r="I106" s="6"/>
    </row>
    <row r="107" spans="1:9" x14ac:dyDescent="0.2">
      <c r="A107" t="s">
        <v>659</v>
      </c>
      <c r="B107" t="s">
        <v>54</v>
      </c>
      <c r="C107" t="s">
        <v>643</v>
      </c>
      <c r="D107" t="s">
        <v>328</v>
      </c>
      <c r="E107" t="s">
        <v>328</v>
      </c>
      <c r="F107" t="s">
        <v>328</v>
      </c>
      <c r="G107" t="s">
        <v>65</v>
      </c>
      <c r="H107" t="s">
        <v>65</v>
      </c>
      <c r="I107" t="s">
        <v>65</v>
      </c>
    </row>
    <row r="109" spans="1:9" x14ac:dyDescent="0.2">
      <c r="A109" s="58" t="s">
        <v>660</v>
      </c>
      <c r="B109" t="s">
        <v>739</v>
      </c>
    </row>
    <row r="110" spans="1:9" x14ac:dyDescent="0.2">
      <c r="B110" t="s">
        <v>661</v>
      </c>
    </row>
    <row r="112" spans="1:9" x14ac:dyDescent="0.2">
      <c r="A112" t="s">
        <v>662</v>
      </c>
      <c r="B112" t="s">
        <v>54</v>
      </c>
      <c r="C112" t="s">
        <v>642</v>
      </c>
      <c r="D112" t="s">
        <v>644</v>
      </c>
      <c r="E112" t="s">
        <v>649</v>
      </c>
      <c r="F112" t="s">
        <v>645</v>
      </c>
      <c r="G112" t="s">
        <v>646</v>
      </c>
      <c r="H112" t="s">
        <v>648</v>
      </c>
      <c r="I112" t="s">
        <v>647</v>
      </c>
    </row>
    <row r="113" spans="1:12" x14ac:dyDescent="0.2">
      <c r="B113">
        <v>1</v>
      </c>
      <c r="C113">
        <v>2</v>
      </c>
      <c r="D113">
        <v>3</v>
      </c>
      <c r="E113">
        <v>4</v>
      </c>
      <c r="F113">
        <v>5</v>
      </c>
      <c r="G113">
        <v>6</v>
      </c>
      <c r="H113">
        <v>7</v>
      </c>
      <c r="I113">
        <v>8</v>
      </c>
    </row>
    <row r="114" spans="1:12" x14ac:dyDescent="0.2">
      <c r="B114" t="s">
        <v>878</v>
      </c>
    </row>
    <row r="117" spans="1:12" x14ac:dyDescent="0.2">
      <c r="A117" s="58" t="s">
        <v>858</v>
      </c>
      <c r="B117" t="s">
        <v>687</v>
      </c>
    </row>
    <row r="118" spans="1:12" x14ac:dyDescent="0.2">
      <c r="A118" t="s">
        <v>849</v>
      </c>
      <c r="B118" s="6" t="str">
        <f>'BPOP HS COLL PRO Eval'!S96</f>
        <v>CATCHERSCORE</v>
      </c>
      <c r="C118" s="6" t="str">
        <f>'BPOP HS COLL PRO Eval'!S101</f>
        <v>SHORTSCORE</v>
      </c>
      <c r="D118" s="6" t="str">
        <f>'BPOP HS COLL PRO Eval'!S97</f>
        <v>1BSCORE</v>
      </c>
      <c r="E118" s="6" t="str">
        <f>'BPOP HS COLL PRO Eval'!S105</f>
        <v>CENTERSCORE</v>
      </c>
      <c r="F118" s="6" t="str">
        <f>'BPOP HS COLL PRO Eval'!S99</f>
        <v>2BSCORE</v>
      </c>
      <c r="G118" s="6" t="str">
        <f>'BPOP HS COLL PRO Eval'!S100</f>
        <v>3BSCORE</v>
      </c>
      <c r="H118" s="6" t="str">
        <f>'BPOP HS COLL PRO Eval'!S103</f>
        <v>LFSCORE</v>
      </c>
      <c r="I118" s="6" t="str">
        <f>'BPOP HS COLL PRO Eval'!S104</f>
        <v>RFSCORE</v>
      </c>
    </row>
    <row r="119" spans="1:12" x14ac:dyDescent="0.2">
      <c r="B119" t="s">
        <v>54</v>
      </c>
      <c r="C119" t="s">
        <v>644</v>
      </c>
      <c r="D119" t="s">
        <v>645</v>
      </c>
      <c r="E119" t="s">
        <v>646</v>
      </c>
      <c r="F119" t="s">
        <v>642</v>
      </c>
      <c r="G119" t="s">
        <v>647</v>
      </c>
      <c r="H119" t="s">
        <v>648</v>
      </c>
      <c r="I119" t="s">
        <v>649</v>
      </c>
    </row>
    <row r="120" spans="1:12" x14ac:dyDescent="0.2">
      <c r="A120" t="s">
        <v>849</v>
      </c>
      <c r="B120" s="6" t="str">
        <f>'BPOP HS COLL PRO Eval'!S96</f>
        <v>CATCHERSCORE</v>
      </c>
      <c r="C120" s="6" t="str">
        <f>'BPOP HS COLL PRO Eval'!S97</f>
        <v>1BSCORE</v>
      </c>
      <c r="D120" s="6" t="str">
        <f>'BPOP HS COLL PRO Eval'!S99</f>
        <v>2BSCORE</v>
      </c>
      <c r="E120" s="6" t="str">
        <f>'BPOP HS COLL PRO Eval'!S100</f>
        <v>3BSCORE</v>
      </c>
      <c r="F120" s="6" t="str">
        <f>'BPOP HS COLL PRO Eval'!S101</f>
        <v>SHORTSCORE</v>
      </c>
      <c r="G120" s="6" t="str">
        <f>'BPOP HS COLL PRO Eval'!S104</f>
        <v>RFSCORE</v>
      </c>
      <c r="H120" s="6" t="str">
        <f>'BPOP HS COLL PRO Eval'!S103</f>
        <v>LFSCORE</v>
      </c>
      <c r="I120" s="6" t="str">
        <f>'BPOP HS COLL PRO Eval'!S105</f>
        <v>CENTERSCORE</v>
      </c>
    </row>
    <row r="121" spans="1:12" ht="119" x14ac:dyDescent="0.2">
      <c r="B121" s="65" t="s">
        <v>827</v>
      </c>
      <c r="C121" s="65" t="s">
        <v>850</v>
      </c>
      <c r="D121" s="65" t="s">
        <v>851</v>
      </c>
      <c r="E121" s="65" t="s">
        <v>852</v>
      </c>
      <c r="F121" s="65" t="s">
        <v>853</v>
      </c>
      <c r="G121" s="65" t="s">
        <v>854</v>
      </c>
      <c r="H121" s="65" t="s">
        <v>855</v>
      </c>
      <c r="I121" s="65" t="s">
        <v>856</v>
      </c>
    </row>
    <row r="122" spans="1:12" ht="17" x14ac:dyDescent="0.2">
      <c r="A122" t="s">
        <v>735</v>
      </c>
      <c r="B122" s="65" t="str">
        <f>$B96</f>
        <v>High School</v>
      </c>
      <c r="C122" s="65" t="str">
        <f t="shared" ref="C122:I122" si="2">$B96</f>
        <v>High School</v>
      </c>
      <c r="D122" s="65" t="str">
        <f t="shared" si="2"/>
        <v>High School</v>
      </c>
      <c r="E122" s="65" t="str">
        <f t="shared" si="2"/>
        <v>High School</v>
      </c>
      <c r="F122" s="65" t="str">
        <f t="shared" si="2"/>
        <v>High School</v>
      </c>
      <c r="G122" s="65" t="str">
        <f t="shared" si="2"/>
        <v>High School</v>
      </c>
      <c r="H122" s="65" t="str">
        <f t="shared" si="2"/>
        <v>High School</v>
      </c>
      <c r="I122" s="65" t="str">
        <f t="shared" si="2"/>
        <v>High School</v>
      </c>
    </row>
    <row r="123" spans="1:12" x14ac:dyDescent="0.2">
      <c r="B123" s="66"/>
    </row>
    <row r="124" spans="1:12" x14ac:dyDescent="0.2">
      <c r="B124" s="65"/>
    </row>
    <row r="125" spans="1:12" x14ac:dyDescent="0.2">
      <c r="A125" s="58" t="s">
        <v>663</v>
      </c>
      <c r="B125" s="66" t="s">
        <v>749</v>
      </c>
      <c r="K125" s="6"/>
      <c r="L125" s="6"/>
    </row>
    <row r="126" spans="1:12" x14ac:dyDescent="0.2">
      <c r="A126" s="76" t="s">
        <v>865</v>
      </c>
      <c r="B126" s="77" t="str">
        <f>'BPOP HS COLL PRO Eval'!S112</f>
        <v>DEFENSESCORE</v>
      </c>
      <c r="K126" s="6"/>
      <c r="L126" s="6"/>
    </row>
    <row r="127" spans="1:12" x14ac:dyDescent="0.2">
      <c r="A127" s="58"/>
      <c r="B127" t="s">
        <v>689</v>
      </c>
      <c r="K127" s="6"/>
      <c r="L127" s="6"/>
    </row>
    <row r="128" spans="1:12" x14ac:dyDescent="0.2">
      <c r="A128" s="58"/>
      <c r="K128" s="6"/>
      <c r="L128" s="6"/>
    </row>
    <row r="129" spans="1:12" x14ac:dyDescent="0.2">
      <c r="A129" s="58" t="s">
        <v>682</v>
      </c>
      <c r="B129" s="66" t="s">
        <v>685</v>
      </c>
      <c r="K129" s="6"/>
      <c r="L129" s="6"/>
    </row>
    <row r="130" spans="1:12" x14ac:dyDescent="0.2">
      <c r="A130" s="76" t="s">
        <v>866</v>
      </c>
      <c r="B130" s="78" t="str">
        <f>'BPOP HS COLL PRO Eval'!S108</f>
        <v>IFTOTAL</v>
      </c>
      <c r="K130" s="6"/>
      <c r="L130" s="6"/>
    </row>
    <row r="131" spans="1:12" x14ac:dyDescent="0.2">
      <c r="A131" s="58" t="s">
        <v>683</v>
      </c>
      <c r="B131" s="66" t="s">
        <v>684</v>
      </c>
      <c r="K131" s="6"/>
      <c r="L131" s="6"/>
    </row>
    <row r="132" spans="1:12" x14ac:dyDescent="0.2">
      <c r="A132" s="76" t="s">
        <v>867</v>
      </c>
      <c r="B132" s="6" t="str">
        <f>'BPOP HS COLL PRO Eval'!S110</f>
        <v>OFTOTAL</v>
      </c>
      <c r="K132" s="6"/>
      <c r="L132" s="6"/>
    </row>
    <row r="133" spans="1:12" x14ac:dyDescent="0.2">
      <c r="A133" s="58"/>
    </row>
    <row r="136" spans="1:12" x14ac:dyDescent="0.2">
      <c r="A136" s="58" t="s">
        <v>693</v>
      </c>
      <c r="B136" t="s">
        <v>738</v>
      </c>
    </row>
    <row r="137" spans="1:12" x14ac:dyDescent="0.2">
      <c r="B137" t="s">
        <v>694</v>
      </c>
    </row>
    <row r="140" spans="1:12" x14ac:dyDescent="0.2">
      <c r="A140" s="68"/>
      <c r="B140" s="68"/>
      <c r="C140" s="68"/>
      <c r="D140" s="68"/>
      <c r="E140" s="68"/>
      <c r="F140" s="68"/>
      <c r="G140" s="68"/>
      <c r="H140" s="68"/>
      <c r="I140" s="68"/>
      <c r="J140" s="68"/>
      <c r="K140" s="68"/>
      <c r="L140" s="68"/>
    </row>
    <row r="142" spans="1:12" x14ac:dyDescent="0.2">
      <c r="A142" s="58" t="s">
        <v>640</v>
      </c>
      <c r="B142" s="58" t="s">
        <v>599</v>
      </c>
      <c r="D142" t="s">
        <v>765</v>
      </c>
    </row>
    <row r="143" spans="1:12" x14ac:dyDescent="0.2">
      <c r="D143" t="s">
        <v>766</v>
      </c>
    </row>
    <row r="145" spans="1:12" x14ac:dyDescent="0.2">
      <c r="A145" s="58" t="s">
        <v>718</v>
      </c>
      <c r="B145" t="s">
        <v>750</v>
      </c>
      <c r="C145" t="s">
        <v>960</v>
      </c>
      <c r="E145" t="s">
        <v>752</v>
      </c>
      <c r="F145" t="s">
        <v>753</v>
      </c>
      <c r="H145" t="s">
        <v>879</v>
      </c>
      <c r="I145" t="s">
        <v>880</v>
      </c>
    </row>
    <row r="147" spans="1:12" ht="68" x14ac:dyDescent="0.2">
      <c r="A147" s="58" t="s">
        <v>857</v>
      </c>
      <c r="B147" t="s">
        <v>54</v>
      </c>
      <c r="C147" t="s">
        <v>644</v>
      </c>
      <c r="D147" t="s">
        <v>645</v>
      </c>
      <c r="E147" t="s">
        <v>646</v>
      </c>
      <c r="F147" t="s">
        <v>642</v>
      </c>
      <c r="G147" t="s">
        <v>647</v>
      </c>
      <c r="H147" t="s">
        <v>648</v>
      </c>
      <c r="I147" s="65" t="s">
        <v>780</v>
      </c>
      <c r="J147" s="65" t="s">
        <v>783</v>
      </c>
      <c r="K147" s="65" t="s">
        <v>784</v>
      </c>
    </row>
    <row r="149" spans="1:12" x14ac:dyDescent="0.2">
      <c r="A149" t="s">
        <v>657</v>
      </c>
      <c r="B149" s="70" t="str">
        <f>'BPOP 12U-14U Eval'!BG89</f>
        <v>CATCHERSCORE</v>
      </c>
      <c r="C149" s="70" t="str">
        <f>'BPOP 12U-14U Eval'!BG90</f>
        <v>1BSCORE</v>
      </c>
      <c r="D149" s="70" t="str">
        <f>'BPOP 12U-14U Eval'!BG92</f>
        <v>2BSCORE</v>
      </c>
      <c r="E149" s="70" t="str">
        <f>'BPOP 12U-14U Eval'!BG93</f>
        <v>3BSCORE</v>
      </c>
      <c r="F149" s="70" t="str">
        <f>'BPOP 12U-14U Eval'!BG94</f>
        <v>SHORTSCORE</v>
      </c>
      <c r="G149" s="70" t="str">
        <f>'BPOP 12U-14U Eval'!BG97</f>
        <v>RFSCORE</v>
      </c>
      <c r="H149" s="70" t="str">
        <f>'BPOP 12U-14U Eval'!BG96</f>
        <v>LFSCORE</v>
      </c>
      <c r="I149" s="70" t="str">
        <f>'BPOP 12U-14U Eval'!BG98</f>
        <v>CENTERSCORE</v>
      </c>
      <c r="J149" s="70" t="str">
        <f>'BPOP 12U-14U Eval'!BG101</f>
        <v>RCSCORE</v>
      </c>
      <c r="K149" s="70" t="str">
        <f>'BPOP 12U-14U Eval'!BG100</f>
        <v>LCSCORE</v>
      </c>
    </row>
    <row r="150" spans="1:12" x14ac:dyDescent="0.2">
      <c r="A150" t="s">
        <v>993</v>
      </c>
      <c r="B150" s="70" t="s">
        <v>759</v>
      </c>
      <c r="C150" s="70" t="s">
        <v>759</v>
      </c>
      <c r="D150" s="70" t="s">
        <v>759</v>
      </c>
      <c r="E150" s="70" t="s">
        <v>759</v>
      </c>
      <c r="F150" s="70" t="s">
        <v>759</v>
      </c>
      <c r="G150" s="70" t="s">
        <v>759</v>
      </c>
      <c r="H150" s="70" t="s">
        <v>759</v>
      </c>
      <c r="I150" s="70" t="s">
        <v>759</v>
      </c>
      <c r="J150" s="70" t="s">
        <v>759</v>
      </c>
      <c r="K150" s="70" t="s">
        <v>759</v>
      </c>
      <c r="L150" s="70"/>
    </row>
    <row r="151" spans="1:12" x14ac:dyDescent="0.2">
      <c r="B151" s="70"/>
      <c r="C151" s="70"/>
      <c r="D151" s="70"/>
      <c r="E151" s="70"/>
      <c r="F151" s="70"/>
      <c r="G151" s="70"/>
      <c r="H151" s="70"/>
      <c r="I151" s="70"/>
      <c r="J151" s="70"/>
      <c r="K151" s="70"/>
    </row>
    <row r="152" spans="1:12" x14ac:dyDescent="0.2">
      <c r="G152" s="6"/>
    </row>
    <row r="153" spans="1:12" x14ac:dyDescent="0.2">
      <c r="A153" t="s">
        <v>659</v>
      </c>
      <c r="B153" t="s">
        <v>54</v>
      </c>
      <c r="C153" t="s">
        <v>643</v>
      </c>
      <c r="D153" t="s">
        <v>328</v>
      </c>
      <c r="E153" t="s">
        <v>328</v>
      </c>
      <c r="F153" t="s">
        <v>328</v>
      </c>
      <c r="G153" t="s">
        <v>65</v>
      </c>
      <c r="H153" t="s">
        <v>65</v>
      </c>
      <c r="I153" t="s">
        <v>65</v>
      </c>
      <c r="J153" t="s">
        <v>65</v>
      </c>
      <c r="K153" t="s">
        <v>65</v>
      </c>
    </row>
    <row r="155" spans="1:12" x14ac:dyDescent="0.2">
      <c r="A155" s="58" t="s">
        <v>660</v>
      </c>
      <c r="B155" t="s">
        <v>739</v>
      </c>
    </row>
    <row r="156" spans="1:12" x14ac:dyDescent="0.2">
      <c r="B156" t="s">
        <v>661</v>
      </c>
    </row>
    <row r="158" spans="1:12" x14ac:dyDescent="0.2">
      <c r="A158" t="s">
        <v>785</v>
      </c>
      <c r="B158" t="s">
        <v>54</v>
      </c>
      <c r="C158" t="s">
        <v>642</v>
      </c>
      <c r="D158" t="s">
        <v>644</v>
      </c>
      <c r="E158" t="s">
        <v>649</v>
      </c>
      <c r="F158" t="s">
        <v>645</v>
      </c>
      <c r="G158" t="s">
        <v>646</v>
      </c>
      <c r="H158" t="s">
        <v>648</v>
      </c>
      <c r="I158" t="s">
        <v>647</v>
      </c>
    </row>
    <row r="159" spans="1:12" x14ac:dyDescent="0.2">
      <c r="B159">
        <v>1</v>
      </c>
      <c r="C159">
        <v>2</v>
      </c>
      <c r="D159">
        <v>3</v>
      </c>
      <c r="E159">
        <v>4</v>
      </c>
      <c r="F159">
        <v>5</v>
      </c>
      <c r="G159">
        <v>6</v>
      </c>
      <c r="H159">
        <v>7</v>
      </c>
      <c r="I159">
        <v>8</v>
      </c>
    </row>
    <row r="160" spans="1:12" x14ac:dyDescent="0.2">
      <c r="A160" t="s">
        <v>786</v>
      </c>
      <c r="B160" t="s">
        <v>54</v>
      </c>
      <c r="C160" t="s">
        <v>642</v>
      </c>
      <c r="D160" t="s">
        <v>644</v>
      </c>
      <c r="E160" t="s">
        <v>645</v>
      </c>
      <c r="F160" t="s">
        <v>646</v>
      </c>
      <c r="G160" t="s">
        <v>782</v>
      </c>
      <c r="H160" t="s">
        <v>781</v>
      </c>
      <c r="I160" t="s">
        <v>789</v>
      </c>
      <c r="J160" t="s">
        <v>787</v>
      </c>
    </row>
    <row r="161" spans="1:10" x14ac:dyDescent="0.2">
      <c r="B161">
        <v>1</v>
      </c>
      <c r="C161">
        <v>2</v>
      </c>
      <c r="D161">
        <v>3</v>
      </c>
      <c r="E161">
        <v>4</v>
      </c>
      <c r="F161">
        <v>5</v>
      </c>
      <c r="G161">
        <v>6</v>
      </c>
      <c r="H161">
        <v>7</v>
      </c>
      <c r="I161">
        <v>8</v>
      </c>
      <c r="J161">
        <v>9</v>
      </c>
    </row>
    <row r="163" spans="1:10" ht="15" customHeight="1" x14ac:dyDescent="0.2">
      <c r="A163" s="58" t="s">
        <v>858</v>
      </c>
      <c r="B163" t="s">
        <v>687</v>
      </c>
    </row>
    <row r="164" spans="1:10" s="6" customFormat="1" x14ac:dyDescent="0.2">
      <c r="A164" s="6" t="s">
        <v>849</v>
      </c>
      <c r="B164" s="6" t="str">
        <f>'BPOP 12U-14U Eval'!S89</f>
        <v>CATCHERSCORE</v>
      </c>
      <c r="C164" s="6" t="str">
        <f>'BPOP 12U-14U Eval'!S90</f>
        <v>1BSCORE</v>
      </c>
      <c r="D164" s="6" t="str">
        <f>'BPOP 12U-14U Eval'!S92</f>
        <v>2BSCORE</v>
      </c>
      <c r="E164" s="6" t="str">
        <f>'BPOP 12U-14U Eval'!S93</f>
        <v>3BSCORE</v>
      </c>
      <c r="F164" s="6" t="str">
        <f>'BPOP 12U-14U Eval'!S94</f>
        <v>SHORTSCORE</v>
      </c>
      <c r="G164" s="6" t="str">
        <f>'BPOP 12U-14U Eval'!S97</f>
        <v>RFSCORE</v>
      </c>
      <c r="H164" s="6" t="str">
        <f>'BPOP 12U-14U Eval'!S96</f>
        <v>LFSCORE</v>
      </c>
      <c r="I164" s="6" t="str">
        <f>'BPOP 12U-14U Eval'!S98</f>
        <v>CENTERSCORE</v>
      </c>
    </row>
    <row r="165" spans="1:10" x14ac:dyDescent="0.2">
      <c r="A165" t="s">
        <v>792</v>
      </c>
      <c r="B165" t="s">
        <v>54</v>
      </c>
      <c r="C165" t="s">
        <v>644</v>
      </c>
      <c r="D165" t="s">
        <v>645</v>
      </c>
      <c r="E165" t="s">
        <v>646</v>
      </c>
      <c r="F165" t="s">
        <v>642</v>
      </c>
      <c r="G165" t="s">
        <v>647</v>
      </c>
      <c r="H165" t="s">
        <v>648</v>
      </c>
      <c r="I165" t="s">
        <v>649</v>
      </c>
    </row>
    <row r="166" spans="1:10" ht="117" customHeight="1" x14ac:dyDescent="0.2">
      <c r="B166" s="65" t="s">
        <v>827</v>
      </c>
      <c r="C166" s="65" t="s">
        <v>850</v>
      </c>
      <c r="D166" s="65" t="s">
        <v>851</v>
      </c>
      <c r="E166" s="65" t="s">
        <v>852</v>
      </c>
      <c r="F166" s="65" t="s">
        <v>853</v>
      </c>
      <c r="G166" s="65" t="s">
        <v>876</v>
      </c>
      <c r="H166" s="65" t="s">
        <v>875</v>
      </c>
      <c r="I166" s="65" t="s">
        <v>877</v>
      </c>
    </row>
    <row r="167" spans="1:10" ht="17" x14ac:dyDescent="0.2">
      <c r="A167" t="s">
        <v>735</v>
      </c>
      <c r="B167" s="65" t="str">
        <f>$B142</f>
        <v>14U</v>
      </c>
      <c r="C167" s="65" t="str">
        <f t="shared" ref="C167:I167" si="3">$B142</f>
        <v>14U</v>
      </c>
      <c r="D167" s="65" t="str">
        <f t="shared" si="3"/>
        <v>14U</v>
      </c>
      <c r="E167" s="65" t="str">
        <f t="shared" si="3"/>
        <v>14U</v>
      </c>
      <c r="F167" s="65" t="str">
        <f t="shared" si="3"/>
        <v>14U</v>
      </c>
      <c r="G167" s="65" t="str">
        <f t="shared" si="3"/>
        <v>14U</v>
      </c>
      <c r="H167" s="65" t="str">
        <f t="shared" si="3"/>
        <v>14U</v>
      </c>
      <c r="I167" s="65" t="str">
        <f t="shared" si="3"/>
        <v>14U</v>
      </c>
    </row>
    <row r="168" spans="1:10" s="6" customFormat="1" x14ac:dyDescent="0.2">
      <c r="A168" s="6" t="s">
        <v>849</v>
      </c>
      <c r="B168" s="6" t="str">
        <f>'BPOP 12U-14U Eval'!BG89</f>
        <v>CATCHERSCORE</v>
      </c>
      <c r="C168" s="6" t="str">
        <f>'BPOP 12U-14U Eval'!BG90</f>
        <v>1BSCORE</v>
      </c>
      <c r="D168" s="6" t="str">
        <f>'BPOP 12U-14U Eval'!BG92</f>
        <v>2BSCORE</v>
      </c>
      <c r="E168" s="6" t="str">
        <f>'BPOP 12U-14U Eval'!BG93</f>
        <v>3BSCORE</v>
      </c>
      <c r="F168" s="6" t="str">
        <f>'BPOP 12U-14U Eval'!BG94</f>
        <v>SHORTSCORE</v>
      </c>
      <c r="G168" s="6" t="str">
        <f>'BPOP 12U-14U Eval'!BG100</f>
        <v>LCSCORE</v>
      </c>
      <c r="H168" s="6" t="str">
        <f>'BPOP 12U-14U Eval'!BG101</f>
        <v>RCSCORE</v>
      </c>
      <c r="I168" s="6" t="str">
        <f>'BPOP 12U-14U Eval'!S96</f>
        <v>LFSCORE</v>
      </c>
      <c r="J168" s="6" t="str">
        <f>'BPOP 12U-14U Eval'!S97</f>
        <v>RFSCORE</v>
      </c>
    </row>
    <row r="169" spans="1:10" x14ac:dyDescent="0.2">
      <c r="A169" t="s">
        <v>793</v>
      </c>
      <c r="B169" t="s">
        <v>54</v>
      </c>
      <c r="C169" t="s">
        <v>644</v>
      </c>
      <c r="D169" t="s">
        <v>645</v>
      </c>
      <c r="E169" t="s">
        <v>646</v>
      </c>
      <c r="F169" t="s">
        <v>642</v>
      </c>
      <c r="G169" t="s">
        <v>782</v>
      </c>
      <c r="H169" t="s">
        <v>781</v>
      </c>
      <c r="I169" t="s">
        <v>789</v>
      </c>
      <c r="J169" t="s">
        <v>787</v>
      </c>
    </row>
    <row r="170" spans="1:10" ht="122" customHeight="1" x14ac:dyDescent="0.2">
      <c r="B170" s="65" t="s">
        <v>827</v>
      </c>
      <c r="C170" s="65" t="s">
        <v>850</v>
      </c>
      <c r="D170" s="65" t="s">
        <v>851</v>
      </c>
      <c r="E170" s="65" t="s">
        <v>852</v>
      </c>
      <c r="F170" s="65" t="s">
        <v>853</v>
      </c>
      <c r="G170" s="65" t="s">
        <v>873</v>
      </c>
      <c r="H170" s="65" t="s">
        <v>874</v>
      </c>
      <c r="I170" s="65" t="s">
        <v>875</v>
      </c>
      <c r="J170" s="65" t="s">
        <v>876</v>
      </c>
    </row>
    <row r="171" spans="1:10" ht="17" x14ac:dyDescent="0.2">
      <c r="B171" s="65" t="str">
        <f>$B142</f>
        <v>14U</v>
      </c>
      <c r="C171" s="65" t="str">
        <f t="shared" ref="C171:J171" si="4">$B142</f>
        <v>14U</v>
      </c>
      <c r="D171" s="65" t="str">
        <f t="shared" si="4"/>
        <v>14U</v>
      </c>
      <c r="E171" s="65" t="str">
        <f t="shared" si="4"/>
        <v>14U</v>
      </c>
      <c r="F171" s="65" t="str">
        <f t="shared" si="4"/>
        <v>14U</v>
      </c>
      <c r="G171" s="65" t="str">
        <f t="shared" si="4"/>
        <v>14U</v>
      </c>
      <c r="H171" s="65" t="str">
        <f t="shared" si="4"/>
        <v>14U</v>
      </c>
      <c r="I171" s="65" t="str">
        <f t="shared" si="4"/>
        <v>14U</v>
      </c>
      <c r="J171" s="65" t="str">
        <f t="shared" si="4"/>
        <v>14U</v>
      </c>
    </row>
    <row r="172" spans="1:10" x14ac:dyDescent="0.2">
      <c r="B172" s="65"/>
    </row>
    <row r="173" spans="1:10" x14ac:dyDescent="0.2">
      <c r="A173" s="58" t="s">
        <v>663</v>
      </c>
      <c r="B173" s="66" t="s">
        <v>686</v>
      </c>
    </row>
    <row r="174" spans="1:10" s="6" customFormat="1" x14ac:dyDescent="0.2">
      <c r="A174" s="79" t="s">
        <v>865</v>
      </c>
      <c r="B174" s="77" t="str">
        <f>'BPOP 12U-14U Eval'!S107</f>
        <v>DEFENSESCORE</v>
      </c>
    </row>
    <row r="175" spans="1:10" x14ac:dyDescent="0.2">
      <c r="B175" t="s">
        <v>689</v>
      </c>
    </row>
    <row r="177" spans="1:12" x14ac:dyDescent="0.2">
      <c r="A177" s="58" t="s">
        <v>682</v>
      </c>
      <c r="B177" s="66" t="s">
        <v>685</v>
      </c>
    </row>
    <row r="178" spans="1:12" s="6" customFormat="1" x14ac:dyDescent="0.2">
      <c r="A178" s="79" t="s">
        <v>866</v>
      </c>
      <c r="B178" s="78" t="str">
        <f>'BPOP 12U-14U Eval'!S103</f>
        <v>IFTOTAL</v>
      </c>
    </row>
    <row r="179" spans="1:12" x14ac:dyDescent="0.2">
      <c r="A179" s="58" t="s">
        <v>683</v>
      </c>
      <c r="B179" s="66" t="s">
        <v>684</v>
      </c>
    </row>
    <row r="180" spans="1:12" s="6" customFormat="1" x14ac:dyDescent="0.2">
      <c r="A180" s="79" t="s">
        <v>867</v>
      </c>
      <c r="B180" s="6" t="str">
        <f>'BPOP 12U-14U Eval'!S105</f>
        <v>OFTOTAL</v>
      </c>
    </row>
    <row r="181" spans="1:12" x14ac:dyDescent="0.2">
      <c r="A181" s="58"/>
    </row>
    <row r="184" spans="1:12" x14ac:dyDescent="0.2">
      <c r="A184" s="58" t="s">
        <v>693</v>
      </c>
      <c r="B184" t="s">
        <v>738</v>
      </c>
    </row>
    <row r="185" spans="1:12" x14ac:dyDescent="0.2">
      <c r="B185" t="s">
        <v>694</v>
      </c>
    </row>
    <row r="189" spans="1:12" x14ac:dyDescent="0.2">
      <c r="A189" s="68"/>
      <c r="B189" s="68"/>
      <c r="C189" s="68"/>
      <c r="D189" s="68"/>
      <c r="E189" s="68"/>
      <c r="F189" s="68"/>
      <c r="G189" s="68"/>
      <c r="H189" s="68"/>
      <c r="I189" s="68"/>
      <c r="J189" s="68"/>
      <c r="K189" s="68"/>
      <c r="L189" s="68"/>
    </row>
    <row r="191" spans="1:12" x14ac:dyDescent="0.2">
      <c r="A191" s="58" t="s">
        <v>640</v>
      </c>
      <c r="B191" s="58" t="s">
        <v>598</v>
      </c>
      <c r="D191" t="s">
        <v>770</v>
      </c>
    </row>
    <row r="192" spans="1:12" x14ac:dyDescent="0.2">
      <c r="D192" t="s">
        <v>769</v>
      </c>
    </row>
    <row r="194" spans="1:12" x14ac:dyDescent="0.2">
      <c r="A194" s="58" t="s">
        <v>718</v>
      </c>
      <c r="B194" t="s">
        <v>750</v>
      </c>
      <c r="C194" t="s">
        <v>960</v>
      </c>
      <c r="E194" t="s">
        <v>752</v>
      </c>
      <c r="F194" t="s">
        <v>753</v>
      </c>
      <c r="H194" t="s">
        <v>879</v>
      </c>
      <c r="I194" t="s">
        <v>880</v>
      </c>
    </row>
    <row r="196" spans="1:12" ht="68" x14ac:dyDescent="0.2">
      <c r="A196" s="58" t="s">
        <v>857</v>
      </c>
      <c r="B196" t="s">
        <v>54</v>
      </c>
      <c r="C196" t="s">
        <v>644</v>
      </c>
      <c r="D196" t="s">
        <v>645</v>
      </c>
      <c r="E196" t="s">
        <v>646</v>
      </c>
      <c r="F196" t="s">
        <v>642</v>
      </c>
      <c r="G196" t="s">
        <v>647</v>
      </c>
      <c r="H196" t="s">
        <v>648</v>
      </c>
      <c r="I196" s="65" t="s">
        <v>780</v>
      </c>
      <c r="J196" s="65" t="s">
        <v>783</v>
      </c>
      <c r="K196" s="65" t="s">
        <v>784</v>
      </c>
    </row>
    <row r="198" spans="1:12" x14ac:dyDescent="0.2">
      <c r="A198" t="s">
        <v>657</v>
      </c>
      <c r="B198" s="70" t="s">
        <v>651</v>
      </c>
      <c r="C198" s="70" t="s">
        <v>652</v>
      </c>
      <c r="D198" s="70" t="s">
        <v>829</v>
      </c>
      <c r="E198" s="70" t="s">
        <v>830</v>
      </c>
      <c r="F198" s="70" t="s">
        <v>831</v>
      </c>
      <c r="G198" s="70" t="s">
        <v>833</v>
      </c>
      <c r="H198" s="70" t="s">
        <v>832</v>
      </c>
      <c r="I198" s="70" t="s">
        <v>835</v>
      </c>
      <c r="J198" s="70" t="s">
        <v>837</v>
      </c>
      <c r="K198" s="70" t="s">
        <v>836</v>
      </c>
    </row>
    <row r="199" spans="1:12" x14ac:dyDescent="0.2">
      <c r="A199" t="s">
        <v>993</v>
      </c>
      <c r="B199" s="70" t="s">
        <v>759</v>
      </c>
      <c r="C199" s="70" t="s">
        <v>759</v>
      </c>
      <c r="D199" s="70" t="s">
        <v>759</v>
      </c>
      <c r="E199" s="70" t="s">
        <v>759</v>
      </c>
      <c r="F199" s="70" t="s">
        <v>759</v>
      </c>
      <c r="G199" s="70" t="s">
        <v>759</v>
      </c>
      <c r="H199" s="70" t="s">
        <v>759</v>
      </c>
      <c r="I199" s="70" t="s">
        <v>759</v>
      </c>
      <c r="J199" s="70" t="s">
        <v>759</v>
      </c>
      <c r="K199" s="70" t="s">
        <v>759</v>
      </c>
      <c r="L199" s="70"/>
    </row>
    <row r="200" spans="1:12" x14ac:dyDescent="0.2">
      <c r="B200" s="70"/>
      <c r="C200" s="70"/>
      <c r="D200" s="70"/>
      <c r="E200" s="70"/>
      <c r="F200" s="70"/>
      <c r="G200" s="70"/>
      <c r="H200" s="70"/>
      <c r="I200" s="70"/>
      <c r="J200" s="70"/>
      <c r="K200" s="70"/>
    </row>
    <row r="201" spans="1:12" x14ac:dyDescent="0.2">
      <c r="G201" s="6"/>
    </row>
    <row r="202" spans="1:12" x14ac:dyDescent="0.2">
      <c r="A202" t="s">
        <v>659</v>
      </c>
      <c r="B202" t="s">
        <v>54</v>
      </c>
      <c r="C202" t="s">
        <v>643</v>
      </c>
      <c r="D202" t="s">
        <v>328</v>
      </c>
      <c r="E202" t="s">
        <v>328</v>
      </c>
      <c r="F202" t="s">
        <v>328</v>
      </c>
      <c r="G202" t="s">
        <v>65</v>
      </c>
      <c r="H202" t="s">
        <v>65</v>
      </c>
      <c r="I202" t="s">
        <v>65</v>
      </c>
      <c r="J202" t="s">
        <v>65</v>
      </c>
      <c r="K202" t="s">
        <v>65</v>
      </c>
    </row>
    <row r="204" spans="1:12" x14ac:dyDescent="0.2">
      <c r="A204" s="58" t="s">
        <v>660</v>
      </c>
      <c r="B204" t="s">
        <v>739</v>
      </c>
    </row>
    <row r="205" spans="1:12" x14ac:dyDescent="0.2">
      <c r="B205" t="s">
        <v>661</v>
      </c>
    </row>
    <row r="207" spans="1:12" x14ac:dyDescent="0.2">
      <c r="A207" t="s">
        <v>785</v>
      </c>
      <c r="B207" t="s">
        <v>54</v>
      </c>
      <c r="C207" t="s">
        <v>642</v>
      </c>
      <c r="D207" t="s">
        <v>644</v>
      </c>
      <c r="E207" t="s">
        <v>649</v>
      </c>
      <c r="F207" t="s">
        <v>645</v>
      </c>
      <c r="G207" t="s">
        <v>646</v>
      </c>
      <c r="H207" t="s">
        <v>648</v>
      </c>
      <c r="I207" t="s">
        <v>647</v>
      </c>
    </row>
    <row r="208" spans="1:12" x14ac:dyDescent="0.2">
      <c r="B208">
        <v>1</v>
      </c>
      <c r="C208">
        <v>2</v>
      </c>
      <c r="D208">
        <v>3</v>
      </c>
      <c r="E208">
        <v>4</v>
      </c>
      <c r="F208">
        <v>5</v>
      </c>
      <c r="G208">
        <v>6</v>
      </c>
      <c r="H208">
        <v>7</v>
      </c>
      <c r="I208">
        <v>8</v>
      </c>
    </row>
    <row r="209" spans="1:10" x14ac:dyDescent="0.2">
      <c r="A209" t="s">
        <v>786</v>
      </c>
      <c r="B209" t="s">
        <v>54</v>
      </c>
      <c r="C209" t="s">
        <v>642</v>
      </c>
      <c r="D209" t="s">
        <v>644</v>
      </c>
      <c r="E209" t="s">
        <v>645</v>
      </c>
      <c r="F209" t="s">
        <v>646</v>
      </c>
      <c r="G209" t="s">
        <v>782</v>
      </c>
      <c r="H209" t="s">
        <v>781</v>
      </c>
      <c r="I209" t="s">
        <v>789</v>
      </c>
      <c r="J209" t="s">
        <v>787</v>
      </c>
    </row>
    <row r="210" spans="1:10" x14ac:dyDescent="0.2">
      <c r="B210">
        <v>1</v>
      </c>
      <c r="C210">
        <v>2</v>
      </c>
      <c r="D210">
        <v>3</v>
      </c>
      <c r="E210">
        <v>4</v>
      </c>
      <c r="F210">
        <v>5</v>
      </c>
      <c r="G210">
        <v>6</v>
      </c>
      <c r="H210">
        <v>7</v>
      </c>
      <c r="I210">
        <v>8</v>
      </c>
      <c r="J210">
        <v>9</v>
      </c>
    </row>
    <row r="212" spans="1:10" x14ac:dyDescent="0.2">
      <c r="A212" s="58" t="s">
        <v>858</v>
      </c>
      <c r="B212" t="s">
        <v>687</v>
      </c>
    </row>
    <row r="213" spans="1:10" s="6" customFormat="1" x14ac:dyDescent="0.2">
      <c r="A213" s="6" t="s">
        <v>849</v>
      </c>
      <c r="B213" s="70" t="s">
        <v>651</v>
      </c>
      <c r="C213" s="70" t="s">
        <v>652</v>
      </c>
      <c r="D213" s="70" t="s">
        <v>829</v>
      </c>
      <c r="E213" s="70" t="s">
        <v>830</v>
      </c>
      <c r="F213" s="70" t="s">
        <v>831</v>
      </c>
      <c r="G213" s="70" t="s">
        <v>833</v>
      </c>
      <c r="H213" s="70" t="s">
        <v>832</v>
      </c>
      <c r="I213" s="70" t="s">
        <v>835</v>
      </c>
    </row>
    <row r="214" spans="1:10" x14ac:dyDescent="0.2">
      <c r="B214" t="s">
        <v>54</v>
      </c>
      <c r="C214" t="s">
        <v>644</v>
      </c>
      <c r="D214" t="s">
        <v>645</v>
      </c>
      <c r="E214" t="s">
        <v>646</v>
      </c>
      <c r="F214" t="s">
        <v>642</v>
      </c>
      <c r="G214" t="s">
        <v>647</v>
      </c>
      <c r="H214" t="s">
        <v>648</v>
      </c>
      <c r="I214" t="s">
        <v>649</v>
      </c>
    </row>
    <row r="215" spans="1:10" ht="119" x14ac:dyDescent="0.2">
      <c r="B215" s="65" t="s">
        <v>827</v>
      </c>
      <c r="C215" s="65" t="s">
        <v>850</v>
      </c>
      <c r="D215" s="65" t="s">
        <v>851</v>
      </c>
      <c r="E215" s="65" t="s">
        <v>852</v>
      </c>
      <c r="F215" s="65" t="s">
        <v>853</v>
      </c>
      <c r="G215" s="65" t="s">
        <v>876</v>
      </c>
      <c r="H215" s="65" t="s">
        <v>875</v>
      </c>
      <c r="I215" s="65" t="s">
        <v>877</v>
      </c>
    </row>
    <row r="216" spans="1:10" ht="17" x14ac:dyDescent="0.2">
      <c r="A216" t="s">
        <v>735</v>
      </c>
      <c r="B216" s="65" t="str">
        <f>$B191</f>
        <v>13U</v>
      </c>
      <c r="C216" s="65" t="str">
        <f t="shared" ref="C216:I216" si="5">$B191</f>
        <v>13U</v>
      </c>
      <c r="D216" s="65" t="str">
        <f t="shared" si="5"/>
        <v>13U</v>
      </c>
      <c r="E216" s="65" t="str">
        <f t="shared" si="5"/>
        <v>13U</v>
      </c>
      <c r="F216" s="65" t="str">
        <f t="shared" si="5"/>
        <v>13U</v>
      </c>
      <c r="G216" s="65" t="str">
        <f t="shared" si="5"/>
        <v>13U</v>
      </c>
      <c r="H216" s="65" t="str">
        <f t="shared" si="5"/>
        <v>13U</v>
      </c>
      <c r="I216" s="65" t="str">
        <f t="shared" si="5"/>
        <v>13U</v>
      </c>
    </row>
    <row r="217" spans="1:10" s="6" customFormat="1" x14ac:dyDescent="0.2">
      <c r="A217" s="6" t="s">
        <v>849</v>
      </c>
      <c r="B217" s="6" t="s">
        <v>651</v>
      </c>
      <c r="C217" s="6" t="s">
        <v>652</v>
      </c>
      <c r="D217" s="6" t="s">
        <v>829</v>
      </c>
      <c r="E217" s="6" t="s">
        <v>830</v>
      </c>
      <c r="F217" s="6" t="s">
        <v>831</v>
      </c>
      <c r="G217" s="6" t="s">
        <v>836</v>
      </c>
      <c r="H217" s="6" t="s">
        <v>837</v>
      </c>
      <c r="I217" s="6" t="s">
        <v>832</v>
      </c>
      <c r="J217" s="6" t="s">
        <v>833</v>
      </c>
    </row>
    <row r="218" spans="1:10" x14ac:dyDescent="0.2">
      <c r="A218" t="s">
        <v>793</v>
      </c>
      <c r="B218" t="s">
        <v>54</v>
      </c>
      <c r="C218" t="s">
        <v>644</v>
      </c>
      <c r="D218" t="s">
        <v>645</v>
      </c>
      <c r="E218" t="s">
        <v>646</v>
      </c>
      <c r="F218" t="s">
        <v>642</v>
      </c>
      <c r="G218" t="s">
        <v>782</v>
      </c>
      <c r="H218" t="s">
        <v>781</v>
      </c>
      <c r="I218" t="s">
        <v>789</v>
      </c>
      <c r="J218" t="s">
        <v>787</v>
      </c>
    </row>
    <row r="219" spans="1:10" ht="122" customHeight="1" x14ac:dyDescent="0.2">
      <c r="B219" s="65" t="s">
        <v>827</v>
      </c>
      <c r="C219" s="65" t="s">
        <v>850</v>
      </c>
      <c r="D219" s="65" t="s">
        <v>851</v>
      </c>
      <c r="E219" s="65" t="s">
        <v>852</v>
      </c>
      <c r="F219" s="65" t="s">
        <v>853</v>
      </c>
      <c r="G219" s="65" t="s">
        <v>873</v>
      </c>
      <c r="H219" s="65" t="s">
        <v>874</v>
      </c>
      <c r="I219" s="65" t="s">
        <v>875</v>
      </c>
      <c r="J219" s="65" t="s">
        <v>876</v>
      </c>
    </row>
    <row r="220" spans="1:10" ht="17" x14ac:dyDescent="0.2">
      <c r="B220" s="65" t="str">
        <f>$B191</f>
        <v>13U</v>
      </c>
      <c r="C220" s="65" t="str">
        <f t="shared" ref="C220:J220" si="6">$B191</f>
        <v>13U</v>
      </c>
      <c r="D220" s="65" t="str">
        <f t="shared" si="6"/>
        <v>13U</v>
      </c>
      <c r="E220" s="65" t="str">
        <f t="shared" si="6"/>
        <v>13U</v>
      </c>
      <c r="F220" s="65" t="str">
        <f t="shared" si="6"/>
        <v>13U</v>
      </c>
      <c r="G220" s="65" t="str">
        <f t="shared" si="6"/>
        <v>13U</v>
      </c>
      <c r="H220" s="65" t="str">
        <f t="shared" si="6"/>
        <v>13U</v>
      </c>
      <c r="I220" s="65" t="str">
        <f t="shared" si="6"/>
        <v>13U</v>
      </c>
      <c r="J220" s="65" t="str">
        <f t="shared" si="6"/>
        <v>13U</v>
      </c>
    </row>
    <row r="221" spans="1:10" x14ac:dyDescent="0.2">
      <c r="B221" s="65"/>
    </row>
    <row r="222" spans="1:10" x14ac:dyDescent="0.2">
      <c r="A222" s="58" t="s">
        <v>663</v>
      </c>
      <c r="B222" s="66" t="s">
        <v>686</v>
      </c>
    </row>
    <row r="223" spans="1:10" s="6" customFormat="1" x14ac:dyDescent="0.2">
      <c r="A223" s="79" t="s">
        <v>865</v>
      </c>
      <c r="B223" s="77" t="s">
        <v>863</v>
      </c>
    </row>
    <row r="224" spans="1:10" x14ac:dyDescent="0.2">
      <c r="B224" t="s">
        <v>689</v>
      </c>
    </row>
    <row r="226" spans="1:12" x14ac:dyDescent="0.2">
      <c r="A226" s="58" t="s">
        <v>682</v>
      </c>
      <c r="B226" s="66" t="s">
        <v>685</v>
      </c>
    </row>
    <row r="227" spans="1:12" s="6" customFormat="1" x14ac:dyDescent="0.2">
      <c r="A227" s="79" t="s">
        <v>866</v>
      </c>
      <c r="B227" s="78" t="s">
        <v>861</v>
      </c>
    </row>
    <row r="228" spans="1:12" x14ac:dyDescent="0.2">
      <c r="A228" s="58" t="s">
        <v>683</v>
      </c>
      <c r="B228" s="66" t="s">
        <v>684</v>
      </c>
    </row>
    <row r="229" spans="1:12" s="6" customFormat="1" x14ac:dyDescent="0.2">
      <c r="A229" s="79" t="s">
        <v>867</v>
      </c>
      <c r="B229" s="6" t="s">
        <v>862</v>
      </c>
    </row>
    <row r="230" spans="1:12" x14ac:dyDescent="0.2">
      <c r="A230" s="58"/>
    </row>
    <row r="233" spans="1:12" x14ac:dyDescent="0.2">
      <c r="A233" s="58" t="s">
        <v>693</v>
      </c>
      <c r="B233" t="s">
        <v>738</v>
      </c>
    </row>
    <row r="234" spans="1:12" x14ac:dyDescent="0.2">
      <c r="B234" t="s">
        <v>694</v>
      </c>
    </row>
    <row r="239" spans="1:12" x14ac:dyDescent="0.2">
      <c r="A239" s="68"/>
      <c r="B239" s="68"/>
      <c r="C239" s="68"/>
      <c r="D239" s="68"/>
      <c r="E239" s="68"/>
      <c r="F239" s="68"/>
      <c r="G239" s="68"/>
      <c r="H239" s="68"/>
      <c r="I239" s="68"/>
      <c r="J239" s="68"/>
      <c r="K239" s="68"/>
      <c r="L239" s="68"/>
    </row>
    <row r="241" spans="1:12" x14ac:dyDescent="0.2">
      <c r="A241" s="58" t="s">
        <v>640</v>
      </c>
      <c r="B241" s="58" t="s">
        <v>228</v>
      </c>
      <c r="D241" t="s">
        <v>771</v>
      </c>
    </row>
    <row r="242" spans="1:12" x14ac:dyDescent="0.2">
      <c r="D242" t="s">
        <v>772</v>
      </c>
    </row>
    <row r="244" spans="1:12" x14ac:dyDescent="0.2">
      <c r="A244" s="58" t="s">
        <v>718</v>
      </c>
      <c r="B244" t="s">
        <v>750</v>
      </c>
      <c r="C244" t="s">
        <v>960</v>
      </c>
      <c r="E244" t="s">
        <v>752</v>
      </c>
      <c r="F244" t="s">
        <v>753</v>
      </c>
      <c r="H244" t="s">
        <v>879</v>
      </c>
      <c r="I244" t="s">
        <v>880</v>
      </c>
    </row>
    <row r="246" spans="1:12" ht="68" x14ac:dyDescent="0.2">
      <c r="A246" s="58" t="s">
        <v>857</v>
      </c>
      <c r="B246" t="s">
        <v>54</v>
      </c>
      <c r="C246" t="s">
        <v>644</v>
      </c>
      <c r="D246" t="s">
        <v>645</v>
      </c>
      <c r="E246" t="s">
        <v>646</v>
      </c>
      <c r="F246" t="s">
        <v>642</v>
      </c>
      <c r="G246" t="s">
        <v>647</v>
      </c>
      <c r="H246" t="s">
        <v>648</v>
      </c>
      <c r="I246" s="65" t="s">
        <v>780</v>
      </c>
      <c r="J246" s="65" t="s">
        <v>783</v>
      </c>
      <c r="K246" s="65" t="s">
        <v>784</v>
      </c>
    </row>
    <row r="248" spans="1:12" x14ac:dyDescent="0.2">
      <c r="A248" t="s">
        <v>657</v>
      </c>
      <c r="B248" s="70" t="s">
        <v>651</v>
      </c>
      <c r="C248" s="70" t="s">
        <v>652</v>
      </c>
      <c r="D248" s="70" t="s">
        <v>829</v>
      </c>
      <c r="E248" s="70" t="s">
        <v>830</v>
      </c>
      <c r="F248" s="70" t="s">
        <v>831</v>
      </c>
      <c r="G248" s="70" t="s">
        <v>833</v>
      </c>
      <c r="H248" s="70" t="s">
        <v>832</v>
      </c>
      <c r="I248" s="70" t="s">
        <v>835</v>
      </c>
      <c r="J248" s="70" t="s">
        <v>837</v>
      </c>
      <c r="K248" s="70" t="s">
        <v>836</v>
      </c>
    </row>
    <row r="249" spans="1:12" x14ac:dyDescent="0.2">
      <c r="A249" t="s">
        <v>993</v>
      </c>
      <c r="B249" s="70" t="s">
        <v>759</v>
      </c>
      <c r="C249" s="70" t="s">
        <v>759</v>
      </c>
      <c r="D249" s="70" t="s">
        <v>759</v>
      </c>
      <c r="E249" s="70" t="s">
        <v>759</v>
      </c>
      <c r="F249" s="70" t="s">
        <v>759</v>
      </c>
      <c r="G249" s="70" t="s">
        <v>759</v>
      </c>
      <c r="H249" s="70" t="s">
        <v>759</v>
      </c>
      <c r="I249" s="70" t="s">
        <v>759</v>
      </c>
      <c r="J249" s="70" t="s">
        <v>759</v>
      </c>
      <c r="K249" s="70" t="s">
        <v>759</v>
      </c>
      <c r="L249" s="70" t="s">
        <v>759</v>
      </c>
    </row>
    <row r="250" spans="1:12" x14ac:dyDescent="0.2">
      <c r="B250" s="70"/>
      <c r="C250" s="70"/>
      <c r="D250" s="70"/>
      <c r="E250" s="70"/>
      <c r="F250" s="70"/>
      <c r="G250" s="70"/>
      <c r="H250" s="70"/>
      <c r="I250" s="70"/>
      <c r="J250" s="70"/>
      <c r="K250" s="70"/>
    </row>
    <row r="251" spans="1:12" x14ac:dyDescent="0.2">
      <c r="G251" s="6"/>
    </row>
    <row r="252" spans="1:12" x14ac:dyDescent="0.2">
      <c r="A252" t="s">
        <v>659</v>
      </c>
      <c r="B252" t="s">
        <v>54</v>
      </c>
      <c r="C252" t="s">
        <v>643</v>
      </c>
      <c r="D252" t="s">
        <v>328</v>
      </c>
      <c r="E252" t="s">
        <v>328</v>
      </c>
      <c r="F252" t="s">
        <v>328</v>
      </c>
      <c r="G252" t="s">
        <v>65</v>
      </c>
      <c r="H252" t="s">
        <v>65</v>
      </c>
      <c r="I252" t="s">
        <v>65</v>
      </c>
      <c r="J252" t="s">
        <v>65</v>
      </c>
      <c r="K252" t="s">
        <v>65</v>
      </c>
    </row>
    <row r="254" spans="1:12" x14ac:dyDescent="0.2">
      <c r="A254" s="58" t="s">
        <v>660</v>
      </c>
      <c r="B254" t="s">
        <v>739</v>
      </c>
    </row>
    <row r="255" spans="1:12" x14ac:dyDescent="0.2">
      <c r="B255" t="s">
        <v>661</v>
      </c>
    </row>
    <row r="257" spans="1:10" x14ac:dyDescent="0.2">
      <c r="A257" t="s">
        <v>785</v>
      </c>
      <c r="B257" t="s">
        <v>54</v>
      </c>
      <c r="C257" t="s">
        <v>642</v>
      </c>
      <c r="D257" t="s">
        <v>644</v>
      </c>
      <c r="E257" t="s">
        <v>649</v>
      </c>
      <c r="F257" t="s">
        <v>645</v>
      </c>
      <c r="G257" t="s">
        <v>646</v>
      </c>
      <c r="H257" t="s">
        <v>648</v>
      </c>
      <c r="I257" t="s">
        <v>647</v>
      </c>
    </row>
    <row r="258" spans="1:10" x14ac:dyDescent="0.2">
      <c r="B258">
        <v>1</v>
      </c>
      <c r="C258">
        <v>2</v>
      </c>
      <c r="D258">
        <v>3</v>
      </c>
      <c r="E258">
        <v>4</v>
      </c>
      <c r="F258">
        <v>5</v>
      </c>
      <c r="G258">
        <v>6</v>
      </c>
      <c r="H258">
        <v>7</v>
      </c>
      <c r="I258">
        <v>8</v>
      </c>
    </row>
    <row r="259" spans="1:10" x14ac:dyDescent="0.2">
      <c r="A259" t="s">
        <v>786</v>
      </c>
      <c r="B259" t="s">
        <v>54</v>
      </c>
      <c r="C259" t="s">
        <v>642</v>
      </c>
      <c r="D259" t="s">
        <v>644</v>
      </c>
      <c r="E259" t="s">
        <v>645</v>
      </c>
      <c r="F259" t="s">
        <v>646</v>
      </c>
      <c r="G259" t="s">
        <v>782</v>
      </c>
      <c r="H259" t="s">
        <v>781</v>
      </c>
      <c r="I259" t="s">
        <v>789</v>
      </c>
      <c r="J259" t="s">
        <v>787</v>
      </c>
    </row>
    <row r="260" spans="1:10" x14ac:dyDescent="0.2">
      <c r="B260">
        <v>1</v>
      </c>
      <c r="C260">
        <v>2</v>
      </c>
      <c r="D260">
        <v>3</v>
      </c>
      <c r="E260">
        <v>4</v>
      </c>
      <c r="F260">
        <v>5</v>
      </c>
      <c r="G260">
        <v>6</v>
      </c>
      <c r="H260">
        <v>7</v>
      </c>
      <c r="I260">
        <v>8</v>
      </c>
      <c r="J260">
        <v>9</v>
      </c>
    </row>
    <row r="262" spans="1:10" x14ac:dyDescent="0.2">
      <c r="A262" s="58" t="s">
        <v>858</v>
      </c>
      <c r="B262" t="s">
        <v>687</v>
      </c>
    </row>
    <row r="263" spans="1:10" x14ac:dyDescent="0.2">
      <c r="A263" s="6" t="s">
        <v>849</v>
      </c>
      <c r="B263" s="70" t="s">
        <v>651</v>
      </c>
      <c r="C263" s="70" t="s">
        <v>652</v>
      </c>
      <c r="D263" s="70" t="s">
        <v>829</v>
      </c>
      <c r="E263" s="70" t="s">
        <v>830</v>
      </c>
      <c r="F263" s="70" t="s">
        <v>831</v>
      </c>
      <c r="G263" s="70" t="s">
        <v>833</v>
      </c>
      <c r="H263" s="70" t="s">
        <v>832</v>
      </c>
      <c r="I263" s="70" t="s">
        <v>835</v>
      </c>
    </row>
    <row r="264" spans="1:10" x14ac:dyDescent="0.2">
      <c r="B264" t="s">
        <v>54</v>
      </c>
      <c r="C264" t="s">
        <v>644</v>
      </c>
      <c r="D264" t="s">
        <v>645</v>
      </c>
      <c r="E264" t="s">
        <v>646</v>
      </c>
      <c r="F264" t="s">
        <v>642</v>
      </c>
      <c r="G264" t="s">
        <v>647</v>
      </c>
      <c r="H264" t="s">
        <v>648</v>
      </c>
      <c r="I264" t="s">
        <v>649</v>
      </c>
    </row>
    <row r="265" spans="1:10" ht="119" x14ac:dyDescent="0.2">
      <c r="B265" s="65" t="s">
        <v>827</v>
      </c>
      <c r="C265" s="65" t="s">
        <v>850</v>
      </c>
      <c r="D265" s="65" t="s">
        <v>851</v>
      </c>
      <c r="E265" s="65" t="s">
        <v>852</v>
      </c>
      <c r="F265" s="65" t="s">
        <v>853</v>
      </c>
      <c r="G265" s="65" t="s">
        <v>876</v>
      </c>
      <c r="H265" s="65" t="s">
        <v>875</v>
      </c>
      <c r="I265" s="65" t="s">
        <v>877</v>
      </c>
    </row>
    <row r="266" spans="1:10" ht="17" x14ac:dyDescent="0.2">
      <c r="A266" t="s">
        <v>735</v>
      </c>
      <c r="B266" s="65" t="str">
        <f>$B241</f>
        <v>12U</v>
      </c>
      <c r="C266" s="65" t="str">
        <f t="shared" ref="C266:I266" si="7">$B241</f>
        <v>12U</v>
      </c>
      <c r="D266" s="65" t="str">
        <f t="shared" si="7"/>
        <v>12U</v>
      </c>
      <c r="E266" s="65" t="str">
        <f t="shared" si="7"/>
        <v>12U</v>
      </c>
      <c r="F266" s="65" t="str">
        <f t="shared" si="7"/>
        <v>12U</v>
      </c>
      <c r="G266" s="65" t="str">
        <f t="shared" si="7"/>
        <v>12U</v>
      </c>
      <c r="H266" s="65" t="str">
        <f t="shared" si="7"/>
        <v>12U</v>
      </c>
      <c r="I266" s="65" t="str">
        <f t="shared" si="7"/>
        <v>12U</v>
      </c>
    </row>
    <row r="267" spans="1:10" s="6" customFormat="1" x14ac:dyDescent="0.2">
      <c r="A267" s="6" t="s">
        <v>849</v>
      </c>
      <c r="B267" s="6" t="s">
        <v>651</v>
      </c>
      <c r="C267" s="6" t="s">
        <v>652</v>
      </c>
      <c r="D267" s="6" t="s">
        <v>829</v>
      </c>
      <c r="E267" s="6" t="s">
        <v>830</v>
      </c>
      <c r="F267" s="6" t="s">
        <v>831</v>
      </c>
      <c r="G267" s="6" t="s">
        <v>836</v>
      </c>
      <c r="H267" s="6" t="s">
        <v>837</v>
      </c>
      <c r="I267" s="6" t="s">
        <v>832</v>
      </c>
      <c r="J267" s="6" t="s">
        <v>833</v>
      </c>
    </row>
    <row r="268" spans="1:10" x14ac:dyDescent="0.2">
      <c r="A268" t="s">
        <v>793</v>
      </c>
      <c r="B268" t="s">
        <v>54</v>
      </c>
      <c r="C268" t="s">
        <v>644</v>
      </c>
      <c r="D268" t="s">
        <v>645</v>
      </c>
      <c r="E268" t="s">
        <v>646</v>
      </c>
      <c r="F268" t="s">
        <v>642</v>
      </c>
      <c r="G268" t="s">
        <v>782</v>
      </c>
      <c r="H268" t="s">
        <v>781</v>
      </c>
      <c r="I268" t="s">
        <v>789</v>
      </c>
      <c r="J268" t="s">
        <v>787</v>
      </c>
    </row>
    <row r="269" spans="1:10" ht="122" customHeight="1" x14ac:dyDescent="0.2">
      <c r="B269" s="65" t="s">
        <v>827</v>
      </c>
      <c r="C269" s="65" t="s">
        <v>850</v>
      </c>
      <c r="D269" s="65" t="s">
        <v>851</v>
      </c>
      <c r="E269" s="65" t="s">
        <v>852</v>
      </c>
      <c r="F269" s="65" t="s">
        <v>853</v>
      </c>
      <c r="G269" s="65" t="s">
        <v>873</v>
      </c>
      <c r="H269" s="65" t="s">
        <v>874</v>
      </c>
      <c r="I269" s="65" t="s">
        <v>875</v>
      </c>
      <c r="J269" s="65" t="s">
        <v>876</v>
      </c>
    </row>
    <row r="270" spans="1:10" ht="17" x14ac:dyDescent="0.2">
      <c r="B270" s="65" t="str">
        <f>$B241</f>
        <v>12U</v>
      </c>
      <c r="C270" s="65" t="str">
        <f t="shared" ref="C270:J270" si="8">$B241</f>
        <v>12U</v>
      </c>
      <c r="D270" s="65" t="str">
        <f t="shared" si="8"/>
        <v>12U</v>
      </c>
      <c r="E270" s="65" t="str">
        <f t="shared" si="8"/>
        <v>12U</v>
      </c>
      <c r="F270" s="65" t="str">
        <f t="shared" si="8"/>
        <v>12U</v>
      </c>
      <c r="G270" s="65" t="str">
        <f t="shared" si="8"/>
        <v>12U</v>
      </c>
      <c r="H270" s="65" t="str">
        <f t="shared" si="8"/>
        <v>12U</v>
      </c>
      <c r="I270" s="65" t="str">
        <f t="shared" si="8"/>
        <v>12U</v>
      </c>
      <c r="J270" s="65" t="str">
        <f t="shared" si="8"/>
        <v>12U</v>
      </c>
    </row>
    <row r="271" spans="1:10" x14ac:dyDescent="0.2">
      <c r="B271" s="65"/>
    </row>
    <row r="272" spans="1:10" x14ac:dyDescent="0.2">
      <c r="A272" s="58" t="s">
        <v>663</v>
      </c>
      <c r="B272" s="66" t="s">
        <v>686</v>
      </c>
    </row>
    <row r="273" spans="1:2" s="6" customFormat="1" x14ac:dyDescent="0.2">
      <c r="A273" s="79" t="s">
        <v>865</v>
      </c>
      <c r="B273" s="77" t="s">
        <v>863</v>
      </c>
    </row>
    <row r="274" spans="1:2" s="6" customFormat="1" x14ac:dyDescent="0.2">
      <c r="B274" s="6" t="s">
        <v>689</v>
      </c>
    </row>
    <row r="275" spans="1:2" s="6" customFormat="1" x14ac:dyDescent="0.2"/>
    <row r="276" spans="1:2" s="6" customFormat="1" x14ac:dyDescent="0.2">
      <c r="A276" s="80" t="s">
        <v>682</v>
      </c>
      <c r="B276" s="77" t="s">
        <v>685</v>
      </c>
    </row>
    <row r="277" spans="1:2" s="6" customFormat="1" x14ac:dyDescent="0.2">
      <c r="A277" s="79" t="s">
        <v>866</v>
      </c>
      <c r="B277" s="78" t="s">
        <v>861</v>
      </c>
    </row>
    <row r="278" spans="1:2" s="6" customFormat="1" x14ac:dyDescent="0.2">
      <c r="A278" s="80" t="s">
        <v>683</v>
      </c>
      <c r="B278" s="77" t="s">
        <v>684</v>
      </c>
    </row>
    <row r="279" spans="1:2" s="6" customFormat="1" x14ac:dyDescent="0.2">
      <c r="A279" s="79" t="s">
        <v>867</v>
      </c>
      <c r="B279" s="6" t="s">
        <v>862</v>
      </c>
    </row>
    <row r="280" spans="1:2" x14ac:dyDescent="0.2">
      <c r="A280" s="58"/>
    </row>
    <row r="283" spans="1:2" x14ac:dyDescent="0.2">
      <c r="A283" s="58" t="s">
        <v>693</v>
      </c>
      <c r="B283" t="s">
        <v>738</v>
      </c>
    </row>
    <row r="284" spans="1:2" x14ac:dyDescent="0.2">
      <c r="B284" t="s">
        <v>694</v>
      </c>
    </row>
    <row r="289" spans="1:12" x14ac:dyDescent="0.2">
      <c r="A289" s="68"/>
      <c r="B289" s="68"/>
      <c r="C289" s="68"/>
      <c r="D289" s="68"/>
      <c r="E289" s="68"/>
      <c r="F289" s="68"/>
      <c r="G289" s="68"/>
      <c r="H289" s="68"/>
      <c r="I289" s="68"/>
      <c r="J289" s="68"/>
      <c r="K289" s="68"/>
      <c r="L289" s="68"/>
    </row>
    <row r="291" spans="1:12" x14ac:dyDescent="0.2">
      <c r="A291" s="58" t="s">
        <v>640</v>
      </c>
      <c r="B291" s="58" t="s">
        <v>597</v>
      </c>
      <c r="D291" t="s">
        <v>776</v>
      </c>
    </row>
    <row r="292" spans="1:12" x14ac:dyDescent="0.2">
      <c r="D292" t="s">
        <v>773</v>
      </c>
    </row>
    <row r="294" spans="1:12" x14ac:dyDescent="0.2">
      <c r="A294" s="58" t="s">
        <v>718</v>
      </c>
      <c r="B294" t="s">
        <v>750</v>
      </c>
      <c r="C294" t="s">
        <v>960</v>
      </c>
      <c r="E294" t="s">
        <v>752</v>
      </c>
      <c r="F294" t="s">
        <v>753</v>
      </c>
      <c r="H294" t="s">
        <v>879</v>
      </c>
      <c r="I294" t="s">
        <v>883</v>
      </c>
    </row>
    <row r="296" spans="1:12" ht="68" x14ac:dyDescent="0.2">
      <c r="A296" s="58" t="s">
        <v>857</v>
      </c>
      <c r="B296" t="s">
        <v>54</v>
      </c>
      <c r="C296" t="s">
        <v>644</v>
      </c>
      <c r="D296" t="s">
        <v>645</v>
      </c>
      <c r="E296" t="s">
        <v>646</v>
      </c>
      <c r="F296" t="s">
        <v>642</v>
      </c>
      <c r="G296" t="s">
        <v>647</v>
      </c>
      <c r="H296" t="s">
        <v>648</v>
      </c>
      <c r="I296" s="65" t="s">
        <v>780</v>
      </c>
      <c r="J296" s="65" t="s">
        <v>783</v>
      </c>
      <c r="K296" s="65" t="s">
        <v>784</v>
      </c>
    </row>
    <row r="298" spans="1:12" x14ac:dyDescent="0.2">
      <c r="A298" t="s">
        <v>657</v>
      </c>
      <c r="B298" s="70" t="s">
        <v>651</v>
      </c>
      <c r="C298" s="70" t="s">
        <v>652</v>
      </c>
      <c r="D298" s="70" t="s">
        <v>829</v>
      </c>
      <c r="E298" s="70" t="s">
        <v>830</v>
      </c>
      <c r="F298" s="70" t="s">
        <v>831</v>
      </c>
      <c r="G298" s="70" t="s">
        <v>833</v>
      </c>
      <c r="H298" s="70" t="s">
        <v>832</v>
      </c>
      <c r="I298" s="70" t="s">
        <v>835</v>
      </c>
      <c r="J298" s="70" t="s">
        <v>837</v>
      </c>
      <c r="K298" s="70" t="s">
        <v>836</v>
      </c>
    </row>
    <row r="299" spans="1:12" x14ac:dyDescent="0.2">
      <c r="A299" t="s">
        <v>993</v>
      </c>
      <c r="B299" s="70" t="s">
        <v>759</v>
      </c>
      <c r="C299" s="70" t="s">
        <v>759</v>
      </c>
      <c r="D299" s="70" t="s">
        <v>759</v>
      </c>
      <c r="E299" s="70" t="s">
        <v>759</v>
      </c>
      <c r="F299" s="70" t="s">
        <v>759</v>
      </c>
      <c r="G299" s="70" t="s">
        <v>759</v>
      </c>
      <c r="H299" s="70" t="s">
        <v>759</v>
      </c>
      <c r="I299" s="70" t="s">
        <v>759</v>
      </c>
      <c r="J299" s="70" t="s">
        <v>759</v>
      </c>
      <c r="K299" s="70" t="s">
        <v>759</v>
      </c>
      <c r="L299" s="70" t="s">
        <v>759</v>
      </c>
    </row>
    <row r="300" spans="1:12" x14ac:dyDescent="0.2">
      <c r="B300" s="70"/>
      <c r="C300" s="70"/>
      <c r="D300" s="70"/>
      <c r="E300" s="70"/>
      <c r="F300" s="70"/>
      <c r="G300" s="70"/>
      <c r="H300" s="70"/>
      <c r="I300" s="70"/>
      <c r="J300" s="70"/>
      <c r="K300" s="70"/>
    </row>
    <row r="301" spans="1:12" x14ac:dyDescent="0.2">
      <c r="G301" s="6"/>
    </row>
    <row r="302" spans="1:12" x14ac:dyDescent="0.2">
      <c r="A302" t="s">
        <v>659</v>
      </c>
      <c r="B302" t="s">
        <v>54</v>
      </c>
      <c r="C302" t="s">
        <v>643</v>
      </c>
      <c r="D302" t="s">
        <v>328</v>
      </c>
      <c r="E302" t="s">
        <v>328</v>
      </c>
      <c r="F302" t="s">
        <v>328</v>
      </c>
      <c r="G302" t="s">
        <v>65</v>
      </c>
      <c r="H302" t="s">
        <v>65</v>
      </c>
      <c r="I302" t="s">
        <v>65</v>
      </c>
      <c r="J302" t="s">
        <v>65</v>
      </c>
      <c r="K302" t="s">
        <v>65</v>
      </c>
    </row>
    <row r="304" spans="1:12" x14ac:dyDescent="0.2">
      <c r="A304" s="58" t="s">
        <v>777</v>
      </c>
      <c r="B304" t="s">
        <v>739</v>
      </c>
    </row>
    <row r="305" spans="1:10" x14ac:dyDescent="0.2">
      <c r="B305" t="s">
        <v>661</v>
      </c>
    </row>
    <row r="307" spans="1:10" x14ac:dyDescent="0.2">
      <c r="A307" s="58" t="s">
        <v>778</v>
      </c>
    </row>
    <row r="308" spans="1:10" x14ac:dyDescent="0.2">
      <c r="A308" t="s">
        <v>785</v>
      </c>
      <c r="B308" t="s">
        <v>54</v>
      </c>
      <c r="C308" t="s">
        <v>642</v>
      </c>
      <c r="D308" t="s">
        <v>644</v>
      </c>
      <c r="E308" t="s">
        <v>649</v>
      </c>
      <c r="F308" t="s">
        <v>645</v>
      </c>
      <c r="G308" t="s">
        <v>646</v>
      </c>
      <c r="H308" t="s">
        <v>648</v>
      </c>
      <c r="I308" t="s">
        <v>647</v>
      </c>
    </row>
    <row r="309" spans="1:10" x14ac:dyDescent="0.2">
      <c r="B309">
        <v>1</v>
      </c>
      <c r="C309">
        <v>2</v>
      </c>
      <c r="D309">
        <v>3</v>
      </c>
      <c r="E309">
        <v>4</v>
      </c>
      <c r="F309">
        <v>5</v>
      </c>
      <c r="G309">
        <v>6</v>
      </c>
      <c r="H309">
        <v>7</v>
      </c>
      <c r="I309">
        <v>8</v>
      </c>
    </row>
    <row r="310" spans="1:10" x14ac:dyDescent="0.2">
      <c r="A310" t="s">
        <v>786</v>
      </c>
      <c r="B310" t="s">
        <v>54</v>
      </c>
      <c r="C310" t="s">
        <v>642</v>
      </c>
      <c r="D310" t="s">
        <v>644</v>
      </c>
      <c r="E310" t="s">
        <v>645</v>
      </c>
      <c r="F310" t="s">
        <v>646</v>
      </c>
      <c r="G310" t="s">
        <v>782</v>
      </c>
      <c r="H310" t="s">
        <v>781</v>
      </c>
      <c r="I310" t="s">
        <v>789</v>
      </c>
      <c r="J310" t="s">
        <v>787</v>
      </c>
    </row>
    <row r="311" spans="1:10" x14ac:dyDescent="0.2">
      <c r="B311">
        <v>1</v>
      </c>
      <c r="C311">
        <v>2</v>
      </c>
      <c r="D311">
        <v>3</v>
      </c>
      <c r="E311">
        <v>4</v>
      </c>
      <c r="F311">
        <v>5</v>
      </c>
      <c r="G311">
        <v>6</v>
      </c>
      <c r="H311">
        <v>7</v>
      </c>
      <c r="I311">
        <v>8</v>
      </c>
      <c r="J311">
        <v>9</v>
      </c>
    </row>
    <row r="313" spans="1:10" x14ac:dyDescent="0.2">
      <c r="A313" s="58" t="s">
        <v>858</v>
      </c>
      <c r="B313" t="s">
        <v>687</v>
      </c>
    </row>
    <row r="314" spans="1:10" x14ac:dyDescent="0.2">
      <c r="A314" s="6" t="s">
        <v>849</v>
      </c>
      <c r="B314" s="70" t="s">
        <v>651</v>
      </c>
      <c r="C314" s="70" t="s">
        <v>652</v>
      </c>
      <c r="D314" s="70" t="s">
        <v>829</v>
      </c>
      <c r="E314" s="70" t="s">
        <v>830</v>
      </c>
      <c r="F314" s="70" t="s">
        <v>831</v>
      </c>
      <c r="G314" s="70" t="s">
        <v>833</v>
      </c>
      <c r="H314" s="70" t="s">
        <v>832</v>
      </c>
      <c r="I314" s="70" t="s">
        <v>835</v>
      </c>
    </row>
    <row r="315" spans="1:10" x14ac:dyDescent="0.2">
      <c r="B315" t="s">
        <v>54</v>
      </c>
      <c r="C315" t="s">
        <v>644</v>
      </c>
      <c r="D315" t="s">
        <v>645</v>
      </c>
      <c r="E315" t="s">
        <v>646</v>
      </c>
      <c r="F315" t="s">
        <v>642</v>
      </c>
      <c r="G315" t="s">
        <v>647</v>
      </c>
      <c r="H315" t="s">
        <v>648</v>
      </c>
      <c r="I315" t="s">
        <v>649</v>
      </c>
    </row>
    <row r="316" spans="1:10" ht="119" x14ac:dyDescent="0.2">
      <c r="B316" s="65" t="s">
        <v>827</v>
      </c>
      <c r="C316" s="65" t="s">
        <v>850</v>
      </c>
      <c r="D316" s="65" t="s">
        <v>851</v>
      </c>
      <c r="E316" s="65" t="s">
        <v>852</v>
      </c>
      <c r="F316" s="65" t="s">
        <v>853</v>
      </c>
      <c r="G316" s="65" t="s">
        <v>876</v>
      </c>
      <c r="H316" s="65" t="s">
        <v>875</v>
      </c>
      <c r="I316" s="65" t="s">
        <v>877</v>
      </c>
    </row>
    <row r="317" spans="1:10" ht="17" x14ac:dyDescent="0.2">
      <c r="A317" t="s">
        <v>735</v>
      </c>
      <c r="B317" s="65" t="str">
        <f>$B291</f>
        <v>11U</v>
      </c>
      <c r="C317" s="65" t="str">
        <f t="shared" ref="C317:I317" si="9">$B291</f>
        <v>11U</v>
      </c>
      <c r="D317" s="65" t="str">
        <f t="shared" si="9"/>
        <v>11U</v>
      </c>
      <c r="E317" s="65" t="str">
        <f t="shared" si="9"/>
        <v>11U</v>
      </c>
      <c r="F317" s="65" t="str">
        <f t="shared" si="9"/>
        <v>11U</v>
      </c>
      <c r="G317" s="65" t="str">
        <f t="shared" si="9"/>
        <v>11U</v>
      </c>
      <c r="H317" s="65" t="str">
        <f t="shared" si="9"/>
        <v>11U</v>
      </c>
      <c r="I317" s="65" t="str">
        <f t="shared" si="9"/>
        <v>11U</v>
      </c>
    </row>
    <row r="318" spans="1:10" x14ac:dyDescent="0.2">
      <c r="A318" s="6" t="s">
        <v>849</v>
      </c>
      <c r="B318" s="6" t="s">
        <v>651</v>
      </c>
      <c r="C318" s="6" t="s">
        <v>652</v>
      </c>
      <c r="D318" s="6" t="s">
        <v>829</v>
      </c>
      <c r="E318" s="6" t="s">
        <v>830</v>
      </c>
      <c r="F318" s="6" t="s">
        <v>831</v>
      </c>
      <c r="G318" s="6" t="s">
        <v>836</v>
      </c>
      <c r="H318" s="6" t="s">
        <v>837</v>
      </c>
      <c r="I318" s="6" t="s">
        <v>832</v>
      </c>
      <c r="J318" s="6" t="s">
        <v>833</v>
      </c>
    </row>
    <row r="319" spans="1:10" x14ac:dyDescent="0.2">
      <c r="A319" t="s">
        <v>793</v>
      </c>
      <c r="B319" t="s">
        <v>54</v>
      </c>
      <c r="C319" t="s">
        <v>644</v>
      </c>
      <c r="D319" t="s">
        <v>645</v>
      </c>
      <c r="E319" t="s">
        <v>646</v>
      </c>
      <c r="F319" t="s">
        <v>642</v>
      </c>
      <c r="G319" t="s">
        <v>782</v>
      </c>
      <c r="H319" t="s">
        <v>781</v>
      </c>
      <c r="I319" t="s">
        <v>789</v>
      </c>
      <c r="J319" t="s">
        <v>787</v>
      </c>
    </row>
    <row r="320" spans="1:10" ht="122" customHeight="1" x14ac:dyDescent="0.2">
      <c r="B320" s="65" t="s">
        <v>827</v>
      </c>
      <c r="C320" s="65" t="s">
        <v>850</v>
      </c>
      <c r="D320" s="65" t="s">
        <v>851</v>
      </c>
      <c r="E320" s="65" t="s">
        <v>852</v>
      </c>
      <c r="F320" s="65" t="s">
        <v>853</v>
      </c>
      <c r="G320" s="65" t="s">
        <v>873</v>
      </c>
      <c r="H320" s="65" t="s">
        <v>874</v>
      </c>
      <c r="I320" s="65" t="s">
        <v>875</v>
      </c>
      <c r="J320" s="65" t="s">
        <v>876</v>
      </c>
    </row>
    <row r="321" spans="1:10" ht="17" x14ac:dyDescent="0.2">
      <c r="B321" s="65" t="str">
        <f>$B291</f>
        <v>11U</v>
      </c>
      <c r="C321" s="65" t="str">
        <f t="shared" ref="C321:J321" si="10">$B291</f>
        <v>11U</v>
      </c>
      <c r="D321" s="65" t="str">
        <f t="shared" si="10"/>
        <v>11U</v>
      </c>
      <c r="E321" s="65" t="str">
        <f t="shared" si="10"/>
        <v>11U</v>
      </c>
      <c r="F321" s="65" t="str">
        <f t="shared" si="10"/>
        <v>11U</v>
      </c>
      <c r="G321" s="65" t="str">
        <f t="shared" si="10"/>
        <v>11U</v>
      </c>
      <c r="H321" s="65" t="str">
        <f t="shared" si="10"/>
        <v>11U</v>
      </c>
      <c r="I321" s="65" t="str">
        <f t="shared" si="10"/>
        <v>11U</v>
      </c>
      <c r="J321" s="65" t="str">
        <f t="shared" si="10"/>
        <v>11U</v>
      </c>
    </row>
    <row r="322" spans="1:10" x14ac:dyDescent="0.2">
      <c r="B322" s="65"/>
      <c r="C322" s="65"/>
      <c r="D322" s="65"/>
      <c r="E322" s="65"/>
      <c r="F322" s="65"/>
      <c r="G322" s="65"/>
      <c r="H322" s="65"/>
      <c r="I322" s="65"/>
      <c r="J322" s="65"/>
    </row>
    <row r="323" spans="1:10" x14ac:dyDescent="0.2">
      <c r="A323" s="58" t="s">
        <v>779</v>
      </c>
      <c r="B323" s="66"/>
    </row>
    <row r="324" spans="1:10" x14ac:dyDescent="0.2">
      <c r="A324" t="s">
        <v>790</v>
      </c>
      <c r="B324" t="s">
        <v>54</v>
      </c>
      <c r="C324" t="s">
        <v>642</v>
      </c>
      <c r="D324" t="s">
        <v>644</v>
      </c>
      <c r="E324" t="s">
        <v>645</v>
      </c>
      <c r="F324" t="s">
        <v>646</v>
      </c>
      <c r="G324" t="s">
        <v>649</v>
      </c>
      <c r="H324" t="s">
        <v>648</v>
      </c>
      <c r="I324" t="s">
        <v>647</v>
      </c>
    </row>
    <row r="325" spans="1:10" x14ac:dyDescent="0.2">
      <c r="B325">
        <v>1</v>
      </c>
      <c r="C325">
        <v>2</v>
      </c>
      <c r="D325">
        <v>3</v>
      </c>
      <c r="E325">
        <v>4</v>
      </c>
      <c r="F325">
        <v>5</v>
      </c>
      <c r="G325">
        <v>6</v>
      </c>
      <c r="H325">
        <v>7</v>
      </c>
      <c r="I325">
        <v>8</v>
      </c>
    </row>
    <row r="326" spans="1:10" x14ac:dyDescent="0.2">
      <c r="A326" t="s">
        <v>791</v>
      </c>
      <c r="B326" t="s">
        <v>54</v>
      </c>
      <c r="C326" t="s">
        <v>642</v>
      </c>
      <c r="D326" t="s">
        <v>644</v>
      </c>
      <c r="E326" t="s">
        <v>645</v>
      </c>
      <c r="F326" t="s">
        <v>646</v>
      </c>
      <c r="G326" t="s">
        <v>782</v>
      </c>
      <c r="H326" t="s">
        <v>781</v>
      </c>
      <c r="I326" t="s">
        <v>789</v>
      </c>
      <c r="J326" t="s">
        <v>787</v>
      </c>
    </row>
    <row r="327" spans="1:10" x14ac:dyDescent="0.2">
      <c r="B327">
        <v>1</v>
      </c>
      <c r="C327">
        <v>2</v>
      </c>
      <c r="D327">
        <v>3</v>
      </c>
      <c r="E327">
        <v>4</v>
      </c>
      <c r="F327">
        <v>5</v>
      </c>
      <c r="G327">
        <v>6</v>
      </c>
      <c r="H327">
        <v>7</v>
      </c>
      <c r="I327">
        <v>8</v>
      </c>
      <c r="J327">
        <v>9</v>
      </c>
    </row>
    <row r="328" spans="1:10" ht="17" customHeight="1" x14ac:dyDescent="0.2"/>
    <row r="329" spans="1:10" ht="17" customHeight="1" x14ac:dyDescent="0.2">
      <c r="A329" s="58" t="s">
        <v>794</v>
      </c>
    </row>
    <row r="330" spans="1:10" ht="17" customHeight="1" x14ac:dyDescent="0.2">
      <c r="A330" t="s">
        <v>790</v>
      </c>
      <c r="B330" t="s">
        <v>54</v>
      </c>
      <c r="C330" t="s">
        <v>642</v>
      </c>
      <c r="D330" t="s">
        <v>644</v>
      </c>
      <c r="E330" t="s">
        <v>649</v>
      </c>
      <c r="F330" t="s">
        <v>645</v>
      </c>
      <c r="G330" t="s">
        <v>648</v>
      </c>
      <c r="H330" t="s">
        <v>646</v>
      </c>
      <c r="I330" t="s">
        <v>647</v>
      </c>
    </row>
    <row r="331" spans="1:10" ht="17" customHeight="1" x14ac:dyDescent="0.2">
      <c r="B331">
        <v>1</v>
      </c>
      <c r="C331">
        <v>2</v>
      </c>
      <c r="D331">
        <v>3</v>
      </c>
      <c r="E331">
        <v>4</v>
      </c>
      <c r="F331">
        <v>5</v>
      </c>
      <c r="G331">
        <v>6</v>
      </c>
      <c r="H331">
        <v>7</v>
      </c>
      <c r="I331">
        <v>8</v>
      </c>
    </row>
    <row r="332" spans="1:10" ht="17" customHeight="1" x14ac:dyDescent="0.2">
      <c r="A332" t="s">
        <v>791</v>
      </c>
      <c r="B332" t="s">
        <v>54</v>
      </c>
      <c r="C332" t="s">
        <v>642</v>
      </c>
      <c r="D332" t="s">
        <v>644</v>
      </c>
      <c r="E332" t="s">
        <v>782</v>
      </c>
      <c r="F332" t="s">
        <v>645</v>
      </c>
      <c r="G332" t="s">
        <v>647</v>
      </c>
      <c r="H332" t="s">
        <v>646</v>
      </c>
      <c r="I332" t="s">
        <v>789</v>
      </c>
      <c r="J332" t="s">
        <v>781</v>
      </c>
    </row>
    <row r="333" spans="1:10" ht="17" customHeight="1" x14ac:dyDescent="0.2">
      <c r="B333">
        <v>1</v>
      </c>
      <c r="C333">
        <v>2</v>
      </c>
      <c r="D333">
        <v>3</v>
      </c>
      <c r="E333">
        <v>4</v>
      </c>
      <c r="F333">
        <v>5</v>
      </c>
      <c r="G333">
        <v>6</v>
      </c>
      <c r="H333">
        <v>7</v>
      </c>
      <c r="I333">
        <v>8</v>
      </c>
      <c r="J333">
        <v>9</v>
      </c>
    </row>
    <row r="334" spans="1:10" x14ac:dyDescent="0.2">
      <c r="B334" s="65"/>
    </row>
    <row r="335" spans="1:10" x14ac:dyDescent="0.2">
      <c r="A335" s="58" t="s">
        <v>663</v>
      </c>
      <c r="B335" s="66" t="s">
        <v>686</v>
      </c>
    </row>
    <row r="336" spans="1:10" x14ac:dyDescent="0.2">
      <c r="A336" s="79" t="s">
        <v>865</v>
      </c>
      <c r="B336" s="77" t="s">
        <v>863</v>
      </c>
    </row>
    <row r="337" spans="1:2" x14ac:dyDescent="0.2">
      <c r="A337" s="6"/>
      <c r="B337" s="6" t="s">
        <v>689</v>
      </c>
    </row>
    <row r="338" spans="1:2" x14ac:dyDescent="0.2">
      <c r="A338" s="6"/>
      <c r="B338" s="6"/>
    </row>
    <row r="339" spans="1:2" x14ac:dyDescent="0.2">
      <c r="A339" s="80" t="s">
        <v>682</v>
      </c>
      <c r="B339" s="77" t="s">
        <v>685</v>
      </c>
    </row>
    <row r="340" spans="1:2" x14ac:dyDescent="0.2">
      <c r="A340" s="79" t="s">
        <v>866</v>
      </c>
      <c r="B340" s="78" t="s">
        <v>861</v>
      </c>
    </row>
    <row r="341" spans="1:2" x14ac:dyDescent="0.2">
      <c r="A341" s="80" t="s">
        <v>683</v>
      </c>
      <c r="B341" s="77" t="s">
        <v>684</v>
      </c>
    </row>
    <row r="342" spans="1:2" x14ac:dyDescent="0.2">
      <c r="A342" s="79" t="s">
        <v>867</v>
      </c>
      <c r="B342" s="6" t="s">
        <v>862</v>
      </c>
    </row>
    <row r="343" spans="1:2" x14ac:dyDescent="0.2">
      <c r="A343" s="58"/>
    </row>
    <row r="346" spans="1:2" x14ac:dyDescent="0.2">
      <c r="A346" s="58" t="s">
        <v>693</v>
      </c>
      <c r="B346" t="s">
        <v>738</v>
      </c>
    </row>
    <row r="347" spans="1:2" x14ac:dyDescent="0.2">
      <c r="B347" t="s">
        <v>694</v>
      </c>
    </row>
    <row r="352" spans="1:2" ht="17" customHeight="1" x14ac:dyDescent="0.2"/>
    <row r="353" spans="1:12" x14ac:dyDescent="0.2">
      <c r="A353" s="68"/>
      <c r="B353" s="68"/>
      <c r="C353" s="68"/>
      <c r="D353" s="68"/>
      <c r="E353" s="68"/>
      <c r="F353" s="68"/>
      <c r="G353" s="68"/>
      <c r="H353" s="68"/>
      <c r="I353" s="68"/>
      <c r="J353" s="68"/>
      <c r="K353" s="68"/>
      <c r="L353" s="68"/>
    </row>
    <row r="355" spans="1:12" x14ac:dyDescent="0.2">
      <c r="A355" s="58" t="s">
        <v>640</v>
      </c>
      <c r="B355" s="58" t="s">
        <v>596</v>
      </c>
      <c r="D355" t="s">
        <v>775</v>
      </c>
    </row>
    <row r="356" spans="1:12" x14ac:dyDescent="0.2">
      <c r="D356" t="s">
        <v>774</v>
      </c>
    </row>
    <row r="358" spans="1:12" x14ac:dyDescent="0.2">
      <c r="A358" s="58" t="s">
        <v>718</v>
      </c>
      <c r="B358" t="s">
        <v>750</v>
      </c>
      <c r="C358" t="s">
        <v>957</v>
      </c>
      <c r="E358" t="s">
        <v>752</v>
      </c>
      <c r="F358" t="s">
        <v>753</v>
      </c>
      <c r="H358" t="s">
        <v>879</v>
      </c>
      <c r="I358" t="s">
        <v>883</v>
      </c>
    </row>
    <row r="360" spans="1:12" ht="68" x14ac:dyDescent="0.2">
      <c r="A360" s="58" t="s">
        <v>857</v>
      </c>
      <c r="B360" t="s">
        <v>54</v>
      </c>
      <c r="C360" t="s">
        <v>644</v>
      </c>
      <c r="D360" t="s">
        <v>645</v>
      </c>
      <c r="E360" t="s">
        <v>646</v>
      </c>
      <c r="F360" t="s">
        <v>642</v>
      </c>
      <c r="G360" t="s">
        <v>647</v>
      </c>
      <c r="H360" t="s">
        <v>648</v>
      </c>
      <c r="I360" s="65" t="s">
        <v>780</v>
      </c>
      <c r="J360" s="65" t="s">
        <v>783</v>
      </c>
      <c r="K360" s="65" t="s">
        <v>784</v>
      </c>
    </row>
    <row r="362" spans="1:12" x14ac:dyDescent="0.2">
      <c r="A362" t="s">
        <v>657</v>
      </c>
      <c r="B362" s="70" t="str">
        <f>'BPOP 12U-14U Eval'!$D$41</f>
        <v>CATCHERSCORE</v>
      </c>
      <c r="C362" s="70" t="str">
        <f>'BPOP 12U-14U Eval'!$D$48</f>
        <v>1BSCORE</v>
      </c>
      <c r="D362" s="70" t="s">
        <v>829</v>
      </c>
      <c r="E362" s="70" t="s">
        <v>830</v>
      </c>
      <c r="F362" s="70" t="s">
        <v>831</v>
      </c>
      <c r="G362" s="70" t="s">
        <v>833</v>
      </c>
      <c r="H362" s="70" t="s">
        <v>832</v>
      </c>
      <c r="I362" s="70" t="s">
        <v>834</v>
      </c>
      <c r="J362" s="70" t="s">
        <v>837</v>
      </c>
      <c r="K362" s="70" t="s">
        <v>836</v>
      </c>
    </row>
    <row r="363" spans="1:12" x14ac:dyDescent="0.2">
      <c r="A363" t="s">
        <v>993</v>
      </c>
      <c r="B363" s="70" t="s">
        <v>759</v>
      </c>
      <c r="C363" s="70" t="s">
        <v>759</v>
      </c>
      <c r="D363" s="70" t="s">
        <v>759</v>
      </c>
      <c r="E363" s="70" t="s">
        <v>759</v>
      </c>
      <c r="F363" s="70" t="s">
        <v>759</v>
      </c>
      <c r="G363" s="70" t="s">
        <v>759</v>
      </c>
      <c r="H363" s="70" t="s">
        <v>759</v>
      </c>
      <c r="I363" s="70" t="s">
        <v>759</v>
      </c>
      <c r="J363" s="70" t="s">
        <v>759</v>
      </c>
      <c r="K363" s="70" t="s">
        <v>759</v>
      </c>
      <c r="L363" s="70" t="s">
        <v>759</v>
      </c>
    </row>
    <row r="364" spans="1:12" x14ac:dyDescent="0.2">
      <c r="B364" s="70"/>
      <c r="C364" s="70"/>
      <c r="D364" s="70"/>
      <c r="E364" s="70"/>
      <c r="F364" s="70"/>
      <c r="G364" s="70"/>
      <c r="H364" s="70"/>
      <c r="I364" s="70"/>
      <c r="J364" s="70"/>
      <c r="K364" s="70"/>
    </row>
    <row r="365" spans="1:12" x14ac:dyDescent="0.2">
      <c r="G365" s="6"/>
    </row>
    <row r="366" spans="1:12" x14ac:dyDescent="0.2">
      <c r="A366" t="s">
        <v>659</v>
      </c>
      <c r="B366" t="s">
        <v>54</v>
      </c>
      <c r="C366" t="s">
        <v>643</v>
      </c>
      <c r="D366" t="s">
        <v>328</v>
      </c>
      <c r="E366" t="s">
        <v>328</v>
      </c>
      <c r="F366" t="s">
        <v>328</v>
      </c>
      <c r="G366" t="s">
        <v>65</v>
      </c>
      <c r="H366" t="s">
        <v>65</v>
      </c>
      <c r="I366" t="s">
        <v>65</v>
      </c>
      <c r="J366" t="s">
        <v>65</v>
      </c>
      <c r="K366" t="s">
        <v>65</v>
      </c>
    </row>
    <row r="368" spans="1:12" x14ac:dyDescent="0.2">
      <c r="A368" s="58" t="s">
        <v>778</v>
      </c>
      <c r="B368" t="s">
        <v>739</v>
      </c>
    </row>
    <row r="369" spans="1:10" x14ac:dyDescent="0.2">
      <c r="B369" t="s">
        <v>661</v>
      </c>
    </row>
    <row r="371" spans="1:10" x14ac:dyDescent="0.2">
      <c r="A371" t="s">
        <v>785</v>
      </c>
      <c r="B371" t="s">
        <v>54</v>
      </c>
      <c r="C371" t="s">
        <v>642</v>
      </c>
      <c r="D371" t="s">
        <v>644</v>
      </c>
      <c r="E371" t="s">
        <v>649</v>
      </c>
      <c r="F371" t="s">
        <v>645</v>
      </c>
      <c r="G371" t="s">
        <v>646</v>
      </c>
      <c r="H371" t="s">
        <v>648</v>
      </c>
      <c r="I371" t="s">
        <v>647</v>
      </c>
    </row>
    <row r="372" spans="1:10" x14ac:dyDescent="0.2">
      <c r="B372">
        <v>1</v>
      </c>
      <c r="C372">
        <v>2</v>
      </c>
      <c r="D372">
        <v>3</v>
      </c>
      <c r="E372">
        <v>4</v>
      </c>
      <c r="F372">
        <v>5</v>
      </c>
      <c r="G372">
        <v>6</v>
      </c>
      <c r="H372">
        <v>7</v>
      </c>
      <c r="I372">
        <v>8</v>
      </c>
    </row>
    <row r="373" spans="1:10" x14ac:dyDescent="0.2">
      <c r="A373" t="s">
        <v>786</v>
      </c>
      <c r="B373" t="s">
        <v>54</v>
      </c>
      <c r="C373" t="s">
        <v>642</v>
      </c>
      <c r="D373" t="s">
        <v>644</v>
      </c>
      <c r="E373" t="s">
        <v>645</v>
      </c>
      <c r="F373" t="s">
        <v>646</v>
      </c>
      <c r="G373" t="s">
        <v>782</v>
      </c>
      <c r="H373" t="s">
        <v>781</v>
      </c>
      <c r="I373" t="s">
        <v>789</v>
      </c>
      <c r="J373" t="s">
        <v>787</v>
      </c>
    </row>
    <row r="374" spans="1:10" x14ac:dyDescent="0.2">
      <c r="B374">
        <v>1</v>
      </c>
      <c r="C374">
        <v>2</v>
      </c>
      <c r="D374">
        <v>3</v>
      </c>
      <c r="E374">
        <v>4</v>
      </c>
      <c r="F374">
        <v>5</v>
      </c>
      <c r="G374">
        <v>6</v>
      </c>
      <c r="H374">
        <v>7</v>
      </c>
      <c r="I374">
        <v>8</v>
      </c>
      <c r="J374">
        <v>9</v>
      </c>
    </row>
    <row r="376" spans="1:10" x14ac:dyDescent="0.2">
      <c r="A376" s="58" t="s">
        <v>858</v>
      </c>
      <c r="B376" t="s">
        <v>687</v>
      </c>
    </row>
    <row r="377" spans="1:10" x14ac:dyDescent="0.2">
      <c r="A377" s="6" t="s">
        <v>849</v>
      </c>
      <c r="B377" s="70" t="s">
        <v>651</v>
      </c>
      <c r="C377" s="70" t="s">
        <v>652</v>
      </c>
      <c r="D377" s="70" t="s">
        <v>829</v>
      </c>
      <c r="E377" s="70" t="s">
        <v>830</v>
      </c>
      <c r="F377" s="70" t="s">
        <v>831</v>
      </c>
      <c r="G377" s="70" t="s">
        <v>833</v>
      </c>
      <c r="H377" s="70" t="s">
        <v>832</v>
      </c>
      <c r="I377" s="70" t="s">
        <v>835</v>
      </c>
    </row>
    <row r="378" spans="1:10" x14ac:dyDescent="0.2">
      <c r="B378" t="s">
        <v>54</v>
      </c>
      <c r="C378" t="s">
        <v>644</v>
      </c>
      <c r="D378" t="s">
        <v>645</v>
      </c>
      <c r="E378" t="s">
        <v>646</v>
      </c>
      <c r="F378" t="s">
        <v>642</v>
      </c>
      <c r="G378" t="s">
        <v>647</v>
      </c>
      <c r="H378" t="s">
        <v>648</v>
      </c>
      <c r="I378" t="s">
        <v>649</v>
      </c>
    </row>
    <row r="379" spans="1:10" ht="119" x14ac:dyDescent="0.2">
      <c r="B379" s="65" t="s">
        <v>827</v>
      </c>
      <c r="C379" s="65" t="s">
        <v>850</v>
      </c>
      <c r="D379" s="65" t="s">
        <v>851</v>
      </c>
      <c r="E379" s="65" t="s">
        <v>852</v>
      </c>
      <c r="F379" s="65" t="s">
        <v>853</v>
      </c>
      <c r="G379" s="65" t="s">
        <v>876</v>
      </c>
      <c r="H379" s="65" t="s">
        <v>875</v>
      </c>
      <c r="I379" s="65" t="s">
        <v>877</v>
      </c>
    </row>
    <row r="380" spans="1:10" ht="17" x14ac:dyDescent="0.2">
      <c r="A380" t="s">
        <v>735</v>
      </c>
      <c r="B380" s="65" t="str">
        <f>$B355</f>
        <v>10U</v>
      </c>
      <c r="C380" s="65" t="str">
        <f t="shared" ref="C380:I380" si="11">$B355</f>
        <v>10U</v>
      </c>
      <c r="D380" s="65" t="str">
        <f t="shared" si="11"/>
        <v>10U</v>
      </c>
      <c r="E380" s="65" t="str">
        <f t="shared" si="11"/>
        <v>10U</v>
      </c>
      <c r="F380" s="65" t="str">
        <f t="shared" si="11"/>
        <v>10U</v>
      </c>
      <c r="G380" s="65" t="str">
        <f t="shared" si="11"/>
        <v>10U</v>
      </c>
      <c r="H380" s="65" t="str">
        <f t="shared" si="11"/>
        <v>10U</v>
      </c>
      <c r="I380" s="65" t="str">
        <f t="shared" si="11"/>
        <v>10U</v>
      </c>
    </row>
    <row r="381" spans="1:10" x14ac:dyDescent="0.2">
      <c r="A381" s="6" t="s">
        <v>849</v>
      </c>
      <c r="B381" s="6" t="s">
        <v>651</v>
      </c>
      <c r="C381" s="6" t="s">
        <v>652</v>
      </c>
      <c r="D381" s="6" t="s">
        <v>829</v>
      </c>
      <c r="E381" s="6" t="s">
        <v>830</v>
      </c>
      <c r="F381" s="6" t="s">
        <v>831</v>
      </c>
      <c r="G381" s="6" t="s">
        <v>836</v>
      </c>
      <c r="H381" s="6" t="s">
        <v>837</v>
      </c>
      <c r="I381" s="6" t="s">
        <v>832</v>
      </c>
      <c r="J381" s="6" t="s">
        <v>833</v>
      </c>
    </row>
    <row r="382" spans="1:10" x14ac:dyDescent="0.2">
      <c r="A382" t="s">
        <v>793</v>
      </c>
      <c r="B382" t="s">
        <v>54</v>
      </c>
      <c r="C382" t="s">
        <v>644</v>
      </c>
      <c r="D382" t="s">
        <v>645</v>
      </c>
      <c r="E382" t="s">
        <v>646</v>
      </c>
      <c r="F382" t="s">
        <v>642</v>
      </c>
      <c r="G382" t="s">
        <v>782</v>
      </c>
      <c r="H382" t="s">
        <v>781</v>
      </c>
      <c r="I382" t="s">
        <v>789</v>
      </c>
      <c r="J382" t="s">
        <v>787</v>
      </c>
    </row>
    <row r="383" spans="1:10" ht="146" customHeight="1" x14ac:dyDescent="0.2">
      <c r="B383" s="65" t="s">
        <v>827</v>
      </c>
      <c r="C383" s="65" t="s">
        <v>850</v>
      </c>
      <c r="D383" s="65" t="s">
        <v>851</v>
      </c>
      <c r="E383" s="65" t="s">
        <v>852</v>
      </c>
      <c r="F383" s="65" t="s">
        <v>853</v>
      </c>
      <c r="G383" s="65" t="s">
        <v>873</v>
      </c>
      <c r="H383" s="65" t="s">
        <v>874</v>
      </c>
      <c r="I383" s="65" t="s">
        <v>875</v>
      </c>
      <c r="J383" s="65" t="s">
        <v>876</v>
      </c>
    </row>
    <row r="384" spans="1:10" ht="17" x14ac:dyDescent="0.2">
      <c r="B384" s="65" t="str">
        <f>$B355</f>
        <v>10U</v>
      </c>
      <c r="C384" s="65" t="str">
        <f t="shared" ref="C384:J384" si="12">$B355</f>
        <v>10U</v>
      </c>
      <c r="D384" s="65" t="str">
        <f t="shared" si="12"/>
        <v>10U</v>
      </c>
      <c r="E384" s="65" t="str">
        <f t="shared" si="12"/>
        <v>10U</v>
      </c>
      <c r="F384" s="65" t="str">
        <f t="shared" si="12"/>
        <v>10U</v>
      </c>
      <c r="G384" s="65" t="str">
        <f t="shared" si="12"/>
        <v>10U</v>
      </c>
      <c r="H384" s="65" t="str">
        <f t="shared" si="12"/>
        <v>10U</v>
      </c>
      <c r="I384" s="65" t="str">
        <f t="shared" si="12"/>
        <v>10U</v>
      </c>
      <c r="J384" s="65" t="str">
        <f t="shared" si="12"/>
        <v>10U</v>
      </c>
    </row>
    <row r="385" spans="1:10" x14ac:dyDescent="0.2">
      <c r="B385" s="65"/>
      <c r="C385" s="65"/>
      <c r="D385" s="65"/>
      <c r="E385" s="65"/>
      <c r="F385" s="65"/>
      <c r="G385" s="65"/>
      <c r="H385" s="65"/>
      <c r="I385" s="65"/>
      <c r="J385" s="65"/>
    </row>
    <row r="386" spans="1:10" x14ac:dyDescent="0.2">
      <c r="A386" s="58" t="s">
        <v>779</v>
      </c>
      <c r="B386" s="66"/>
    </row>
    <row r="387" spans="1:10" x14ac:dyDescent="0.2">
      <c r="A387" t="s">
        <v>790</v>
      </c>
      <c r="B387" t="s">
        <v>54</v>
      </c>
      <c r="C387" t="s">
        <v>642</v>
      </c>
      <c r="D387" t="s">
        <v>644</v>
      </c>
      <c r="E387" t="s">
        <v>645</v>
      </c>
      <c r="F387" t="s">
        <v>646</v>
      </c>
      <c r="G387" t="s">
        <v>649</v>
      </c>
      <c r="H387" t="s">
        <v>648</v>
      </c>
      <c r="I387" t="s">
        <v>647</v>
      </c>
    </row>
    <row r="388" spans="1:10" x14ac:dyDescent="0.2">
      <c r="B388">
        <v>1</v>
      </c>
      <c r="C388">
        <v>2</v>
      </c>
      <c r="D388">
        <v>3</v>
      </c>
      <c r="E388">
        <v>4</v>
      </c>
      <c r="F388">
        <v>5</v>
      </c>
      <c r="G388">
        <v>6</v>
      </c>
      <c r="H388">
        <v>7</v>
      </c>
      <c r="I388">
        <v>8</v>
      </c>
    </row>
    <row r="389" spans="1:10" x14ac:dyDescent="0.2">
      <c r="A389" t="s">
        <v>791</v>
      </c>
      <c r="B389" t="s">
        <v>54</v>
      </c>
      <c r="C389" t="s">
        <v>642</v>
      </c>
      <c r="D389" t="s">
        <v>644</v>
      </c>
      <c r="E389" t="s">
        <v>645</v>
      </c>
      <c r="F389" t="s">
        <v>646</v>
      </c>
      <c r="G389" t="s">
        <v>782</v>
      </c>
      <c r="H389" t="s">
        <v>781</v>
      </c>
      <c r="I389" t="s">
        <v>789</v>
      </c>
      <c r="J389" t="s">
        <v>787</v>
      </c>
    </row>
    <row r="390" spans="1:10" x14ac:dyDescent="0.2">
      <c r="B390">
        <v>1</v>
      </c>
      <c r="C390">
        <v>2</v>
      </c>
      <c r="D390">
        <v>3</v>
      </c>
      <c r="E390">
        <v>4</v>
      </c>
      <c r="F390">
        <v>5</v>
      </c>
      <c r="G390">
        <v>6</v>
      </c>
      <c r="H390">
        <v>7</v>
      </c>
      <c r="I390">
        <v>8</v>
      </c>
      <c r="J390">
        <v>9</v>
      </c>
    </row>
    <row r="391" spans="1:10" ht="17" customHeight="1" x14ac:dyDescent="0.2"/>
    <row r="392" spans="1:10" ht="17" customHeight="1" x14ac:dyDescent="0.2">
      <c r="A392" s="58" t="s">
        <v>794</v>
      </c>
    </row>
    <row r="393" spans="1:10" ht="17" customHeight="1" x14ac:dyDescent="0.2">
      <c r="A393" t="s">
        <v>790</v>
      </c>
      <c r="B393" t="s">
        <v>54</v>
      </c>
      <c r="C393" t="s">
        <v>642</v>
      </c>
      <c r="D393" t="s">
        <v>644</v>
      </c>
      <c r="E393" t="s">
        <v>649</v>
      </c>
      <c r="F393" t="s">
        <v>645</v>
      </c>
      <c r="G393" t="s">
        <v>648</v>
      </c>
      <c r="H393" t="s">
        <v>646</v>
      </c>
      <c r="I393" t="s">
        <v>647</v>
      </c>
    </row>
    <row r="394" spans="1:10" ht="17" customHeight="1" x14ac:dyDescent="0.2">
      <c r="B394">
        <v>1</v>
      </c>
      <c r="C394">
        <v>2</v>
      </c>
      <c r="D394">
        <v>3</v>
      </c>
      <c r="E394">
        <v>4</v>
      </c>
      <c r="F394">
        <v>5</v>
      </c>
      <c r="G394">
        <v>6</v>
      </c>
      <c r="H394">
        <v>7</v>
      </c>
      <c r="I394">
        <v>8</v>
      </c>
    </row>
    <row r="395" spans="1:10" ht="17" customHeight="1" x14ac:dyDescent="0.2">
      <c r="A395" t="s">
        <v>791</v>
      </c>
      <c r="B395" t="s">
        <v>54</v>
      </c>
      <c r="C395" t="s">
        <v>642</v>
      </c>
      <c r="D395" t="s">
        <v>644</v>
      </c>
      <c r="E395" t="s">
        <v>782</v>
      </c>
      <c r="F395" t="s">
        <v>645</v>
      </c>
      <c r="G395" t="s">
        <v>647</v>
      </c>
      <c r="H395" t="s">
        <v>646</v>
      </c>
      <c r="I395" t="s">
        <v>789</v>
      </c>
      <c r="J395" t="s">
        <v>781</v>
      </c>
    </row>
    <row r="396" spans="1:10" ht="17" customHeight="1" x14ac:dyDescent="0.2">
      <c r="B396">
        <v>1</v>
      </c>
      <c r="C396">
        <v>2</v>
      </c>
      <c r="D396">
        <v>3</v>
      </c>
      <c r="E396">
        <v>4</v>
      </c>
      <c r="F396">
        <v>5</v>
      </c>
      <c r="G396">
        <v>6</v>
      </c>
      <c r="H396">
        <v>7</v>
      </c>
      <c r="I396">
        <v>8</v>
      </c>
      <c r="J396">
        <v>9</v>
      </c>
    </row>
    <row r="397" spans="1:10" x14ac:dyDescent="0.2">
      <c r="B397" s="65"/>
    </row>
    <row r="398" spans="1:10" x14ac:dyDescent="0.2">
      <c r="B398" s="65"/>
    </row>
    <row r="399" spans="1:10" x14ac:dyDescent="0.2">
      <c r="A399" s="58" t="s">
        <v>663</v>
      </c>
      <c r="B399" s="66" t="s">
        <v>686</v>
      </c>
    </row>
    <row r="400" spans="1:10" x14ac:dyDescent="0.2">
      <c r="A400" s="79" t="s">
        <v>865</v>
      </c>
      <c r="B400" s="77" t="s">
        <v>863</v>
      </c>
    </row>
    <row r="401" spans="1:12" x14ac:dyDescent="0.2">
      <c r="A401" s="6"/>
      <c r="B401" s="6" t="s">
        <v>689</v>
      </c>
    </row>
    <row r="402" spans="1:12" x14ac:dyDescent="0.2">
      <c r="A402" s="6"/>
      <c r="B402" s="6"/>
    </row>
    <row r="403" spans="1:12" x14ac:dyDescent="0.2">
      <c r="A403" s="80" t="s">
        <v>682</v>
      </c>
      <c r="B403" s="77" t="s">
        <v>685</v>
      </c>
    </row>
    <row r="404" spans="1:12" x14ac:dyDescent="0.2">
      <c r="A404" s="79" t="s">
        <v>866</v>
      </c>
      <c r="B404" s="78" t="s">
        <v>861</v>
      </c>
    </row>
    <row r="405" spans="1:12" x14ac:dyDescent="0.2">
      <c r="A405" s="80" t="s">
        <v>683</v>
      </c>
      <c r="B405" s="77" t="s">
        <v>684</v>
      </c>
    </row>
    <row r="406" spans="1:12" x14ac:dyDescent="0.2">
      <c r="A406" s="79" t="s">
        <v>867</v>
      </c>
      <c r="B406" s="6" t="s">
        <v>862</v>
      </c>
    </row>
    <row r="407" spans="1:12" x14ac:dyDescent="0.2">
      <c r="A407" s="58"/>
    </row>
    <row r="410" spans="1:12" x14ac:dyDescent="0.2">
      <c r="A410" s="58" t="s">
        <v>693</v>
      </c>
      <c r="B410" t="s">
        <v>738</v>
      </c>
    </row>
    <row r="411" spans="1:12" x14ac:dyDescent="0.2">
      <c r="B411" t="s">
        <v>694</v>
      </c>
    </row>
    <row r="415" spans="1:12" x14ac:dyDescent="0.2">
      <c r="A415" s="68"/>
      <c r="B415" s="68"/>
      <c r="C415" s="68"/>
      <c r="D415" s="68"/>
      <c r="E415" s="68"/>
      <c r="F415" s="68"/>
      <c r="G415" s="68"/>
      <c r="H415" s="68"/>
      <c r="I415" s="68"/>
      <c r="J415" s="68"/>
      <c r="K415" s="68"/>
      <c r="L415" s="68"/>
    </row>
    <row r="417" spans="1:13" x14ac:dyDescent="0.2">
      <c r="A417" s="58" t="s">
        <v>640</v>
      </c>
      <c r="B417" s="58" t="s">
        <v>595</v>
      </c>
      <c r="D417" s="42" t="s">
        <v>1017</v>
      </c>
    </row>
    <row r="418" spans="1:13" x14ac:dyDescent="0.2">
      <c r="D418" t="s">
        <v>795</v>
      </c>
    </row>
    <row r="420" spans="1:13" x14ac:dyDescent="0.2">
      <c r="A420" s="58" t="s">
        <v>718</v>
      </c>
      <c r="B420" t="s">
        <v>750</v>
      </c>
      <c r="C420" t="s">
        <v>957</v>
      </c>
      <c r="E420" t="s">
        <v>752</v>
      </c>
      <c r="F420" t="s">
        <v>959</v>
      </c>
      <c r="H420" t="s">
        <v>879</v>
      </c>
      <c r="I420" t="s">
        <v>883</v>
      </c>
    </row>
    <row r="422" spans="1:13" ht="51" x14ac:dyDescent="0.2">
      <c r="A422" s="58" t="s">
        <v>658</v>
      </c>
      <c r="B422" t="s">
        <v>54</v>
      </c>
      <c r="C422" t="s">
        <v>644</v>
      </c>
      <c r="D422" t="s">
        <v>645</v>
      </c>
      <c r="E422" t="s">
        <v>646</v>
      </c>
      <c r="F422" t="s">
        <v>642</v>
      </c>
      <c r="G422" t="s">
        <v>647</v>
      </c>
      <c r="H422" t="s">
        <v>648</v>
      </c>
      <c r="I422" s="65" t="s">
        <v>780</v>
      </c>
      <c r="J422" s="65" t="s">
        <v>783</v>
      </c>
      <c r="K422" s="65" t="s">
        <v>784</v>
      </c>
      <c r="L422" s="65" t="s">
        <v>796</v>
      </c>
    </row>
    <row r="424" spans="1:13" x14ac:dyDescent="0.2">
      <c r="A424" t="s">
        <v>657</v>
      </c>
      <c r="B424" s="70" t="s">
        <v>802</v>
      </c>
      <c r="C424" s="70" t="s">
        <v>885</v>
      </c>
      <c r="D424" s="70" t="s">
        <v>886</v>
      </c>
      <c r="E424" s="70" t="s">
        <v>887</v>
      </c>
      <c r="F424" s="70" t="s">
        <v>888</v>
      </c>
      <c r="G424" s="70" t="s">
        <v>890</v>
      </c>
      <c r="H424" s="70" t="s">
        <v>889</v>
      </c>
      <c r="I424" s="70" t="s">
        <v>891</v>
      </c>
      <c r="J424" s="70" t="s">
        <v>893</v>
      </c>
      <c r="K424" s="70" t="s">
        <v>892</v>
      </c>
      <c r="L424" s="70" t="s">
        <v>905</v>
      </c>
      <c r="M424" s="70" t="s">
        <v>991</v>
      </c>
    </row>
    <row r="425" spans="1:13" x14ac:dyDescent="0.2">
      <c r="A425" t="s">
        <v>993</v>
      </c>
      <c r="B425" s="70" t="s">
        <v>759</v>
      </c>
      <c r="C425" s="70" t="s">
        <v>759</v>
      </c>
      <c r="D425" s="70" t="s">
        <v>759</v>
      </c>
      <c r="E425" s="70" t="s">
        <v>759</v>
      </c>
      <c r="F425" s="70" t="s">
        <v>759</v>
      </c>
      <c r="G425" s="70" t="s">
        <v>759</v>
      </c>
      <c r="H425" s="70" t="s">
        <v>759</v>
      </c>
      <c r="I425" s="70" t="s">
        <v>759</v>
      </c>
      <c r="J425" s="70" t="s">
        <v>759</v>
      </c>
      <c r="K425" s="70" t="s">
        <v>759</v>
      </c>
      <c r="L425" s="70" t="s">
        <v>759</v>
      </c>
      <c r="M425" s="70" t="s">
        <v>992</v>
      </c>
    </row>
    <row r="426" spans="1:13" x14ac:dyDescent="0.2">
      <c r="B426" s="70"/>
      <c r="C426" s="70"/>
      <c r="D426" s="70"/>
      <c r="E426" s="70"/>
      <c r="F426" s="70"/>
      <c r="G426" s="70"/>
      <c r="H426" s="70"/>
      <c r="I426" s="70"/>
      <c r="J426" s="70"/>
      <c r="K426" s="70"/>
      <c r="L426" s="6"/>
    </row>
    <row r="427" spans="1:13" x14ac:dyDescent="0.2">
      <c r="A427" t="s">
        <v>982</v>
      </c>
      <c r="B427" s="82">
        <f>'BPOP 9U Eval'!V79</f>
        <v>0.59840000000000004</v>
      </c>
      <c r="C427" s="82">
        <f>'BPOP 9U Eval'!V80</f>
        <v>0.53333333333333333</v>
      </c>
      <c r="D427" s="82">
        <f>'BPOP 9U Eval'!V82</f>
        <v>0.49893842887473461</v>
      </c>
      <c r="E427" s="82">
        <f>'BPOP 9U Eval'!V83</f>
        <v>0.49044585987261147</v>
      </c>
      <c r="F427" s="82">
        <f>'BPOP 9U Eval'!V84</f>
        <v>0.49044585987261147</v>
      </c>
      <c r="G427" s="82">
        <f>'BPOP 9U Eval'!V87</f>
        <v>0.31578947368421051</v>
      </c>
      <c r="H427" s="82">
        <f>'BPOP 9U Eval'!V86</f>
        <v>0.40485169842584923</v>
      </c>
      <c r="I427" s="82">
        <f>'BPOP 9U Eval'!V88</f>
        <v>0.44387106955458244</v>
      </c>
      <c r="J427" s="82">
        <f>'BPOP 9U Eval'!V91</f>
        <v>0.44387106955458244</v>
      </c>
      <c r="K427" s="82">
        <f>'BPOP 9U Eval'!V90</f>
        <v>0.28947368421052633</v>
      </c>
      <c r="L427" s="83">
        <f>'BPOP 9U Eval'!V85</f>
        <v>0.47715736040609136</v>
      </c>
    </row>
    <row r="428" spans="1:13" s="6" customFormat="1" x14ac:dyDescent="0.2">
      <c r="B428" s="70"/>
      <c r="C428" s="70"/>
      <c r="D428" s="70"/>
      <c r="E428" s="70"/>
      <c r="F428" s="70"/>
      <c r="G428" s="70"/>
      <c r="H428" s="70"/>
      <c r="I428" s="70"/>
      <c r="J428" s="70"/>
      <c r="K428" s="70"/>
    </row>
    <row r="429" spans="1:13" x14ac:dyDescent="0.2">
      <c r="A429" t="s">
        <v>659</v>
      </c>
      <c r="B429" t="s">
        <v>54</v>
      </c>
      <c r="C429" t="s">
        <v>643</v>
      </c>
      <c r="D429" t="s">
        <v>328</v>
      </c>
      <c r="E429" t="s">
        <v>328</v>
      </c>
      <c r="F429" t="s">
        <v>328</v>
      </c>
      <c r="G429" t="s">
        <v>65</v>
      </c>
      <c r="H429" t="s">
        <v>65</v>
      </c>
      <c r="I429" t="s">
        <v>65</v>
      </c>
      <c r="J429" t="s">
        <v>65</v>
      </c>
      <c r="K429" t="s">
        <v>65</v>
      </c>
      <c r="L429" t="s">
        <v>328</v>
      </c>
    </row>
    <row r="431" spans="1:13" x14ac:dyDescent="0.2">
      <c r="A431" s="58" t="s">
        <v>778</v>
      </c>
      <c r="B431" t="s">
        <v>739</v>
      </c>
    </row>
    <row r="432" spans="1:13" x14ac:dyDescent="0.2">
      <c r="B432" t="s">
        <v>661</v>
      </c>
    </row>
    <row r="434" spans="1:13" x14ac:dyDescent="0.2">
      <c r="A434" t="s">
        <v>785</v>
      </c>
      <c r="B434" t="s">
        <v>54</v>
      </c>
      <c r="C434" t="s">
        <v>642</v>
      </c>
      <c r="D434" t="s">
        <v>644</v>
      </c>
      <c r="E434" t="s">
        <v>796</v>
      </c>
      <c r="F434" t="s">
        <v>649</v>
      </c>
      <c r="G434" t="s">
        <v>645</v>
      </c>
      <c r="H434" t="s">
        <v>646</v>
      </c>
      <c r="I434" t="s">
        <v>648</v>
      </c>
      <c r="J434" t="s">
        <v>647</v>
      </c>
    </row>
    <row r="435" spans="1:13" x14ac:dyDescent="0.2">
      <c r="B435">
        <v>1</v>
      </c>
      <c r="C435">
        <v>2</v>
      </c>
      <c r="D435">
        <v>3</v>
      </c>
      <c r="E435">
        <v>4</v>
      </c>
      <c r="F435">
        <v>5</v>
      </c>
      <c r="G435">
        <v>6</v>
      </c>
      <c r="H435">
        <v>7</v>
      </c>
      <c r="I435">
        <v>8</v>
      </c>
      <c r="J435">
        <v>9</v>
      </c>
    </row>
    <row r="436" spans="1:13" x14ac:dyDescent="0.2">
      <c r="A436" t="s">
        <v>786</v>
      </c>
      <c r="B436" t="s">
        <v>54</v>
      </c>
      <c r="C436" t="s">
        <v>642</v>
      </c>
      <c r="D436" t="s">
        <v>644</v>
      </c>
      <c r="E436" t="s">
        <v>796</v>
      </c>
      <c r="F436" t="s">
        <v>645</v>
      </c>
      <c r="G436" t="s">
        <v>646</v>
      </c>
      <c r="H436" t="s">
        <v>782</v>
      </c>
      <c r="I436" t="s">
        <v>787</v>
      </c>
      <c r="J436" t="s">
        <v>788</v>
      </c>
      <c r="K436" t="s">
        <v>782</v>
      </c>
      <c r="M436" t="s">
        <v>1013</v>
      </c>
    </row>
    <row r="437" spans="1:13" x14ac:dyDescent="0.2">
      <c r="B437">
        <v>1</v>
      </c>
      <c r="C437">
        <v>2</v>
      </c>
      <c r="D437">
        <v>3</v>
      </c>
      <c r="E437">
        <v>4</v>
      </c>
      <c r="F437">
        <v>5</v>
      </c>
      <c r="G437">
        <v>6</v>
      </c>
      <c r="H437">
        <v>7</v>
      </c>
      <c r="I437">
        <v>8</v>
      </c>
      <c r="J437">
        <v>9</v>
      </c>
      <c r="K437">
        <v>10</v>
      </c>
    </row>
    <row r="439" spans="1:13" x14ac:dyDescent="0.2">
      <c r="A439" s="58" t="s">
        <v>858</v>
      </c>
      <c r="B439" t="s">
        <v>687</v>
      </c>
    </row>
    <row r="440" spans="1:13" x14ac:dyDescent="0.2">
      <c r="A440" s="6" t="s">
        <v>849</v>
      </c>
      <c r="B440" s="70" t="s">
        <v>802</v>
      </c>
      <c r="C440" s="70" t="s">
        <v>885</v>
      </c>
      <c r="D440" s="70" t="s">
        <v>886</v>
      </c>
      <c r="E440" s="70" t="s">
        <v>887</v>
      </c>
      <c r="F440" s="70" t="s">
        <v>888</v>
      </c>
      <c r="G440" s="70" t="s">
        <v>890</v>
      </c>
      <c r="H440" s="70" t="s">
        <v>889</v>
      </c>
      <c r="I440" s="70" t="s">
        <v>891</v>
      </c>
    </row>
    <row r="441" spans="1:13" x14ac:dyDescent="0.2">
      <c r="B441" t="s">
        <v>54</v>
      </c>
      <c r="C441" t="s">
        <v>644</v>
      </c>
      <c r="D441" t="s">
        <v>645</v>
      </c>
      <c r="E441" t="s">
        <v>646</v>
      </c>
      <c r="F441" t="s">
        <v>642</v>
      </c>
      <c r="G441" t="s">
        <v>647</v>
      </c>
      <c r="H441" t="s">
        <v>648</v>
      </c>
      <c r="I441" t="s">
        <v>649</v>
      </c>
    </row>
    <row r="442" spans="1:13" ht="102" x14ac:dyDescent="0.2">
      <c r="A442" t="s">
        <v>631</v>
      </c>
      <c r="B442" s="65" t="s">
        <v>984</v>
      </c>
      <c r="C442" s="65" t="s">
        <v>985</v>
      </c>
      <c r="D442" s="65" t="s">
        <v>986</v>
      </c>
      <c r="E442" s="65" t="s">
        <v>975</v>
      </c>
      <c r="F442" s="65" t="s">
        <v>976</v>
      </c>
      <c r="G442" s="65" t="s">
        <v>977</v>
      </c>
      <c r="H442" s="65" t="s">
        <v>978</v>
      </c>
      <c r="I442" s="65" t="s">
        <v>983</v>
      </c>
      <c r="J442" s="65" t="s">
        <v>987</v>
      </c>
      <c r="K442" s="72"/>
    </row>
    <row r="443" spans="1:13" ht="17" x14ac:dyDescent="0.2">
      <c r="A443" t="s">
        <v>735</v>
      </c>
      <c r="B443" s="65" t="str">
        <f>$B417</f>
        <v>9U</v>
      </c>
      <c r="C443" s="65" t="str">
        <f t="shared" ref="C443:I443" si="13">$B417</f>
        <v>9U</v>
      </c>
      <c r="D443" s="65" t="str">
        <f t="shared" si="13"/>
        <v>9U</v>
      </c>
      <c r="E443" s="65" t="str">
        <f t="shared" si="13"/>
        <v>9U</v>
      </c>
      <c r="F443" s="65" t="str">
        <f t="shared" si="13"/>
        <v>9U</v>
      </c>
      <c r="G443" s="65" t="str">
        <f t="shared" si="13"/>
        <v>9U</v>
      </c>
      <c r="H443" s="65" t="str">
        <f t="shared" si="13"/>
        <v>9U</v>
      </c>
      <c r="I443" s="65" t="str">
        <f t="shared" si="13"/>
        <v>9U</v>
      </c>
    </row>
    <row r="444" spans="1:13" x14ac:dyDescent="0.2">
      <c r="B444" s="65"/>
      <c r="C444" s="65"/>
      <c r="D444" s="65"/>
      <c r="E444" s="65"/>
      <c r="F444" s="65"/>
      <c r="G444" s="65"/>
      <c r="H444" s="65"/>
      <c r="I444" s="65"/>
    </row>
    <row r="445" spans="1:13" x14ac:dyDescent="0.2">
      <c r="A445" s="6" t="s">
        <v>849</v>
      </c>
      <c r="B445" s="70" t="s">
        <v>802</v>
      </c>
      <c r="C445" s="70" t="s">
        <v>885</v>
      </c>
      <c r="D445" s="70" t="s">
        <v>886</v>
      </c>
      <c r="E445" s="70" t="s">
        <v>887</v>
      </c>
      <c r="F445" s="70" t="s">
        <v>888</v>
      </c>
      <c r="G445" s="70" t="s">
        <v>906</v>
      </c>
      <c r="H445" s="70" t="s">
        <v>893</v>
      </c>
      <c r="I445" s="70" t="s">
        <v>889</v>
      </c>
      <c r="J445" s="70" t="s">
        <v>890</v>
      </c>
    </row>
    <row r="446" spans="1:13" x14ac:dyDescent="0.2">
      <c r="A446" t="s">
        <v>793</v>
      </c>
      <c r="B446" t="s">
        <v>54</v>
      </c>
      <c r="C446" t="s">
        <v>644</v>
      </c>
      <c r="D446" t="s">
        <v>645</v>
      </c>
      <c r="E446" t="s">
        <v>646</v>
      </c>
      <c r="F446" t="s">
        <v>642</v>
      </c>
      <c r="G446" t="s">
        <v>782</v>
      </c>
      <c r="H446" t="s">
        <v>781</v>
      </c>
      <c r="I446" t="s">
        <v>789</v>
      </c>
      <c r="J446" t="s">
        <v>787</v>
      </c>
    </row>
    <row r="447" spans="1:13" ht="122" customHeight="1" x14ac:dyDescent="0.2">
      <c r="B447" s="65" t="s">
        <v>984</v>
      </c>
      <c r="C447" s="65" t="s">
        <v>985</v>
      </c>
      <c r="D447" s="65" t="s">
        <v>986</v>
      </c>
      <c r="E447" s="65" t="s">
        <v>975</v>
      </c>
      <c r="F447" s="65" t="s">
        <v>976</v>
      </c>
      <c r="G447" s="65" t="s">
        <v>980</v>
      </c>
      <c r="H447" s="65" t="s">
        <v>981</v>
      </c>
      <c r="I447" s="65" t="s">
        <v>978</v>
      </c>
      <c r="J447" s="65" t="s">
        <v>977</v>
      </c>
      <c r="K447" s="65" t="s">
        <v>987</v>
      </c>
    </row>
    <row r="448" spans="1:13" ht="17" x14ac:dyDescent="0.2">
      <c r="B448" s="65" t="str">
        <f>$B417</f>
        <v>9U</v>
      </c>
      <c r="C448" s="65" t="str">
        <f t="shared" ref="C448:J448" si="14">$B417</f>
        <v>9U</v>
      </c>
      <c r="D448" s="65" t="str">
        <f t="shared" si="14"/>
        <v>9U</v>
      </c>
      <c r="E448" s="65" t="str">
        <f t="shared" si="14"/>
        <v>9U</v>
      </c>
      <c r="F448" s="65" t="str">
        <f t="shared" si="14"/>
        <v>9U</v>
      </c>
      <c r="G448" s="65" t="str">
        <f t="shared" si="14"/>
        <v>9U</v>
      </c>
      <c r="H448" s="65" t="str">
        <f t="shared" si="14"/>
        <v>9U</v>
      </c>
      <c r="I448" s="65" t="str">
        <f t="shared" si="14"/>
        <v>9U</v>
      </c>
      <c r="J448" s="65" t="str">
        <f t="shared" si="14"/>
        <v>9U</v>
      </c>
    </row>
    <row r="449" spans="1:13" x14ac:dyDescent="0.2">
      <c r="B449" s="65"/>
      <c r="C449" s="65"/>
      <c r="D449" s="65"/>
      <c r="E449" s="65"/>
      <c r="F449" s="65"/>
      <c r="G449" s="65"/>
      <c r="H449" s="65"/>
      <c r="I449" s="65"/>
      <c r="J449" s="65"/>
    </row>
    <row r="450" spans="1:13" x14ac:dyDescent="0.2">
      <c r="A450" s="58" t="s">
        <v>779</v>
      </c>
      <c r="B450" s="66"/>
    </row>
    <row r="451" spans="1:13" x14ac:dyDescent="0.2">
      <c r="A451" t="s">
        <v>790</v>
      </c>
      <c r="B451" t="s">
        <v>54</v>
      </c>
      <c r="C451" t="s">
        <v>642</v>
      </c>
      <c r="D451" t="s">
        <v>644</v>
      </c>
      <c r="E451" t="s">
        <v>796</v>
      </c>
      <c r="F451" t="s">
        <v>645</v>
      </c>
      <c r="G451" t="s">
        <v>646</v>
      </c>
      <c r="H451" t="s">
        <v>649</v>
      </c>
      <c r="I451" t="s">
        <v>648</v>
      </c>
      <c r="J451" t="s">
        <v>647</v>
      </c>
    </row>
    <row r="452" spans="1:13" x14ac:dyDescent="0.2">
      <c r="B452">
        <v>1</v>
      </c>
      <c r="C452">
        <v>2</v>
      </c>
      <c r="D452">
        <v>3</v>
      </c>
      <c r="E452">
        <v>4</v>
      </c>
      <c r="F452">
        <v>5</v>
      </c>
      <c r="G452">
        <v>6</v>
      </c>
      <c r="H452">
        <v>7</v>
      </c>
      <c r="I452">
        <v>8</v>
      </c>
      <c r="J452">
        <v>9</v>
      </c>
    </row>
    <row r="453" spans="1:13" x14ac:dyDescent="0.2">
      <c r="A453" t="s">
        <v>791</v>
      </c>
      <c r="B453" t="s">
        <v>54</v>
      </c>
      <c r="C453" t="s">
        <v>642</v>
      </c>
      <c r="D453" t="s">
        <v>644</v>
      </c>
      <c r="E453" t="s">
        <v>796</v>
      </c>
      <c r="F453" t="s">
        <v>645</v>
      </c>
      <c r="G453" t="s">
        <v>646</v>
      </c>
      <c r="H453" t="s">
        <v>782</v>
      </c>
      <c r="I453" t="s">
        <v>787</v>
      </c>
      <c r="J453" t="s">
        <v>788</v>
      </c>
      <c r="K453" t="s">
        <v>782</v>
      </c>
      <c r="M453" t="s">
        <v>1013</v>
      </c>
    </row>
    <row r="454" spans="1:13" x14ac:dyDescent="0.2">
      <c r="B454">
        <v>1</v>
      </c>
      <c r="C454">
        <v>2</v>
      </c>
      <c r="D454">
        <v>3</v>
      </c>
      <c r="E454">
        <v>4</v>
      </c>
      <c r="F454">
        <v>4</v>
      </c>
      <c r="G454">
        <v>5</v>
      </c>
      <c r="H454">
        <v>6</v>
      </c>
      <c r="I454">
        <v>7</v>
      </c>
      <c r="J454">
        <v>8</v>
      </c>
      <c r="K454">
        <v>9</v>
      </c>
    </row>
    <row r="455" spans="1:13" ht="17" customHeight="1" x14ac:dyDescent="0.2">
      <c r="B455">
        <v>1</v>
      </c>
      <c r="C455">
        <v>2</v>
      </c>
      <c r="D455">
        <v>3</v>
      </c>
      <c r="E455">
        <v>4</v>
      </c>
      <c r="F455">
        <v>5</v>
      </c>
      <c r="G455">
        <v>6</v>
      </c>
      <c r="H455">
        <v>7</v>
      </c>
      <c r="I455">
        <v>8</v>
      </c>
      <c r="J455">
        <v>9</v>
      </c>
      <c r="K455">
        <v>10</v>
      </c>
    </row>
    <row r="456" spans="1:13" ht="17" customHeight="1" x14ac:dyDescent="0.2">
      <c r="A456" s="58" t="s">
        <v>794</v>
      </c>
    </row>
    <row r="457" spans="1:13" ht="17" customHeight="1" x14ac:dyDescent="0.2">
      <c r="A457" t="s">
        <v>790</v>
      </c>
      <c r="B457" t="s">
        <v>54</v>
      </c>
      <c r="C457" t="s">
        <v>642</v>
      </c>
      <c r="D457" t="s">
        <v>644</v>
      </c>
      <c r="E457" t="s">
        <v>796</v>
      </c>
      <c r="F457" t="s">
        <v>649</v>
      </c>
      <c r="G457" t="s">
        <v>645</v>
      </c>
      <c r="H457" t="s">
        <v>648</v>
      </c>
      <c r="I457" t="s">
        <v>646</v>
      </c>
      <c r="J457" t="s">
        <v>647</v>
      </c>
    </row>
    <row r="458" spans="1:13" ht="17" customHeight="1" x14ac:dyDescent="0.2">
      <c r="B458">
        <v>1</v>
      </c>
      <c r="C458">
        <v>2</v>
      </c>
      <c r="D458">
        <v>3</v>
      </c>
      <c r="E458">
        <v>4</v>
      </c>
      <c r="F458">
        <v>5</v>
      </c>
      <c r="G458">
        <v>6</v>
      </c>
      <c r="H458">
        <v>7</v>
      </c>
      <c r="I458">
        <v>8</v>
      </c>
      <c r="J458">
        <v>9</v>
      </c>
    </row>
    <row r="459" spans="1:13" ht="17" customHeight="1" x14ac:dyDescent="0.2">
      <c r="A459" t="s">
        <v>791</v>
      </c>
      <c r="B459" t="s">
        <v>54</v>
      </c>
      <c r="C459" t="s">
        <v>642</v>
      </c>
      <c r="D459" t="s">
        <v>644</v>
      </c>
      <c r="E459" t="s">
        <v>796</v>
      </c>
      <c r="F459" t="s">
        <v>782</v>
      </c>
      <c r="G459" t="s">
        <v>645</v>
      </c>
      <c r="H459" t="s">
        <v>647</v>
      </c>
      <c r="I459" t="s">
        <v>646</v>
      </c>
      <c r="J459" t="s">
        <v>789</v>
      </c>
      <c r="K459" t="s">
        <v>781</v>
      </c>
      <c r="M459" t="s">
        <v>1013</v>
      </c>
    </row>
    <row r="460" spans="1:13" ht="17" customHeight="1" x14ac:dyDescent="0.2">
      <c r="B460">
        <v>1</v>
      </c>
      <c r="C460">
        <v>2</v>
      </c>
      <c r="D460">
        <v>3</v>
      </c>
      <c r="E460">
        <v>4</v>
      </c>
      <c r="F460">
        <v>5</v>
      </c>
      <c r="G460">
        <v>6</v>
      </c>
      <c r="H460">
        <v>7</v>
      </c>
      <c r="I460">
        <v>8</v>
      </c>
      <c r="J460">
        <v>9</v>
      </c>
      <c r="K460">
        <v>10</v>
      </c>
    </row>
    <row r="461" spans="1:13" x14ac:dyDescent="0.2">
      <c r="B461" s="65"/>
    </row>
    <row r="462" spans="1:13" x14ac:dyDescent="0.2">
      <c r="B462" s="65"/>
    </row>
    <row r="463" spans="1:13" x14ac:dyDescent="0.2">
      <c r="A463" s="58" t="s">
        <v>663</v>
      </c>
      <c r="B463" s="66" t="s">
        <v>686</v>
      </c>
    </row>
    <row r="464" spans="1:13" x14ac:dyDescent="0.2">
      <c r="A464" s="79" t="s">
        <v>865</v>
      </c>
      <c r="B464" s="77" t="s">
        <v>896</v>
      </c>
    </row>
    <row r="465" spans="1:12" x14ac:dyDescent="0.2">
      <c r="A465" s="58"/>
      <c r="B465" t="s">
        <v>689</v>
      </c>
    </row>
    <row r="466" spans="1:12" x14ac:dyDescent="0.2">
      <c r="A466" s="58"/>
    </row>
    <row r="467" spans="1:12" x14ac:dyDescent="0.2">
      <c r="A467" s="58" t="s">
        <v>682</v>
      </c>
      <c r="B467" s="66" t="s">
        <v>685</v>
      </c>
    </row>
    <row r="468" spans="1:12" x14ac:dyDescent="0.2">
      <c r="A468" s="79" t="s">
        <v>866</v>
      </c>
      <c r="B468" s="78" t="s">
        <v>894</v>
      </c>
    </row>
    <row r="469" spans="1:12" x14ac:dyDescent="0.2">
      <c r="A469" s="58" t="s">
        <v>683</v>
      </c>
      <c r="B469" s="66" t="s">
        <v>684</v>
      </c>
    </row>
    <row r="470" spans="1:12" x14ac:dyDescent="0.2">
      <c r="A470" s="79" t="s">
        <v>867</v>
      </c>
      <c r="B470" s="6" t="s">
        <v>895</v>
      </c>
    </row>
    <row r="471" spans="1:12" x14ac:dyDescent="0.2">
      <c r="A471" s="58"/>
    </row>
    <row r="474" spans="1:12" x14ac:dyDescent="0.2">
      <c r="A474" s="58" t="s">
        <v>693</v>
      </c>
      <c r="B474" t="s">
        <v>738</v>
      </c>
    </row>
    <row r="475" spans="1:12" x14ac:dyDescent="0.2">
      <c r="B475" t="s">
        <v>694</v>
      </c>
    </row>
    <row r="480" spans="1:12" x14ac:dyDescent="0.2">
      <c r="A480" s="68"/>
      <c r="B480" s="68"/>
      <c r="C480" s="68"/>
      <c r="D480" s="68"/>
      <c r="E480" s="68"/>
      <c r="F480" s="68"/>
      <c r="G480" s="68"/>
      <c r="H480" s="68"/>
      <c r="I480" s="68"/>
      <c r="J480" s="68"/>
      <c r="K480" s="68"/>
      <c r="L480" s="68"/>
    </row>
    <row r="482" spans="1:13" x14ac:dyDescent="0.2">
      <c r="A482" s="58" t="s">
        <v>640</v>
      </c>
      <c r="B482" s="58" t="s">
        <v>594</v>
      </c>
      <c r="D482" t="s">
        <v>1016</v>
      </c>
    </row>
    <row r="483" spans="1:13" x14ac:dyDescent="0.2">
      <c r="D483" t="s">
        <v>799</v>
      </c>
    </row>
    <row r="485" spans="1:13" x14ac:dyDescent="0.2">
      <c r="A485" s="58" t="s">
        <v>718</v>
      </c>
      <c r="B485" t="s">
        <v>750</v>
      </c>
      <c r="C485" t="s">
        <v>957</v>
      </c>
      <c r="E485" t="s">
        <v>752</v>
      </c>
      <c r="F485" t="s">
        <v>959</v>
      </c>
      <c r="H485" t="s">
        <v>879</v>
      </c>
      <c r="I485" t="s">
        <v>931</v>
      </c>
    </row>
    <row r="487" spans="1:13" ht="51" x14ac:dyDescent="0.2">
      <c r="A487" s="58" t="s">
        <v>658</v>
      </c>
      <c r="B487" t="s">
        <v>54</v>
      </c>
      <c r="C487" t="s">
        <v>644</v>
      </c>
      <c r="D487" t="s">
        <v>645</v>
      </c>
      <c r="E487" t="s">
        <v>646</v>
      </c>
      <c r="F487" t="s">
        <v>642</v>
      </c>
      <c r="G487" t="s">
        <v>647</v>
      </c>
      <c r="H487" t="s">
        <v>648</v>
      </c>
      <c r="I487" s="65" t="s">
        <v>780</v>
      </c>
      <c r="J487" s="65" t="s">
        <v>783</v>
      </c>
      <c r="K487" s="65" t="s">
        <v>784</v>
      </c>
      <c r="L487" s="65" t="s">
        <v>796</v>
      </c>
    </row>
    <row r="489" spans="1:13" x14ac:dyDescent="0.2">
      <c r="A489" t="s">
        <v>657</v>
      </c>
      <c r="B489" s="70" t="s">
        <v>912</v>
      </c>
      <c r="C489" s="70" t="s">
        <v>913</v>
      </c>
      <c r="D489" s="70" t="s">
        <v>914</v>
      </c>
      <c r="E489" s="70" t="s">
        <v>915</v>
      </c>
      <c r="F489" s="70" t="s">
        <v>916</v>
      </c>
      <c r="G489" s="70" t="s">
        <v>919</v>
      </c>
      <c r="H489" s="70" t="s">
        <v>918</v>
      </c>
      <c r="I489" s="70" t="s">
        <v>920</v>
      </c>
      <c r="J489" s="70" t="s">
        <v>922</v>
      </c>
      <c r="K489" s="70" t="s">
        <v>921</v>
      </c>
      <c r="L489" s="70" t="s">
        <v>917</v>
      </c>
      <c r="M489" s="70" t="s">
        <v>991</v>
      </c>
    </row>
    <row r="490" spans="1:13" x14ac:dyDescent="0.2">
      <c r="A490" t="s">
        <v>993</v>
      </c>
      <c r="B490" s="70" t="s">
        <v>759</v>
      </c>
      <c r="C490" s="70" t="s">
        <v>759</v>
      </c>
      <c r="D490" s="70" t="s">
        <v>759</v>
      </c>
      <c r="E490" s="70" t="s">
        <v>759</v>
      </c>
      <c r="F490" s="70" t="s">
        <v>759</v>
      </c>
      <c r="G490" s="70" t="s">
        <v>759</v>
      </c>
      <c r="H490" s="70" t="s">
        <v>759</v>
      </c>
      <c r="I490" s="70" t="s">
        <v>759</v>
      </c>
      <c r="J490" s="70" t="s">
        <v>759</v>
      </c>
      <c r="K490" s="70" t="s">
        <v>759</v>
      </c>
      <c r="L490" s="70" t="s">
        <v>759</v>
      </c>
      <c r="M490" s="70" t="s">
        <v>992</v>
      </c>
    </row>
    <row r="491" spans="1:13" x14ac:dyDescent="0.2">
      <c r="B491" s="70"/>
      <c r="C491" s="70"/>
      <c r="D491" s="70"/>
      <c r="E491" s="70"/>
      <c r="F491" s="70"/>
      <c r="G491" s="70"/>
      <c r="H491" s="70"/>
      <c r="I491" s="70"/>
      <c r="J491" s="70"/>
      <c r="K491" s="70"/>
      <c r="L491" s="6"/>
    </row>
    <row r="492" spans="1:13" x14ac:dyDescent="0.2">
      <c r="A492" t="s">
        <v>982</v>
      </c>
      <c r="B492" s="82">
        <f>'BPOP 8U Eval'!V76</f>
        <v>0.32604757879483154</v>
      </c>
      <c r="C492" s="82">
        <f>'BPOP 8U Eval'!V77</f>
        <v>0.5</v>
      </c>
      <c r="D492" s="82">
        <f>'BPOP 8U Eval'!V79</f>
        <v>0.53579175704989157</v>
      </c>
      <c r="E492" s="82">
        <f>'BPOP 8U Eval'!V80</f>
        <v>0.52711496746203901</v>
      </c>
      <c r="F492" s="82">
        <f>'BPOP 8U Eval'!V81</f>
        <v>0.52711496746203901</v>
      </c>
      <c r="G492" s="82">
        <f>'BPOP 8U Eval'!V84</f>
        <v>0.30232558139534882</v>
      </c>
      <c r="H492" s="82">
        <f>'BPOP 8U Eval'!V83</f>
        <v>0.35384615384615387</v>
      </c>
      <c r="I492" s="82">
        <f>'BPOP 8U Eval'!V85</f>
        <v>0.39090909090909093</v>
      </c>
      <c r="J492" s="82">
        <f>'BPOP 8U Eval'!V88</f>
        <v>0.39090909090909093</v>
      </c>
      <c r="K492" s="82">
        <f>'BPOP 8U Eval'!V87</f>
        <v>0.27906976744186046</v>
      </c>
      <c r="L492" s="83">
        <f>'BPOP 8U Eval'!V82</f>
        <v>0.53645833333333337</v>
      </c>
    </row>
    <row r="493" spans="1:13" x14ac:dyDescent="0.2">
      <c r="G493" s="6"/>
    </row>
    <row r="494" spans="1:13" x14ac:dyDescent="0.2">
      <c r="A494" t="s">
        <v>659</v>
      </c>
      <c r="B494" t="s">
        <v>54</v>
      </c>
      <c r="C494" t="s">
        <v>643</v>
      </c>
      <c r="D494" t="s">
        <v>328</v>
      </c>
      <c r="E494" t="s">
        <v>328</v>
      </c>
      <c r="F494" t="s">
        <v>328</v>
      </c>
      <c r="G494" t="s">
        <v>65</v>
      </c>
      <c r="H494" t="s">
        <v>65</v>
      </c>
      <c r="I494" t="s">
        <v>65</v>
      </c>
      <c r="J494" t="s">
        <v>65</v>
      </c>
      <c r="K494" t="s">
        <v>65</v>
      </c>
      <c r="L494" t="s">
        <v>328</v>
      </c>
    </row>
    <row r="496" spans="1:13" x14ac:dyDescent="0.2">
      <c r="A496" s="58" t="s">
        <v>778</v>
      </c>
      <c r="B496" t="s">
        <v>739</v>
      </c>
    </row>
    <row r="497" spans="1:12" x14ac:dyDescent="0.2">
      <c r="B497" t="s">
        <v>661</v>
      </c>
    </row>
    <row r="499" spans="1:12" x14ac:dyDescent="0.2">
      <c r="A499" t="s">
        <v>785</v>
      </c>
      <c r="B499" t="s">
        <v>803</v>
      </c>
      <c r="C499" t="s">
        <v>644</v>
      </c>
      <c r="D499" t="s">
        <v>645</v>
      </c>
      <c r="E499" t="s">
        <v>796</v>
      </c>
      <c r="F499" t="s">
        <v>646</v>
      </c>
      <c r="G499" t="s">
        <v>54</v>
      </c>
      <c r="H499" t="s">
        <v>649</v>
      </c>
      <c r="I499" t="s">
        <v>648</v>
      </c>
      <c r="J499" t="s">
        <v>647</v>
      </c>
    </row>
    <row r="500" spans="1:12" x14ac:dyDescent="0.2">
      <c r="B500">
        <v>1</v>
      </c>
      <c r="C500">
        <v>2</v>
      </c>
      <c r="D500">
        <v>3</v>
      </c>
      <c r="E500">
        <v>4</v>
      </c>
      <c r="F500">
        <v>5</v>
      </c>
      <c r="G500">
        <v>6</v>
      </c>
      <c r="H500">
        <v>7</v>
      </c>
      <c r="I500">
        <v>8</v>
      </c>
      <c r="J500">
        <v>9</v>
      </c>
      <c r="L500" t="s">
        <v>1013</v>
      </c>
    </row>
    <row r="501" spans="1:12" x14ac:dyDescent="0.2">
      <c r="A501" t="s">
        <v>786</v>
      </c>
      <c r="B501" t="s">
        <v>803</v>
      </c>
      <c r="C501" t="s">
        <v>644</v>
      </c>
      <c r="D501" t="s">
        <v>645</v>
      </c>
      <c r="E501" t="s">
        <v>796</v>
      </c>
      <c r="F501" t="s">
        <v>646</v>
      </c>
      <c r="G501" t="s">
        <v>54</v>
      </c>
      <c r="H501" t="s">
        <v>782</v>
      </c>
      <c r="I501" t="s">
        <v>781</v>
      </c>
      <c r="J501" t="s">
        <v>788</v>
      </c>
      <c r="K501" t="s">
        <v>787</v>
      </c>
    </row>
    <row r="502" spans="1:12" x14ac:dyDescent="0.2">
      <c r="B502">
        <v>1</v>
      </c>
      <c r="C502">
        <v>2</v>
      </c>
      <c r="D502">
        <v>3</v>
      </c>
      <c r="E502">
        <v>4</v>
      </c>
      <c r="F502">
        <v>5</v>
      </c>
      <c r="G502">
        <v>6</v>
      </c>
      <c r="H502">
        <v>7</v>
      </c>
      <c r="I502">
        <v>8</v>
      </c>
      <c r="J502">
        <v>9</v>
      </c>
      <c r="K502">
        <v>10</v>
      </c>
    </row>
    <row r="504" spans="1:12" x14ac:dyDescent="0.2">
      <c r="A504" s="58" t="s">
        <v>858</v>
      </c>
      <c r="B504" t="s">
        <v>687</v>
      </c>
    </row>
    <row r="506" spans="1:12" x14ac:dyDescent="0.2">
      <c r="B506" t="s">
        <v>54</v>
      </c>
      <c r="C506" t="s">
        <v>644</v>
      </c>
      <c r="D506" t="s">
        <v>645</v>
      </c>
      <c r="E506" t="s">
        <v>646</v>
      </c>
      <c r="F506" t="s">
        <v>642</v>
      </c>
      <c r="G506" t="s">
        <v>647</v>
      </c>
      <c r="H506" t="s">
        <v>648</v>
      </c>
      <c r="I506" t="s">
        <v>649</v>
      </c>
      <c r="J506" t="s">
        <v>796</v>
      </c>
    </row>
    <row r="507" spans="1:12" ht="102" x14ac:dyDescent="0.2">
      <c r="B507" s="65" t="s">
        <v>972</v>
      </c>
      <c r="C507" s="65" t="s">
        <v>973</v>
      </c>
      <c r="D507" s="65" t="s">
        <v>974</v>
      </c>
      <c r="E507" s="65" t="s">
        <v>995</v>
      </c>
      <c r="F507" s="65" t="s">
        <v>996</v>
      </c>
      <c r="G507" s="65" t="s">
        <v>997</v>
      </c>
      <c r="H507" s="65" t="s">
        <v>998</v>
      </c>
      <c r="I507" s="65" t="s">
        <v>999</v>
      </c>
      <c r="J507" s="65" t="s">
        <v>979</v>
      </c>
    </row>
    <row r="508" spans="1:12" ht="17" x14ac:dyDescent="0.2">
      <c r="A508" t="s">
        <v>735</v>
      </c>
      <c r="B508" s="65" t="str">
        <f>$B482</f>
        <v>8U</v>
      </c>
      <c r="C508" s="65" t="str">
        <f>$B482</f>
        <v>8U</v>
      </c>
      <c r="D508" s="65" t="str">
        <f>$B482</f>
        <v>8U</v>
      </c>
      <c r="E508" s="65" t="str">
        <f>$B482</f>
        <v>8U</v>
      </c>
      <c r="F508" s="65" t="str">
        <f>$B482</f>
        <v>8U</v>
      </c>
      <c r="G508" s="65" t="str">
        <f>$B482</f>
        <v>8U</v>
      </c>
      <c r="H508" s="65" t="str">
        <f>$B482</f>
        <v>8U</v>
      </c>
      <c r="I508" s="65" t="str">
        <f>$B482</f>
        <v>8U</v>
      </c>
    </row>
    <row r="509" spans="1:12" x14ac:dyDescent="0.2">
      <c r="B509" s="66"/>
    </row>
    <row r="510" spans="1:12" x14ac:dyDescent="0.2">
      <c r="A510" t="s">
        <v>793</v>
      </c>
      <c r="B510" t="s">
        <v>54</v>
      </c>
      <c r="C510" t="s">
        <v>644</v>
      </c>
      <c r="D510" t="s">
        <v>645</v>
      </c>
      <c r="E510" t="s">
        <v>646</v>
      </c>
      <c r="F510" t="s">
        <v>642</v>
      </c>
      <c r="G510" t="s">
        <v>782</v>
      </c>
      <c r="H510" t="s">
        <v>781</v>
      </c>
      <c r="I510" t="s">
        <v>789</v>
      </c>
      <c r="J510" t="s">
        <v>787</v>
      </c>
      <c r="K510" t="s">
        <v>796</v>
      </c>
    </row>
    <row r="511" spans="1:12" ht="102" x14ac:dyDescent="0.2">
      <c r="B511" s="65" t="s">
        <v>972</v>
      </c>
      <c r="C511" s="65" t="s">
        <v>973</v>
      </c>
      <c r="D511" s="65" t="s">
        <v>974</v>
      </c>
      <c r="E511" s="65" t="s">
        <v>995</v>
      </c>
      <c r="F511" s="65" t="s">
        <v>996</v>
      </c>
      <c r="G511" s="65" t="s">
        <v>1000</v>
      </c>
      <c r="H511" s="65" t="s">
        <v>1001</v>
      </c>
      <c r="I511" s="65" t="s">
        <v>998</v>
      </c>
      <c r="J511" s="65" t="s">
        <v>997</v>
      </c>
      <c r="K511" s="65" t="s">
        <v>979</v>
      </c>
    </row>
    <row r="512" spans="1:12" ht="17" x14ac:dyDescent="0.2">
      <c r="B512" s="65" t="str">
        <f>$B482</f>
        <v>8U</v>
      </c>
      <c r="C512" s="65" t="str">
        <f t="shared" ref="C512:J512" si="15">$B482</f>
        <v>8U</v>
      </c>
      <c r="D512" s="65" t="str">
        <f t="shared" si="15"/>
        <v>8U</v>
      </c>
      <c r="E512" s="65" t="str">
        <f t="shared" si="15"/>
        <v>8U</v>
      </c>
      <c r="F512" s="65" t="str">
        <f t="shared" si="15"/>
        <v>8U</v>
      </c>
      <c r="G512" s="65" t="str">
        <f t="shared" si="15"/>
        <v>8U</v>
      </c>
      <c r="H512" s="65" t="str">
        <f t="shared" si="15"/>
        <v>8U</v>
      </c>
      <c r="I512" s="65" t="str">
        <f t="shared" si="15"/>
        <v>8U</v>
      </c>
      <c r="J512" s="65" t="str">
        <f t="shared" si="15"/>
        <v>8U</v>
      </c>
    </row>
    <row r="513" spans="1:12" x14ac:dyDescent="0.2">
      <c r="B513" s="65"/>
      <c r="C513" s="65"/>
      <c r="D513" s="65"/>
      <c r="E513" s="65"/>
      <c r="F513" s="65"/>
      <c r="G513" s="65"/>
      <c r="H513" s="65"/>
      <c r="I513" s="65"/>
      <c r="J513" s="65"/>
    </row>
    <row r="514" spans="1:12" x14ac:dyDescent="0.2">
      <c r="A514" s="58" t="s">
        <v>794</v>
      </c>
    </row>
    <row r="515" spans="1:12" x14ac:dyDescent="0.2">
      <c r="A515" t="s">
        <v>790</v>
      </c>
      <c r="B515" t="s">
        <v>803</v>
      </c>
      <c r="C515" t="s">
        <v>644</v>
      </c>
      <c r="D515" t="s">
        <v>645</v>
      </c>
      <c r="E515" t="s">
        <v>796</v>
      </c>
      <c r="F515" t="s">
        <v>646</v>
      </c>
      <c r="G515" t="s">
        <v>54</v>
      </c>
      <c r="H515" t="s">
        <v>649</v>
      </c>
      <c r="I515" t="s">
        <v>648</v>
      </c>
      <c r="J515" t="s">
        <v>647</v>
      </c>
    </row>
    <row r="516" spans="1:12" x14ac:dyDescent="0.2">
      <c r="B516">
        <v>1</v>
      </c>
      <c r="C516">
        <v>2</v>
      </c>
      <c r="D516">
        <v>3</v>
      </c>
      <c r="E516">
        <v>4</v>
      </c>
      <c r="F516">
        <v>5</v>
      </c>
      <c r="G516">
        <v>6</v>
      </c>
      <c r="H516">
        <v>7</v>
      </c>
      <c r="I516">
        <v>8</v>
      </c>
      <c r="J516">
        <v>9</v>
      </c>
      <c r="L516" t="s">
        <v>1013</v>
      </c>
    </row>
    <row r="517" spans="1:12" x14ac:dyDescent="0.2">
      <c r="A517" t="s">
        <v>791</v>
      </c>
      <c r="B517" t="s">
        <v>803</v>
      </c>
      <c r="C517" t="s">
        <v>644</v>
      </c>
      <c r="D517" t="s">
        <v>645</v>
      </c>
      <c r="E517" t="s">
        <v>796</v>
      </c>
      <c r="F517" t="s">
        <v>646</v>
      </c>
      <c r="G517" t="s">
        <v>54</v>
      </c>
      <c r="H517" t="s">
        <v>782</v>
      </c>
      <c r="I517" t="s">
        <v>787</v>
      </c>
      <c r="J517" t="s">
        <v>781</v>
      </c>
      <c r="K517" t="s">
        <v>788</v>
      </c>
    </row>
    <row r="518" spans="1:12" x14ac:dyDescent="0.2">
      <c r="B518">
        <v>1</v>
      </c>
      <c r="C518">
        <v>2</v>
      </c>
      <c r="D518">
        <v>3</v>
      </c>
      <c r="E518">
        <v>4</v>
      </c>
      <c r="F518">
        <v>5</v>
      </c>
      <c r="G518">
        <v>6</v>
      </c>
      <c r="H518">
        <v>7</v>
      </c>
      <c r="I518">
        <v>8</v>
      </c>
      <c r="J518">
        <v>9</v>
      </c>
      <c r="K518">
        <v>10</v>
      </c>
    </row>
    <row r="519" spans="1:12" x14ac:dyDescent="0.2">
      <c r="B519" s="65"/>
    </row>
    <row r="520" spans="1:12" x14ac:dyDescent="0.2">
      <c r="B520" s="65"/>
    </row>
    <row r="521" spans="1:12" x14ac:dyDescent="0.2">
      <c r="A521" s="58" t="s">
        <v>663</v>
      </c>
      <c r="B521" s="66" t="s">
        <v>686</v>
      </c>
    </row>
    <row r="522" spans="1:12" x14ac:dyDescent="0.2">
      <c r="A522" s="79" t="s">
        <v>865</v>
      </c>
      <c r="B522" s="77" t="s">
        <v>925</v>
      </c>
    </row>
    <row r="523" spans="1:12" x14ac:dyDescent="0.2">
      <c r="A523" s="58"/>
      <c r="B523" t="s">
        <v>689</v>
      </c>
    </row>
    <row r="524" spans="1:12" x14ac:dyDescent="0.2">
      <c r="A524" s="58"/>
    </row>
    <row r="525" spans="1:12" x14ac:dyDescent="0.2">
      <c r="A525" s="58" t="s">
        <v>682</v>
      </c>
      <c r="B525" s="66" t="s">
        <v>685</v>
      </c>
    </row>
    <row r="526" spans="1:12" x14ac:dyDescent="0.2">
      <c r="A526" s="79" t="s">
        <v>866</v>
      </c>
      <c r="B526" s="78" t="s">
        <v>923</v>
      </c>
    </row>
    <row r="527" spans="1:12" x14ac:dyDescent="0.2">
      <c r="A527" s="58" t="s">
        <v>683</v>
      </c>
      <c r="B527" s="66" t="s">
        <v>684</v>
      </c>
    </row>
    <row r="528" spans="1:12" x14ac:dyDescent="0.2">
      <c r="A528" s="79" t="s">
        <v>867</v>
      </c>
      <c r="B528" s="6" t="s">
        <v>924</v>
      </c>
    </row>
    <row r="529" spans="1:12" x14ac:dyDescent="0.2">
      <c r="A529" s="58"/>
    </row>
    <row r="532" spans="1:12" x14ac:dyDescent="0.2">
      <c r="A532" s="58" t="s">
        <v>693</v>
      </c>
      <c r="B532" t="s">
        <v>738</v>
      </c>
    </row>
    <row r="533" spans="1:12" x14ac:dyDescent="0.2">
      <c r="B533" t="s">
        <v>694</v>
      </c>
    </row>
    <row r="537" spans="1:12" x14ac:dyDescent="0.2">
      <c r="A537" s="68"/>
      <c r="B537" s="68"/>
      <c r="C537" s="68"/>
      <c r="D537" s="68"/>
      <c r="E537" s="68"/>
      <c r="F537" s="68"/>
      <c r="G537" s="68"/>
      <c r="H537" s="68"/>
      <c r="I537" s="68"/>
      <c r="J537" s="68"/>
      <c r="K537" s="68"/>
      <c r="L537" s="68"/>
    </row>
    <row r="539" spans="1:12" x14ac:dyDescent="0.2">
      <c r="A539" s="58" t="s">
        <v>640</v>
      </c>
      <c r="B539" s="58" t="s">
        <v>593</v>
      </c>
      <c r="D539" t="s">
        <v>1015</v>
      </c>
    </row>
    <row r="540" spans="1:12" x14ac:dyDescent="0.2">
      <c r="D540" t="s">
        <v>994</v>
      </c>
    </row>
    <row r="542" spans="1:12" x14ac:dyDescent="0.2">
      <c r="A542" s="58" t="s">
        <v>718</v>
      </c>
      <c r="B542" t="s">
        <v>750</v>
      </c>
      <c r="C542" t="s">
        <v>957</v>
      </c>
      <c r="E542" t="s">
        <v>752</v>
      </c>
      <c r="F542" t="s">
        <v>958</v>
      </c>
      <c r="H542" t="s">
        <v>879</v>
      </c>
      <c r="I542" t="s">
        <v>931</v>
      </c>
    </row>
    <row r="544" spans="1:12" ht="51" x14ac:dyDescent="0.2">
      <c r="A544" s="58" t="s">
        <v>658</v>
      </c>
      <c r="B544" t="s">
        <v>54</v>
      </c>
      <c r="C544" t="s">
        <v>644</v>
      </c>
      <c r="D544" t="s">
        <v>645</v>
      </c>
      <c r="E544" t="s">
        <v>646</v>
      </c>
      <c r="F544" t="s">
        <v>642</v>
      </c>
      <c r="G544" t="s">
        <v>647</v>
      </c>
      <c r="H544" t="s">
        <v>648</v>
      </c>
      <c r="I544" s="65" t="s">
        <v>780</v>
      </c>
      <c r="J544" s="65" t="s">
        <v>783</v>
      </c>
      <c r="K544" s="65" t="s">
        <v>784</v>
      </c>
      <c r="L544" s="65" t="s">
        <v>796</v>
      </c>
    </row>
    <row r="546" spans="1:13" x14ac:dyDescent="0.2">
      <c r="A546" t="s">
        <v>657</v>
      </c>
      <c r="B546" s="70" t="s">
        <v>933</v>
      </c>
      <c r="C546" s="70" t="s">
        <v>934</v>
      </c>
      <c r="D546" s="70" t="s">
        <v>935</v>
      </c>
      <c r="E546" s="70" t="s">
        <v>936</v>
      </c>
      <c r="F546" s="70" t="s">
        <v>937</v>
      </c>
      <c r="G546" s="70" t="s">
        <v>938</v>
      </c>
      <c r="H546" s="70" t="s">
        <v>939</v>
      </c>
      <c r="I546" s="70" t="s">
        <v>940</v>
      </c>
      <c r="J546" s="70" t="s">
        <v>941</v>
      </c>
      <c r="K546" s="70" t="s">
        <v>942</v>
      </c>
      <c r="L546" s="70" t="s">
        <v>943</v>
      </c>
      <c r="M546" s="70" t="s">
        <v>991</v>
      </c>
    </row>
    <row r="547" spans="1:13" x14ac:dyDescent="0.2">
      <c r="A547" t="s">
        <v>993</v>
      </c>
      <c r="B547" s="70" t="s">
        <v>759</v>
      </c>
      <c r="C547" s="70" t="s">
        <v>759</v>
      </c>
      <c r="D547" s="70" t="s">
        <v>759</v>
      </c>
      <c r="E547" s="70" t="s">
        <v>759</v>
      </c>
      <c r="F547" s="70" t="s">
        <v>759</v>
      </c>
      <c r="G547" s="70" t="s">
        <v>759</v>
      </c>
      <c r="H547" s="70" t="s">
        <v>759</v>
      </c>
      <c r="I547" s="70" t="s">
        <v>759</v>
      </c>
      <c r="J547" s="70" t="s">
        <v>759</v>
      </c>
      <c r="K547" s="70" t="s">
        <v>759</v>
      </c>
      <c r="L547" s="70" t="s">
        <v>759</v>
      </c>
      <c r="M547" s="70" t="s">
        <v>992</v>
      </c>
    </row>
    <row r="548" spans="1:13" x14ac:dyDescent="0.2">
      <c r="B548" s="70"/>
      <c r="C548" s="70"/>
      <c r="D548" s="70"/>
      <c r="E548" s="70"/>
      <c r="F548" s="70"/>
      <c r="G548" s="70"/>
      <c r="H548" s="70"/>
      <c r="I548" s="70"/>
      <c r="J548" s="70"/>
      <c r="K548" s="70"/>
      <c r="L548" s="6"/>
    </row>
    <row r="549" spans="1:13" x14ac:dyDescent="0.2">
      <c r="A549" t="s">
        <v>982</v>
      </c>
      <c r="B549" s="82">
        <f>'BPOP 7U Eval'!V68</f>
        <v>0.32758620689655171</v>
      </c>
      <c r="C549" s="82">
        <f>'BPOP 7U Eval'!V69</f>
        <v>0.41747572815533979</v>
      </c>
      <c r="D549" s="82">
        <f>'BPOP 7U Eval'!V71</f>
        <v>0.47752808988764045</v>
      </c>
      <c r="E549" s="82">
        <f>'BPOP 7U Eval'!V72</f>
        <v>0.46629213483146065</v>
      </c>
      <c r="F549" s="82">
        <f>'BPOP 7U Eval'!V73</f>
        <v>0.46629213483146065</v>
      </c>
      <c r="G549" s="82">
        <f>'BPOP 7U Eval'!V76</f>
        <v>0.32432432432432434</v>
      </c>
      <c r="H549" s="82">
        <f>'BPOP 7U Eval'!V75</f>
        <v>0.25714285714285712</v>
      </c>
      <c r="I549" s="82">
        <f>'BPOP 7U Eval'!V77</f>
        <v>0.40994152046783622</v>
      </c>
      <c r="J549" s="82">
        <f>'BPOP 7U Eval'!V80</f>
        <v>0.40994152046783622</v>
      </c>
      <c r="K549" s="82">
        <f>'BPOP 7U Eval'!V79</f>
        <v>0.29729729729729731</v>
      </c>
      <c r="L549" s="83">
        <f>'BPOP 7U Eval'!V74</f>
        <v>0.47752808988764045</v>
      </c>
    </row>
    <row r="550" spans="1:13" x14ac:dyDescent="0.2">
      <c r="B550" s="82"/>
      <c r="C550" s="82"/>
      <c r="D550" s="82"/>
      <c r="E550" s="82"/>
      <c r="F550" s="82"/>
      <c r="G550" s="82"/>
      <c r="H550" s="82"/>
      <c r="I550" s="82"/>
      <c r="J550" s="82"/>
      <c r="K550" s="82"/>
      <c r="L550" s="83"/>
    </row>
    <row r="551" spans="1:13" x14ac:dyDescent="0.2">
      <c r="A551" t="s">
        <v>659</v>
      </c>
      <c r="B551" t="s">
        <v>54</v>
      </c>
      <c r="C551" t="s">
        <v>643</v>
      </c>
      <c r="D551" t="s">
        <v>328</v>
      </c>
      <c r="E551" t="s">
        <v>328</v>
      </c>
      <c r="F551" t="s">
        <v>328</v>
      </c>
      <c r="G551" t="s">
        <v>65</v>
      </c>
      <c r="H551" t="s">
        <v>65</v>
      </c>
      <c r="I551" t="s">
        <v>65</v>
      </c>
      <c r="J551" t="s">
        <v>65</v>
      </c>
      <c r="K551" t="s">
        <v>65</v>
      </c>
      <c r="L551" t="s">
        <v>328</v>
      </c>
    </row>
    <row r="553" spans="1:13" x14ac:dyDescent="0.2">
      <c r="A553" s="58" t="s">
        <v>778</v>
      </c>
      <c r="B553" t="s">
        <v>739</v>
      </c>
    </row>
    <row r="554" spans="1:13" x14ac:dyDescent="0.2">
      <c r="B554" t="s">
        <v>661</v>
      </c>
    </row>
    <row r="556" spans="1:13" x14ac:dyDescent="0.2">
      <c r="A556" t="s">
        <v>785</v>
      </c>
      <c r="B556" t="s">
        <v>644</v>
      </c>
      <c r="C556" t="s">
        <v>642</v>
      </c>
      <c r="D556" t="s">
        <v>796</v>
      </c>
      <c r="E556" t="s">
        <v>645</v>
      </c>
      <c r="F556" t="s">
        <v>646</v>
      </c>
      <c r="G556" t="s">
        <v>54</v>
      </c>
      <c r="H556" t="s">
        <v>649</v>
      </c>
      <c r="I556" t="s">
        <v>648</v>
      </c>
      <c r="J556" t="s">
        <v>647</v>
      </c>
    </row>
    <row r="557" spans="1:13" x14ac:dyDescent="0.2">
      <c r="B557">
        <v>1</v>
      </c>
      <c r="C557">
        <v>2</v>
      </c>
      <c r="D557">
        <v>3</v>
      </c>
      <c r="E557">
        <v>4</v>
      </c>
      <c r="F557">
        <v>5</v>
      </c>
      <c r="G557">
        <v>6</v>
      </c>
      <c r="H557">
        <v>7</v>
      </c>
      <c r="I557">
        <v>8</v>
      </c>
      <c r="J557">
        <v>9</v>
      </c>
      <c r="L557" t="s">
        <v>1013</v>
      </c>
    </row>
    <row r="558" spans="1:13" x14ac:dyDescent="0.2">
      <c r="A558" t="s">
        <v>786</v>
      </c>
      <c r="B558" t="s">
        <v>644</v>
      </c>
      <c r="C558" t="s">
        <v>642</v>
      </c>
      <c r="D558" t="s">
        <v>796</v>
      </c>
      <c r="E558" t="s">
        <v>645</v>
      </c>
      <c r="F558" t="s">
        <v>646</v>
      </c>
      <c r="G558" t="s">
        <v>54</v>
      </c>
      <c r="H558" t="s">
        <v>782</v>
      </c>
      <c r="I558" t="s">
        <v>781</v>
      </c>
      <c r="J558" t="s">
        <v>788</v>
      </c>
      <c r="K558" t="s">
        <v>787</v>
      </c>
    </row>
    <row r="559" spans="1:13" x14ac:dyDescent="0.2">
      <c r="B559">
        <v>1</v>
      </c>
      <c r="C559">
        <v>2</v>
      </c>
      <c r="D559">
        <v>3</v>
      </c>
      <c r="E559">
        <v>4</v>
      </c>
      <c r="F559">
        <v>5</v>
      </c>
      <c r="G559">
        <v>6</v>
      </c>
      <c r="H559">
        <v>7</v>
      </c>
      <c r="I559">
        <v>8</v>
      </c>
      <c r="J559">
        <v>9</v>
      </c>
      <c r="K559">
        <v>10</v>
      </c>
    </row>
    <row r="561" spans="1:12" x14ac:dyDescent="0.2">
      <c r="A561" s="58" t="s">
        <v>858</v>
      </c>
      <c r="B561" t="s">
        <v>687</v>
      </c>
    </row>
    <row r="563" spans="1:12" x14ac:dyDescent="0.2">
      <c r="B563" t="s">
        <v>54</v>
      </c>
      <c r="C563" t="s">
        <v>644</v>
      </c>
      <c r="D563" t="s">
        <v>645</v>
      </c>
      <c r="E563" t="s">
        <v>646</v>
      </c>
      <c r="F563" t="s">
        <v>642</v>
      </c>
      <c r="G563" t="s">
        <v>647</v>
      </c>
      <c r="H563" t="s">
        <v>648</v>
      </c>
      <c r="I563" t="s">
        <v>649</v>
      </c>
    </row>
    <row r="564" spans="1:12" ht="102" x14ac:dyDescent="0.2">
      <c r="B564" s="65" t="s">
        <v>1002</v>
      </c>
      <c r="C564" s="65" t="s">
        <v>1003</v>
      </c>
      <c r="D564" s="65" t="s">
        <v>1004</v>
      </c>
      <c r="E564" s="65" t="s">
        <v>1005</v>
      </c>
      <c r="F564" s="65" t="s">
        <v>1006</v>
      </c>
      <c r="G564" s="65" t="s">
        <v>1007</v>
      </c>
      <c r="H564" s="65" t="s">
        <v>1008</v>
      </c>
      <c r="I564" s="65" t="s">
        <v>1009</v>
      </c>
      <c r="J564" s="65" t="s">
        <v>1010</v>
      </c>
    </row>
    <row r="565" spans="1:12" ht="17" x14ac:dyDescent="0.2">
      <c r="A565" t="s">
        <v>735</v>
      </c>
      <c r="B565" s="65" t="str">
        <f>$B539</f>
        <v>7U</v>
      </c>
      <c r="C565" s="65" t="str">
        <f t="shared" ref="C565:O565" si="16">$B539</f>
        <v>7U</v>
      </c>
      <c r="D565" s="65" t="str">
        <f t="shared" si="16"/>
        <v>7U</v>
      </c>
      <c r="E565" s="65" t="str">
        <f t="shared" si="16"/>
        <v>7U</v>
      </c>
      <c r="F565" s="65" t="str">
        <f t="shared" si="16"/>
        <v>7U</v>
      </c>
      <c r="G565" s="65" t="str">
        <f t="shared" si="16"/>
        <v>7U</v>
      </c>
      <c r="H565" s="65" t="str">
        <f t="shared" si="16"/>
        <v>7U</v>
      </c>
      <c r="I565" s="65" t="str">
        <f t="shared" si="16"/>
        <v>7U</v>
      </c>
    </row>
    <row r="566" spans="1:12" x14ac:dyDescent="0.2">
      <c r="B566" s="66"/>
    </row>
    <row r="567" spans="1:12" x14ac:dyDescent="0.2">
      <c r="A567" t="s">
        <v>793</v>
      </c>
      <c r="B567" t="s">
        <v>54</v>
      </c>
      <c r="C567" t="s">
        <v>644</v>
      </c>
      <c r="D567" t="s">
        <v>645</v>
      </c>
      <c r="E567" t="s">
        <v>646</v>
      </c>
      <c r="F567" t="s">
        <v>642</v>
      </c>
      <c r="G567" t="s">
        <v>782</v>
      </c>
      <c r="H567" t="s">
        <v>781</v>
      </c>
      <c r="I567" t="s">
        <v>789</v>
      </c>
      <c r="J567" t="s">
        <v>787</v>
      </c>
    </row>
    <row r="568" spans="1:12" ht="102" x14ac:dyDescent="0.2">
      <c r="B568" s="65" t="s">
        <v>1002</v>
      </c>
      <c r="C568" s="65" t="s">
        <v>1003</v>
      </c>
      <c r="D568" s="65" t="s">
        <v>1004</v>
      </c>
      <c r="E568" s="65" t="s">
        <v>1005</v>
      </c>
      <c r="F568" s="65" t="s">
        <v>1006</v>
      </c>
      <c r="G568" s="65" t="s">
        <v>1011</v>
      </c>
      <c r="H568" s="65" t="s">
        <v>1012</v>
      </c>
      <c r="I568" s="65" t="s">
        <v>1008</v>
      </c>
      <c r="J568" s="65" t="s">
        <v>1007</v>
      </c>
      <c r="K568" s="65" t="s">
        <v>1010</v>
      </c>
    </row>
    <row r="569" spans="1:12" ht="17" x14ac:dyDescent="0.2">
      <c r="B569" s="65" t="str">
        <f>$B539</f>
        <v>7U</v>
      </c>
      <c r="C569" s="65" t="str">
        <f t="shared" ref="C569:O569" si="17">$B539</f>
        <v>7U</v>
      </c>
      <c r="D569" s="65" t="str">
        <f t="shared" si="17"/>
        <v>7U</v>
      </c>
      <c r="E569" s="65" t="str">
        <f t="shared" si="17"/>
        <v>7U</v>
      </c>
      <c r="F569" s="65" t="str">
        <f t="shared" si="17"/>
        <v>7U</v>
      </c>
      <c r="G569" s="65" t="str">
        <f t="shared" si="17"/>
        <v>7U</v>
      </c>
      <c r="H569" s="65" t="str">
        <f t="shared" si="17"/>
        <v>7U</v>
      </c>
      <c r="I569" s="65" t="str">
        <f t="shared" si="17"/>
        <v>7U</v>
      </c>
      <c r="J569" s="65" t="str">
        <f t="shared" si="17"/>
        <v>7U</v>
      </c>
    </row>
    <row r="570" spans="1:12" x14ac:dyDescent="0.2">
      <c r="B570" s="65"/>
      <c r="C570" s="65"/>
      <c r="D570" s="65"/>
      <c r="E570" s="65"/>
      <c r="F570" s="65"/>
      <c r="G570" s="65"/>
      <c r="H570" s="65"/>
      <c r="I570" s="65"/>
      <c r="J570" s="65"/>
    </row>
    <row r="571" spans="1:12" x14ac:dyDescent="0.2">
      <c r="A571" s="58" t="s">
        <v>794</v>
      </c>
    </row>
    <row r="572" spans="1:12" x14ac:dyDescent="0.2">
      <c r="A572" t="s">
        <v>790</v>
      </c>
      <c r="B572" t="s">
        <v>644</v>
      </c>
      <c r="C572" t="s">
        <v>642</v>
      </c>
      <c r="D572" t="s">
        <v>796</v>
      </c>
      <c r="E572" t="s">
        <v>645</v>
      </c>
      <c r="F572" t="s">
        <v>646</v>
      </c>
      <c r="G572" t="s">
        <v>649</v>
      </c>
      <c r="H572" t="s">
        <v>648</v>
      </c>
      <c r="I572" t="s">
        <v>647</v>
      </c>
      <c r="J572" t="s">
        <v>54</v>
      </c>
    </row>
    <row r="573" spans="1:12" x14ac:dyDescent="0.2">
      <c r="B573">
        <v>1</v>
      </c>
      <c r="C573">
        <v>2</v>
      </c>
      <c r="D573">
        <v>3</v>
      </c>
      <c r="E573">
        <v>4</v>
      </c>
      <c r="F573">
        <v>5</v>
      </c>
      <c r="G573">
        <v>6</v>
      </c>
      <c r="H573">
        <v>7</v>
      </c>
      <c r="I573">
        <v>8</v>
      </c>
      <c r="J573">
        <v>9</v>
      </c>
      <c r="L573" t="s">
        <v>1013</v>
      </c>
    </row>
    <row r="574" spans="1:12" x14ac:dyDescent="0.2">
      <c r="A574" t="s">
        <v>791</v>
      </c>
      <c r="B574" t="s">
        <v>644</v>
      </c>
      <c r="C574" t="s">
        <v>642</v>
      </c>
      <c r="D574" t="s">
        <v>796</v>
      </c>
      <c r="E574" t="s">
        <v>645</v>
      </c>
      <c r="F574" t="s">
        <v>646</v>
      </c>
      <c r="G574" t="s">
        <v>782</v>
      </c>
      <c r="H574" t="s">
        <v>787</v>
      </c>
      <c r="I574" t="s">
        <v>781</v>
      </c>
      <c r="J574" t="s">
        <v>788</v>
      </c>
      <c r="K574" t="s">
        <v>54</v>
      </c>
    </row>
    <row r="575" spans="1:12" x14ac:dyDescent="0.2">
      <c r="B575">
        <v>1</v>
      </c>
      <c r="C575">
        <v>2</v>
      </c>
      <c r="D575">
        <v>3</v>
      </c>
      <c r="E575">
        <v>4</v>
      </c>
      <c r="F575">
        <v>5</v>
      </c>
      <c r="G575">
        <v>6</v>
      </c>
      <c r="H575">
        <v>7</v>
      </c>
      <c r="I575">
        <v>8</v>
      </c>
      <c r="J575">
        <v>9</v>
      </c>
      <c r="K575">
        <v>10</v>
      </c>
    </row>
    <row r="576" spans="1:12" x14ac:dyDescent="0.2">
      <c r="B576" s="65"/>
    </row>
    <row r="577" spans="1:2" x14ac:dyDescent="0.2">
      <c r="B577" s="65"/>
    </row>
    <row r="578" spans="1:2" x14ac:dyDescent="0.2">
      <c r="A578" s="58" t="s">
        <v>663</v>
      </c>
      <c r="B578" s="66" t="s">
        <v>686</v>
      </c>
    </row>
    <row r="579" spans="1:2" x14ac:dyDescent="0.2">
      <c r="A579" s="79" t="s">
        <v>865</v>
      </c>
      <c r="B579" s="77" t="s">
        <v>944</v>
      </c>
    </row>
    <row r="580" spans="1:2" x14ac:dyDescent="0.2">
      <c r="A580" s="58"/>
      <c r="B580" t="s">
        <v>689</v>
      </c>
    </row>
    <row r="581" spans="1:2" x14ac:dyDescent="0.2">
      <c r="A581" s="58"/>
    </row>
    <row r="582" spans="1:2" x14ac:dyDescent="0.2">
      <c r="A582" s="58" t="s">
        <v>682</v>
      </c>
      <c r="B582" s="66" t="s">
        <v>685</v>
      </c>
    </row>
    <row r="583" spans="1:2" x14ac:dyDescent="0.2">
      <c r="A583" s="79" t="s">
        <v>866</v>
      </c>
      <c r="B583" s="78" t="s">
        <v>945</v>
      </c>
    </row>
    <row r="584" spans="1:2" x14ac:dyDescent="0.2">
      <c r="A584" s="58" t="s">
        <v>683</v>
      </c>
      <c r="B584" s="66" t="s">
        <v>684</v>
      </c>
    </row>
    <row r="585" spans="1:2" x14ac:dyDescent="0.2">
      <c r="A585" s="79" t="s">
        <v>867</v>
      </c>
      <c r="B585" s="6" t="s">
        <v>946</v>
      </c>
    </row>
    <row r="586" spans="1:2" x14ac:dyDescent="0.2">
      <c r="A586" s="58"/>
    </row>
    <row r="589" spans="1:2" x14ac:dyDescent="0.2">
      <c r="A589" s="58" t="s">
        <v>693</v>
      </c>
      <c r="B589" t="s">
        <v>738</v>
      </c>
    </row>
    <row r="590" spans="1:2" x14ac:dyDescent="0.2">
      <c r="B590" t="s">
        <v>694</v>
      </c>
    </row>
    <row r="593" spans="1:12" x14ac:dyDescent="0.2">
      <c r="A593" s="68"/>
      <c r="B593" s="68"/>
      <c r="C593" s="68"/>
      <c r="D593" s="68"/>
      <c r="E593" s="68"/>
      <c r="F593" s="68"/>
      <c r="G593" s="68"/>
      <c r="H593" s="68"/>
      <c r="I593" s="68"/>
      <c r="J593" s="68"/>
      <c r="K593" s="68"/>
      <c r="L593" s="68"/>
    </row>
    <row r="595" spans="1:12" x14ac:dyDescent="0.2">
      <c r="A595" s="58" t="s">
        <v>640</v>
      </c>
      <c r="B595" s="58" t="s">
        <v>592</v>
      </c>
      <c r="D595" t="s">
        <v>1014</v>
      </c>
    </row>
    <row r="596" spans="1:12" x14ac:dyDescent="0.2">
      <c r="D596" t="s">
        <v>799</v>
      </c>
    </row>
    <row r="598" spans="1:12" x14ac:dyDescent="0.2">
      <c r="A598" s="58" t="s">
        <v>718</v>
      </c>
      <c r="B598" t="s">
        <v>750</v>
      </c>
      <c r="C598" t="s">
        <v>957</v>
      </c>
      <c r="E598" t="s">
        <v>752</v>
      </c>
      <c r="F598" t="s">
        <v>958</v>
      </c>
      <c r="H598" t="s">
        <v>879</v>
      </c>
      <c r="I598" t="s">
        <v>880</v>
      </c>
    </row>
    <row r="600" spans="1:12" ht="51" x14ac:dyDescent="0.2">
      <c r="A600" s="58" t="s">
        <v>658</v>
      </c>
      <c r="B600" t="s">
        <v>54</v>
      </c>
      <c r="C600" t="s">
        <v>644</v>
      </c>
      <c r="D600" t="s">
        <v>645</v>
      </c>
      <c r="E600" t="s">
        <v>646</v>
      </c>
      <c r="F600" t="s">
        <v>642</v>
      </c>
      <c r="G600" t="s">
        <v>647</v>
      </c>
      <c r="H600" t="s">
        <v>648</v>
      </c>
      <c r="I600" s="65" t="s">
        <v>780</v>
      </c>
      <c r="J600" s="65" t="s">
        <v>783</v>
      </c>
      <c r="K600" s="65" t="s">
        <v>784</v>
      </c>
      <c r="L600" s="65" t="s">
        <v>796</v>
      </c>
    </row>
    <row r="602" spans="1:12" x14ac:dyDescent="0.2">
      <c r="A602" t="s">
        <v>657</v>
      </c>
      <c r="B602" s="70" t="s">
        <v>961</v>
      </c>
      <c r="C602" s="70" t="s">
        <v>962</v>
      </c>
      <c r="D602" s="70" t="s">
        <v>963</v>
      </c>
      <c r="E602" s="70" t="s">
        <v>964</v>
      </c>
      <c r="F602" s="70" t="s">
        <v>965</v>
      </c>
      <c r="G602" s="70" t="s">
        <v>966</v>
      </c>
      <c r="H602" s="70" t="s">
        <v>967</v>
      </c>
      <c r="I602" s="70" t="s">
        <v>968</v>
      </c>
      <c r="J602" s="70" t="s">
        <v>969</v>
      </c>
      <c r="K602" s="70" t="s">
        <v>970</v>
      </c>
      <c r="L602" s="70" t="s">
        <v>971</v>
      </c>
    </row>
    <row r="603" spans="1:12" x14ac:dyDescent="0.2">
      <c r="A603" t="s">
        <v>932</v>
      </c>
      <c r="B603" s="70" t="s">
        <v>759</v>
      </c>
      <c r="C603" s="70" t="s">
        <v>759</v>
      </c>
      <c r="D603" s="70" t="s">
        <v>759</v>
      </c>
      <c r="E603" s="70" t="s">
        <v>759</v>
      </c>
      <c r="F603" s="70" t="s">
        <v>759</v>
      </c>
      <c r="G603" s="70" t="s">
        <v>759</v>
      </c>
      <c r="H603" s="70" t="s">
        <v>759</v>
      </c>
      <c r="I603" s="70" t="s">
        <v>759</v>
      </c>
      <c r="J603" s="70" t="s">
        <v>759</v>
      </c>
      <c r="K603" s="70" t="s">
        <v>759</v>
      </c>
      <c r="L603" s="70" t="s">
        <v>759</v>
      </c>
    </row>
    <row r="604" spans="1:12" x14ac:dyDescent="0.2">
      <c r="B604" s="70"/>
      <c r="C604" s="70"/>
      <c r="D604" s="70"/>
      <c r="E604" s="70"/>
      <c r="F604" s="70"/>
      <c r="G604" s="70"/>
      <c r="H604" s="70"/>
      <c r="I604" s="70"/>
      <c r="J604" s="70"/>
      <c r="K604" s="70"/>
      <c r="L604" s="6"/>
    </row>
    <row r="605" spans="1:12" x14ac:dyDescent="0.2">
      <c r="G605" s="6"/>
    </row>
    <row r="606" spans="1:12" x14ac:dyDescent="0.2">
      <c r="A606" t="s">
        <v>659</v>
      </c>
      <c r="B606" t="s">
        <v>54</v>
      </c>
      <c r="C606" t="s">
        <v>643</v>
      </c>
      <c r="D606" t="s">
        <v>328</v>
      </c>
      <c r="E606" t="s">
        <v>328</v>
      </c>
      <c r="F606" t="s">
        <v>328</v>
      </c>
      <c r="G606" t="s">
        <v>65</v>
      </c>
      <c r="H606" t="s">
        <v>65</v>
      </c>
      <c r="I606" t="s">
        <v>65</v>
      </c>
      <c r="J606" t="s">
        <v>65</v>
      </c>
      <c r="K606" t="s">
        <v>65</v>
      </c>
      <c r="L606" t="s">
        <v>328</v>
      </c>
    </row>
    <row r="608" spans="1:12" x14ac:dyDescent="0.2">
      <c r="A608" s="58" t="s">
        <v>778</v>
      </c>
      <c r="B608" t="s">
        <v>739</v>
      </c>
    </row>
    <row r="609" spans="1:12" x14ac:dyDescent="0.2">
      <c r="B609" t="s">
        <v>661</v>
      </c>
    </row>
    <row r="611" spans="1:12" x14ac:dyDescent="0.2">
      <c r="A611" t="s">
        <v>785</v>
      </c>
      <c r="B611" t="s">
        <v>644</v>
      </c>
      <c r="C611" t="s">
        <v>642</v>
      </c>
      <c r="D611" t="s">
        <v>796</v>
      </c>
      <c r="E611" t="s">
        <v>645</v>
      </c>
      <c r="F611" t="s">
        <v>646</v>
      </c>
      <c r="G611" t="s">
        <v>54</v>
      </c>
      <c r="H611" t="s">
        <v>649</v>
      </c>
      <c r="I611" t="s">
        <v>648</v>
      </c>
      <c r="J611" t="s">
        <v>647</v>
      </c>
    </row>
    <row r="612" spans="1:12" x14ac:dyDescent="0.2">
      <c r="B612">
        <v>1</v>
      </c>
      <c r="C612">
        <v>2</v>
      </c>
      <c r="D612">
        <v>3</v>
      </c>
      <c r="E612">
        <v>4</v>
      </c>
      <c r="F612">
        <v>5</v>
      </c>
      <c r="G612">
        <v>6</v>
      </c>
      <c r="H612">
        <v>7</v>
      </c>
      <c r="I612">
        <v>8</v>
      </c>
      <c r="J612">
        <v>9</v>
      </c>
      <c r="L612" t="s">
        <v>1013</v>
      </c>
    </row>
    <row r="613" spans="1:12" x14ac:dyDescent="0.2">
      <c r="A613" t="s">
        <v>786</v>
      </c>
      <c r="B613" t="s">
        <v>644</v>
      </c>
      <c r="C613" t="s">
        <v>642</v>
      </c>
      <c r="D613" t="s">
        <v>796</v>
      </c>
      <c r="E613" t="s">
        <v>645</v>
      </c>
      <c r="F613" t="s">
        <v>646</v>
      </c>
      <c r="G613" t="s">
        <v>54</v>
      </c>
      <c r="H613" t="s">
        <v>782</v>
      </c>
      <c r="I613" t="s">
        <v>781</v>
      </c>
      <c r="J613" t="s">
        <v>788</v>
      </c>
      <c r="K613" t="s">
        <v>787</v>
      </c>
    </row>
    <row r="614" spans="1:12" x14ac:dyDescent="0.2">
      <c r="B614">
        <v>1</v>
      </c>
      <c r="C614">
        <v>2</v>
      </c>
      <c r="D614">
        <v>3</v>
      </c>
      <c r="E614">
        <v>4</v>
      </c>
      <c r="F614">
        <v>5</v>
      </c>
      <c r="G614">
        <v>6</v>
      </c>
      <c r="H614">
        <v>7</v>
      </c>
      <c r="I614">
        <v>8</v>
      </c>
      <c r="J614">
        <v>9</v>
      </c>
      <c r="K614">
        <v>10</v>
      </c>
    </row>
    <row r="616" spans="1:12" x14ac:dyDescent="0.2">
      <c r="A616" s="58" t="s">
        <v>858</v>
      </c>
      <c r="B616" t="s">
        <v>687</v>
      </c>
    </row>
    <row r="618" spans="1:12" x14ac:dyDescent="0.2">
      <c r="B618" t="s">
        <v>54</v>
      </c>
      <c r="C618" t="s">
        <v>644</v>
      </c>
      <c r="D618" t="s">
        <v>645</v>
      </c>
      <c r="E618" t="s">
        <v>646</v>
      </c>
      <c r="F618" t="s">
        <v>642</v>
      </c>
      <c r="G618" t="s">
        <v>647</v>
      </c>
      <c r="H618" t="s">
        <v>648</v>
      </c>
      <c r="I618" t="s">
        <v>649</v>
      </c>
    </row>
    <row r="619" spans="1:12" ht="68" x14ac:dyDescent="0.2">
      <c r="B619" s="65" t="s">
        <v>1064</v>
      </c>
      <c r="C619" s="65" t="s">
        <v>1065</v>
      </c>
      <c r="D619" s="65" t="s">
        <v>1066</v>
      </c>
      <c r="E619" s="65" t="s">
        <v>1067</v>
      </c>
      <c r="F619" s="65" t="s">
        <v>1068</v>
      </c>
      <c r="G619" s="65" t="s">
        <v>1021</v>
      </c>
      <c r="H619" s="65" t="s">
        <v>1022</v>
      </c>
      <c r="I619" s="65" t="s">
        <v>1023</v>
      </c>
      <c r="J619" s="65" t="s">
        <v>1069</v>
      </c>
    </row>
    <row r="620" spans="1:12" ht="17" x14ac:dyDescent="0.2">
      <c r="A620" t="s">
        <v>735</v>
      </c>
      <c r="B620" s="65" t="str">
        <f>$B595</f>
        <v>6U</v>
      </c>
      <c r="C620" s="65" t="str">
        <f t="shared" ref="C620:M620" si="18">$B595</f>
        <v>6U</v>
      </c>
      <c r="D620" s="65" t="str">
        <f t="shared" si="18"/>
        <v>6U</v>
      </c>
      <c r="E620" s="65" t="str">
        <f t="shared" si="18"/>
        <v>6U</v>
      </c>
      <c r="F620" s="65" t="str">
        <f t="shared" si="18"/>
        <v>6U</v>
      </c>
      <c r="G620" s="65" t="str">
        <f t="shared" si="18"/>
        <v>6U</v>
      </c>
      <c r="H620" s="65" t="str">
        <f t="shared" si="18"/>
        <v>6U</v>
      </c>
      <c r="I620" s="65" t="str">
        <f t="shared" si="18"/>
        <v>6U</v>
      </c>
    </row>
    <row r="621" spans="1:12" x14ac:dyDescent="0.2">
      <c r="B621" s="66"/>
    </row>
    <row r="622" spans="1:12" x14ac:dyDescent="0.2">
      <c r="A622" t="s">
        <v>793</v>
      </c>
      <c r="B622" t="s">
        <v>54</v>
      </c>
      <c r="C622" t="s">
        <v>644</v>
      </c>
      <c r="D622" t="s">
        <v>645</v>
      </c>
      <c r="E622" t="s">
        <v>646</v>
      </c>
      <c r="F622" t="s">
        <v>642</v>
      </c>
      <c r="G622" t="s">
        <v>782</v>
      </c>
      <c r="H622" t="s">
        <v>781</v>
      </c>
      <c r="I622" t="s">
        <v>789</v>
      </c>
      <c r="J622" t="s">
        <v>787</v>
      </c>
    </row>
    <row r="623" spans="1:12" ht="68" x14ac:dyDescent="0.2">
      <c r="B623" s="65" t="s">
        <v>1064</v>
      </c>
      <c r="C623" s="65" t="s">
        <v>1065</v>
      </c>
      <c r="D623" s="65" t="s">
        <v>1066</v>
      </c>
      <c r="E623" s="65" t="s">
        <v>1067</v>
      </c>
      <c r="F623" s="65" t="s">
        <v>1068</v>
      </c>
      <c r="G623" s="65" t="s">
        <v>1024</v>
      </c>
      <c r="H623" s="65" t="s">
        <v>1025</v>
      </c>
      <c r="I623" s="65" t="s">
        <v>1022</v>
      </c>
      <c r="J623" s="65" t="s">
        <v>1021</v>
      </c>
      <c r="K623" s="65" t="s">
        <v>1069</v>
      </c>
    </row>
    <row r="624" spans="1:12" ht="17" x14ac:dyDescent="0.2">
      <c r="B624" s="65" t="str">
        <f>$B595</f>
        <v>6U</v>
      </c>
      <c r="C624" s="65" t="str">
        <f t="shared" ref="C624:M624" si="19">$B595</f>
        <v>6U</v>
      </c>
      <c r="D624" s="65" t="str">
        <f t="shared" si="19"/>
        <v>6U</v>
      </c>
      <c r="E624" s="65" t="str">
        <f t="shared" si="19"/>
        <v>6U</v>
      </c>
      <c r="F624" s="65" t="str">
        <f t="shared" si="19"/>
        <v>6U</v>
      </c>
      <c r="G624" s="65" t="str">
        <f t="shared" si="19"/>
        <v>6U</v>
      </c>
      <c r="H624" s="65" t="str">
        <f t="shared" si="19"/>
        <v>6U</v>
      </c>
      <c r="I624" s="65" t="str">
        <f t="shared" si="19"/>
        <v>6U</v>
      </c>
      <c r="J624" s="65" t="str">
        <f t="shared" si="19"/>
        <v>6U</v>
      </c>
    </row>
    <row r="625" spans="1:10" x14ac:dyDescent="0.2">
      <c r="B625" s="65"/>
      <c r="C625" s="65"/>
      <c r="D625" s="65"/>
      <c r="E625" s="65"/>
      <c r="F625" s="65"/>
      <c r="G625" s="65"/>
      <c r="H625" s="65"/>
      <c r="I625" s="65"/>
      <c r="J625" s="65"/>
    </row>
    <row r="626" spans="1:10" x14ac:dyDescent="0.2">
      <c r="B626" s="65"/>
    </row>
    <row r="627" spans="1:10" x14ac:dyDescent="0.2">
      <c r="A627" s="58" t="s">
        <v>663</v>
      </c>
      <c r="B627" s="66" t="s">
        <v>686</v>
      </c>
    </row>
    <row r="628" spans="1:10" x14ac:dyDescent="0.2">
      <c r="A628" s="79" t="s">
        <v>865</v>
      </c>
      <c r="B628" s="77" t="s">
        <v>1018</v>
      </c>
    </row>
    <row r="629" spans="1:10" x14ac:dyDescent="0.2">
      <c r="A629" s="58"/>
      <c r="B629" t="s">
        <v>689</v>
      </c>
    </row>
    <row r="630" spans="1:10" x14ac:dyDescent="0.2">
      <c r="A630" s="58"/>
    </row>
    <row r="631" spans="1:10" x14ac:dyDescent="0.2">
      <c r="A631" s="58" t="s">
        <v>682</v>
      </c>
      <c r="B631" s="66" t="s">
        <v>685</v>
      </c>
    </row>
    <row r="632" spans="1:10" x14ac:dyDescent="0.2">
      <c r="A632" s="79" t="s">
        <v>866</v>
      </c>
      <c r="B632" s="78" t="s">
        <v>1019</v>
      </c>
    </row>
    <row r="633" spans="1:10" x14ac:dyDescent="0.2">
      <c r="A633" s="58" t="s">
        <v>683</v>
      </c>
      <c r="B633" s="66" t="s">
        <v>684</v>
      </c>
    </row>
    <row r="634" spans="1:10" x14ac:dyDescent="0.2">
      <c r="A634" s="79" t="s">
        <v>867</v>
      </c>
      <c r="B634" s="6" t="s">
        <v>1020</v>
      </c>
    </row>
    <row r="635" spans="1:10" x14ac:dyDescent="0.2">
      <c r="A635" s="58"/>
    </row>
    <row r="638" spans="1:10" x14ac:dyDescent="0.2">
      <c r="A638" s="58" t="s">
        <v>693</v>
      </c>
      <c r="B638" t="s">
        <v>738</v>
      </c>
    </row>
    <row r="639" spans="1:10" x14ac:dyDescent="0.2">
      <c r="B639" t="s">
        <v>694</v>
      </c>
    </row>
    <row r="642" spans="1:12" x14ac:dyDescent="0.2">
      <c r="A642" s="68"/>
      <c r="B642" s="68"/>
      <c r="C642" s="68"/>
      <c r="D642" s="68"/>
      <c r="E642" s="68"/>
      <c r="F642" s="68"/>
      <c r="G642" s="68"/>
      <c r="H642" s="68"/>
      <c r="I642" s="68"/>
      <c r="J642" s="68"/>
      <c r="K642" s="68"/>
      <c r="L642" s="68"/>
    </row>
    <row r="644" spans="1:12" x14ac:dyDescent="0.2">
      <c r="A644" s="58" t="s">
        <v>640</v>
      </c>
      <c r="B644" s="58" t="s">
        <v>591</v>
      </c>
      <c r="D644" t="s">
        <v>1026</v>
      </c>
    </row>
    <row r="645" spans="1:12" x14ac:dyDescent="0.2">
      <c r="D645" t="s">
        <v>799</v>
      </c>
    </row>
    <row r="647" spans="1:12" x14ac:dyDescent="0.2">
      <c r="A647" s="58" t="s">
        <v>718</v>
      </c>
      <c r="B647" t="s">
        <v>750</v>
      </c>
      <c r="C647" t="s">
        <v>957</v>
      </c>
      <c r="E647" t="s">
        <v>752</v>
      </c>
      <c r="F647" t="s">
        <v>958</v>
      </c>
      <c r="H647" t="s">
        <v>879</v>
      </c>
      <c r="I647" t="s">
        <v>880</v>
      </c>
    </row>
    <row r="649" spans="1:12" ht="51" x14ac:dyDescent="0.2">
      <c r="A649" s="58" t="s">
        <v>658</v>
      </c>
      <c r="B649" t="s">
        <v>54</v>
      </c>
      <c r="C649" t="s">
        <v>644</v>
      </c>
      <c r="D649" t="s">
        <v>645</v>
      </c>
      <c r="E649" t="s">
        <v>646</v>
      </c>
      <c r="F649" t="s">
        <v>642</v>
      </c>
      <c r="G649" t="s">
        <v>647</v>
      </c>
      <c r="H649" t="s">
        <v>648</v>
      </c>
      <c r="I649" s="65" t="s">
        <v>780</v>
      </c>
      <c r="J649" s="65" t="s">
        <v>783</v>
      </c>
      <c r="K649" s="65" t="s">
        <v>784</v>
      </c>
      <c r="L649" s="65" t="s">
        <v>796</v>
      </c>
    </row>
    <row r="651" spans="1:12" x14ac:dyDescent="0.2">
      <c r="A651" t="s">
        <v>657</v>
      </c>
      <c r="B651" s="70" t="s">
        <v>1036</v>
      </c>
      <c r="C651" s="70" t="s">
        <v>1037</v>
      </c>
      <c r="D651" s="70" t="s">
        <v>1038</v>
      </c>
      <c r="E651" s="70" t="s">
        <v>1039</v>
      </c>
      <c r="F651" s="70" t="s">
        <v>1040</v>
      </c>
      <c r="G651" s="70" t="s">
        <v>1043</v>
      </c>
      <c r="H651" s="70" t="s">
        <v>1042</v>
      </c>
      <c r="I651" s="70" t="s">
        <v>1044</v>
      </c>
      <c r="J651" s="70" t="s">
        <v>1046</v>
      </c>
      <c r="K651" s="70" t="s">
        <v>1045</v>
      </c>
      <c r="L651" s="70" t="s">
        <v>1041</v>
      </c>
    </row>
    <row r="652" spans="1:12" x14ac:dyDescent="0.2">
      <c r="A652" t="s">
        <v>932</v>
      </c>
      <c r="B652" s="70" t="s">
        <v>759</v>
      </c>
      <c r="C652" s="70" t="s">
        <v>759</v>
      </c>
      <c r="D652" s="70" t="s">
        <v>759</v>
      </c>
      <c r="E652" s="70" t="s">
        <v>759</v>
      </c>
      <c r="F652" s="70" t="s">
        <v>759</v>
      </c>
      <c r="G652" s="70" t="s">
        <v>759</v>
      </c>
      <c r="H652" s="70" t="s">
        <v>759</v>
      </c>
      <c r="I652" s="70" t="s">
        <v>759</v>
      </c>
      <c r="J652" s="70" t="s">
        <v>759</v>
      </c>
      <c r="K652" s="70" t="s">
        <v>759</v>
      </c>
      <c r="L652" s="70" t="s">
        <v>759</v>
      </c>
    </row>
    <row r="653" spans="1:12" x14ac:dyDescent="0.2">
      <c r="B653" s="70"/>
      <c r="C653" s="70"/>
      <c r="D653" s="70"/>
      <c r="E653" s="70"/>
      <c r="F653" s="70"/>
      <c r="G653" s="70"/>
      <c r="H653" s="70"/>
      <c r="I653" s="70"/>
      <c r="J653" s="70"/>
      <c r="K653" s="70"/>
      <c r="L653" s="6"/>
    </row>
    <row r="654" spans="1:12" x14ac:dyDescent="0.2">
      <c r="G654" s="6"/>
    </row>
    <row r="655" spans="1:12" x14ac:dyDescent="0.2">
      <c r="A655" t="s">
        <v>659</v>
      </c>
      <c r="B655" t="s">
        <v>54</v>
      </c>
      <c r="C655" t="s">
        <v>643</v>
      </c>
      <c r="D655" t="s">
        <v>328</v>
      </c>
      <c r="E655" t="s">
        <v>328</v>
      </c>
      <c r="F655" t="s">
        <v>328</v>
      </c>
      <c r="G655" t="s">
        <v>65</v>
      </c>
      <c r="H655" t="s">
        <v>65</v>
      </c>
      <c r="I655" t="s">
        <v>65</v>
      </c>
      <c r="J655" t="s">
        <v>65</v>
      </c>
      <c r="K655" t="s">
        <v>65</v>
      </c>
      <c r="L655" t="s">
        <v>328</v>
      </c>
    </row>
    <row r="657" spans="1:12" x14ac:dyDescent="0.2">
      <c r="A657" s="58" t="s">
        <v>778</v>
      </c>
      <c r="B657" t="s">
        <v>739</v>
      </c>
    </row>
    <row r="658" spans="1:12" x14ac:dyDescent="0.2">
      <c r="B658" t="s">
        <v>661</v>
      </c>
    </row>
    <row r="660" spans="1:12" x14ac:dyDescent="0.2">
      <c r="A660" t="s">
        <v>785</v>
      </c>
      <c r="B660" t="s">
        <v>644</v>
      </c>
      <c r="C660" t="s">
        <v>642</v>
      </c>
      <c r="D660" t="s">
        <v>796</v>
      </c>
      <c r="E660" t="s">
        <v>645</v>
      </c>
      <c r="F660" t="s">
        <v>646</v>
      </c>
      <c r="G660" t="s">
        <v>54</v>
      </c>
      <c r="H660" t="s">
        <v>649</v>
      </c>
      <c r="I660" t="s">
        <v>648</v>
      </c>
      <c r="J660" t="s">
        <v>647</v>
      </c>
    </row>
    <row r="661" spans="1:12" x14ac:dyDescent="0.2">
      <c r="B661">
        <v>1</v>
      </c>
      <c r="C661">
        <v>2</v>
      </c>
      <c r="D661">
        <v>3</v>
      </c>
      <c r="E661">
        <v>4</v>
      </c>
      <c r="F661">
        <v>5</v>
      </c>
      <c r="G661">
        <v>6</v>
      </c>
      <c r="H661">
        <v>7</v>
      </c>
      <c r="I661">
        <v>8</v>
      </c>
      <c r="J661">
        <v>9</v>
      </c>
      <c r="L661" t="s">
        <v>1013</v>
      </c>
    </row>
    <row r="662" spans="1:12" x14ac:dyDescent="0.2">
      <c r="A662" t="s">
        <v>786</v>
      </c>
      <c r="B662" t="s">
        <v>644</v>
      </c>
      <c r="C662" t="s">
        <v>642</v>
      </c>
      <c r="D662" t="s">
        <v>796</v>
      </c>
      <c r="E662" t="s">
        <v>645</v>
      </c>
      <c r="F662" t="s">
        <v>646</v>
      </c>
      <c r="G662" t="s">
        <v>54</v>
      </c>
      <c r="H662" t="s">
        <v>782</v>
      </c>
      <c r="I662" t="s">
        <v>781</v>
      </c>
      <c r="J662" t="s">
        <v>788</v>
      </c>
      <c r="K662" t="s">
        <v>787</v>
      </c>
    </row>
    <row r="663" spans="1:12" x14ac:dyDescent="0.2">
      <c r="B663">
        <v>1</v>
      </c>
      <c r="C663">
        <v>2</v>
      </c>
      <c r="D663">
        <v>3</v>
      </c>
      <c r="E663">
        <v>4</v>
      </c>
      <c r="F663">
        <v>5</v>
      </c>
      <c r="G663">
        <v>6</v>
      </c>
      <c r="H663">
        <v>7</v>
      </c>
      <c r="I663">
        <v>8</v>
      </c>
      <c r="J663">
        <v>9</v>
      </c>
      <c r="K663">
        <v>10</v>
      </c>
    </row>
    <row r="665" spans="1:12" x14ac:dyDescent="0.2">
      <c r="A665" s="58" t="s">
        <v>858</v>
      </c>
      <c r="B665" t="s">
        <v>687</v>
      </c>
    </row>
    <row r="667" spans="1:12" x14ac:dyDescent="0.2">
      <c r="B667" t="s">
        <v>54</v>
      </c>
      <c r="C667" t="s">
        <v>644</v>
      </c>
      <c r="D667" t="s">
        <v>645</v>
      </c>
      <c r="E667" t="s">
        <v>646</v>
      </c>
      <c r="F667" t="s">
        <v>642</v>
      </c>
      <c r="G667" t="s">
        <v>647</v>
      </c>
      <c r="H667" t="s">
        <v>648</v>
      </c>
      <c r="I667" t="s">
        <v>649</v>
      </c>
    </row>
    <row r="668" spans="1:12" ht="68" x14ac:dyDescent="0.2">
      <c r="B668" s="65" t="s">
        <v>1058</v>
      </c>
      <c r="C668" s="65" t="s">
        <v>1059</v>
      </c>
      <c r="D668" s="65" t="s">
        <v>1060</v>
      </c>
      <c r="E668" s="65" t="s">
        <v>1061</v>
      </c>
      <c r="F668" s="65" t="s">
        <v>1062</v>
      </c>
      <c r="G668" s="65" t="s">
        <v>1053</v>
      </c>
      <c r="H668" s="65" t="s">
        <v>1054</v>
      </c>
      <c r="I668" s="65" t="s">
        <v>1055</v>
      </c>
      <c r="J668" s="65" t="s">
        <v>1063</v>
      </c>
    </row>
    <row r="669" spans="1:12" ht="17" x14ac:dyDescent="0.2">
      <c r="A669" t="s">
        <v>735</v>
      </c>
      <c r="B669" s="65" t="str">
        <f>$B644</f>
        <v>5U</v>
      </c>
      <c r="C669" s="65" t="str">
        <f t="shared" ref="C669:L669" si="20">$B644</f>
        <v>5U</v>
      </c>
      <c r="D669" s="65" t="str">
        <f t="shared" si="20"/>
        <v>5U</v>
      </c>
      <c r="E669" s="65" t="str">
        <f t="shared" si="20"/>
        <v>5U</v>
      </c>
      <c r="F669" s="65" t="str">
        <f t="shared" si="20"/>
        <v>5U</v>
      </c>
      <c r="G669" s="65" t="str">
        <f t="shared" si="20"/>
        <v>5U</v>
      </c>
      <c r="H669" s="65" t="str">
        <f t="shared" si="20"/>
        <v>5U</v>
      </c>
      <c r="I669" s="65" t="str">
        <f t="shared" si="20"/>
        <v>5U</v>
      </c>
    </row>
    <row r="670" spans="1:12" x14ac:dyDescent="0.2">
      <c r="B670" s="66"/>
    </row>
    <row r="671" spans="1:12" x14ac:dyDescent="0.2">
      <c r="A671" t="s">
        <v>793</v>
      </c>
      <c r="B671" t="s">
        <v>54</v>
      </c>
      <c r="C671" t="s">
        <v>644</v>
      </c>
      <c r="D671" t="s">
        <v>645</v>
      </c>
      <c r="E671" t="s">
        <v>646</v>
      </c>
      <c r="F671" t="s">
        <v>642</v>
      </c>
      <c r="G671" t="s">
        <v>782</v>
      </c>
      <c r="H671" t="s">
        <v>781</v>
      </c>
      <c r="I671" t="s">
        <v>789</v>
      </c>
      <c r="J671" t="s">
        <v>787</v>
      </c>
    </row>
    <row r="672" spans="1:12" ht="68" x14ac:dyDescent="0.2">
      <c r="B672" s="65" t="s">
        <v>1058</v>
      </c>
      <c r="C672" s="65" t="s">
        <v>1059</v>
      </c>
      <c r="D672" s="65" t="s">
        <v>1060</v>
      </c>
      <c r="E672" s="65" t="s">
        <v>1061</v>
      </c>
      <c r="F672" s="65" t="s">
        <v>1062</v>
      </c>
      <c r="G672" s="65" t="s">
        <v>1056</v>
      </c>
      <c r="H672" s="65" t="s">
        <v>1057</v>
      </c>
      <c r="I672" s="65" t="s">
        <v>1054</v>
      </c>
      <c r="J672" s="65" t="s">
        <v>1053</v>
      </c>
      <c r="K672" s="65" t="s">
        <v>1063</v>
      </c>
    </row>
    <row r="673" spans="1:10" ht="17" x14ac:dyDescent="0.2">
      <c r="B673" s="65" t="str">
        <f>$B644</f>
        <v>5U</v>
      </c>
      <c r="C673" s="65" t="str">
        <f t="shared" ref="C673:L673" si="21">$B644</f>
        <v>5U</v>
      </c>
      <c r="D673" s="65" t="str">
        <f t="shared" si="21"/>
        <v>5U</v>
      </c>
      <c r="E673" s="65" t="str">
        <f t="shared" si="21"/>
        <v>5U</v>
      </c>
      <c r="F673" s="65" t="str">
        <f t="shared" si="21"/>
        <v>5U</v>
      </c>
      <c r="G673" s="65" t="str">
        <f t="shared" si="21"/>
        <v>5U</v>
      </c>
      <c r="H673" s="65" t="str">
        <f t="shared" si="21"/>
        <v>5U</v>
      </c>
      <c r="I673" s="65" t="str">
        <f t="shared" si="21"/>
        <v>5U</v>
      </c>
      <c r="J673" s="65" t="str">
        <f t="shared" si="21"/>
        <v>5U</v>
      </c>
    </row>
    <row r="674" spans="1:10" x14ac:dyDescent="0.2">
      <c r="B674" s="65"/>
      <c r="C674" s="65"/>
      <c r="D674" s="65"/>
      <c r="E674" s="65"/>
      <c r="F674" s="65"/>
      <c r="G674" s="65"/>
      <c r="H674" s="65"/>
      <c r="I674" s="65"/>
      <c r="J674" s="65"/>
    </row>
    <row r="675" spans="1:10" x14ac:dyDescent="0.2">
      <c r="B675" s="65"/>
    </row>
    <row r="676" spans="1:10" x14ac:dyDescent="0.2">
      <c r="A676" s="58" t="s">
        <v>663</v>
      </c>
      <c r="B676" s="66" t="s">
        <v>686</v>
      </c>
    </row>
    <row r="677" spans="1:10" x14ac:dyDescent="0.2">
      <c r="A677" s="79" t="s">
        <v>865</v>
      </c>
      <c r="B677" s="77" t="s">
        <v>1049</v>
      </c>
    </row>
    <row r="678" spans="1:10" x14ac:dyDescent="0.2">
      <c r="A678" s="58"/>
      <c r="B678" t="s">
        <v>689</v>
      </c>
    </row>
    <row r="679" spans="1:10" x14ac:dyDescent="0.2">
      <c r="A679" s="58"/>
    </row>
    <row r="680" spans="1:10" x14ac:dyDescent="0.2">
      <c r="A680" s="58" t="s">
        <v>682</v>
      </c>
      <c r="B680" s="66" t="s">
        <v>685</v>
      </c>
    </row>
    <row r="681" spans="1:10" x14ac:dyDescent="0.2">
      <c r="A681" s="79" t="s">
        <v>866</v>
      </c>
      <c r="B681" s="78" t="s">
        <v>1047</v>
      </c>
    </row>
    <row r="682" spans="1:10" x14ac:dyDescent="0.2">
      <c r="A682" s="58" t="s">
        <v>683</v>
      </c>
      <c r="B682" s="66" t="s">
        <v>684</v>
      </c>
    </row>
    <row r="683" spans="1:10" x14ac:dyDescent="0.2">
      <c r="A683" s="79" t="s">
        <v>867</v>
      </c>
      <c r="B683" s="6" t="s">
        <v>1048</v>
      </c>
    </row>
    <row r="684" spans="1:10" x14ac:dyDescent="0.2">
      <c r="A684" s="58"/>
    </row>
    <row r="687" spans="1:10" x14ac:dyDescent="0.2">
      <c r="A687" s="58" t="s">
        <v>693</v>
      </c>
      <c r="B687" t="s">
        <v>738</v>
      </c>
    </row>
    <row r="688" spans="1:10" x14ac:dyDescent="0.2">
      <c r="B688" t="s">
        <v>694</v>
      </c>
    </row>
  </sheetData>
  <mergeCells count="1">
    <mergeCell ref="B29:I2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7134-A6BF-614A-A2E3-282996DEE34E}">
  <dimension ref="A1:CL111"/>
  <sheetViews>
    <sheetView zoomScale="125" zoomScaleNormal="125" workbookViewId="0">
      <selection activeCell="C13" sqref="C13"/>
    </sheetView>
  </sheetViews>
  <sheetFormatPr baseColWidth="10" defaultRowHeight="16" x14ac:dyDescent="0.2"/>
  <cols>
    <col min="1" max="1" width="20.6640625" customWidth="1"/>
    <col min="2" max="2" width="8.6640625" customWidth="1"/>
    <col min="3" max="3" width="7.83203125" customWidth="1"/>
    <col min="4" max="4" width="7.33203125" customWidth="1"/>
    <col min="5" max="5" width="7.6640625" customWidth="1"/>
    <col min="6" max="6" width="7" customWidth="1"/>
    <col min="7" max="7" width="7.5" customWidth="1"/>
    <col min="8" max="8" width="3.33203125" customWidth="1"/>
    <col min="9" max="9" width="8" customWidth="1"/>
    <col min="10" max="10" width="6.5" customWidth="1"/>
    <col min="11" max="11" width="7.33203125" customWidth="1"/>
    <col min="12" max="12" width="7.6640625" customWidth="1"/>
    <col min="13" max="13" width="7" customWidth="1"/>
    <col min="14" max="14" width="10.83203125" customWidth="1"/>
    <col min="15" max="15" width="3.1640625" customWidth="1"/>
    <col min="16" max="16" width="8" customWidth="1"/>
    <col min="17" max="17" width="6.5" customWidth="1"/>
    <col min="18" max="18" width="7.33203125" customWidth="1"/>
    <col min="19" max="19" width="7.6640625" customWidth="1"/>
    <col min="20" max="20" width="7" customWidth="1"/>
    <col min="21" max="21" width="8.33203125" customWidth="1"/>
    <col min="22" max="22" width="4.33203125" customWidth="1"/>
    <col min="23" max="23" width="7.83203125" customWidth="1"/>
    <col min="24" max="24" width="6.83203125" customWidth="1"/>
    <col min="25" max="25" width="7.33203125" customWidth="1"/>
    <col min="27" max="27" width="8.1640625" customWidth="1"/>
    <col min="28" max="28" width="6.6640625" customWidth="1"/>
    <col min="29" max="29" width="4.33203125" customWidth="1"/>
    <col min="30" max="30" width="8.1640625" customWidth="1"/>
    <col min="31" max="35" width="6.1640625" customWidth="1"/>
    <col min="36" max="36" width="4.6640625" customWidth="1"/>
    <col min="37" max="37" width="8.33203125" customWidth="1"/>
    <col min="38" max="38" width="6.1640625" customWidth="1"/>
    <col min="39" max="39" width="6" customWidth="1"/>
    <col min="40" max="40" width="5.83203125" customWidth="1"/>
    <col min="41" max="41" width="5.33203125" customWidth="1"/>
    <col min="42" max="42" width="5.5" customWidth="1"/>
    <col min="43" max="43" width="4" customWidth="1"/>
    <col min="44" max="44" width="8.6640625" customWidth="1"/>
    <col min="45" max="48" width="6.33203125" customWidth="1"/>
    <col min="49" max="49" width="6.83203125" customWidth="1"/>
    <col min="50" max="50" width="3.1640625" customWidth="1"/>
    <col min="51" max="51" width="7.6640625" customWidth="1"/>
    <col min="52" max="52" width="5.33203125" customWidth="1"/>
    <col min="53" max="53" width="6.5" customWidth="1"/>
    <col min="54" max="54" width="6.33203125" customWidth="1"/>
    <col min="55" max="55" width="6.6640625" customWidth="1"/>
    <col min="56" max="56" width="6.5" customWidth="1"/>
    <col min="57" max="57" width="3.83203125" customWidth="1"/>
    <col min="58" max="58" width="8.1640625" customWidth="1"/>
    <col min="59" max="59" width="5.1640625" customWidth="1"/>
    <col min="60" max="62" width="6.5" customWidth="1"/>
    <col min="63" max="63" width="7.1640625" customWidth="1"/>
    <col min="64" max="64" width="6.33203125" customWidth="1"/>
    <col min="65" max="65" width="7.83203125" customWidth="1"/>
    <col min="66" max="66" width="4.6640625" customWidth="1"/>
    <col min="67" max="67" width="6" customWidth="1"/>
    <col min="68" max="69" width="6.33203125" customWidth="1"/>
    <col min="70" max="70" width="6.5" customWidth="1"/>
    <col min="72" max="72" width="8.5" customWidth="1"/>
    <col min="73" max="73" width="5.5" customWidth="1"/>
    <col min="74" max="74" width="7" customWidth="1"/>
    <col min="75" max="77" width="6.5" customWidth="1"/>
    <col min="78" max="78" width="6.33203125" customWidth="1"/>
    <col min="79" max="79" width="8.1640625" customWidth="1"/>
    <col min="80" max="80" width="5.5" customWidth="1"/>
    <col min="81" max="81" width="5.83203125" customWidth="1"/>
    <col min="82" max="82" width="6" customWidth="1"/>
    <col min="83" max="83" width="6.1640625" customWidth="1"/>
    <col min="84" max="84" width="6.5" customWidth="1"/>
    <col min="85" max="85" width="5.83203125" customWidth="1"/>
    <col min="86" max="86" width="8.33203125" customWidth="1"/>
    <col min="87" max="87" width="6.1640625" customWidth="1"/>
    <col min="88" max="88" width="6.33203125" customWidth="1"/>
    <col min="89" max="89" width="6.1640625" customWidth="1"/>
    <col min="90" max="90" width="5.5" customWidth="1"/>
  </cols>
  <sheetData>
    <row r="1" spans="1:20" ht="134" customHeight="1" x14ac:dyDescent="0.2">
      <c r="A1" s="43" t="e" vm="6">
        <v>#VALUE!</v>
      </c>
      <c r="B1" s="43"/>
      <c r="C1" s="43"/>
      <c r="D1" s="57" t="s">
        <v>1070</v>
      </c>
    </row>
    <row r="4" spans="1:20" x14ac:dyDescent="0.2">
      <c r="A4" s="58" t="s">
        <v>1086</v>
      </c>
    </row>
    <row r="6" spans="1:20" x14ac:dyDescent="0.2">
      <c r="A6" t="s">
        <v>763</v>
      </c>
      <c r="B6" t="s">
        <v>1082</v>
      </c>
      <c r="C6" t="s">
        <v>1074</v>
      </c>
    </row>
    <row r="7" spans="1:20" x14ac:dyDescent="0.2">
      <c r="C7" t="s">
        <v>1071</v>
      </c>
    </row>
    <row r="8" spans="1:20" x14ac:dyDescent="0.2">
      <c r="A8" t="s">
        <v>760</v>
      </c>
      <c r="B8" t="s">
        <v>1083</v>
      </c>
      <c r="C8" t="s">
        <v>1075</v>
      </c>
    </row>
    <row r="9" spans="1:20" x14ac:dyDescent="0.2">
      <c r="A9" t="s">
        <v>759</v>
      </c>
      <c r="B9" t="s">
        <v>1084</v>
      </c>
      <c r="C9" t="s">
        <v>1076</v>
      </c>
    </row>
    <row r="10" spans="1:20" x14ac:dyDescent="0.2">
      <c r="A10" t="s">
        <v>1072</v>
      </c>
      <c r="B10" t="s">
        <v>1085</v>
      </c>
      <c r="C10" t="s">
        <v>1073</v>
      </c>
    </row>
    <row r="12" spans="1:20" x14ac:dyDescent="0.2">
      <c r="C12" t="s">
        <v>1125</v>
      </c>
    </row>
    <row r="14" spans="1:20" x14ac:dyDescent="0.2">
      <c r="A14" s="58" t="s">
        <v>1098</v>
      </c>
    </row>
    <row r="15" spans="1:20" x14ac:dyDescent="0.2">
      <c r="A15" s="58"/>
    </row>
    <row r="16" spans="1:20" x14ac:dyDescent="0.2">
      <c r="A16" s="58" t="s">
        <v>1120</v>
      </c>
      <c r="C16" t="s">
        <v>1101</v>
      </c>
      <c r="P16" s="5" t="s">
        <v>1119</v>
      </c>
      <c r="Q16" s="5"/>
      <c r="R16" s="5"/>
      <c r="S16" s="5"/>
      <c r="T16" s="5"/>
    </row>
    <row r="17" spans="1:20" x14ac:dyDescent="0.2">
      <c r="A17" s="58" t="s">
        <v>1121</v>
      </c>
      <c r="C17" t="s">
        <v>1102</v>
      </c>
      <c r="P17" s="5"/>
      <c r="Q17" s="5"/>
      <c r="R17" s="5"/>
      <c r="S17" s="5"/>
      <c r="T17" s="5"/>
    </row>
    <row r="18" spans="1:20" x14ac:dyDescent="0.2">
      <c r="A18" s="58" t="s">
        <v>1122</v>
      </c>
      <c r="C18" t="s">
        <v>1103</v>
      </c>
    </row>
    <row r="19" spans="1:20" x14ac:dyDescent="0.2">
      <c r="A19" s="58" t="s">
        <v>1123</v>
      </c>
      <c r="C19" t="s">
        <v>1105</v>
      </c>
    </row>
    <row r="20" spans="1:20" x14ac:dyDescent="0.2">
      <c r="A20" s="58" t="s">
        <v>1124</v>
      </c>
      <c r="C20" t="s">
        <v>1104</v>
      </c>
    </row>
    <row r="22" spans="1:20" x14ac:dyDescent="0.2">
      <c r="A22" s="58" t="s">
        <v>1090</v>
      </c>
    </row>
    <row r="23" spans="1:20" x14ac:dyDescent="0.2">
      <c r="A23" s="58"/>
    </row>
    <row r="24" spans="1:20" x14ac:dyDescent="0.2">
      <c r="A24" s="58" t="s">
        <v>23</v>
      </c>
      <c r="B24" s="58"/>
      <c r="C24" t="s">
        <v>1097</v>
      </c>
    </row>
    <row r="25" spans="1:20" x14ac:dyDescent="0.2">
      <c r="A25" s="58"/>
      <c r="B25" s="58"/>
      <c r="C25" t="s">
        <v>1096</v>
      </c>
    </row>
    <row r="26" spans="1:20" x14ac:dyDescent="0.2">
      <c r="A26" s="58"/>
      <c r="B26" s="58"/>
      <c r="C26" t="s">
        <v>1095</v>
      </c>
    </row>
    <row r="28" spans="1:20" x14ac:dyDescent="0.2">
      <c r="A28" s="58"/>
      <c r="B28" t="s">
        <v>1091</v>
      </c>
    </row>
    <row r="29" spans="1:20" x14ac:dyDescent="0.2">
      <c r="A29" s="58"/>
      <c r="B29" t="s">
        <v>1092</v>
      </c>
    </row>
    <row r="30" spans="1:20" ht="14" customHeight="1" x14ac:dyDescent="0.2">
      <c r="A30" s="58"/>
    </row>
    <row r="31" spans="1:20" ht="14" customHeight="1" x14ac:dyDescent="0.2">
      <c r="A31" s="58"/>
      <c r="B31" t="s">
        <v>1108</v>
      </c>
    </row>
    <row r="32" spans="1:20" x14ac:dyDescent="0.2">
      <c r="A32" s="58"/>
    </row>
    <row r="33" spans="1:90" x14ac:dyDescent="0.2">
      <c r="A33" s="58" t="s">
        <v>1093</v>
      </c>
      <c r="B33" t="s">
        <v>1109</v>
      </c>
    </row>
    <row r="34" spans="1:90" x14ac:dyDescent="0.2">
      <c r="A34" s="58"/>
    </row>
    <row r="35" spans="1:90" x14ac:dyDescent="0.2">
      <c r="A35" s="58"/>
      <c r="B35" t="s">
        <v>1106</v>
      </c>
    </row>
    <row r="36" spans="1:90" x14ac:dyDescent="0.2">
      <c r="A36" s="58"/>
    </row>
    <row r="37" spans="1:90" x14ac:dyDescent="0.2">
      <c r="B37" t="s">
        <v>1107</v>
      </c>
    </row>
    <row r="38" spans="1:90" x14ac:dyDescent="0.2">
      <c r="A38" s="58"/>
    </row>
    <row r="39" spans="1:90" x14ac:dyDescent="0.2">
      <c r="B39" t="s">
        <v>383</v>
      </c>
      <c r="I39" t="s">
        <v>600</v>
      </c>
      <c r="P39" t="s">
        <v>1088</v>
      </c>
      <c r="W39" t="s">
        <v>599</v>
      </c>
      <c r="AD39" t="s">
        <v>598</v>
      </c>
      <c r="AK39" t="s">
        <v>1094</v>
      </c>
      <c r="AR39" t="s">
        <v>597</v>
      </c>
      <c r="AY39" t="s">
        <v>596</v>
      </c>
      <c r="BF39" t="s">
        <v>595</v>
      </c>
      <c r="BM39" t="s">
        <v>594</v>
      </c>
      <c r="BT39" t="s">
        <v>593</v>
      </c>
      <c r="CA39" t="s">
        <v>592</v>
      </c>
      <c r="CH39" t="s">
        <v>591</v>
      </c>
    </row>
    <row r="40" spans="1:90" x14ac:dyDescent="0.2">
      <c r="B40" s="86" t="s">
        <v>641</v>
      </c>
      <c r="C40" s="58" t="s">
        <v>1087</v>
      </c>
      <c r="D40" s="86" t="s">
        <v>1082</v>
      </c>
      <c r="E40" s="86" t="s">
        <v>1083</v>
      </c>
      <c r="F40" s="86" t="s">
        <v>1084</v>
      </c>
      <c r="G40" s="86" t="s">
        <v>1085</v>
      </c>
      <c r="I40" s="86" t="s">
        <v>641</v>
      </c>
      <c r="J40" s="58" t="s">
        <v>1087</v>
      </c>
      <c r="K40" s="86" t="s">
        <v>1082</v>
      </c>
      <c r="L40" s="86" t="s">
        <v>1083</v>
      </c>
      <c r="M40" s="86" t="s">
        <v>1084</v>
      </c>
      <c r="N40" s="86" t="s">
        <v>1085</v>
      </c>
      <c r="P40" s="86" t="s">
        <v>641</v>
      </c>
      <c r="Q40" s="58" t="s">
        <v>1087</v>
      </c>
      <c r="R40" s="86" t="s">
        <v>1082</v>
      </c>
      <c r="S40" s="86" t="s">
        <v>1083</v>
      </c>
      <c r="T40" s="86" t="s">
        <v>1084</v>
      </c>
      <c r="U40" s="86" t="s">
        <v>1085</v>
      </c>
      <c r="W40" s="86" t="s">
        <v>641</v>
      </c>
      <c r="X40" s="58" t="s">
        <v>1087</v>
      </c>
      <c r="Y40" s="86" t="s">
        <v>1082</v>
      </c>
      <c r="Z40" s="86" t="s">
        <v>1083</v>
      </c>
      <c r="AA40" s="86" t="s">
        <v>1084</v>
      </c>
      <c r="AB40" s="86" t="s">
        <v>1085</v>
      </c>
      <c r="AD40" s="86" t="s">
        <v>641</v>
      </c>
      <c r="AE40" s="58" t="s">
        <v>1087</v>
      </c>
      <c r="AF40" s="86" t="s">
        <v>1082</v>
      </c>
      <c r="AG40" s="86" t="s">
        <v>1083</v>
      </c>
      <c r="AH40" s="86" t="s">
        <v>1084</v>
      </c>
      <c r="AI40" s="86" t="s">
        <v>1085</v>
      </c>
      <c r="AK40" s="86" t="s">
        <v>641</v>
      </c>
      <c r="AL40" s="58" t="s">
        <v>1087</v>
      </c>
      <c r="AM40" s="86" t="s">
        <v>1082</v>
      </c>
      <c r="AN40" s="86" t="s">
        <v>1083</v>
      </c>
      <c r="AO40" s="86" t="s">
        <v>1084</v>
      </c>
      <c r="AP40" s="86" t="s">
        <v>1085</v>
      </c>
      <c r="AR40" s="86" t="s">
        <v>641</v>
      </c>
      <c r="AS40" s="58" t="s">
        <v>1087</v>
      </c>
      <c r="AT40" s="86" t="s">
        <v>1082</v>
      </c>
      <c r="AU40" s="86" t="s">
        <v>1083</v>
      </c>
      <c r="AV40" s="86" t="s">
        <v>1084</v>
      </c>
      <c r="AW40" s="86" t="s">
        <v>1085</v>
      </c>
      <c r="AY40" s="86" t="s">
        <v>641</v>
      </c>
      <c r="AZ40" s="58" t="s">
        <v>1087</v>
      </c>
      <c r="BA40" s="86" t="s">
        <v>1082</v>
      </c>
      <c r="BB40" s="86" t="s">
        <v>1083</v>
      </c>
      <c r="BC40" s="86" t="s">
        <v>1084</v>
      </c>
      <c r="BD40" s="86" t="s">
        <v>1085</v>
      </c>
      <c r="BE40" s="86"/>
      <c r="BF40" s="86" t="s">
        <v>641</v>
      </c>
      <c r="BG40" s="58" t="s">
        <v>1087</v>
      </c>
      <c r="BH40" s="86" t="s">
        <v>1082</v>
      </c>
      <c r="BI40" s="86" t="s">
        <v>1083</v>
      </c>
      <c r="BJ40" s="86" t="s">
        <v>1084</v>
      </c>
      <c r="BK40" s="86" t="s">
        <v>1085</v>
      </c>
      <c r="BL40" s="86"/>
      <c r="BM40" s="86" t="s">
        <v>641</v>
      </c>
      <c r="BN40" s="58" t="s">
        <v>1087</v>
      </c>
      <c r="BO40" s="86" t="s">
        <v>1082</v>
      </c>
      <c r="BP40" s="86" t="s">
        <v>1083</v>
      </c>
      <c r="BQ40" s="86" t="s">
        <v>1084</v>
      </c>
      <c r="BR40" s="86" t="s">
        <v>1085</v>
      </c>
      <c r="BS40" s="86"/>
      <c r="BT40" s="86" t="s">
        <v>641</v>
      </c>
      <c r="BU40" s="58" t="s">
        <v>1087</v>
      </c>
      <c r="BV40" s="86" t="s">
        <v>1082</v>
      </c>
      <c r="BW40" s="86" t="s">
        <v>1083</v>
      </c>
      <c r="BX40" s="86" t="s">
        <v>1084</v>
      </c>
      <c r="BY40" s="86" t="s">
        <v>1085</v>
      </c>
      <c r="CA40" s="86" t="s">
        <v>641</v>
      </c>
      <c r="CB40" s="58" t="s">
        <v>1087</v>
      </c>
      <c r="CC40" s="86" t="s">
        <v>1082</v>
      </c>
      <c r="CD40" s="86" t="s">
        <v>1083</v>
      </c>
      <c r="CE40" s="86" t="s">
        <v>1084</v>
      </c>
      <c r="CF40" s="86" t="s">
        <v>1085</v>
      </c>
      <c r="CH40" s="86" t="s">
        <v>641</v>
      </c>
      <c r="CI40" s="86" t="s">
        <v>1082</v>
      </c>
      <c r="CJ40" s="86" t="s">
        <v>1083</v>
      </c>
      <c r="CK40" s="86" t="s">
        <v>1084</v>
      </c>
      <c r="CL40" s="86" t="s">
        <v>1085</v>
      </c>
    </row>
    <row r="41" spans="1:90" x14ac:dyDescent="0.2">
      <c r="B41">
        <v>1</v>
      </c>
      <c r="C41">
        <v>2</v>
      </c>
      <c r="D41">
        <v>0.35</v>
      </c>
      <c r="E41">
        <v>0.2</v>
      </c>
      <c r="F41">
        <v>0.35</v>
      </c>
      <c r="G41">
        <v>0.1</v>
      </c>
      <c r="I41">
        <v>1</v>
      </c>
      <c r="J41">
        <v>2</v>
      </c>
      <c r="K41">
        <v>0.4</v>
      </c>
      <c r="L41">
        <v>0.1</v>
      </c>
      <c r="M41">
        <v>0.4</v>
      </c>
      <c r="N41">
        <v>0.1</v>
      </c>
      <c r="P41">
        <v>1</v>
      </c>
      <c r="Q41">
        <v>2</v>
      </c>
      <c r="R41">
        <v>0.45</v>
      </c>
      <c r="S41">
        <v>0.1</v>
      </c>
      <c r="T41">
        <v>0.35</v>
      </c>
      <c r="U41">
        <v>0.1</v>
      </c>
      <c r="W41">
        <v>1</v>
      </c>
      <c r="X41">
        <v>2</v>
      </c>
      <c r="Y41">
        <v>0.5</v>
      </c>
      <c r="Z41">
        <v>0.1</v>
      </c>
      <c r="AA41">
        <v>0.3</v>
      </c>
      <c r="AB41">
        <v>0.1</v>
      </c>
      <c r="AD41">
        <v>1</v>
      </c>
      <c r="AE41">
        <v>2</v>
      </c>
      <c r="AF41">
        <v>0.5</v>
      </c>
      <c r="AG41">
        <v>0.1</v>
      </c>
      <c r="AH41">
        <v>0.3</v>
      </c>
      <c r="AI41">
        <v>0.1</v>
      </c>
      <c r="AK41">
        <v>1</v>
      </c>
      <c r="AL41">
        <v>2</v>
      </c>
      <c r="AM41">
        <v>0.55000000000000004</v>
      </c>
      <c r="AN41">
        <v>0.05</v>
      </c>
      <c r="AO41">
        <v>0.35</v>
      </c>
      <c r="AP41">
        <v>0.15</v>
      </c>
      <c r="AR41">
        <v>1</v>
      </c>
      <c r="AS41">
        <v>2</v>
      </c>
      <c r="AT41">
        <v>0.55000000000000004</v>
      </c>
      <c r="AU41">
        <v>0.05</v>
      </c>
      <c r="AV41">
        <v>0.35</v>
      </c>
      <c r="AW41">
        <v>0.15</v>
      </c>
      <c r="AY41">
        <v>1</v>
      </c>
      <c r="AZ41">
        <v>2</v>
      </c>
      <c r="BA41">
        <v>0.6</v>
      </c>
      <c r="BB41">
        <v>0.05</v>
      </c>
      <c r="BC41">
        <v>0.35</v>
      </c>
      <c r="BD41">
        <v>0.2</v>
      </c>
      <c r="BF41">
        <v>1</v>
      </c>
      <c r="BG41">
        <v>2</v>
      </c>
      <c r="BH41">
        <v>0.6</v>
      </c>
      <c r="BI41">
        <v>0.05</v>
      </c>
      <c r="BJ41">
        <v>0.35</v>
      </c>
      <c r="BK41">
        <v>0.2</v>
      </c>
      <c r="BM41">
        <v>1</v>
      </c>
      <c r="BN41">
        <v>2</v>
      </c>
      <c r="BO41">
        <v>0.5</v>
      </c>
      <c r="BP41">
        <v>0.05</v>
      </c>
      <c r="BQ41">
        <v>0.35</v>
      </c>
      <c r="BR41">
        <v>0.3</v>
      </c>
      <c r="BT41">
        <v>1</v>
      </c>
      <c r="BU41">
        <v>2</v>
      </c>
      <c r="BV41">
        <v>0.62</v>
      </c>
      <c r="BW41">
        <v>0.03</v>
      </c>
      <c r="BX41">
        <v>0.25</v>
      </c>
      <c r="BY41">
        <v>0.38</v>
      </c>
      <c r="CA41">
        <v>1</v>
      </c>
      <c r="CB41">
        <v>2</v>
      </c>
      <c r="CC41">
        <v>0.65</v>
      </c>
      <c r="CD41">
        <v>0.02</v>
      </c>
      <c r="CE41">
        <v>0.23</v>
      </c>
      <c r="CF41">
        <v>0.45</v>
      </c>
      <c r="CH41" t="s">
        <v>1089</v>
      </c>
      <c r="CI41">
        <v>0.75</v>
      </c>
      <c r="CJ41">
        <v>0.02</v>
      </c>
      <c r="CK41">
        <v>0.23</v>
      </c>
      <c r="CL41">
        <v>0.5</v>
      </c>
    </row>
    <row r="42" spans="1:90" x14ac:dyDescent="0.2">
      <c r="B42">
        <v>2</v>
      </c>
      <c r="C42">
        <v>3</v>
      </c>
      <c r="D42">
        <v>0.35</v>
      </c>
      <c r="E42">
        <v>0.3</v>
      </c>
      <c r="F42">
        <v>0.25</v>
      </c>
      <c r="G42">
        <v>0.1</v>
      </c>
      <c r="I42">
        <v>2</v>
      </c>
      <c r="J42">
        <v>3</v>
      </c>
      <c r="K42">
        <v>0.45</v>
      </c>
      <c r="L42">
        <v>0.2</v>
      </c>
      <c r="M42">
        <v>0.25</v>
      </c>
      <c r="N42">
        <v>0.1</v>
      </c>
      <c r="P42">
        <v>2</v>
      </c>
      <c r="Q42">
        <v>3</v>
      </c>
      <c r="R42">
        <v>0.45</v>
      </c>
      <c r="S42">
        <v>0.2</v>
      </c>
      <c r="T42">
        <v>0.2</v>
      </c>
      <c r="U42">
        <v>0.15</v>
      </c>
      <c r="W42">
        <v>2</v>
      </c>
      <c r="X42">
        <v>3</v>
      </c>
      <c r="Y42">
        <v>0.5</v>
      </c>
      <c r="Z42">
        <v>0.15</v>
      </c>
      <c r="AA42">
        <v>0.2</v>
      </c>
      <c r="AB42">
        <v>0.15</v>
      </c>
      <c r="AD42">
        <v>2</v>
      </c>
      <c r="AE42">
        <v>3</v>
      </c>
      <c r="AF42">
        <v>0.5</v>
      </c>
      <c r="AG42">
        <v>0.15</v>
      </c>
      <c r="AH42">
        <v>0.2</v>
      </c>
      <c r="AI42">
        <v>0.15</v>
      </c>
      <c r="AK42">
        <v>2</v>
      </c>
      <c r="AL42">
        <v>3</v>
      </c>
      <c r="AM42">
        <v>0.55000000000000004</v>
      </c>
      <c r="AN42">
        <v>0.1</v>
      </c>
      <c r="AO42">
        <v>0.25</v>
      </c>
      <c r="AP42">
        <v>0.2</v>
      </c>
      <c r="AR42">
        <v>2</v>
      </c>
      <c r="AS42">
        <v>3</v>
      </c>
      <c r="AT42">
        <v>0.55000000000000004</v>
      </c>
      <c r="AU42">
        <v>0.1</v>
      </c>
      <c r="AV42">
        <v>0.25</v>
      </c>
      <c r="AW42">
        <v>0.2</v>
      </c>
      <c r="AY42">
        <v>2</v>
      </c>
      <c r="AZ42">
        <v>3</v>
      </c>
      <c r="BA42">
        <v>0.6</v>
      </c>
      <c r="BB42">
        <v>0.1</v>
      </c>
      <c r="BC42">
        <v>0.2</v>
      </c>
      <c r="BD42">
        <v>0.25</v>
      </c>
      <c r="BF42">
        <v>2</v>
      </c>
      <c r="BG42">
        <v>3</v>
      </c>
      <c r="BH42">
        <v>0.6</v>
      </c>
      <c r="BI42">
        <v>0.1</v>
      </c>
      <c r="BJ42">
        <v>0.2</v>
      </c>
      <c r="BK42">
        <v>0.25</v>
      </c>
      <c r="BM42">
        <v>2</v>
      </c>
      <c r="BN42">
        <v>3</v>
      </c>
      <c r="BO42">
        <v>0.55000000000000004</v>
      </c>
      <c r="BP42">
        <v>0.1</v>
      </c>
      <c r="BQ42">
        <v>0.25</v>
      </c>
      <c r="BR42">
        <v>0.3</v>
      </c>
      <c r="BT42">
        <v>2</v>
      </c>
      <c r="BU42">
        <v>3</v>
      </c>
      <c r="BV42">
        <v>0.63</v>
      </c>
      <c r="BW42">
        <v>0.04</v>
      </c>
      <c r="BX42">
        <v>0.23</v>
      </c>
      <c r="BY42">
        <v>0.4</v>
      </c>
      <c r="CA42">
        <v>2</v>
      </c>
      <c r="CB42">
        <v>3</v>
      </c>
      <c r="CC42">
        <v>0.66</v>
      </c>
      <c r="CD42">
        <v>0.02</v>
      </c>
      <c r="CE42">
        <v>0.22</v>
      </c>
      <c r="CF42">
        <v>0.47</v>
      </c>
    </row>
    <row r="43" spans="1:90" x14ac:dyDescent="0.2">
      <c r="B43">
        <v>3</v>
      </c>
      <c r="C43">
        <v>1</v>
      </c>
      <c r="D43">
        <v>0.3</v>
      </c>
      <c r="E43">
        <v>0.5</v>
      </c>
      <c r="F43">
        <v>0.1</v>
      </c>
      <c r="G43">
        <v>0.1</v>
      </c>
      <c r="I43">
        <v>3</v>
      </c>
      <c r="J43">
        <v>1</v>
      </c>
      <c r="K43">
        <v>0.3</v>
      </c>
      <c r="L43">
        <v>0.5</v>
      </c>
      <c r="M43">
        <v>0.15</v>
      </c>
      <c r="N43">
        <v>0.15</v>
      </c>
      <c r="P43">
        <v>3</v>
      </c>
      <c r="Q43">
        <v>1</v>
      </c>
      <c r="R43">
        <v>0.35</v>
      </c>
      <c r="S43">
        <v>0.45</v>
      </c>
      <c r="T43">
        <v>0.1</v>
      </c>
      <c r="U43">
        <v>0.1</v>
      </c>
      <c r="W43">
        <v>3</v>
      </c>
      <c r="X43">
        <v>1</v>
      </c>
      <c r="Y43">
        <v>0.4</v>
      </c>
      <c r="Z43">
        <v>0.4</v>
      </c>
      <c r="AA43">
        <v>0.1</v>
      </c>
      <c r="AB43">
        <v>0.1</v>
      </c>
      <c r="AD43">
        <v>3</v>
      </c>
      <c r="AE43">
        <v>1</v>
      </c>
      <c r="AF43">
        <v>0.4</v>
      </c>
      <c r="AG43">
        <v>0.4</v>
      </c>
      <c r="AH43">
        <v>0.1</v>
      </c>
      <c r="AI43">
        <v>0.1</v>
      </c>
      <c r="AK43">
        <v>3</v>
      </c>
      <c r="AL43">
        <v>1</v>
      </c>
      <c r="AM43">
        <v>0.45</v>
      </c>
      <c r="AN43">
        <v>0.35</v>
      </c>
      <c r="AO43">
        <v>0.1</v>
      </c>
      <c r="AP43">
        <v>0.1</v>
      </c>
      <c r="AR43">
        <v>3</v>
      </c>
      <c r="AS43">
        <v>1</v>
      </c>
      <c r="AT43">
        <v>0.45</v>
      </c>
      <c r="AU43">
        <v>0.35</v>
      </c>
      <c r="AV43">
        <v>0.1</v>
      </c>
      <c r="AW43">
        <v>0.1</v>
      </c>
      <c r="AY43">
        <v>3</v>
      </c>
      <c r="AZ43">
        <v>1</v>
      </c>
      <c r="BA43">
        <v>0.5</v>
      </c>
      <c r="BB43">
        <v>0.25</v>
      </c>
      <c r="BC43">
        <v>0.15</v>
      </c>
      <c r="BD43">
        <v>0.1</v>
      </c>
      <c r="BF43">
        <v>3</v>
      </c>
      <c r="BG43">
        <v>1</v>
      </c>
      <c r="BH43">
        <v>0.5</v>
      </c>
      <c r="BI43">
        <v>0.25</v>
      </c>
      <c r="BJ43">
        <v>0.15</v>
      </c>
      <c r="BK43">
        <v>0.1</v>
      </c>
      <c r="BM43">
        <v>3</v>
      </c>
      <c r="BN43">
        <v>1</v>
      </c>
      <c r="BO43">
        <v>0.45</v>
      </c>
      <c r="BP43">
        <v>0.2</v>
      </c>
      <c r="BQ43">
        <v>0.2</v>
      </c>
      <c r="BR43">
        <v>0.25</v>
      </c>
      <c r="BT43">
        <v>3</v>
      </c>
      <c r="BU43">
        <v>1</v>
      </c>
      <c r="BV43">
        <v>0.55000000000000004</v>
      </c>
      <c r="BW43">
        <v>0.18</v>
      </c>
      <c r="BX43">
        <v>0.12</v>
      </c>
      <c r="BY43">
        <v>0.25</v>
      </c>
      <c r="CA43">
        <v>3</v>
      </c>
      <c r="CB43">
        <v>1</v>
      </c>
      <c r="CC43">
        <v>0.6</v>
      </c>
      <c r="CD43">
        <v>0.15</v>
      </c>
      <c r="CE43">
        <v>0.1</v>
      </c>
      <c r="CF43">
        <v>0.3</v>
      </c>
    </row>
    <row r="44" spans="1:90" x14ac:dyDescent="0.2">
      <c r="B44">
        <v>4</v>
      </c>
      <c r="C44">
        <v>4</v>
      </c>
      <c r="D44">
        <v>0.1</v>
      </c>
      <c r="E44">
        <v>0.75</v>
      </c>
      <c r="F44">
        <v>0.05</v>
      </c>
      <c r="G44">
        <v>0.1</v>
      </c>
      <c r="I44">
        <v>4</v>
      </c>
      <c r="J44">
        <v>4</v>
      </c>
      <c r="K44">
        <v>0.1</v>
      </c>
      <c r="L44">
        <v>0.75</v>
      </c>
      <c r="M44">
        <v>0.05</v>
      </c>
      <c r="N44">
        <v>0.1</v>
      </c>
      <c r="P44">
        <v>4</v>
      </c>
      <c r="Q44">
        <v>4</v>
      </c>
      <c r="R44">
        <v>0.15</v>
      </c>
      <c r="S44">
        <v>0.7</v>
      </c>
      <c r="T44">
        <v>0.05</v>
      </c>
      <c r="U44">
        <v>0.1</v>
      </c>
      <c r="W44">
        <v>4</v>
      </c>
      <c r="X44">
        <v>4</v>
      </c>
      <c r="Y44">
        <v>0.2</v>
      </c>
      <c r="Z44">
        <v>0.65</v>
      </c>
      <c r="AA44">
        <v>0.05</v>
      </c>
      <c r="AB44">
        <v>0.1</v>
      </c>
      <c r="AD44">
        <v>4</v>
      </c>
      <c r="AE44">
        <v>4</v>
      </c>
      <c r="AF44">
        <v>0.2</v>
      </c>
      <c r="AG44">
        <v>0.65</v>
      </c>
      <c r="AH44">
        <v>0.05</v>
      </c>
      <c r="AI44">
        <v>0.1</v>
      </c>
      <c r="AK44">
        <v>4</v>
      </c>
      <c r="AL44">
        <v>4</v>
      </c>
      <c r="AM44">
        <v>0.25</v>
      </c>
      <c r="AN44">
        <v>0.6</v>
      </c>
      <c r="AO44">
        <v>0.05</v>
      </c>
      <c r="AP44">
        <v>0.1</v>
      </c>
      <c r="AR44">
        <v>4</v>
      </c>
      <c r="AS44">
        <v>4</v>
      </c>
      <c r="AT44">
        <v>0.25</v>
      </c>
      <c r="AU44">
        <v>0.6</v>
      </c>
      <c r="AV44">
        <v>0.05</v>
      </c>
      <c r="AW44">
        <v>0.1</v>
      </c>
      <c r="AY44">
        <v>4</v>
      </c>
      <c r="AZ44">
        <v>4</v>
      </c>
      <c r="BA44">
        <v>0.4</v>
      </c>
      <c r="BB44">
        <v>0.4</v>
      </c>
      <c r="BC44">
        <v>0.05</v>
      </c>
      <c r="BD44">
        <v>0.15</v>
      </c>
      <c r="BF44">
        <v>4</v>
      </c>
      <c r="BG44">
        <v>4</v>
      </c>
      <c r="BH44">
        <v>0.4</v>
      </c>
      <c r="BI44">
        <v>0.4</v>
      </c>
      <c r="BJ44">
        <v>0.05</v>
      </c>
      <c r="BK44">
        <v>0.15</v>
      </c>
      <c r="BM44">
        <v>4</v>
      </c>
      <c r="BN44">
        <v>4</v>
      </c>
      <c r="BO44">
        <v>0.3</v>
      </c>
      <c r="BP44">
        <v>0.4</v>
      </c>
      <c r="BQ44">
        <v>0.1</v>
      </c>
      <c r="BR44">
        <v>0.2</v>
      </c>
      <c r="BT44">
        <v>4</v>
      </c>
      <c r="BU44">
        <v>4</v>
      </c>
      <c r="BV44">
        <v>0.4</v>
      </c>
      <c r="BW44">
        <v>0.45</v>
      </c>
      <c r="BX44">
        <v>0.05</v>
      </c>
      <c r="BY44">
        <v>0.18</v>
      </c>
      <c r="CA44">
        <v>4</v>
      </c>
      <c r="CB44">
        <v>4</v>
      </c>
      <c r="CC44">
        <v>0.45</v>
      </c>
      <c r="CD44">
        <v>0.4</v>
      </c>
      <c r="CE44">
        <v>0.05</v>
      </c>
      <c r="CF44">
        <v>0.18</v>
      </c>
    </row>
    <row r="45" spans="1:90" x14ac:dyDescent="0.2">
      <c r="B45">
        <v>5</v>
      </c>
      <c r="C45">
        <v>5</v>
      </c>
      <c r="D45">
        <v>0.2</v>
      </c>
      <c r="E45">
        <v>0.6</v>
      </c>
      <c r="F45">
        <v>0.05</v>
      </c>
      <c r="G45">
        <v>0.15</v>
      </c>
      <c r="I45">
        <v>5</v>
      </c>
      <c r="J45">
        <v>5</v>
      </c>
      <c r="K45">
        <v>0.2</v>
      </c>
      <c r="L45">
        <v>0.55000000000000004</v>
      </c>
      <c r="M45">
        <v>0.1</v>
      </c>
      <c r="N45">
        <v>0.15</v>
      </c>
      <c r="P45">
        <v>5</v>
      </c>
      <c r="Q45">
        <v>5</v>
      </c>
      <c r="R45">
        <v>0.25</v>
      </c>
      <c r="S45">
        <v>0.5</v>
      </c>
      <c r="T45">
        <v>0.05</v>
      </c>
      <c r="U45">
        <v>0.2</v>
      </c>
      <c r="W45">
        <v>5</v>
      </c>
      <c r="X45">
        <v>5</v>
      </c>
      <c r="Y45">
        <v>0.3</v>
      </c>
      <c r="Z45">
        <v>0.45</v>
      </c>
      <c r="AA45">
        <v>0.05</v>
      </c>
      <c r="AB45">
        <v>0.2</v>
      </c>
      <c r="AD45">
        <v>5</v>
      </c>
      <c r="AE45">
        <v>5</v>
      </c>
      <c r="AF45">
        <v>0.3</v>
      </c>
      <c r="AG45">
        <v>0.45</v>
      </c>
      <c r="AH45">
        <v>0.05</v>
      </c>
      <c r="AI45">
        <v>0.2</v>
      </c>
      <c r="AK45">
        <v>5</v>
      </c>
      <c r="AL45">
        <v>5</v>
      </c>
      <c r="AM45">
        <v>0.35</v>
      </c>
      <c r="AN45">
        <v>0.4</v>
      </c>
      <c r="AO45">
        <v>0.05</v>
      </c>
      <c r="AP45">
        <v>0.2</v>
      </c>
      <c r="AR45">
        <v>5</v>
      </c>
      <c r="AS45">
        <v>5</v>
      </c>
      <c r="AT45">
        <v>0.35</v>
      </c>
      <c r="AU45">
        <v>0.4</v>
      </c>
      <c r="AV45">
        <v>0.05</v>
      </c>
      <c r="AW45">
        <v>0.2</v>
      </c>
      <c r="AY45">
        <v>5</v>
      </c>
      <c r="AZ45">
        <v>5</v>
      </c>
      <c r="BA45">
        <v>0.45</v>
      </c>
      <c r="BB45">
        <v>0.3</v>
      </c>
      <c r="BC45">
        <v>0.05</v>
      </c>
      <c r="BD45">
        <v>0.2</v>
      </c>
      <c r="BF45">
        <v>5</v>
      </c>
      <c r="BG45">
        <v>5</v>
      </c>
      <c r="BH45">
        <v>0.45</v>
      </c>
      <c r="BI45">
        <v>0.3</v>
      </c>
      <c r="BJ45">
        <v>0.05</v>
      </c>
      <c r="BK45">
        <v>0.2</v>
      </c>
      <c r="BM45">
        <v>5</v>
      </c>
      <c r="BN45">
        <v>5</v>
      </c>
      <c r="BO45">
        <v>0.4</v>
      </c>
      <c r="BP45">
        <v>0.35</v>
      </c>
      <c r="BQ45">
        <v>0.1</v>
      </c>
      <c r="BR45">
        <v>0.25</v>
      </c>
      <c r="BT45">
        <v>5</v>
      </c>
      <c r="BU45">
        <v>5</v>
      </c>
      <c r="BV45">
        <v>0.48</v>
      </c>
      <c r="BW45">
        <v>0.3</v>
      </c>
      <c r="BX45">
        <v>7.0000000000000007E-2</v>
      </c>
      <c r="BY45">
        <v>0.28000000000000003</v>
      </c>
      <c r="CA45">
        <v>5</v>
      </c>
      <c r="CB45">
        <v>5</v>
      </c>
      <c r="CC45">
        <v>0.52</v>
      </c>
      <c r="CD45">
        <v>0.3</v>
      </c>
      <c r="CE45">
        <v>0.08</v>
      </c>
      <c r="CF45">
        <v>0.3</v>
      </c>
    </row>
    <row r="46" spans="1:90" x14ac:dyDescent="0.2">
      <c r="B46">
        <v>6</v>
      </c>
      <c r="C46">
        <v>6</v>
      </c>
      <c r="D46">
        <v>0.3</v>
      </c>
      <c r="E46">
        <v>0.45</v>
      </c>
      <c r="F46">
        <v>0.1</v>
      </c>
      <c r="G46">
        <v>0.15</v>
      </c>
      <c r="I46">
        <v>6</v>
      </c>
      <c r="J46">
        <v>6</v>
      </c>
      <c r="K46">
        <v>0.3</v>
      </c>
      <c r="L46">
        <v>0.45</v>
      </c>
      <c r="M46">
        <v>0.1</v>
      </c>
      <c r="N46">
        <v>0.15</v>
      </c>
      <c r="P46">
        <v>6</v>
      </c>
      <c r="Q46">
        <v>6</v>
      </c>
      <c r="R46">
        <v>0.35</v>
      </c>
      <c r="S46">
        <v>0.4</v>
      </c>
      <c r="T46">
        <v>0.1</v>
      </c>
      <c r="U46">
        <v>0.15</v>
      </c>
      <c r="W46">
        <v>6</v>
      </c>
      <c r="X46">
        <v>6</v>
      </c>
      <c r="Y46">
        <v>0.4</v>
      </c>
      <c r="Z46">
        <v>0.35</v>
      </c>
      <c r="AA46">
        <v>0.1</v>
      </c>
      <c r="AB46">
        <v>0.15</v>
      </c>
      <c r="AD46">
        <v>6</v>
      </c>
      <c r="AE46">
        <v>6</v>
      </c>
      <c r="AF46">
        <v>0.4</v>
      </c>
      <c r="AG46">
        <v>0.35</v>
      </c>
      <c r="AH46">
        <v>0.1</v>
      </c>
      <c r="AI46">
        <v>0.15</v>
      </c>
      <c r="AK46">
        <v>6</v>
      </c>
      <c r="AL46">
        <v>6</v>
      </c>
      <c r="AM46">
        <v>0.45</v>
      </c>
      <c r="AN46">
        <v>0.3</v>
      </c>
      <c r="AO46">
        <v>0.1</v>
      </c>
      <c r="AP46">
        <v>0.15</v>
      </c>
      <c r="AR46">
        <v>6</v>
      </c>
      <c r="AS46">
        <v>6</v>
      </c>
      <c r="AT46">
        <v>0.45</v>
      </c>
      <c r="AU46">
        <v>0.3</v>
      </c>
      <c r="AV46">
        <v>0.1</v>
      </c>
      <c r="AW46">
        <v>0.15</v>
      </c>
      <c r="AY46">
        <v>6</v>
      </c>
      <c r="AZ46">
        <v>6</v>
      </c>
      <c r="BA46">
        <v>0.5</v>
      </c>
      <c r="BB46">
        <v>0.25</v>
      </c>
      <c r="BC46">
        <v>0.1</v>
      </c>
      <c r="BD46">
        <v>0.15</v>
      </c>
      <c r="BF46">
        <v>6</v>
      </c>
      <c r="BG46">
        <v>6</v>
      </c>
      <c r="BH46">
        <v>0.5</v>
      </c>
      <c r="BI46">
        <v>0.25</v>
      </c>
      <c r="BJ46">
        <v>0.1</v>
      </c>
      <c r="BK46">
        <v>0.15</v>
      </c>
      <c r="BM46">
        <v>6</v>
      </c>
      <c r="BN46">
        <v>6</v>
      </c>
      <c r="BO46">
        <v>0.5</v>
      </c>
      <c r="BP46">
        <v>0.2</v>
      </c>
      <c r="BQ46">
        <v>0.1</v>
      </c>
      <c r="BR46">
        <v>0.3</v>
      </c>
      <c r="BT46">
        <v>6</v>
      </c>
      <c r="BU46">
        <v>6</v>
      </c>
      <c r="BV46">
        <v>0.55000000000000004</v>
      </c>
      <c r="BW46">
        <v>0.23</v>
      </c>
      <c r="BX46">
        <v>7.0000000000000007E-2</v>
      </c>
      <c r="BY46">
        <v>0.3</v>
      </c>
      <c r="CA46">
        <v>6</v>
      </c>
      <c r="CB46">
        <v>6</v>
      </c>
      <c r="CC46">
        <v>0.6</v>
      </c>
      <c r="CD46">
        <v>0.2</v>
      </c>
      <c r="CE46">
        <v>0.08</v>
      </c>
      <c r="CF46">
        <v>0.34</v>
      </c>
    </row>
    <row r="47" spans="1:90" x14ac:dyDescent="0.2">
      <c r="B47">
        <v>7</v>
      </c>
      <c r="C47">
        <v>8</v>
      </c>
      <c r="D47">
        <v>0.4</v>
      </c>
      <c r="E47">
        <v>0.3</v>
      </c>
      <c r="F47">
        <v>0.1</v>
      </c>
      <c r="G47">
        <v>0.2</v>
      </c>
      <c r="I47">
        <v>7</v>
      </c>
      <c r="J47">
        <v>8</v>
      </c>
      <c r="K47">
        <v>0.4</v>
      </c>
      <c r="L47">
        <v>0.25</v>
      </c>
      <c r="M47">
        <v>0.15</v>
      </c>
      <c r="N47">
        <v>0.2</v>
      </c>
      <c r="P47">
        <v>7</v>
      </c>
      <c r="Q47">
        <v>8</v>
      </c>
      <c r="R47">
        <v>0.45</v>
      </c>
      <c r="S47">
        <v>0.2</v>
      </c>
      <c r="T47">
        <v>0.1</v>
      </c>
      <c r="U47">
        <v>0.25</v>
      </c>
      <c r="W47">
        <v>7</v>
      </c>
      <c r="X47">
        <v>8</v>
      </c>
      <c r="Y47">
        <v>0.55000000000000004</v>
      </c>
      <c r="Z47">
        <v>0.15</v>
      </c>
      <c r="AA47">
        <v>0.1</v>
      </c>
      <c r="AB47">
        <v>0.2</v>
      </c>
      <c r="AD47">
        <v>7</v>
      </c>
      <c r="AE47">
        <v>8</v>
      </c>
      <c r="AF47">
        <v>0.55000000000000004</v>
      </c>
      <c r="AG47">
        <v>0.15</v>
      </c>
      <c r="AH47">
        <v>0.1</v>
      </c>
      <c r="AI47">
        <v>0.2</v>
      </c>
      <c r="AK47">
        <v>7</v>
      </c>
      <c r="AL47">
        <v>8</v>
      </c>
      <c r="AM47">
        <v>0.55000000000000004</v>
      </c>
      <c r="AN47">
        <v>0.15</v>
      </c>
      <c r="AO47">
        <v>0.05</v>
      </c>
      <c r="AP47">
        <v>0.25</v>
      </c>
      <c r="AR47">
        <v>7</v>
      </c>
      <c r="AS47">
        <v>8</v>
      </c>
      <c r="AT47">
        <v>0.55000000000000004</v>
      </c>
      <c r="AU47">
        <v>0.15</v>
      </c>
      <c r="AV47">
        <v>0.05</v>
      </c>
      <c r="AW47">
        <v>0.25</v>
      </c>
      <c r="AY47">
        <v>7</v>
      </c>
      <c r="AZ47">
        <v>8</v>
      </c>
      <c r="BA47">
        <v>0.6</v>
      </c>
      <c r="BB47">
        <v>0.15</v>
      </c>
      <c r="BC47">
        <v>0.05</v>
      </c>
      <c r="BD47">
        <v>0.25</v>
      </c>
      <c r="BF47">
        <v>7</v>
      </c>
      <c r="BG47">
        <v>8</v>
      </c>
      <c r="BH47">
        <v>0.6</v>
      </c>
      <c r="BI47">
        <v>0.15</v>
      </c>
      <c r="BJ47">
        <v>0.05</v>
      </c>
      <c r="BK47">
        <v>0.25</v>
      </c>
      <c r="BM47">
        <v>7</v>
      </c>
      <c r="BN47">
        <v>8</v>
      </c>
      <c r="BO47">
        <v>0.55000000000000004</v>
      </c>
      <c r="BP47">
        <v>0.15</v>
      </c>
      <c r="BQ47">
        <v>0.1</v>
      </c>
      <c r="BR47">
        <v>0.35</v>
      </c>
      <c r="BT47">
        <v>7</v>
      </c>
      <c r="BU47">
        <v>7</v>
      </c>
      <c r="BV47">
        <v>0.64</v>
      </c>
      <c r="BW47">
        <v>0.12</v>
      </c>
      <c r="BX47">
        <v>0.06</v>
      </c>
      <c r="BY47">
        <v>0.4</v>
      </c>
      <c r="CA47">
        <v>7</v>
      </c>
      <c r="CB47">
        <v>7</v>
      </c>
      <c r="CC47">
        <v>0.68</v>
      </c>
      <c r="CD47">
        <v>0.08</v>
      </c>
      <c r="CE47">
        <v>0.04</v>
      </c>
      <c r="CF47">
        <v>0.46</v>
      </c>
    </row>
    <row r="48" spans="1:90" x14ac:dyDescent="0.2">
      <c r="B48">
        <v>8</v>
      </c>
      <c r="C48">
        <v>9</v>
      </c>
      <c r="D48">
        <v>0.4</v>
      </c>
      <c r="E48">
        <v>0.2</v>
      </c>
      <c r="F48">
        <v>0.1</v>
      </c>
      <c r="G48">
        <v>0.3</v>
      </c>
      <c r="I48">
        <v>8</v>
      </c>
      <c r="J48">
        <v>9</v>
      </c>
      <c r="K48">
        <v>0.45</v>
      </c>
      <c r="L48">
        <v>0.1</v>
      </c>
      <c r="M48">
        <v>0.1</v>
      </c>
      <c r="N48">
        <v>0.35</v>
      </c>
      <c r="P48">
        <v>8</v>
      </c>
      <c r="Q48">
        <v>9</v>
      </c>
      <c r="R48">
        <v>0.45</v>
      </c>
      <c r="S48">
        <v>0.1</v>
      </c>
      <c r="T48">
        <v>0.1</v>
      </c>
      <c r="U48">
        <v>0.35</v>
      </c>
      <c r="W48">
        <v>8</v>
      </c>
      <c r="X48">
        <v>9</v>
      </c>
      <c r="Y48">
        <v>0.5</v>
      </c>
      <c r="Z48">
        <v>0.1</v>
      </c>
      <c r="AA48">
        <v>0.1</v>
      </c>
      <c r="AB48">
        <v>0.3</v>
      </c>
      <c r="AD48">
        <v>8</v>
      </c>
      <c r="AE48">
        <v>9</v>
      </c>
      <c r="AF48">
        <v>0.5</v>
      </c>
      <c r="AG48">
        <v>0.1</v>
      </c>
      <c r="AH48">
        <v>0.1</v>
      </c>
      <c r="AI48">
        <v>0.3</v>
      </c>
      <c r="AK48">
        <v>8</v>
      </c>
      <c r="AL48">
        <v>9</v>
      </c>
      <c r="AM48">
        <v>0.55000000000000004</v>
      </c>
      <c r="AN48">
        <v>0.05</v>
      </c>
      <c r="AO48">
        <v>0.05</v>
      </c>
      <c r="AP48">
        <v>0.35</v>
      </c>
      <c r="AR48">
        <v>8</v>
      </c>
      <c r="AS48">
        <v>9</v>
      </c>
      <c r="AT48">
        <v>0.55000000000000004</v>
      </c>
      <c r="AU48">
        <v>0.05</v>
      </c>
      <c r="AV48">
        <v>0.05</v>
      </c>
      <c r="AW48">
        <v>0.35</v>
      </c>
      <c r="AY48">
        <v>8</v>
      </c>
      <c r="AZ48">
        <v>9</v>
      </c>
      <c r="BA48">
        <v>0.6</v>
      </c>
      <c r="BB48">
        <v>0.05</v>
      </c>
      <c r="BC48">
        <v>0.05</v>
      </c>
      <c r="BD48">
        <v>0.35</v>
      </c>
      <c r="BF48">
        <v>8</v>
      </c>
      <c r="BG48">
        <v>9</v>
      </c>
      <c r="BH48">
        <v>0.6</v>
      </c>
      <c r="BI48">
        <v>0.05</v>
      </c>
      <c r="BJ48">
        <v>0.05</v>
      </c>
      <c r="BK48">
        <v>0.35</v>
      </c>
      <c r="BM48">
        <v>8</v>
      </c>
      <c r="BN48">
        <v>9</v>
      </c>
      <c r="BO48">
        <v>0.6</v>
      </c>
      <c r="BP48">
        <v>0.05</v>
      </c>
      <c r="BQ48">
        <v>0.05</v>
      </c>
      <c r="BR48">
        <v>0.4</v>
      </c>
      <c r="BT48">
        <v>8</v>
      </c>
      <c r="BU48">
        <v>9</v>
      </c>
      <c r="BV48">
        <v>0.66</v>
      </c>
      <c r="BW48">
        <v>0.03</v>
      </c>
      <c r="BX48">
        <v>0.01</v>
      </c>
      <c r="BY48">
        <v>0.45</v>
      </c>
      <c r="CA48">
        <v>8</v>
      </c>
      <c r="CB48">
        <v>9</v>
      </c>
      <c r="CC48">
        <v>0.7</v>
      </c>
      <c r="CD48">
        <v>0</v>
      </c>
      <c r="CE48">
        <v>0</v>
      </c>
      <c r="CF48">
        <v>0.5</v>
      </c>
    </row>
    <row r="49" spans="2:84" x14ac:dyDescent="0.2">
      <c r="B49">
        <v>9</v>
      </c>
      <c r="C49">
        <v>7</v>
      </c>
      <c r="D49">
        <v>0.35</v>
      </c>
      <c r="E49">
        <v>0.1</v>
      </c>
      <c r="F49">
        <v>0.45</v>
      </c>
      <c r="G49">
        <v>0.1</v>
      </c>
      <c r="I49">
        <v>9</v>
      </c>
      <c r="J49">
        <v>7</v>
      </c>
      <c r="K49">
        <v>0.4</v>
      </c>
      <c r="L49">
        <v>0.1</v>
      </c>
      <c r="M49">
        <v>0.4</v>
      </c>
      <c r="N49">
        <v>0.1</v>
      </c>
      <c r="P49">
        <v>9</v>
      </c>
      <c r="Q49">
        <v>7</v>
      </c>
      <c r="R49">
        <v>0.45</v>
      </c>
      <c r="S49">
        <v>0.05</v>
      </c>
      <c r="T49">
        <v>0.4</v>
      </c>
      <c r="U49">
        <v>0.1</v>
      </c>
      <c r="W49">
        <v>9</v>
      </c>
      <c r="X49">
        <v>7</v>
      </c>
      <c r="Y49">
        <v>0.5</v>
      </c>
      <c r="Z49">
        <v>0.05</v>
      </c>
      <c r="AA49">
        <v>0.35</v>
      </c>
      <c r="AB49">
        <v>0.1</v>
      </c>
      <c r="AD49">
        <v>9</v>
      </c>
      <c r="AE49">
        <v>7</v>
      </c>
      <c r="AF49">
        <v>0.5</v>
      </c>
      <c r="AG49">
        <v>0.05</v>
      </c>
      <c r="AH49">
        <v>0.35</v>
      </c>
      <c r="AI49">
        <v>0.1</v>
      </c>
      <c r="AK49">
        <v>9</v>
      </c>
      <c r="AL49">
        <v>7</v>
      </c>
      <c r="AM49">
        <v>0.55000000000000004</v>
      </c>
      <c r="AN49">
        <v>0</v>
      </c>
      <c r="AO49">
        <v>0.35</v>
      </c>
      <c r="AP49">
        <v>0.1</v>
      </c>
      <c r="AR49">
        <v>9</v>
      </c>
      <c r="AS49">
        <v>7</v>
      </c>
      <c r="AT49">
        <v>0.55000000000000004</v>
      </c>
      <c r="AU49">
        <v>0</v>
      </c>
      <c r="AV49">
        <v>0.35</v>
      </c>
      <c r="AW49">
        <v>0.1</v>
      </c>
      <c r="AY49">
        <v>9</v>
      </c>
      <c r="AZ49">
        <v>7</v>
      </c>
      <c r="BA49">
        <v>0.6</v>
      </c>
      <c r="BB49">
        <v>0</v>
      </c>
      <c r="BC49">
        <v>0.35</v>
      </c>
      <c r="BD49">
        <v>0.1</v>
      </c>
      <c r="BF49">
        <v>9</v>
      </c>
      <c r="BG49">
        <v>7</v>
      </c>
      <c r="BH49">
        <v>0.6</v>
      </c>
      <c r="BI49">
        <v>0</v>
      </c>
      <c r="BJ49">
        <v>0.35</v>
      </c>
      <c r="BK49">
        <v>0.1</v>
      </c>
      <c r="BM49">
        <v>9</v>
      </c>
      <c r="BN49">
        <v>7</v>
      </c>
      <c r="BO49">
        <v>0.45</v>
      </c>
      <c r="BP49">
        <v>0.05</v>
      </c>
      <c r="BQ49">
        <v>0.45</v>
      </c>
      <c r="BR49">
        <v>0.25</v>
      </c>
      <c r="BT49">
        <v>9</v>
      </c>
      <c r="BU49">
        <v>10</v>
      </c>
      <c r="BV49">
        <v>0.6</v>
      </c>
      <c r="BW49">
        <v>0.02</v>
      </c>
      <c r="BX49">
        <v>0.36</v>
      </c>
      <c r="BY49">
        <v>0.28000000000000003</v>
      </c>
      <c r="CA49">
        <v>9</v>
      </c>
      <c r="CB49">
        <v>10</v>
      </c>
      <c r="CC49">
        <v>0.64</v>
      </c>
      <c r="CD49">
        <v>0.01</v>
      </c>
      <c r="CE49">
        <v>0.35</v>
      </c>
      <c r="CF49">
        <v>0.34</v>
      </c>
    </row>
    <row r="50" spans="2:84" x14ac:dyDescent="0.2">
      <c r="BT50">
        <v>10</v>
      </c>
      <c r="BU50">
        <v>11</v>
      </c>
      <c r="BV50">
        <v>0.64</v>
      </c>
      <c r="BW50">
        <v>0.02</v>
      </c>
      <c r="BX50">
        <v>0.26</v>
      </c>
      <c r="BY50">
        <v>0.34</v>
      </c>
      <c r="CA50">
        <v>10</v>
      </c>
      <c r="CB50">
        <v>11</v>
      </c>
      <c r="CC50">
        <v>0.66</v>
      </c>
      <c r="CD50">
        <v>0.01</v>
      </c>
      <c r="CE50">
        <v>0.25</v>
      </c>
      <c r="CF50">
        <v>0.4</v>
      </c>
    </row>
    <row r="51" spans="2:84" x14ac:dyDescent="0.2">
      <c r="W51" t="s">
        <v>599</v>
      </c>
      <c r="AD51" t="s">
        <v>598</v>
      </c>
      <c r="AK51" t="s">
        <v>1094</v>
      </c>
      <c r="AR51" t="s">
        <v>597</v>
      </c>
      <c r="AY51" t="s">
        <v>596</v>
      </c>
      <c r="BF51" t="s">
        <v>595</v>
      </c>
      <c r="BM51" t="s">
        <v>594</v>
      </c>
      <c r="BT51">
        <v>11</v>
      </c>
      <c r="BU51">
        <v>12</v>
      </c>
      <c r="BV51">
        <v>0.66</v>
      </c>
      <c r="BW51">
        <v>0.01</v>
      </c>
      <c r="BX51">
        <v>0.18</v>
      </c>
      <c r="BY51">
        <v>0.4</v>
      </c>
      <c r="CA51">
        <v>11</v>
      </c>
      <c r="CB51">
        <v>12</v>
      </c>
      <c r="CC51">
        <v>0.68</v>
      </c>
      <c r="CD51">
        <v>0</v>
      </c>
      <c r="CE51">
        <v>0.15</v>
      </c>
      <c r="CF51">
        <v>0.46</v>
      </c>
    </row>
    <row r="52" spans="2:84" x14ac:dyDescent="0.2">
      <c r="W52" s="86" t="s">
        <v>641</v>
      </c>
      <c r="X52" s="58" t="s">
        <v>1087</v>
      </c>
      <c r="Y52" s="86" t="s">
        <v>1082</v>
      </c>
      <c r="Z52" s="86" t="s">
        <v>1083</v>
      </c>
      <c r="AA52" s="86" t="s">
        <v>1084</v>
      </c>
      <c r="AB52" s="86" t="s">
        <v>1085</v>
      </c>
      <c r="AD52" s="86" t="s">
        <v>641</v>
      </c>
      <c r="AE52" s="58" t="s">
        <v>1087</v>
      </c>
      <c r="AF52" s="86" t="s">
        <v>1082</v>
      </c>
      <c r="AG52" s="86" t="s">
        <v>1083</v>
      </c>
      <c r="AH52" s="86" t="s">
        <v>1084</v>
      </c>
      <c r="AI52" s="86" t="s">
        <v>1085</v>
      </c>
      <c r="AK52" s="86" t="s">
        <v>641</v>
      </c>
      <c r="AL52" s="58" t="s">
        <v>1087</v>
      </c>
      <c r="AM52" s="86" t="s">
        <v>1082</v>
      </c>
      <c r="AN52" s="86" t="s">
        <v>1083</v>
      </c>
      <c r="AO52" s="86" t="s">
        <v>1084</v>
      </c>
      <c r="AP52" s="86" t="s">
        <v>1085</v>
      </c>
      <c r="AR52" s="86" t="s">
        <v>641</v>
      </c>
      <c r="AS52" s="58" t="s">
        <v>1087</v>
      </c>
      <c r="AT52" s="86" t="s">
        <v>1082</v>
      </c>
      <c r="AU52" s="86" t="s">
        <v>1083</v>
      </c>
      <c r="AV52" s="86" t="s">
        <v>1084</v>
      </c>
      <c r="AW52" s="86" t="s">
        <v>1085</v>
      </c>
      <c r="AY52" s="86" t="s">
        <v>641</v>
      </c>
      <c r="AZ52" s="58" t="s">
        <v>1087</v>
      </c>
      <c r="BA52" s="86" t="s">
        <v>1082</v>
      </c>
      <c r="BB52" s="86" t="s">
        <v>1083</v>
      </c>
      <c r="BC52" s="86" t="s">
        <v>1084</v>
      </c>
      <c r="BD52" s="86" t="s">
        <v>1085</v>
      </c>
      <c r="BE52" s="86"/>
      <c r="BF52" s="86" t="s">
        <v>641</v>
      </c>
      <c r="BG52" s="58" t="s">
        <v>1087</v>
      </c>
      <c r="BH52" s="86" t="s">
        <v>1082</v>
      </c>
      <c r="BI52" s="86" t="s">
        <v>1083</v>
      </c>
      <c r="BJ52" s="86" t="s">
        <v>1084</v>
      </c>
      <c r="BK52" s="86" t="s">
        <v>1085</v>
      </c>
      <c r="BL52" s="86"/>
      <c r="BM52" s="86" t="s">
        <v>641</v>
      </c>
      <c r="BN52" s="58" t="s">
        <v>1087</v>
      </c>
      <c r="BO52" s="86" t="s">
        <v>1082</v>
      </c>
      <c r="BP52" s="86" t="s">
        <v>1083</v>
      </c>
      <c r="BQ52" s="86" t="s">
        <v>1084</v>
      </c>
      <c r="BR52" s="86" t="s">
        <v>1085</v>
      </c>
      <c r="BT52">
        <v>12</v>
      </c>
      <c r="BU52">
        <v>8</v>
      </c>
      <c r="BV52">
        <v>0.67</v>
      </c>
      <c r="BW52">
        <v>0</v>
      </c>
      <c r="BX52">
        <v>0.15</v>
      </c>
      <c r="BY52">
        <v>0.38</v>
      </c>
      <c r="CA52">
        <v>12</v>
      </c>
      <c r="CB52">
        <v>8</v>
      </c>
      <c r="CC52">
        <v>0.7</v>
      </c>
      <c r="CD52">
        <v>0</v>
      </c>
      <c r="CE52">
        <v>0.1</v>
      </c>
      <c r="CF52">
        <v>0.44</v>
      </c>
    </row>
    <row r="53" spans="2:84" x14ac:dyDescent="0.2">
      <c r="W53">
        <v>1</v>
      </c>
      <c r="X53">
        <v>2</v>
      </c>
      <c r="Y53">
        <v>0.5</v>
      </c>
      <c r="Z53">
        <v>0.1</v>
      </c>
      <c r="AA53">
        <v>0.3</v>
      </c>
      <c r="AB53">
        <v>0.1</v>
      </c>
      <c r="AD53">
        <v>1</v>
      </c>
      <c r="AE53">
        <v>2</v>
      </c>
      <c r="AF53">
        <v>0.5</v>
      </c>
      <c r="AG53">
        <v>0.1</v>
      </c>
      <c r="AH53">
        <v>0.3</v>
      </c>
      <c r="AI53">
        <v>0.1</v>
      </c>
      <c r="AK53">
        <v>1</v>
      </c>
      <c r="AL53">
        <v>2</v>
      </c>
      <c r="AM53">
        <v>0.55000000000000004</v>
      </c>
      <c r="AN53">
        <v>0.05</v>
      </c>
      <c r="AO53">
        <v>0.35</v>
      </c>
      <c r="AP53">
        <v>0.15</v>
      </c>
      <c r="AR53">
        <v>1</v>
      </c>
      <c r="AS53">
        <v>2</v>
      </c>
      <c r="AT53">
        <v>0.55000000000000004</v>
      </c>
      <c r="AU53">
        <v>0.05</v>
      </c>
      <c r="AV53">
        <v>0.35</v>
      </c>
      <c r="AW53">
        <v>0.15</v>
      </c>
      <c r="AY53">
        <v>1</v>
      </c>
      <c r="AZ53">
        <v>2</v>
      </c>
      <c r="BA53">
        <v>0.6</v>
      </c>
      <c r="BB53">
        <v>0.05</v>
      </c>
      <c r="BC53">
        <v>0.35</v>
      </c>
      <c r="BD53">
        <v>0.2</v>
      </c>
      <c r="BF53">
        <v>1</v>
      </c>
      <c r="BG53">
        <v>2</v>
      </c>
      <c r="BH53">
        <v>0.6</v>
      </c>
      <c r="BI53">
        <v>0.05</v>
      </c>
      <c r="BJ53">
        <v>0.35</v>
      </c>
      <c r="BK53">
        <v>0.2</v>
      </c>
      <c r="BM53">
        <v>1</v>
      </c>
      <c r="BN53">
        <v>2</v>
      </c>
      <c r="BO53">
        <v>0.5</v>
      </c>
      <c r="BP53">
        <v>0.05</v>
      </c>
      <c r="BQ53">
        <v>0.35</v>
      </c>
      <c r="BR53">
        <v>0.3</v>
      </c>
    </row>
    <row r="54" spans="2:84" x14ac:dyDescent="0.2">
      <c r="W54">
        <v>2</v>
      </c>
      <c r="X54">
        <v>3</v>
      </c>
      <c r="Y54">
        <v>0.5</v>
      </c>
      <c r="Z54">
        <v>0.15</v>
      </c>
      <c r="AA54">
        <v>0.2</v>
      </c>
      <c r="AB54">
        <v>0.15</v>
      </c>
      <c r="AD54">
        <v>2</v>
      </c>
      <c r="AE54">
        <v>3</v>
      </c>
      <c r="AF54">
        <v>0.5</v>
      </c>
      <c r="AG54">
        <v>0.15</v>
      </c>
      <c r="AH54">
        <v>0.2</v>
      </c>
      <c r="AI54">
        <v>0.15</v>
      </c>
      <c r="AK54">
        <v>2</v>
      </c>
      <c r="AL54">
        <v>3</v>
      </c>
      <c r="AM54">
        <v>0.55000000000000004</v>
      </c>
      <c r="AN54">
        <v>0.1</v>
      </c>
      <c r="AO54">
        <v>0.25</v>
      </c>
      <c r="AP54">
        <v>0.2</v>
      </c>
      <c r="AR54">
        <v>2</v>
      </c>
      <c r="AS54">
        <v>3</v>
      </c>
      <c r="AT54">
        <v>0.55000000000000004</v>
      </c>
      <c r="AU54">
        <v>0.1</v>
      </c>
      <c r="AV54">
        <v>0.25</v>
      </c>
      <c r="AW54">
        <v>0.2</v>
      </c>
      <c r="AY54">
        <v>2</v>
      </c>
      <c r="AZ54">
        <v>3</v>
      </c>
      <c r="BA54">
        <v>0.6</v>
      </c>
      <c r="BB54">
        <v>0.1</v>
      </c>
      <c r="BC54">
        <v>0.2</v>
      </c>
      <c r="BD54">
        <v>0.25</v>
      </c>
      <c r="BF54">
        <v>2</v>
      </c>
      <c r="BG54">
        <v>3</v>
      </c>
      <c r="BH54">
        <v>0.6</v>
      </c>
      <c r="BI54">
        <v>0.1</v>
      </c>
      <c r="BJ54">
        <v>0.2</v>
      </c>
      <c r="BK54">
        <v>0.25</v>
      </c>
      <c r="BM54">
        <v>2</v>
      </c>
      <c r="BN54">
        <v>3</v>
      </c>
      <c r="BO54">
        <v>0.55000000000000004</v>
      </c>
      <c r="BP54">
        <v>0.1</v>
      </c>
      <c r="BQ54">
        <v>0.25</v>
      </c>
      <c r="BR54">
        <v>0.3</v>
      </c>
      <c r="BT54" t="s">
        <v>593</v>
      </c>
      <c r="CA54" t="s">
        <v>592</v>
      </c>
    </row>
    <row r="55" spans="2:84" x14ac:dyDescent="0.2">
      <c r="W55">
        <v>3</v>
      </c>
      <c r="X55">
        <v>1</v>
      </c>
      <c r="Y55">
        <v>0.4</v>
      </c>
      <c r="Z55">
        <v>0.4</v>
      </c>
      <c r="AA55">
        <v>0.1</v>
      </c>
      <c r="AB55">
        <v>0.1</v>
      </c>
      <c r="AD55">
        <v>3</v>
      </c>
      <c r="AE55">
        <v>1</v>
      </c>
      <c r="AF55">
        <v>0.4</v>
      </c>
      <c r="AG55">
        <v>0.4</v>
      </c>
      <c r="AH55">
        <v>0.1</v>
      </c>
      <c r="AI55">
        <v>0.1</v>
      </c>
      <c r="AK55">
        <v>3</v>
      </c>
      <c r="AL55">
        <v>1</v>
      </c>
      <c r="AM55">
        <v>0.45</v>
      </c>
      <c r="AN55">
        <v>0.35</v>
      </c>
      <c r="AO55">
        <v>0.1</v>
      </c>
      <c r="AP55">
        <v>0.1</v>
      </c>
      <c r="AR55">
        <v>3</v>
      </c>
      <c r="AS55">
        <v>1</v>
      </c>
      <c r="AT55">
        <v>0.45</v>
      </c>
      <c r="AU55">
        <v>0.35</v>
      </c>
      <c r="AV55">
        <v>0.1</v>
      </c>
      <c r="AW55">
        <v>0.1</v>
      </c>
      <c r="AY55">
        <v>3</v>
      </c>
      <c r="AZ55">
        <v>1</v>
      </c>
      <c r="BA55">
        <v>0.5</v>
      </c>
      <c r="BB55">
        <v>0.25</v>
      </c>
      <c r="BC55">
        <v>0.15</v>
      </c>
      <c r="BD55">
        <v>0.1</v>
      </c>
      <c r="BF55">
        <v>3</v>
      </c>
      <c r="BG55">
        <v>1</v>
      </c>
      <c r="BH55">
        <v>0.5</v>
      </c>
      <c r="BI55">
        <v>0.25</v>
      </c>
      <c r="BJ55">
        <v>0.15</v>
      </c>
      <c r="BK55">
        <v>0.1</v>
      </c>
      <c r="BM55">
        <v>3</v>
      </c>
      <c r="BN55">
        <v>1</v>
      </c>
      <c r="BO55">
        <v>0.45</v>
      </c>
      <c r="BP55">
        <v>0.2</v>
      </c>
      <c r="BQ55">
        <v>0.2</v>
      </c>
      <c r="BR55">
        <v>0.25</v>
      </c>
      <c r="BT55" s="86" t="s">
        <v>641</v>
      </c>
      <c r="BU55" s="58" t="s">
        <v>1087</v>
      </c>
      <c r="BV55" s="86" t="s">
        <v>1082</v>
      </c>
      <c r="BW55" s="86" t="s">
        <v>1083</v>
      </c>
      <c r="BX55" s="86" t="s">
        <v>1084</v>
      </c>
      <c r="BY55" s="86" t="s">
        <v>1085</v>
      </c>
      <c r="CA55" s="86" t="s">
        <v>641</v>
      </c>
      <c r="CB55" s="58" t="s">
        <v>1087</v>
      </c>
      <c r="CC55" s="86" t="s">
        <v>1082</v>
      </c>
      <c r="CD55" s="86" t="s">
        <v>1083</v>
      </c>
      <c r="CE55" s="86" t="s">
        <v>1084</v>
      </c>
      <c r="CF55" s="86" t="s">
        <v>1085</v>
      </c>
    </row>
    <row r="56" spans="2:84" x14ac:dyDescent="0.2">
      <c r="W56">
        <v>4</v>
      </c>
      <c r="X56">
        <v>4</v>
      </c>
      <c r="Y56">
        <v>0.2</v>
      </c>
      <c r="Z56">
        <v>0.65</v>
      </c>
      <c r="AA56">
        <v>0.05</v>
      </c>
      <c r="AB56">
        <v>0.1</v>
      </c>
      <c r="AD56">
        <v>4</v>
      </c>
      <c r="AE56">
        <v>4</v>
      </c>
      <c r="AF56">
        <v>0.2</v>
      </c>
      <c r="AG56">
        <v>0.65</v>
      </c>
      <c r="AH56">
        <v>0.05</v>
      </c>
      <c r="AI56">
        <v>0.1</v>
      </c>
      <c r="AK56">
        <v>4</v>
      </c>
      <c r="AL56">
        <v>4</v>
      </c>
      <c r="AM56">
        <v>0.25</v>
      </c>
      <c r="AN56">
        <v>0.6</v>
      </c>
      <c r="AO56">
        <v>0.05</v>
      </c>
      <c r="AP56">
        <v>0.1</v>
      </c>
      <c r="AR56">
        <v>4</v>
      </c>
      <c r="AS56">
        <v>4</v>
      </c>
      <c r="AT56">
        <v>0.25</v>
      </c>
      <c r="AU56">
        <v>0.6</v>
      </c>
      <c r="AV56">
        <v>0.05</v>
      </c>
      <c r="AW56">
        <v>0.1</v>
      </c>
      <c r="AY56">
        <v>4</v>
      </c>
      <c r="AZ56">
        <v>4</v>
      </c>
      <c r="BA56">
        <v>0.4</v>
      </c>
      <c r="BB56">
        <v>0.4</v>
      </c>
      <c r="BC56">
        <v>0.05</v>
      </c>
      <c r="BD56">
        <v>0.15</v>
      </c>
      <c r="BF56">
        <v>4</v>
      </c>
      <c r="BG56">
        <v>4</v>
      </c>
      <c r="BH56">
        <v>0.4</v>
      </c>
      <c r="BI56">
        <v>0.4</v>
      </c>
      <c r="BJ56">
        <v>0.05</v>
      </c>
      <c r="BK56">
        <v>0.15</v>
      </c>
      <c r="BM56">
        <v>4</v>
      </c>
      <c r="BN56">
        <v>4</v>
      </c>
      <c r="BO56">
        <v>0.3</v>
      </c>
      <c r="BP56">
        <v>0.4</v>
      </c>
      <c r="BQ56">
        <v>0.1</v>
      </c>
      <c r="BR56">
        <v>0.2</v>
      </c>
      <c r="BT56">
        <v>1</v>
      </c>
      <c r="BU56">
        <v>2</v>
      </c>
      <c r="BV56">
        <v>0.62</v>
      </c>
      <c r="BW56">
        <v>0.03</v>
      </c>
      <c r="BX56">
        <v>0.25</v>
      </c>
      <c r="BY56">
        <v>0.38</v>
      </c>
      <c r="CA56">
        <v>1</v>
      </c>
      <c r="CB56">
        <v>2</v>
      </c>
      <c r="CC56">
        <v>0.65</v>
      </c>
      <c r="CD56">
        <v>0.02</v>
      </c>
      <c r="CE56">
        <v>0.23</v>
      </c>
      <c r="CF56">
        <v>0.45</v>
      </c>
    </row>
    <row r="57" spans="2:84" x14ac:dyDescent="0.2">
      <c r="W57">
        <v>5</v>
      </c>
      <c r="X57">
        <v>5</v>
      </c>
      <c r="Y57">
        <v>0.3</v>
      </c>
      <c r="Z57">
        <v>0.45</v>
      </c>
      <c r="AA57">
        <v>0.05</v>
      </c>
      <c r="AB57">
        <v>0.2</v>
      </c>
      <c r="AD57">
        <v>5</v>
      </c>
      <c r="AE57">
        <v>5</v>
      </c>
      <c r="AF57">
        <v>0.3</v>
      </c>
      <c r="AG57">
        <v>0.45</v>
      </c>
      <c r="AH57">
        <v>0.05</v>
      </c>
      <c r="AI57">
        <v>0.2</v>
      </c>
      <c r="AK57">
        <v>5</v>
      </c>
      <c r="AL57">
        <v>5</v>
      </c>
      <c r="AM57">
        <v>0.35</v>
      </c>
      <c r="AN57">
        <v>0.4</v>
      </c>
      <c r="AO57">
        <v>0.05</v>
      </c>
      <c r="AP57">
        <v>0.2</v>
      </c>
      <c r="AR57">
        <v>5</v>
      </c>
      <c r="AS57">
        <v>5</v>
      </c>
      <c r="AT57">
        <v>0.35</v>
      </c>
      <c r="AU57">
        <v>0.4</v>
      </c>
      <c r="AV57">
        <v>0.05</v>
      </c>
      <c r="AW57">
        <v>0.2</v>
      </c>
      <c r="AY57">
        <v>5</v>
      </c>
      <c r="AZ57">
        <v>5</v>
      </c>
      <c r="BA57">
        <v>0.45</v>
      </c>
      <c r="BB57">
        <v>0.3</v>
      </c>
      <c r="BC57">
        <v>0.05</v>
      </c>
      <c r="BD57">
        <v>0.2</v>
      </c>
      <c r="BF57">
        <v>5</v>
      </c>
      <c r="BG57">
        <v>5</v>
      </c>
      <c r="BH57">
        <v>0.45</v>
      </c>
      <c r="BI57">
        <v>0.3</v>
      </c>
      <c r="BJ57">
        <v>0.05</v>
      </c>
      <c r="BK57">
        <v>0.2</v>
      </c>
      <c r="BM57">
        <v>5</v>
      </c>
      <c r="BN57">
        <v>5</v>
      </c>
      <c r="BO57">
        <v>0.4</v>
      </c>
      <c r="BP57">
        <v>0.35</v>
      </c>
      <c r="BQ57">
        <v>0.1</v>
      </c>
      <c r="BR57">
        <v>0.25</v>
      </c>
      <c r="BT57">
        <v>2</v>
      </c>
      <c r="BU57">
        <v>3</v>
      </c>
      <c r="BV57">
        <v>0.63</v>
      </c>
      <c r="BW57">
        <v>0.04</v>
      </c>
      <c r="BX57">
        <v>0.23</v>
      </c>
      <c r="BY57">
        <v>0.4</v>
      </c>
      <c r="CA57">
        <v>2</v>
      </c>
      <c r="CB57">
        <v>3</v>
      </c>
      <c r="CC57">
        <v>0.66</v>
      </c>
      <c r="CD57">
        <v>0.02</v>
      </c>
      <c r="CE57">
        <v>0.22</v>
      </c>
      <c r="CF57">
        <v>0.47</v>
      </c>
    </row>
    <row r="58" spans="2:84" x14ac:dyDescent="0.2">
      <c r="W58">
        <v>6</v>
      </c>
      <c r="X58">
        <v>6</v>
      </c>
      <c r="Y58">
        <v>0.4</v>
      </c>
      <c r="Z58">
        <v>0.35</v>
      </c>
      <c r="AA58">
        <v>0.1</v>
      </c>
      <c r="AB58">
        <v>0.15</v>
      </c>
      <c r="AD58">
        <v>6</v>
      </c>
      <c r="AE58">
        <v>6</v>
      </c>
      <c r="AF58">
        <v>0.4</v>
      </c>
      <c r="AG58">
        <v>0.35</v>
      </c>
      <c r="AH58">
        <v>0.1</v>
      </c>
      <c r="AI58">
        <v>0.15</v>
      </c>
      <c r="AK58">
        <v>6</v>
      </c>
      <c r="AL58">
        <v>6</v>
      </c>
      <c r="AM58">
        <v>0.45</v>
      </c>
      <c r="AN58">
        <v>0.3</v>
      </c>
      <c r="AO58">
        <v>0.1</v>
      </c>
      <c r="AP58">
        <v>0.15</v>
      </c>
      <c r="AR58">
        <v>6</v>
      </c>
      <c r="AS58">
        <v>6</v>
      </c>
      <c r="AT58">
        <v>0.45</v>
      </c>
      <c r="AU58">
        <v>0.3</v>
      </c>
      <c r="AV58">
        <v>0.1</v>
      </c>
      <c r="AW58">
        <v>0.15</v>
      </c>
      <c r="AY58">
        <v>6</v>
      </c>
      <c r="AZ58">
        <v>6</v>
      </c>
      <c r="BA58">
        <v>0.5</v>
      </c>
      <c r="BB58">
        <v>0.25</v>
      </c>
      <c r="BC58">
        <v>0.1</v>
      </c>
      <c r="BD58">
        <v>0.15</v>
      </c>
      <c r="BF58">
        <v>6</v>
      </c>
      <c r="BG58">
        <v>6</v>
      </c>
      <c r="BH58">
        <v>0.5</v>
      </c>
      <c r="BI58">
        <v>0.25</v>
      </c>
      <c r="BJ58">
        <v>0.1</v>
      </c>
      <c r="BK58">
        <v>0.15</v>
      </c>
      <c r="BM58">
        <v>6</v>
      </c>
      <c r="BN58">
        <v>6</v>
      </c>
      <c r="BO58">
        <v>0.5</v>
      </c>
      <c r="BP58">
        <v>0.2</v>
      </c>
      <c r="BQ58">
        <v>0.1</v>
      </c>
      <c r="BR58">
        <v>0.3</v>
      </c>
      <c r="BT58">
        <v>3</v>
      </c>
      <c r="BU58">
        <v>1</v>
      </c>
      <c r="BV58">
        <v>0.55000000000000004</v>
      </c>
      <c r="BW58">
        <v>0.18</v>
      </c>
      <c r="BX58">
        <v>0.12</v>
      </c>
      <c r="BY58">
        <v>0.25</v>
      </c>
      <c r="CA58">
        <v>3</v>
      </c>
      <c r="CB58">
        <v>1</v>
      </c>
      <c r="CC58">
        <v>0.6</v>
      </c>
      <c r="CD58">
        <v>0.15</v>
      </c>
      <c r="CE58">
        <v>0.1</v>
      </c>
      <c r="CF58">
        <v>0.3</v>
      </c>
    </row>
    <row r="59" spans="2:84" x14ac:dyDescent="0.2">
      <c r="W59">
        <v>7</v>
      </c>
      <c r="X59">
        <v>8</v>
      </c>
      <c r="Y59">
        <v>0.55000000000000004</v>
      </c>
      <c r="Z59">
        <v>0.15</v>
      </c>
      <c r="AA59">
        <v>0.1</v>
      </c>
      <c r="AB59">
        <v>0.2</v>
      </c>
      <c r="AD59">
        <v>7</v>
      </c>
      <c r="AE59">
        <v>8</v>
      </c>
      <c r="AF59">
        <v>0.55000000000000004</v>
      </c>
      <c r="AG59">
        <v>0.15</v>
      </c>
      <c r="AH59">
        <v>0.1</v>
      </c>
      <c r="AI59">
        <v>0.2</v>
      </c>
      <c r="AK59">
        <v>7</v>
      </c>
      <c r="AL59">
        <v>8</v>
      </c>
      <c r="AM59">
        <v>0.55000000000000004</v>
      </c>
      <c r="AN59">
        <v>0.15</v>
      </c>
      <c r="AO59">
        <v>0.05</v>
      </c>
      <c r="AP59">
        <v>0.25</v>
      </c>
      <c r="AR59">
        <v>7</v>
      </c>
      <c r="AS59">
        <v>8</v>
      </c>
      <c r="AT59">
        <v>0.55000000000000004</v>
      </c>
      <c r="AU59">
        <v>0.15</v>
      </c>
      <c r="AV59">
        <v>0.05</v>
      </c>
      <c r="AW59">
        <v>0.25</v>
      </c>
      <c r="AY59">
        <v>7</v>
      </c>
      <c r="AZ59">
        <v>8</v>
      </c>
      <c r="BA59">
        <v>0.6</v>
      </c>
      <c r="BB59">
        <v>0.15</v>
      </c>
      <c r="BC59">
        <v>0.05</v>
      </c>
      <c r="BD59">
        <v>0.25</v>
      </c>
      <c r="BF59">
        <v>7</v>
      </c>
      <c r="BG59">
        <v>8</v>
      </c>
      <c r="BH59">
        <v>0.6</v>
      </c>
      <c r="BI59">
        <v>0.15</v>
      </c>
      <c r="BJ59">
        <v>0.05</v>
      </c>
      <c r="BK59">
        <v>0.25</v>
      </c>
      <c r="BM59">
        <v>7</v>
      </c>
      <c r="BN59">
        <v>8</v>
      </c>
      <c r="BO59">
        <v>0.55000000000000004</v>
      </c>
      <c r="BP59">
        <v>0.15</v>
      </c>
      <c r="BQ59">
        <v>0.1</v>
      </c>
      <c r="BR59">
        <v>0.35</v>
      </c>
      <c r="BT59">
        <v>4</v>
      </c>
      <c r="BU59">
        <v>4</v>
      </c>
      <c r="BV59">
        <v>0.4</v>
      </c>
      <c r="BW59">
        <v>0.45</v>
      </c>
      <c r="BX59">
        <v>0.05</v>
      </c>
      <c r="BY59">
        <v>0.18</v>
      </c>
      <c r="CA59">
        <v>4</v>
      </c>
      <c r="CB59">
        <v>4</v>
      </c>
      <c r="CC59">
        <v>0.45</v>
      </c>
      <c r="CD59">
        <v>0.4</v>
      </c>
      <c r="CE59">
        <v>0.05</v>
      </c>
      <c r="CF59">
        <v>0.18</v>
      </c>
    </row>
    <row r="60" spans="2:84" x14ac:dyDescent="0.2">
      <c r="W60">
        <v>8</v>
      </c>
      <c r="X60">
        <v>9</v>
      </c>
      <c r="Y60">
        <v>0.5</v>
      </c>
      <c r="Z60">
        <v>0.1</v>
      </c>
      <c r="AA60">
        <v>0.1</v>
      </c>
      <c r="AB60">
        <v>0.3</v>
      </c>
      <c r="AD60">
        <v>8</v>
      </c>
      <c r="AE60">
        <v>9</v>
      </c>
      <c r="AF60">
        <v>0.5</v>
      </c>
      <c r="AG60">
        <v>0.1</v>
      </c>
      <c r="AH60">
        <v>0.1</v>
      </c>
      <c r="AI60">
        <v>0.3</v>
      </c>
      <c r="AK60">
        <v>8</v>
      </c>
      <c r="AL60">
        <v>9</v>
      </c>
      <c r="AM60">
        <v>0.55000000000000004</v>
      </c>
      <c r="AN60">
        <v>0.05</v>
      </c>
      <c r="AO60">
        <v>0.05</v>
      </c>
      <c r="AP60">
        <v>0.35</v>
      </c>
      <c r="AR60">
        <v>8</v>
      </c>
      <c r="AS60">
        <v>9</v>
      </c>
      <c r="AT60">
        <v>0.55000000000000004</v>
      </c>
      <c r="AU60">
        <v>0.05</v>
      </c>
      <c r="AV60">
        <v>0.05</v>
      </c>
      <c r="AW60">
        <v>0.35</v>
      </c>
      <c r="AY60">
        <v>8</v>
      </c>
      <c r="AZ60">
        <v>9</v>
      </c>
      <c r="BA60">
        <v>0.6</v>
      </c>
      <c r="BB60">
        <v>0.05</v>
      </c>
      <c r="BC60">
        <v>0.05</v>
      </c>
      <c r="BD60">
        <v>0.35</v>
      </c>
      <c r="BF60">
        <v>8</v>
      </c>
      <c r="BG60">
        <v>9</v>
      </c>
      <c r="BH60">
        <v>0.6</v>
      </c>
      <c r="BI60">
        <v>0.05</v>
      </c>
      <c r="BJ60">
        <v>0.05</v>
      </c>
      <c r="BK60">
        <v>0.35</v>
      </c>
      <c r="BM60">
        <v>8</v>
      </c>
      <c r="BN60">
        <v>9</v>
      </c>
      <c r="BO60">
        <v>0.6</v>
      </c>
      <c r="BP60">
        <v>0.05</v>
      </c>
      <c r="BQ60">
        <v>0.05</v>
      </c>
      <c r="BR60">
        <v>0.4</v>
      </c>
      <c r="BT60">
        <v>5</v>
      </c>
      <c r="BU60">
        <v>5</v>
      </c>
      <c r="BV60">
        <v>0.48</v>
      </c>
      <c r="BW60">
        <v>0.3</v>
      </c>
      <c r="BX60">
        <v>7.0000000000000007E-2</v>
      </c>
      <c r="BY60">
        <v>0.28000000000000003</v>
      </c>
      <c r="CA60">
        <v>5</v>
      </c>
      <c r="CB60">
        <v>5</v>
      </c>
      <c r="CC60">
        <v>0.52</v>
      </c>
      <c r="CD60">
        <v>0.3</v>
      </c>
      <c r="CE60">
        <v>0.08</v>
      </c>
      <c r="CF60">
        <v>0.3</v>
      </c>
    </row>
    <row r="61" spans="2:84" x14ac:dyDescent="0.2">
      <c r="W61">
        <v>9</v>
      </c>
      <c r="X61">
        <v>10</v>
      </c>
      <c r="Y61">
        <v>0.5</v>
      </c>
      <c r="Z61">
        <v>0.1</v>
      </c>
      <c r="AA61">
        <v>0.1</v>
      </c>
      <c r="AB61">
        <v>0.3</v>
      </c>
      <c r="AD61">
        <v>9</v>
      </c>
      <c r="AE61">
        <v>10</v>
      </c>
      <c r="AF61">
        <v>0.5</v>
      </c>
      <c r="AG61">
        <v>0.1</v>
      </c>
      <c r="AH61">
        <v>0.1</v>
      </c>
      <c r="AI61">
        <v>0.3</v>
      </c>
      <c r="AK61">
        <v>9</v>
      </c>
      <c r="AL61">
        <v>10</v>
      </c>
      <c r="AM61">
        <v>0.55000000000000004</v>
      </c>
      <c r="AN61">
        <v>0.05</v>
      </c>
      <c r="AO61">
        <v>0.05</v>
      </c>
      <c r="AP61">
        <v>0.35</v>
      </c>
      <c r="AR61">
        <v>9</v>
      </c>
      <c r="AS61">
        <v>10</v>
      </c>
      <c r="AT61">
        <v>0.55000000000000004</v>
      </c>
      <c r="AU61">
        <v>0.05</v>
      </c>
      <c r="AV61">
        <v>0.05</v>
      </c>
      <c r="AW61">
        <v>0.35</v>
      </c>
      <c r="AY61">
        <v>9</v>
      </c>
      <c r="AZ61">
        <v>10</v>
      </c>
      <c r="BA61">
        <v>0.6</v>
      </c>
      <c r="BB61">
        <v>0.05</v>
      </c>
      <c r="BC61">
        <v>0.05</v>
      </c>
      <c r="BD61">
        <v>0.35</v>
      </c>
      <c r="BF61">
        <v>9</v>
      </c>
      <c r="BG61">
        <v>10</v>
      </c>
      <c r="BH61">
        <v>0.6</v>
      </c>
      <c r="BI61">
        <v>0.05</v>
      </c>
      <c r="BJ61">
        <v>0.05</v>
      </c>
      <c r="BK61">
        <v>0.35</v>
      </c>
      <c r="BM61">
        <v>9</v>
      </c>
      <c r="BN61">
        <v>10</v>
      </c>
      <c r="BO61">
        <v>0.6</v>
      </c>
      <c r="BP61">
        <v>0.05</v>
      </c>
      <c r="BQ61">
        <v>0.05</v>
      </c>
      <c r="BR61">
        <v>0.4</v>
      </c>
      <c r="BT61">
        <v>6</v>
      </c>
      <c r="BU61">
        <v>6</v>
      </c>
      <c r="BV61">
        <v>0.55000000000000004</v>
      </c>
      <c r="BW61">
        <v>0.23</v>
      </c>
      <c r="BX61">
        <v>7.0000000000000007E-2</v>
      </c>
      <c r="BY61">
        <v>0.3</v>
      </c>
      <c r="CA61">
        <v>6</v>
      </c>
      <c r="CB61">
        <v>6</v>
      </c>
      <c r="CC61">
        <v>0.6</v>
      </c>
      <c r="CD61">
        <v>0.2</v>
      </c>
      <c r="CE61">
        <v>0.08</v>
      </c>
      <c r="CF61">
        <v>0.34</v>
      </c>
    </row>
    <row r="62" spans="2:84" x14ac:dyDescent="0.2">
      <c r="W62">
        <v>10</v>
      </c>
      <c r="X62">
        <v>7</v>
      </c>
      <c r="Y62">
        <v>0.5</v>
      </c>
      <c r="Z62">
        <v>0.05</v>
      </c>
      <c r="AA62">
        <v>0.35</v>
      </c>
      <c r="AB62">
        <v>0.1</v>
      </c>
      <c r="AD62">
        <v>10</v>
      </c>
      <c r="AE62">
        <v>7</v>
      </c>
      <c r="AF62">
        <v>0.5</v>
      </c>
      <c r="AG62">
        <v>0.05</v>
      </c>
      <c r="AH62">
        <v>0.35</v>
      </c>
      <c r="AI62">
        <v>0.1</v>
      </c>
      <c r="AK62">
        <v>10</v>
      </c>
      <c r="AL62">
        <v>7</v>
      </c>
      <c r="AM62">
        <v>0.55000000000000004</v>
      </c>
      <c r="AN62">
        <v>0</v>
      </c>
      <c r="AO62">
        <v>0.35</v>
      </c>
      <c r="AP62">
        <v>0.1</v>
      </c>
      <c r="AR62">
        <v>10</v>
      </c>
      <c r="AS62">
        <v>7</v>
      </c>
      <c r="AT62">
        <v>0.55000000000000004</v>
      </c>
      <c r="AU62">
        <v>0</v>
      </c>
      <c r="AV62">
        <v>0.35</v>
      </c>
      <c r="AW62">
        <v>0.1</v>
      </c>
      <c r="AY62">
        <v>10</v>
      </c>
      <c r="AZ62">
        <v>7</v>
      </c>
      <c r="BA62">
        <v>0.6</v>
      </c>
      <c r="BB62">
        <v>0</v>
      </c>
      <c r="BC62">
        <v>0.35</v>
      </c>
      <c r="BD62">
        <v>0.1</v>
      </c>
      <c r="BF62">
        <v>10</v>
      </c>
      <c r="BG62">
        <v>7</v>
      </c>
      <c r="BH62">
        <v>0.6</v>
      </c>
      <c r="BI62">
        <v>0</v>
      </c>
      <c r="BJ62">
        <v>0.35</v>
      </c>
      <c r="BK62">
        <v>0.1</v>
      </c>
      <c r="BM62">
        <v>10</v>
      </c>
      <c r="BN62">
        <v>7</v>
      </c>
      <c r="BO62">
        <v>0.45</v>
      </c>
      <c r="BP62">
        <v>0.05</v>
      </c>
      <c r="BQ62">
        <v>0.45</v>
      </c>
      <c r="BR62">
        <v>0.25</v>
      </c>
      <c r="BT62">
        <v>7</v>
      </c>
      <c r="BU62">
        <v>7</v>
      </c>
      <c r="BV62">
        <v>0.64</v>
      </c>
      <c r="BW62">
        <v>0.12</v>
      </c>
      <c r="BX62">
        <v>0.06</v>
      </c>
      <c r="BY62">
        <v>0.4</v>
      </c>
      <c r="CA62">
        <v>7</v>
      </c>
      <c r="CB62">
        <v>7</v>
      </c>
      <c r="CC62">
        <v>0.68</v>
      </c>
      <c r="CD62">
        <v>0.08</v>
      </c>
      <c r="CE62">
        <v>0.04</v>
      </c>
      <c r="CF62">
        <v>0.46</v>
      </c>
    </row>
    <row r="63" spans="2:84" x14ac:dyDescent="0.2">
      <c r="BT63">
        <v>8</v>
      </c>
      <c r="BU63">
        <v>9</v>
      </c>
      <c r="BV63">
        <v>0.66</v>
      </c>
      <c r="BW63">
        <v>0.03</v>
      </c>
      <c r="BX63">
        <v>0.01</v>
      </c>
      <c r="BY63">
        <v>0.45</v>
      </c>
      <c r="CA63">
        <v>8</v>
      </c>
      <c r="CB63">
        <v>9</v>
      </c>
      <c r="CC63">
        <v>0.7</v>
      </c>
      <c r="CD63">
        <v>0</v>
      </c>
      <c r="CE63">
        <v>0</v>
      </c>
      <c r="CF63">
        <v>0.5</v>
      </c>
    </row>
    <row r="64" spans="2:84" x14ac:dyDescent="0.2">
      <c r="W64" t="s">
        <v>599</v>
      </c>
      <c r="AD64" t="s">
        <v>598</v>
      </c>
      <c r="AK64" t="s">
        <v>228</v>
      </c>
      <c r="AR64" t="s">
        <v>597</v>
      </c>
      <c r="AY64" t="s">
        <v>596</v>
      </c>
      <c r="BF64" t="s">
        <v>595</v>
      </c>
      <c r="BM64" t="s">
        <v>594</v>
      </c>
      <c r="BT64">
        <v>9</v>
      </c>
      <c r="BU64">
        <v>10</v>
      </c>
      <c r="BV64">
        <v>0.6</v>
      </c>
      <c r="BW64">
        <v>0.02</v>
      </c>
      <c r="BX64">
        <v>0.36</v>
      </c>
      <c r="BY64">
        <v>0.28000000000000003</v>
      </c>
      <c r="CA64">
        <v>9</v>
      </c>
      <c r="CB64">
        <v>10</v>
      </c>
      <c r="CC64">
        <v>0.64</v>
      </c>
      <c r="CD64">
        <v>0.01</v>
      </c>
      <c r="CE64">
        <v>0.35</v>
      </c>
      <c r="CF64">
        <v>0.34</v>
      </c>
    </row>
    <row r="65" spans="23:84" x14ac:dyDescent="0.2">
      <c r="W65" s="86" t="s">
        <v>641</v>
      </c>
      <c r="X65" s="58" t="s">
        <v>1087</v>
      </c>
      <c r="Y65" s="86" t="s">
        <v>1082</v>
      </c>
      <c r="Z65" s="86" t="s">
        <v>1083</v>
      </c>
      <c r="AA65" s="86" t="s">
        <v>1084</v>
      </c>
      <c r="AB65" s="86" t="s">
        <v>1085</v>
      </c>
      <c r="AD65" s="86" t="s">
        <v>641</v>
      </c>
      <c r="AE65" s="58" t="s">
        <v>1087</v>
      </c>
      <c r="AF65" s="86" t="s">
        <v>1082</v>
      </c>
      <c r="AG65" s="86" t="s">
        <v>1083</v>
      </c>
      <c r="AH65" s="86" t="s">
        <v>1084</v>
      </c>
      <c r="AI65" s="86" t="s">
        <v>1085</v>
      </c>
      <c r="AK65" s="86" t="s">
        <v>641</v>
      </c>
      <c r="AL65" s="58" t="s">
        <v>1087</v>
      </c>
      <c r="AM65" s="86" t="s">
        <v>1082</v>
      </c>
      <c r="AN65" s="86" t="s">
        <v>1083</v>
      </c>
      <c r="AO65" s="86" t="s">
        <v>1084</v>
      </c>
      <c r="AP65" s="86" t="s">
        <v>1085</v>
      </c>
      <c r="AR65" s="86" t="s">
        <v>641</v>
      </c>
      <c r="AS65" s="58" t="s">
        <v>1087</v>
      </c>
      <c r="AT65" s="86" t="s">
        <v>1082</v>
      </c>
      <c r="AU65" s="86" t="s">
        <v>1083</v>
      </c>
      <c r="AV65" s="86" t="s">
        <v>1084</v>
      </c>
      <c r="AW65" s="86" t="s">
        <v>1085</v>
      </c>
      <c r="AY65" s="86" t="s">
        <v>641</v>
      </c>
      <c r="AZ65" s="58" t="s">
        <v>1087</v>
      </c>
      <c r="BA65" s="86" t="s">
        <v>1082</v>
      </c>
      <c r="BB65" s="86" t="s">
        <v>1083</v>
      </c>
      <c r="BC65" s="86" t="s">
        <v>1084</v>
      </c>
      <c r="BD65" s="86" t="s">
        <v>1085</v>
      </c>
      <c r="BF65" s="86" t="s">
        <v>641</v>
      </c>
      <c r="BG65" s="58" t="s">
        <v>1087</v>
      </c>
      <c r="BH65" s="86" t="s">
        <v>1082</v>
      </c>
      <c r="BI65" s="86" t="s">
        <v>1083</v>
      </c>
      <c r="BJ65" s="86" t="s">
        <v>1084</v>
      </c>
      <c r="BK65" s="86" t="s">
        <v>1085</v>
      </c>
      <c r="BL65" s="86"/>
      <c r="BM65" s="86" t="s">
        <v>641</v>
      </c>
      <c r="BN65" s="58" t="s">
        <v>1087</v>
      </c>
      <c r="BO65" s="86" t="s">
        <v>1082</v>
      </c>
      <c r="BP65" s="86" t="s">
        <v>1083</v>
      </c>
      <c r="BQ65" s="86" t="s">
        <v>1084</v>
      </c>
      <c r="BR65" s="86" t="s">
        <v>1085</v>
      </c>
      <c r="BT65">
        <v>10</v>
      </c>
      <c r="BU65">
        <v>11</v>
      </c>
      <c r="BV65">
        <v>0.64</v>
      </c>
      <c r="BW65">
        <v>0.02</v>
      </c>
      <c r="BX65">
        <v>0.26</v>
      </c>
      <c r="BY65">
        <v>0.34</v>
      </c>
      <c r="CA65">
        <v>10</v>
      </c>
      <c r="CB65">
        <v>11</v>
      </c>
      <c r="CC65">
        <v>0.66</v>
      </c>
      <c r="CD65">
        <v>0.01</v>
      </c>
      <c r="CE65">
        <v>0.25</v>
      </c>
      <c r="CF65">
        <v>0.4</v>
      </c>
    </row>
    <row r="66" spans="23:84" x14ac:dyDescent="0.2">
      <c r="W66">
        <v>1</v>
      </c>
      <c r="X66">
        <v>2</v>
      </c>
      <c r="Y66">
        <v>0.5</v>
      </c>
      <c r="Z66">
        <v>0.1</v>
      </c>
      <c r="AA66">
        <v>0.3</v>
      </c>
      <c r="AB66">
        <v>0.1</v>
      </c>
      <c r="AD66">
        <v>1</v>
      </c>
      <c r="AE66">
        <v>2</v>
      </c>
      <c r="AF66">
        <v>0.5</v>
      </c>
      <c r="AG66">
        <v>0.1</v>
      </c>
      <c r="AH66">
        <v>0.3</v>
      </c>
      <c r="AI66">
        <v>0.1</v>
      </c>
      <c r="AK66">
        <v>1</v>
      </c>
      <c r="AL66">
        <v>2</v>
      </c>
      <c r="AM66">
        <v>0.48</v>
      </c>
      <c r="AN66">
        <v>7.0000000000000007E-2</v>
      </c>
      <c r="AO66">
        <v>0.35</v>
      </c>
      <c r="AP66">
        <v>0.18</v>
      </c>
      <c r="AQ66" s="86"/>
      <c r="AR66">
        <v>1</v>
      </c>
      <c r="AS66">
        <v>2</v>
      </c>
      <c r="AT66">
        <v>0.5</v>
      </c>
      <c r="AU66">
        <v>0.06</v>
      </c>
      <c r="AV66">
        <v>0.34</v>
      </c>
      <c r="AW66">
        <v>0.2</v>
      </c>
      <c r="AX66" s="86"/>
      <c r="AY66">
        <v>1</v>
      </c>
      <c r="AZ66">
        <v>2</v>
      </c>
      <c r="BA66">
        <v>0.56000000000000005</v>
      </c>
      <c r="BB66">
        <v>0.05</v>
      </c>
      <c r="BC66">
        <v>0.28999999999999998</v>
      </c>
      <c r="BD66">
        <v>0.28000000000000003</v>
      </c>
      <c r="BE66" s="86"/>
      <c r="BF66">
        <v>1</v>
      </c>
      <c r="BG66">
        <v>2</v>
      </c>
      <c r="BH66">
        <v>0.6</v>
      </c>
      <c r="BI66">
        <v>0.04</v>
      </c>
      <c r="BJ66">
        <v>0.26</v>
      </c>
      <c r="BK66">
        <v>0.32</v>
      </c>
      <c r="BM66">
        <v>1</v>
      </c>
      <c r="BN66">
        <v>2</v>
      </c>
      <c r="BO66">
        <v>0.5</v>
      </c>
      <c r="BP66">
        <v>0.05</v>
      </c>
      <c r="BQ66">
        <v>0.35</v>
      </c>
      <c r="BR66">
        <v>0.3</v>
      </c>
      <c r="BT66">
        <v>11</v>
      </c>
      <c r="BU66">
        <v>8</v>
      </c>
      <c r="BV66">
        <v>0.67</v>
      </c>
      <c r="BW66">
        <v>0</v>
      </c>
      <c r="BX66">
        <v>0.15</v>
      </c>
      <c r="BY66">
        <v>0.38</v>
      </c>
      <c r="CA66">
        <v>11</v>
      </c>
      <c r="CB66">
        <v>8</v>
      </c>
      <c r="CC66">
        <v>0.7</v>
      </c>
      <c r="CD66">
        <v>0</v>
      </c>
      <c r="CE66">
        <v>0.1</v>
      </c>
      <c r="CF66">
        <v>0.44</v>
      </c>
    </row>
    <row r="67" spans="23:84" x14ac:dyDescent="0.2">
      <c r="W67">
        <v>2</v>
      </c>
      <c r="X67">
        <v>3</v>
      </c>
      <c r="Y67">
        <v>0.5</v>
      </c>
      <c r="Z67">
        <v>0.15</v>
      </c>
      <c r="AA67">
        <v>0.2</v>
      </c>
      <c r="AB67">
        <v>0.15</v>
      </c>
      <c r="AD67">
        <v>2</v>
      </c>
      <c r="AE67">
        <v>3</v>
      </c>
      <c r="AF67">
        <v>0.5</v>
      </c>
      <c r="AG67">
        <v>0.15</v>
      </c>
      <c r="AH67">
        <v>0.2</v>
      </c>
      <c r="AI67">
        <v>0.15</v>
      </c>
      <c r="AK67">
        <v>2</v>
      </c>
      <c r="AL67">
        <v>3</v>
      </c>
      <c r="AM67">
        <v>0.5</v>
      </c>
      <c r="AN67">
        <v>0.1</v>
      </c>
      <c r="AO67">
        <v>0.3</v>
      </c>
      <c r="AP67">
        <v>0.2</v>
      </c>
      <c r="AR67">
        <v>2</v>
      </c>
      <c r="AS67">
        <v>3</v>
      </c>
      <c r="AT67">
        <v>0.52</v>
      </c>
      <c r="AU67">
        <v>0.08</v>
      </c>
      <c r="AV67">
        <v>0.3</v>
      </c>
      <c r="AW67">
        <v>0.22</v>
      </c>
      <c r="AY67">
        <v>2</v>
      </c>
      <c r="AZ67">
        <v>3</v>
      </c>
      <c r="BA67">
        <v>0.57999999999999996</v>
      </c>
      <c r="BB67">
        <v>7.0000000000000007E-2</v>
      </c>
      <c r="BC67">
        <v>0.25</v>
      </c>
      <c r="BD67">
        <v>0.3</v>
      </c>
      <c r="BF67">
        <v>2</v>
      </c>
      <c r="BG67">
        <v>3</v>
      </c>
      <c r="BH67">
        <v>0.62</v>
      </c>
      <c r="BI67">
        <v>0.05</v>
      </c>
      <c r="BJ67">
        <v>0.23</v>
      </c>
      <c r="BK67">
        <v>0.34</v>
      </c>
      <c r="BM67">
        <v>2</v>
      </c>
      <c r="BN67">
        <v>3</v>
      </c>
      <c r="BO67">
        <v>0.55000000000000004</v>
      </c>
      <c r="BP67">
        <v>7.0000000000000007E-2</v>
      </c>
      <c r="BQ67">
        <v>0.28000000000000003</v>
      </c>
      <c r="BR67">
        <v>0.32</v>
      </c>
    </row>
    <row r="68" spans="23:84" x14ac:dyDescent="0.2">
      <c r="W68">
        <v>3</v>
      </c>
      <c r="X68">
        <v>1</v>
      </c>
      <c r="Y68">
        <v>0.4</v>
      </c>
      <c r="Z68">
        <v>0.4</v>
      </c>
      <c r="AA68">
        <v>0.1</v>
      </c>
      <c r="AB68">
        <v>0.1</v>
      </c>
      <c r="AD68">
        <v>3</v>
      </c>
      <c r="AE68">
        <v>1</v>
      </c>
      <c r="AF68">
        <v>0.4</v>
      </c>
      <c r="AG68">
        <v>0.4</v>
      </c>
      <c r="AH68">
        <v>0.1</v>
      </c>
      <c r="AI68">
        <v>0.1</v>
      </c>
      <c r="AK68">
        <v>3</v>
      </c>
      <c r="AL68">
        <v>1</v>
      </c>
      <c r="AM68">
        <v>0.4</v>
      </c>
      <c r="AN68">
        <v>0.4</v>
      </c>
      <c r="AO68">
        <v>0.1</v>
      </c>
      <c r="AP68">
        <v>0.12</v>
      </c>
      <c r="AR68">
        <v>3</v>
      </c>
      <c r="AS68">
        <v>1</v>
      </c>
      <c r="AT68">
        <v>0.42</v>
      </c>
      <c r="AU68">
        <v>0.38</v>
      </c>
      <c r="AV68">
        <v>0.1</v>
      </c>
      <c r="AW68">
        <v>0.15</v>
      </c>
      <c r="AY68">
        <v>3</v>
      </c>
      <c r="AZ68">
        <v>1</v>
      </c>
      <c r="BA68">
        <v>0.48</v>
      </c>
      <c r="BB68">
        <v>0.28000000000000003</v>
      </c>
      <c r="BC68">
        <v>0.14000000000000001</v>
      </c>
      <c r="BD68">
        <v>0.18</v>
      </c>
      <c r="BF68">
        <v>3</v>
      </c>
      <c r="BG68">
        <v>1</v>
      </c>
      <c r="BH68">
        <v>0.52</v>
      </c>
      <c r="BI68">
        <v>0.2</v>
      </c>
      <c r="BJ68">
        <v>0.18</v>
      </c>
      <c r="BK68">
        <v>0.2</v>
      </c>
      <c r="BM68">
        <v>3</v>
      </c>
      <c r="BN68">
        <v>1</v>
      </c>
      <c r="BO68">
        <v>0.48</v>
      </c>
      <c r="BP68">
        <v>0.18</v>
      </c>
      <c r="BQ68">
        <v>0.17</v>
      </c>
      <c r="BR68">
        <v>0.26</v>
      </c>
      <c r="BT68" t="s">
        <v>593</v>
      </c>
      <c r="CA68" t="s">
        <v>592</v>
      </c>
    </row>
    <row r="69" spans="23:84" x14ac:dyDescent="0.2">
      <c r="W69">
        <v>4</v>
      </c>
      <c r="X69">
        <v>4</v>
      </c>
      <c r="Y69">
        <v>0.2</v>
      </c>
      <c r="Z69">
        <v>0.65</v>
      </c>
      <c r="AA69">
        <v>0.05</v>
      </c>
      <c r="AB69">
        <v>0.1</v>
      </c>
      <c r="AD69">
        <v>4</v>
      </c>
      <c r="AE69">
        <v>4</v>
      </c>
      <c r="AF69">
        <v>0.2</v>
      </c>
      <c r="AG69">
        <v>0.65</v>
      </c>
      <c r="AH69">
        <v>0.05</v>
      </c>
      <c r="AI69">
        <v>0.1</v>
      </c>
      <c r="AK69">
        <v>4</v>
      </c>
      <c r="AL69">
        <v>4</v>
      </c>
      <c r="AM69">
        <v>0.2</v>
      </c>
      <c r="AN69">
        <v>0.65</v>
      </c>
      <c r="AO69">
        <v>0.05</v>
      </c>
      <c r="AP69">
        <v>0.12</v>
      </c>
      <c r="AR69">
        <v>4</v>
      </c>
      <c r="AS69">
        <v>4</v>
      </c>
      <c r="AT69">
        <v>0.25</v>
      </c>
      <c r="AU69">
        <v>0.6</v>
      </c>
      <c r="AV69">
        <v>0.05</v>
      </c>
      <c r="AW69">
        <v>0.15</v>
      </c>
      <c r="AY69">
        <v>4</v>
      </c>
      <c r="AZ69">
        <v>4</v>
      </c>
      <c r="BA69">
        <v>0.3</v>
      </c>
      <c r="BB69">
        <v>0.55000000000000004</v>
      </c>
      <c r="BC69">
        <v>0.05</v>
      </c>
      <c r="BD69">
        <v>0.16</v>
      </c>
      <c r="BF69">
        <v>4</v>
      </c>
      <c r="BG69">
        <v>4</v>
      </c>
      <c r="BH69">
        <v>0.35</v>
      </c>
      <c r="BI69">
        <v>0.48</v>
      </c>
      <c r="BJ69">
        <v>7.0000000000000007E-2</v>
      </c>
      <c r="BK69">
        <v>0.18</v>
      </c>
      <c r="BM69">
        <v>4</v>
      </c>
      <c r="BN69">
        <v>4</v>
      </c>
      <c r="BO69">
        <v>0.33</v>
      </c>
      <c r="BP69">
        <v>0.42</v>
      </c>
      <c r="BQ69">
        <v>0.1</v>
      </c>
      <c r="BR69">
        <v>0.22</v>
      </c>
      <c r="BT69" s="86" t="s">
        <v>641</v>
      </c>
      <c r="BU69" s="58" t="s">
        <v>1087</v>
      </c>
      <c r="BV69" s="86" t="s">
        <v>1082</v>
      </c>
      <c r="BW69" s="86" t="s">
        <v>1083</v>
      </c>
      <c r="BX69" s="86" t="s">
        <v>1084</v>
      </c>
      <c r="BY69" s="86" t="s">
        <v>1085</v>
      </c>
      <c r="CA69" s="86" t="s">
        <v>641</v>
      </c>
      <c r="CB69" s="58" t="s">
        <v>1087</v>
      </c>
      <c r="CC69" s="86" t="s">
        <v>1082</v>
      </c>
      <c r="CD69" s="86" t="s">
        <v>1083</v>
      </c>
      <c r="CE69" s="86" t="s">
        <v>1084</v>
      </c>
      <c r="CF69" s="86" t="s">
        <v>1085</v>
      </c>
    </row>
    <row r="70" spans="23:84" x14ac:dyDescent="0.2">
      <c r="W70">
        <v>5</v>
      </c>
      <c r="X70">
        <v>5</v>
      </c>
      <c r="Y70">
        <v>0.3</v>
      </c>
      <c r="Z70">
        <v>0.45</v>
      </c>
      <c r="AA70">
        <v>0.05</v>
      </c>
      <c r="AB70">
        <v>0.2</v>
      </c>
      <c r="AD70">
        <v>5</v>
      </c>
      <c r="AE70">
        <v>5</v>
      </c>
      <c r="AF70">
        <v>0.3</v>
      </c>
      <c r="AG70">
        <v>0.45</v>
      </c>
      <c r="AH70">
        <v>0.05</v>
      </c>
      <c r="AI70">
        <v>0.2</v>
      </c>
      <c r="AK70">
        <v>5</v>
      </c>
      <c r="AL70">
        <v>5</v>
      </c>
      <c r="AM70">
        <v>0.3</v>
      </c>
      <c r="AN70">
        <v>0.5</v>
      </c>
      <c r="AO70">
        <v>0.05</v>
      </c>
      <c r="AP70">
        <v>0.18</v>
      </c>
      <c r="AR70">
        <v>5</v>
      </c>
      <c r="AS70">
        <v>5</v>
      </c>
      <c r="AT70">
        <v>0.33</v>
      </c>
      <c r="AU70">
        <v>0.45</v>
      </c>
      <c r="AV70">
        <v>7.0000000000000007E-2</v>
      </c>
      <c r="AW70">
        <v>0.18</v>
      </c>
      <c r="AY70">
        <v>5</v>
      </c>
      <c r="AZ70">
        <v>5</v>
      </c>
      <c r="BA70">
        <v>0.38</v>
      </c>
      <c r="BB70">
        <v>0.4</v>
      </c>
      <c r="BC70">
        <v>7.0000000000000007E-2</v>
      </c>
      <c r="BD70">
        <v>0.22</v>
      </c>
      <c r="BF70">
        <v>5</v>
      </c>
      <c r="BG70">
        <v>5</v>
      </c>
      <c r="BH70">
        <v>0.42</v>
      </c>
      <c r="BI70">
        <v>0.35</v>
      </c>
      <c r="BJ70">
        <v>0.08</v>
      </c>
      <c r="BK70">
        <v>0.24</v>
      </c>
      <c r="BM70">
        <v>5</v>
      </c>
      <c r="BN70">
        <v>5</v>
      </c>
      <c r="BO70">
        <v>0.4</v>
      </c>
      <c r="BP70">
        <v>0.33</v>
      </c>
      <c r="BQ70">
        <v>0.1</v>
      </c>
      <c r="BR70">
        <v>0.26</v>
      </c>
      <c r="BT70">
        <v>1</v>
      </c>
      <c r="BU70">
        <v>2</v>
      </c>
      <c r="BV70">
        <v>0.62</v>
      </c>
      <c r="BW70">
        <v>0.03</v>
      </c>
      <c r="BX70">
        <v>0.25</v>
      </c>
      <c r="BY70">
        <v>0.38</v>
      </c>
      <c r="CA70">
        <v>1</v>
      </c>
      <c r="CB70">
        <v>2</v>
      </c>
      <c r="CC70">
        <v>0.65</v>
      </c>
      <c r="CD70">
        <v>0.02</v>
      </c>
      <c r="CE70">
        <v>0.23</v>
      </c>
      <c r="CF70">
        <v>0.45</v>
      </c>
    </row>
    <row r="71" spans="23:84" x14ac:dyDescent="0.2">
      <c r="W71">
        <v>6</v>
      </c>
      <c r="X71">
        <v>6</v>
      </c>
      <c r="Y71">
        <v>0.4</v>
      </c>
      <c r="Z71">
        <v>0.35</v>
      </c>
      <c r="AA71">
        <v>0.1</v>
      </c>
      <c r="AB71">
        <v>0.15</v>
      </c>
      <c r="AD71">
        <v>6</v>
      </c>
      <c r="AE71">
        <v>6</v>
      </c>
      <c r="AF71">
        <v>0.4</v>
      </c>
      <c r="AG71">
        <v>0.35</v>
      </c>
      <c r="AH71">
        <v>0.1</v>
      </c>
      <c r="AI71">
        <v>0.15</v>
      </c>
      <c r="AK71">
        <v>6</v>
      </c>
      <c r="AL71">
        <v>6</v>
      </c>
      <c r="AM71">
        <v>0.35</v>
      </c>
      <c r="AN71">
        <v>0.4</v>
      </c>
      <c r="AO71">
        <v>0.1</v>
      </c>
      <c r="AP71">
        <v>0.18</v>
      </c>
      <c r="AR71">
        <v>6</v>
      </c>
      <c r="AS71">
        <v>6</v>
      </c>
      <c r="AT71">
        <v>0.4</v>
      </c>
      <c r="AU71">
        <v>0.35</v>
      </c>
      <c r="AV71">
        <v>0.1</v>
      </c>
      <c r="AW71">
        <v>0.2</v>
      </c>
      <c r="AY71">
        <v>6</v>
      </c>
      <c r="AZ71">
        <v>6</v>
      </c>
      <c r="BA71">
        <v>0.45</v>
      </c>
      <c r="BB71">
        <v>0.3</v>
      </c>
      <c r="BC71">
        <v>0.1</v>
      </c>
      <c r="BD71">
        <v>0.24</v>
      </c>
      <c r="BF71">
        <v>6</v>
      </c>
      <c r="BG71">
        <v>6</v>
      </c>
      <c r="BH71">
        <v>0.5</v>
      </c>
      <c r="BI71">
        <v>0.28000000000000003</v>
      </c>
      <c r="BJ71">
        <v>0.09</v>
      </c>
      <c r="BK71">
        <v>0.26</v>
      </c>
      <c r="BM71">
        <v>6</v>
      </c>
      <c r="BN71">
        <v>6</v>
      </c>
      <c r="BO71">
        <v>0.5</v>
      </c>
      <c r="BP71">
        <v>0.2</v>
      </c>
      <c r="BQ71">
        <v>0.1</v>
      </c>
      <c r="BR71">
        <v>0.3</v>
      </c>
      <c r="BT71">
        <v>2</v>
      </c>
      <c r="BU71">
        <v>3</v>
      </c>
      <c r="BV71">
        <v>0.63</v>
      </c>
      <c r="BW71">
        <v>0.04</v>
      </c>
      <c r="BX71">
        <v>0.23</v>
      </c>
      <c r="BY71">
        <v>0.4</v>
      </c>
      <c r="CA71">
        <v>2</v>
      </c>
      <c r="CB71">
        <v>3</v>
      </c>
      <c r="CC71">
        <v>0.66</v>
      </c>
      <c r="CD71">
        <v>0.02</v>
      </c>
      <c r="CE71">
        <v>0.22</v>
      </c>
      <c r="CF71">
        <v>0.47</v>
      </c>
    </row>
    <row r="72" spans="23:84" x14ac:dyDescent="0.2">
      <c r="W72">
        <v>7</v>
      </c>
      <c r="X72">
        <v>8</v>
      </c>
      <c r="Y72">
        <v>0.55000000000000004</v>
      </c>
      <c r="Z72">
        <v>0.15</v>
      </c>
      <c r="AA72">
        <v>0.1</v>
      </c>
      <c r="AB72">
        <v>0.2</v>
      </c>
      <c r="AD72">
        <v>7</v>
      </c>
      <c r="AE72">
        <v>8</v>
      </c>
      <c r="AF72">
        <v>0.55000000000000004</v>
      </c>
      <c r="AG72">
        <v>0.15</v>
      </c>
      <c r="AH72">
        <v>0.1</v>
      </c>
      <c r="AI72">
        <v>0.2</v>
      </c>
      <c r="AK72">
        <v>7</v>
      </c>
      <c r="AL72">
        <v>7</v>
      </c>
      <c r="AM72">
        <v>0.45</v>
      </c>
      <c r="AN72">
        <v>0.3</v>
      </c>
      <c r="AO72">
        <v>0.1</v>
      </c>
      <c r="AP72">
        <v>0.22</v>
      </c>
      <c r="AR72">
        <v>7</v>
      </c>
      <c r="AS72">
        <v>7</v>
      </c>
      <c r="AT72">
        <v>0.5</v>
      </c>
      <c r="AU72">
        <v>0.25</v>
      </c>
      <c r="AV72">
        <v>0.1</v>
      </c>
      <c r="AW72">
        <v>0.25</v>
      </c>
      <c r="AY72">
        <v>7</v>
      </c>
      <c r="AZ72">
        <v>7</v>
      </c>
      <c r="BA72">
        <v>0.57999999999999996</v>
      </c>
      <c r="BB72">
        <v>0.18</v>
      </c>
      <c r="BC72">
        <v>0.09</v>
      </c>
      <c r="BD72">
        <v>0.3</v>
      </c>
      <c r="BF72">
        <v>7</v>
      </c>
      <c r="BG72">
        <v>7</v>
      </c>
      <c r="BH72">
        <v>0.62</v>
      </c>
      <c r="BI72">
        <v>0.14000000000000001</v>
      </c>
      <c r="BJ72">
        <v>0.08</v>
      </c>
      <c r="BK72">
        <v>0.34</v>
      </c>
      <c r="BM72">
        <v>7</v>
      </c>
      <c r="BN72">
        <v>7</v>
      </c>
      <c r="BO72">
        <v>0.55000000000000004</v>
      </c>
      <c r="BP72">
        <v>0.15</v>
      </c>
      <c r="BQ72">
        <v>0.1</v>
      </c>
      <c r="BR72">
        <v>0.34</v>
      </c>
      <c r="BT72">
        <v>3</v>
      </c>
      <c r="BU72">
        <v>1</v>
      </c>
      <c r="BV72">
        <v>0.55000000000000004</v>
      </c>
      <c r="BW72">
        <v>0.18</v>
      </c>
      <c r="BX72">
        <v>0.12</v>
      </c>
      <c r="BY72">
        <v>0.25</v>
      </c>
      <c r="CA72">
        <v>3</v>
      </c>
      <c r="CB72">
        <v>1</v>
      </c>
      <c r="CC72">
        <v>0.6</v>
      </c>
      <c r="CD72">
        <v>0.15</v>
      </c>
      <c r="CE72">
        <v>0.1</v>
      </c>
      <c r="CF72">
        <v>0.3</v>
      </c>
    </row>
    <row r="73" spans="23:84" x14ac:dyDescent="0.2">
      <c r="W73">
        <v>8</v>
      </c>
      <c r="X73">
        <v>9</v>
      </c>
      <c r="Y73">
        <v>0.5</v>
      </c>
      <c r="Z73">
        <v>0.1</v>
      </c>
      <c r="AA73">
        <v>0.1</v>
      </c>
      <c r="AB73">
        <v>0.3</v>
      </c>
      <c r="AD73">
        <v>8</v>
      </c>
      <c r="AE73">
        <v>9</v>
      </c>
      <c r="AF73">
        <v>0.5</v>
      </c>
      <c r="AG73">
        <v>0.1</v>
      </c>
      <c r="AH73">
        <v>0.1</v>
      </c>
      <c r="AI73">
        <v>0.3</v>
      </c>
      <c r="AK73">
        <v>8</v>
      </c>
      <c r="AL73">
        <v>9</v>
      </c>
      <c r="AM73">
        <v>0.5</v>
      </c>
      <c r="AN73">
        <v>0.15</v>
      </c>
      <c r="AO73">
        <v>0.1</v>
      </c>
      <c r="AP73">
        <v>0.28000000000000003</v>
      </c>
      <c r="AR73">
        <v>8</v>
      </c>
      <c r="AS73">
        <v>9</v>
      </c>
      <c r="AT73">
        <v>0.55000000000000004</v>
      </c>
      <c r="AU73">
        <v>0.1</v>
      </c>
      <c r="AV73">
        <v>0.05</v>
      </c>
      <c r="AW73">
        <v>0.32</v>
      </c>
      <c r="AY73">
        <v>8</v>
      </c>
      <c r="AZ73">
        <v>9</v>
      </c>
      <c r="BA73">
        <v>0.6</v>
      </c>
      <c r="BB73">
        <v>7.0000000000000007E-2</v>
      </c>
      <c r="BC73">
        <v>0.03</v>
      </c>
      <c r="BD73">
        <v>0.36</v>
      </c>
      <c r="BF73">
        <v>8</v>
      </c>
      <c r="BG73">
        <v>9</v>
      </c>
      <c r="BH73">
        <v>0.64</v>
      </c>
      <c r="BI73">
        <v>0.04</v>
      </c>
      <c r="BJ73">
        <v>0.02</v>
      </c>
      <c r="BK73">
        <v>0.39</v>
      </c>
      <c r="BM73">
        <v>8</v>
      </c>
      <c r="BN73">
        <v>9</v>
      </c>
      <c r="BO73">
        <v>0.6</v>
      </c>
      <c r="BP73">
        <v>0.05</v>
      </c>
      <c r="BQ73">
        <v>0.05</v>
      </c>
      <c r="BR73">
        <v>0.38</v>
      </c>
      <c r="BT73">
        <v>4</v>
      </c>
      <c r="BU73">
        <v>4</v>
      </c>
      <c r="BV73">
        <v>0.4</v>
      </c>
      <c r="BW73">
        <v>0.45</v>
      </c>
      <c r="BX73">
        <v>0.05</v>
      </c>
      <c r="BY73">
        <v>0.18</v>
      </c>
      <c r="CA73">
        <v>4</v>
      </c>
      <c r="CB73">
        <v>4</v>
      </c>
      <c r="CC73">
        <v>0.45</v>
      </c>
      <c r="CD73">
        <v>0.4</v>
      </c>
      <c r="CE73">
        <v>0.05</v>
      </c>
      <c r="CF73">
        <v>0.18</v>
      </c>
    </row>
    <row r="74" spans="23:84" x14ac:dyDescent="0.2">
      <c r="W74">
        <v>9</v>
      </c>
      <c r="X74">
        <v>10</v>
      </c>
      <c r="Y74">
        <v>0.5</v>
      </c>
      <c r="Z74">
        <v>0.1</v>
      </c>
      <c r="AA74">
        <v>0.1</v>
      </c>
      <c r="AB74">
        <v>0.3</v>
      </c>
      <c r="AD74">
        <v>9</v>
      </c>
      <c r="AE74">
        <v>10</v>
      </c>
      <c r="AF74">
        <v>0.5</v>
      </c>
      <c r="AG74">
        <v>0.1</v>
      </c>
      <c r="AH74">
        <v>0.1</v>
      </c>
      <c r="AI74">
        <v>0.3</v>
      </c>
      <c r="AK74">
        <v>9</v>
      </c>
      <c r="AL74">
        <v>10</v>
      </c>
      <c r="AM74">
        <v>0.45</v>
      </c>
      <c r="AN74">
        <v>0.05</v>
      </c>
      <c r="AO74">
        <v>0.45</v>
      </c>
      <c r="AP74">
        <v>0.15</v>
      </c>
      <c r="AR74">
        <v>9</v>
      </c>
      <c r="AS74">
        <v>10</v>
      </c>
      <c r="AT74">
        <v>0.48</v>
      </c>
      <c r="AU74">
        <v>0.04</v>
      </c>
      <c r="AV74">
        <v>0.48</v>
      </c>
      <c r="AW74">
        <v>0.18</v>
      </c>
      <c r="AY74">
        <v>9</v>
      </c>
      <c r="AZ74">
        <v>10</v>
      </c>
      <c r="BA74">
        <v>0.55000000000000004</v>
      </c>
      <c r="BB74">
        <v>0.03</v>
      </c>
      <c r="BC74">
        <v>0.42</v>
      </c>
      <c r="BD74">
        <v>0.2</v>
      </c>
      <c r="BF74">
        <v>9</v>
      </c>
      <c r="BG74">
        <v>10</v>
      </c>
      <c r="BH74">
        <v>0.6</v>
      </c>
      <c r="BI74">
        <v>0.03</v>
      </c>
      <c r="BJ74">
        <v>0.37</v>
      </c>
      <c r="BK74">
        <v>0.22</v>
      </c>
      <c r="BM74">
        <v>9</v>
      </c>
      <c r="BN74">
        <v>10</v>
      </c>
      <c r="BO74">
        <v>0.48</v>
      </c>
      <c r="BP74">
        <v>0.05</v>
      </c>
      <c r="BQ74">
        <v>0.42</v>
      </c>
      <c r="BR74">
        <v>0.26</v>
      </c>
      <c r="BT74">
        <v>5</v>
      </c>
      <c r="BU74">
        <v>5</v>
      </c>
      <c r="BV74">
        <v>0.48</v>
      </c>
      <c r="BW74">
        <v>0.3</v>
      </c>
      <c r="BX74">
        <v>7.0000000000000007E-2</v>
      </c>
      <c r="BY74">
        <v>0.28000000000000003</v>
      </c>
      <c r="CA74">
        <v>5</v>
      </c>
      <c r="CB74">
        <v>5</v>
      </c>
      <c r="CC74">
        <v>0.52</v>
      </c>
      <c r="CD74">
        <v>0.3</v>
      </c>
      <c r="CE74">
        <v>0.08</v>
      </c>
      <c r="CF74">
        <v>0.3</v>
      </c>
    </row>
    <row r="75" spans="23:84" x14ac:dyDescent="0.2">
      <c r="W75">
        <v>10</v>
      </c>
      <c r="X75">
        <v>11</v>
      </c>
      <c r="Y75">
        <v>0.55000000000000004</v>
      </c>
      <c r="Z75">
        <v>0.05</v>
      </c>
      <c r="AA75">
        <v>0.1</v>
      </c>
      <c r="AB75">
        <v>0.35</v>
      </c>
      <c r="AD75">
        <v>10</v>
      </c>
      <c r="AE75">
        <v>11</v>
      </c>
      <c r="AF75">
        <v>0.55000000000000004</v>
      </c>
      <c r="AG75">
        <v>0.05</v>
      </c>
      <c r="AH75">
        <v>0.1</v>
      </c>
      <c r="AI75">
        <v>0.35</v>
      </c>
      <c r="AK75">
        <v>10</v>
      </c>
      <c r="AL75">
        <v>11</v>
      </c>
      <c r="AM75">
        <v>0.5</v>
      </c>
      <c r="AN75">
        <v>0.05</v>
      </c>
      <c r="AO75">
        <v>0.25</v>
      </c>
      <c r="AP75">
        <v>0.2</v>
      </c>
      <c r="AR75">
        <v>10</v>
      </c>
      <c r="AS75">
        <v>11</v>
      </c>
      <c r="AT75">
        <v>0.52</v>
      </c>
      <c r="AU75">
        <v>0.05</v>
      </c>
      <c r="AV75">
        <v>0.25</v>
      </c>
      <c r="AW75">
        <v>0.22</v>
      </c>
      <c r="AY75">
        <v>10</v>
      </c>
      <c r="AZ75">
        <v>11</v>
      </c>
      <c r="BA75">
        <v>0.57999999999999996</v>
      </c>
      <c r="BB75">
        <v>0.03</v>
      </c>
      <c r="BC75">
        <v>0.26</v>
      </c>
      <c r="BD75">
        <v>0.26</v>
      </c>
      <c r="BF75">
        <v>10</v>
      </c>
      <c r="BG75">
        <v>11</v>
      </c>
      <c r="BH75">
        <v>0.62</v>
      </c>
      <c r="BI75">
        <v>0.03</v>
      </c>
      <c r="BJ75">
        <v>0.25</v>
      </c>
      <c r="BK75">
        <v>0.28000000000000003</v>
      </c>
      <c r="BM75">
        <v>10</v>
      </c>
      <c r="BN75">
        <v>11</v>
      </c>
      <c r="BO75">
        <v>0.52</v>
      </c>
      <c r="BP75">
        <v>0.05</v>
      </c>
      <c r="BQ75">
        <v>0.3</v>
      </c>
      <c r="BR75">
        <v>0.3</v>
      </c>
      <c r="BT75">
        <v>6</v>
      </c>
      <c r="BU75">
        <v>6</v>
      </c>
      <c r="BV75">
        <v>0.55000000000000004</v>
      </c>
      <c r="BW75">
        <v>0.23</v>
      </c>
      <c r="BX75">
        <v>7.0000000000000007E-2</v>
      </c>
      <c r="BY75">
        <v>0.3</v>
      </c>
      <c r="CA75">
        <v>6</v>
      </c>
      <c r="CB75">
        <v>6</v>
      </c>
      <c r="CC75">
        <v>0.6</v>
      </c>
      <c r="CD75">
        <v>0.2</v>
      </c>
      <c r="CE75">
        <v>0.08</v>
      </c>
      <c r="CF75">
        <v>0.34</v>
      </c>
    </row>
    <row r="76" spans="23:84" x14ac:dyDescent="0.2">
      <c r="W76">
        <v>11</v>
      </c>
      <c r="X76">
        <v>7</v>
      </c>
      <c r="Y76">
        <v>0.5</v>
      </c>
      <c r="Z76">
        <v>0.05</v>
      </c>
      <c r="AA76">
        <v>0.35</v>
      </c>
      <c r="AB76">
        <v>0.1</v>
      </c>
      <c r="AD76">
        <v>11</v>
      </c>
      <c r="AE76">
        <v>7</v>
      </c>
      <c r="AF76">
        <v>0.5</v>
      </c>
      <c r="AG76">
        <v>0.05</v>
      </c>
      <c r="AH76">
        <v>0.35</v>
      </c>
      <c r="AI76">
        <v>0.1</v>
      </c>
      <c r="AK76">
        <v>11</v>
      </c>
      <c r="AL76">
        <v>8</v>
      </c>
      <c r="AM76">
        <v>0.55000000000000004</v>
      </c>
      <c r="AN76">
        <v>0</v>
      </c>
      <c r="AO76">
        <v>0.25</v>
      </c>
      <c r="AP76">
        <v>0.22</v>
      </c>
      <c r="AR76">
        <v>11</v>
      </c>
      <c r="AS76">
        <v>8</v>
      </c>
      <c r="AT76">
        <v>0.56000000000000005</v>
      </c>
      <c r="AU76">
        <v>0</v>
      </c>
      <c r="AV76">
        <v>0.24</v>
      </c>
      <c r="AW76">
        <v>0.24</v>
      </c>
      <c r="AY76">
        <v>11</v>
      </c>
      <c r="AZ76">
        <v>8</v>
      </c>
      <c r="BA76">
        <v>0.62</v>
      </c>
      <c r="BB76">
        <v>0</v>
      </c>
      <c r="BC76">
        <v>0.18</v>
      </c>
      <c r="BD76">
        <v>0.28000000000000003</v>
      </c>
      <c r="BF76">
        <v>11</v>
      </c>
      <c r="BG76">
        <v>8</v>
      </c>
      <c r="BH76">
        <v>0.65</v>
      </c>
      <c r="BI76">
        <v>0</v>
      </c>
      <c r="BJ76">
        <v>0.15</v>
      </c>
      <c r="BK76">
        <v>0.3</v>
      </c>
      <c r="BM76">
        <v>11</v>
      </c>
      <c r="BN76">
        <v>8</v>
      </c>
      <c r="BO76">
        <v>0.56999999999999995</v>
      </c>
      <c r="BP76">
        <v>0</v>
      </c>
      <c r="BQ76">
        <v>0.23</v>
      </c>
      <c r="BR76">
        <v>0.32</v>
      </c>
      <c r="BT76">
        <v>7</v>
      </c>
      <c r="BU76">
        <v>7</v>
      </c>
      <c r="BV76">
        <v>0.64</v>
      </c>
      <c r="BW76">
        <v>0.12</v>
      </c>
      <c r="BX76">
        <v>0.06</v>
      </c>
      <c r="BY76">
        <v>0.4</v>
      </c>
      <c r="CA76">
        <v>7</v>
      </c>
      <c r="CB76">
        <v>7</v>
      </c>
      <c r="CC76">
        <v>0.68</v>
      </c>
      <c r="CD76">
        <v>0.08</v>
      </c>
      <c r="CE76">
        <v>0.04</v>
      </c>
      <c r="CF76">
        <v>0.46</v>
      </c>
    </row>
    <row r="77" spans="23:84" x14ac:dyDescent="0.2">
      <c r="BT77">
        <v>8</v>
      </c>
      <c r="BU77">
        <v>9</v>
      </c>
      <c r="BV77">
        <v>0.66</v>
      </c>
      <c r="BW77">
        <v>0.03</v>
      </c>
      <c r="BX77">
        <v>0.01</v>
      </c>
      <c r="BY77">
        <v>0.45</v>
      </c>
      <c r="CA77">
        <v>8</v>
      </c>
      <c r="CB77">
        <v>9</v>
      </c>
      <c r="CC77">
        <v>0.7</v>
      </c>
      <c r="CD77">
        <v>0</v>
      </c>
      <c r="CE77">
        <v>0</v>
      </c>
      <c r="CF77">
        <v>0.5</v>
      </c>
    </row>
    <row r="78" spans="23:84" x14ac:dyDescent="0.2">
      <c r="W78" t="s">
        <v>599</v>
      </c>
      <c r="AD78" t="s">
        <v>598</v>
      </c>
      <c r="AK78" t="s">
        <v>228</v>
      </c>
      <c r="AR78" t="s">
        <v>597</v>
      </c>
      <c r="AY78" t="s">
        <v>596</v>
      </c>
      <c r="BF78" t="s">
        <v>595</v>
      </c>
      <c r="BM78" t="s">
        <v>594</v>
      </c>
      <c r="BT78">
        <v>9</v>
      </c>
      <c r="BU78">
        <v>10</v>
      </c>
      <c r="BV78">
        <v>0.6</v>
      </c>
      <c r="BW78">
        <v>0.02</v>
      </c>
      <c r="BX78">
        <v>0.36</v>
      </c>
      <c r="BY78">
        <v>0.28000000000000003</v>
      </c>
      <c r="CA78">
        <v>9</v>
      </c>
      <c r="CB78">
        <v>10</v>
      </c>
      <c r="CC78">
        <v>0.64</v>
      </c>
      <c r="CD78">
        <v>0.01</v>
      </c>
      <c r="CE78">
        <v>0.35</v>
      </c>
      <c r="CF78">
        <v>0.34</v>
      </c>
    </row>
    <row r="79" spans="23:84" x14ac:dyDescent="0.2">
      <c r="W79" s="86" t="s">
        <v>641</v>
      </c>
      <c r="X79" s="58" t="s">
        <v>1087</v>
      </c>
      <c r="Y79" s="86" t="s">
        <v>1082</v>
      </c>
      <c r="Z79" s="86" t="s">
        <v>1083</v>
      </c>
      <c r="AA79" s="86" t="s">
        <v>1084</v>
      </c>
      <c r="AB79" s="86" t="s">
        <v>1085</v>
      </c>
      <c r="AD79" s="86" t="s">
        <v>641</v>
      </c>
      <c r="AE79" s="58" t="s">
        <v>1087</v>
      </c>
      <c r="AF79" s="86" t="s">
        <v>1082</v>
      </c>
      <c r="AG79" s="86" t="s">
        <v>1083</v>
      </c>
      <c r="AH79" s="86" t="s">
        <v>1084</v>
      </c>
      <c r="AI79" s="86" t="s">
        <v>1085</v>
      </c>
      <c r="AK79" s="86" t="s">
        <v>641</v>
      </c>
      <c r="AL79" s="58" t="s">
        <v>1087</v>
      </c>
      <c r="AM79" s="86" t="s">
        <v>1082</v>
      </c>
      <c r="AN79" s="86" t="s">
        <v>1083</v>
      </c>
      <c r="AO79" s="86" t="s">
        <v>1084</v>
      </c>
      <c r="AP79" s="86" t="s">
        <v>1085</v>
      </c>
      <c r="AR79" s="86" t="s">
        <v>641</v>
      </c>
      <c r="AS79" s="58" t="s">
        <v>1087</v>
      </c>
      <c r="AT79" s="86" t="s">
        <v>1082</v>
      </c>
      <c r="AU79" s="86" t="s">
        <v>1083</v>
      </c>
      <c r="AV79" s="86" t="s">
        <v>1084</v>
      </c>
      <c r="AW79" s="86" t="s">
        <v>1085</v>
      </c>
      <c r="AY79" s="86" t="s">
        <v>641</v>
      </c>
      <c r="AZ79" s="58" t="s">
        <v>1087</v>
      </c>
      <c r="BA79" s="86" t="s">
        <v>1082</v>
      </c>
      <c r="BB79" s="86" t="s">
        <v>1083</v>
      </c>
      <c r="BC79" s="86" t="s">
        <v>1084</v>
      </c>
      <c r="BD79" s="86" t="s">
        <v>1085</v>
      </c>
      <c r="BF79" s="86" t="s">
        <v>641</v>
      </c>
      <c r="BG79" s="58" t="s">
        <v>1087</v>
      </c>
      <c r="BH79" s="86" t="s">
        <v>1082</v>
      </c>
      <c r="BI79" s="86" t="s">
        <v>1083</v>
      </c>
      <c r="BJ79" s="86" t="s">
        <v>1084</v>
      </c>
      <c r="BK79" s="86" t="s">
        <v>1085</v>
      </c>
      <c r="BL79" s="86"/>
      <c r="BM79" s="86" t="s">
        <v>641</v>
      </c>
      <c r="BN79" s="58" t="s">
        <v>1087</v>
      </c>
      <c r="BO79" s="86" t="s">
        <v>1082</v>
      </c>
      <c r="BP79" s="86" t="s">
        <v>1083</v>
      </c>
      <c r="BQ79" s="86" t="s">
        <v>1084</v>
      </c>
      <c r="BR79" s="86" t="s">
        <v>1085</v>
      </c>
      <c r="BT79">
        <v>10</v>
      </c>
      <c r="BU79">
        <v>8</v>
      </c>
      <c r="BV79">
        <v>0.67</v>
      </c>
      <c r="BW79">
        <v>0</v>
      </c>
      <c r="BX79">
        <v>0.15</v>
      </c>
      <c r="BY79">
        <v>0.38</v>
      </c>
      <c r="CA79">
        <v>10</v>
      </c>
      <c r="CB79">
        <v>8</v>
      </c>
      <c r="CC79">
        <v>0.7</v>
      </c>
      <c r="CD79">
        <v>0</v>
      </c>
      <c r="CE79">
        <v>0.1</v>
      </c>
      <c r="CF79">
        <v>0.44</v>
      </c>
    </row>
    <row r="80" spans="23:84" x14ac:dyDescent="0.2">
      <c r="W80">
        <v>1</v>
      </c>
      <c r="X80">
        <v>2</v>
      </c>
      <c r="Y80">
        <v>0.5</v>
      </c>
      <c r="Z80">
        <v>0.1</v>
      </c>
      <c r="AA80">
        <v>0.3</v>
      </c>
      <c r="AB80">
        <v>0.1</v>
      </c>
      <c r="AD80">
        <v>1</v>
      </c>
      <c r="AE80">
        <v>2</v>
      </c>
      <c r="AF80">
        <v>0.5</v>
      </c>
      <c r="AG80">
        <v>0.1</v>
      </c>
      <c r="AH80">
        <v>0.3</v>
      </c>
      <c r="AI80">
        <v>0.1</v>
      </c>
      <c r="AK80">
        <v>1</v>
      </c>
      <c r="AL80">
        <v>2</v>
      </c>
      <c r="AM80">
        <v>0.48</v>
      </c>
      <c r="AN80">
        <v>7.0000000000000007E-2</v>
      </c>
      <c r="AO80">
        <v>0.35</v>
      </c>
      <c r="AP80">
        <v>0.18</v>
      </c>
      <c r="AR80">
        <v>1</v>
      </c>
      <c r="AS80">
        <v>2</v>
      </c>
      <c r="AT80">
        <v>0.5</v>
      </c>
      <c r="AU80">
        <v>0.06</v>
      </c>
      <c r="AV80">
        <v>0.34</v>
      </c>
      <c r="AW80">
        <v>0.2</v>
      </c>
      <c r="AY80">
        <v>1</v>
      </c>
      <c r="AZ80">
        <v>2</v>
      </c>
      <c r="BA80">
        <v>0.56000000000000005</v>
      </c>
      <c r="BB80">
        <v>0.05</v>
      </c>
      <c r="BC80">
        <v>0.28999999999999998</v>
      </c>
      <c r="BD80">
        <v>0.28000000000000003</v>
      </c>
      <c r="BF80">
        <v>1</v>
      </c>
      <c r="BG80">
        <v>2</v>
      </c>
      <c r="BH80">
        <v>0.6</v>
      </c>
      <c r="BI80">
        <v>0.04</v>
      </c>
      <c r="BJ80">
        <v>0.26</v>
      </c>
      <c r="BK80">
        <v>0.32</v>
      </c>
      <c r="BM80">
        <v>1</v>
      </c>
      <c r="BN80">
        <v>2</v>
      </c>
      <c r="BO80">
        <v>0.5</v>
      </c>
      <c r="BP80">
        <v>0.05</v>
      </c>
      <c r="BQ80">
        <v>0.35</v>
      </c>
      <c r="BR80">
        <v>0.3</v>
      </c>
    </row>
    <row r="81" spans="1:90" x14ac:dyDescent="0.2">
      <c r="W81">
        <v>2</v>
      </c>
      <c r="X81">
        <v>3</v>
      </c>
      <c r="Y81">
        <v>0.5</v>
      </c>
      <c r="Z81">
        <v>0.15</v>
      </c>
      <c r="AA81">
        <v>0.2</v>
      </c>
      <c r="AB81">
        <v>0.15</v>
      </c>
      <c r="AD81">
        <v>2</v>
      </c>
      <c r="AE81">
        <v>3</v>
      </c>
      <c r="AF81">
        <v>0.5</v>
      </c>
      <c r="AG81">
        <v>0.15</v>
      </c>
      <c r="AH81">
        <v>0.2</v>
      </c>
      <c r="AI81">
        <v>0.15</v>
      </c>
      <c r="AK81">
        <v>2</v>
      </c>
      <c r="AL81">
        <v>3</v>
      </c>
      <c r="AM81">
        <v>0.5</v>
      </c>
      <c r="AN81">
        <v>0.1</v>
      </c>
      <c r="AO81">
        <v>0.3</v>
      </c>
      <c r="AP81">
        <v>0.2</v>
      </c>
      <c r="AR81">
        <v>2</v>
      </c>
      <c r="AS81">
        <v>3</v>
      </c>
      <c r="AT81">
        <v>0.52</v>
      </c>
      <c r="AU81">
        <v>0.08</v>
      </c>
      <c r="AV81">
        <v>0.3</v>
      </c>
      <c r="AW81">
        <v>0.22</v>
      </c>
      <c r="AY81">
        <v>2</v>
      </c>
      <c r="AZ81">
        <v>3</v>
      </c>
      <c r="BA81">
        <v>0.57999999999999996</v>
      </c>
      <c r="BB81">
        <v>7.0000000000000007E-2</v>
      </c>
      <c r="BC81">
        <v>0.25</v>
      </c>
      <c r="BD81">
        <v>0.3</v>
      </c>
      <c r="BF81">
        <v>2</v>
      </c>
      <c r="BG81">
        <v>3</v>
      </c>
      <c r="BH81">
        <v>0.62</v>
      </c>
      <c r="BI81">
        <v>0.05</v>
      </c>
      <c r="BJ81">
        <v>0.23</v>
      </c>
      <c r="BK81">
        <v>0.34</v>
      </c>
      <c r="BM81">
        <v>2</v>
      </c>
      <c r="BN81">
        <v>3</v>
      </c>
      <c r="BO81">
        <v>0.55000000000000004</v>
      </c>
      <c r="BP81">
        <v>7.0000000000000007E-2</v>
      </c>
      <c r="BQ81">
        <v>0.28000000000000003</v>
      </c>
      <c r="BR81">
        <v>0.32</v>
      </c>
    </row>
    <row r="82" spans="1:90" x14ac:dyDescent="0.2">
      <c r="W82">
        <v>3</v>
      </c>
      <c r="X82">
        <v>1</v>
      </c>
      <c r="Y82">
        <v>0.4</v>
      </c>
      <c r="Z82">
        <v>0.4</v>
      </c>
      <c r="AA82">
        <v>0.1</v>
      </c>
      <c r="AB82">
        <v>0.1</v>
      </c>
      <c r="AD82">
        <v>3</v>
      </c>
      <c r="AE82">
        <v>1</v>
      </c>
      <c r="AF82">
        <v>0.4</v>
      </c>
      <c r="AG82">
        <v>0.4</v>
      </c>
      <c r="AH82">
        <v>0.1</v>
      </c>
      <c r="AI82">
        <v>0.1</v>
      </c>
      <c r="AK82">
        <v>3</v>
      </c>
      <c r="AL82">
        <v>1</v>
      </c>
      <c r="AM82">
        <v>0.4</v>
      </c>
      <c r="AN82">
        <v>0.4</v>
      </c>
      <c r="AO82">
        <v>0.1</v>
      </c>
      <c r="AP82">
        <v>0.12</v>
      </c>
      <c r="AR82">
        <v>3</v>
      </c>
      <c r="AS82">
        <v>1</v>
      </c>
      <c r="AT82">
        <v>0.42</v>
      </c>
      <c r="AU82">
        <v>0.38</v>
      </c>
      <c r="AV82">
        <v>0.1</v>
      </c>
      <c r="AW82">
        <v>0.15</v>
      </c>
      <c r="AY82">
        <v>3</v>
      </c>
      <c r="AZ82">
        <v>1</v>
      </c>
      <c r="BA82">
        <v>0.48</v>
      </c>
      <c r="BB82">
        <v>0.28000000000000003</v>
      </c>
      <c r="BC82">
        <v>0.14000000000000001</v>
      </c>
      <c r="BD82">
        <v>0.18</v>
      </c>
      <c r="BF82">
        <v>3</v>
      </c>
      <c r="BG82">
        <v>1</v>
      </c>
      <c r="BH82">
        <v>0.52</v>
      </c>
      <c r="BI82">
        <v>0.2</v>
      </c>
      <c r="BJ82">
        <v>0.18</v>
      </c>
      <c r="BK82">
        <v>0.2</v>
      </c>
      <c r="BM82">
        <v>3</v>
      </c>
      <c r="BN82">
        <v>1</v>
      </c>
      <c r="BO82">
        <v>0.48</v>
      </c>
      <c r="BP82">
        <v>0.18</v>
      </c>
      <c r="BQ82">
        <v>0.17</v>
      </c>
      <c r="BR82">
        <v>0.26</v>
      </c>
    </row>
    <row r="83" spans="1:90" x14ac:dyDescent="0.2">
      <c r="W83">
        <v>4</v>
      </c>
      <c r="X83">
        <v>4</v>
      </c>
      <c r="Y83">
        <v>0.2</v>
      </c>
      <c r="Z83">
        <v>0.65</v>
      </c>
      <c r="AA83">
        <v>0.05</v>
      </c>
      <c r="AB83">
        <v>0.1</v>
      </c>
      <c r="AD83">
        <v>4</v>
      </c>
      <c r="AE83">
        <v>4</v>
      </c>
      <c r="AF83">
        <v>0.2</v>
      </c>
      <c r="AG83">
        <v>0.65</v>
      </c>
      <c r="AH83">
        <v>0.05</v>
      </c>
      <c r="AI83">
        <v>0.1</v>
      </c>
      <c r="AK83">
        <v>4</v>
      </c>
      <c r="AL83">
        <v>4</v>
      </c>
      <c r="AM83">
        <v>0.2</v>
      </c>
      <c r="AN83">
        <v>0.65</v>
      </c>
      <c r="AO83">
        <v>0.05</v>
      </c>
      <c r="AP83">
        <v>0.12</v>
      </c>
      <c r="AR83">
        <v>4</v>
      </c>
      <c r="AS83">
        <v>4</v>
      </c>
      <c r="AT83">
        <v>0.25</v>
      </c>
      <c r="AU83">
        <v>0.6</v>
      </c>
      <c r="AV83">
        <v>0.05</v>
      </c>
      <c r="AW83">
        <v>0.15</v>
      </c>
      <c r="AY83">
        <v>4</v>
      </c>
      <c r="AZ83">
        <v>4</v>
      </c>
      <c r="BA83">
        <v>0.3</v>
      </c>
      <c r="BB83">
        <v>0.55000000000000004</v>
      </c>
      <c r="BC83">
        <v>0.05</v>
      </c>
      <c r="BD83">
        <v>0.16</v>
      </c>
      <c r="BF83">
        <v>4</v>
      </c>
      <c r="BG83">
        <v>4</v>
      </c>
      <c r="BH83">
        <v>0.35</v>
      </c>
      <c r="BI83">
        <v>0.48</v>
      </c>
      <c r="BJ83">
        <v>7.0000000000000007E-2</v>
      </c>
      <c r="BK83">
        <v>0.18</v>
      </c>
      <c r="BM83">
        <v>4</v>
      </c>
      <c r="BN83">
        <v>4</v>
      </c>
      <c r="BO83">
        <v>0.33</v>
      </c>
      <c r="BP83">
        <v>0.42</v>
      </c>
      <c r="BQ83">
        <v>0.1</v>
      </c>
      <c r="BR83">
        <v>0.22</v>
      </c>
    </row>
    <row r="84" spans="1:90" x14ac:dyDescent="0.2">
      <c r="W84">
        <v>5</v>
      </c>
      <c r="X84">
        <v>5</v>
      </c>
      <c r="Y84">
        <v>0.3</v>
      </c>
      <c r="Z84">
        <v>0.45</v>
      </c>
      <c r="AA84">
        <v>0.05</v>
      </c>
      <c r="AB84">
        <v>0.2</v>
      </c>
      <c r="AD84">
        <v>5</v>
      </c>
      <c r="AE84">
        <v>5</v>
      </c>
      <c r="AF84">
        <v>0.3</v>
      </c>
      <c r="AG84">
        <v>0.45</v>
      </c>
      <c r="AH84">
        <v>0.05</v>
      </c>
      <c r="AI84">
        <v>0.2</v>
      </c>
      <c r="AK84">
        <v>5</v>
      </c>
      <c r="AL84">
        <v>5</v>
      </c>
      <c r="AM84">
        <v>0.3</v>
      </c>
      <c r="AN84">
        <v>0.5</v>
      </c>
      <c r="AO84">
        <v>0.05</v>
      </c>
      <c r="AP84">
        <v>0.18</v>
      </c>
      <c r="AR84">
        <v>5</v>
      </c>
      <c r="AS84">
        <v>5</v>
      </c>
      <c r="AT84">
        <v>0.33</v>
      </c>
      <c r="AU84">
        <v>0.45</v>
      </c>
      <c r="AV84">
        <v>7.0000000000000007E-2</v>
      </c>
      <c r="AW84">
        <v>0.18</v>
      </c>
      <c r="AY84">
        <v>5</v>
      </c>
      <c r="AZ84">
        <v>5</v>
      </c>
      <c r="BA84">
        <v>0.38</v>
      </c>
      <c r="BB84">
        <v>0.4</v>
      </c>
      <c r="BC84">
        <v>7.0000000000000007E-2</v>
      </c>
      <c r="BD84">
        <v>0.22</v>
      </c>
      <c r="BF84">
        <v>5</v>
      </c>
      <c r="BG84">
        <v>5</v>
      </c>
      <c r="BH84">
        <v>0.42</v>
      </c>
      <c r="BI84">
        <v>0.35</v>
      </c>
      <c r="BJ84">
        <v>0.08</v>
      </c>
      <c r="BK84">
        <v>0.24</v>
      </c>
      <c r="BM84">
        <v>5</v>
      </c>
      <c r="BN84">
        <v>5</v>
      </c>
      <c r="BO84">
        <v>0.4</v>
      </c>
      <c r="BP84">
        <v>0.33</v>
      </c>
      <c r="BQ84">
        <v>0.1</v>
      </c>
      <c r="BR84">
        <v>0.26</v>
      </c>
    </row>
    <row r="85" spans="1:90" x14ac:dyDescent="0.2">
      <c r="W85">
        <v>6</v>
      </c>
      <c r="X85">
        <v>6</v>
      </c>
      <c r="Y85">
        <v>0.4</v>
      </c>
      <c r="Z85">
        <v>0.35</v>
      </c>
      <c r="AA85">
        <v>0.1</v>
      </c>
      <c r="AB85">
        <v>0.15</v>
      </c>
      <c r="AD85">
        <v>6</v>
      </c>
      <c r="AE85">
        <v>6</v>
      </c>
      <c r="AF85">
        <v>0.4</v>
      </c>
      <c r="AG85">
        <v>0.35</v>
      </c>
      <c r="AH85">
        <v>0.1</v>
      </c>
      <c r="AI85">
        <v>0.15</v>
      </c>
      <c r="AK85">
        <v>6</v>
      </c>
      <c r="AL85">
        <v>6</v>
      </c>
      <c r="AM85">
        <v>0.35</v>
      </c>
      <c r="AN85">
        <v>0.4</v>
      </c>
      <c r="AO85">
        <v>0.1</v>
      </c>
      <c r="AP85">
        <v>0.18</v>
      </c>
      <c r="AR85">
        <v>6</v>
      </c>
      <c r="AS85">
        <v>6</v>
      </c>
      <c r="AT85">
        <v>0.4</v>
      </c>
      <c r="AU85">
        <v>0.35</v>
      </c>
      <c r="AV85">
        <v>0.1</v>
      </c>
      <c r="AW85">
        <v>0.2</v>
      </c>
      <c r="AY85">
        <v>6</v>
      </c>
      <c r="AZ85">
        <v>6</v>
      </c>
      <c r="BA85">
        <v>0.45</v>
      </c>
      <c r="BB85">
        <v>0.3</v>
      </c>
      <c r="BC85">
        <v>0.1</v>
      </c>
      <c r="BD85">
        <v>0.24</v>
      </c>
      <c r="BF85">
        <v>6</v>
      </c>
      <c r="BG85">
        <v>6</v>
      </c>
      <c r="BH85">
        <v>0.5</v>
      </c>
      <c r="BI85">
        <v>0.28000000000000003</v>
      </c>
      <c r="BJ85">
        <v>0.09</v>
      </c>
      <c r="BK85">
        <v>0.26</v>
      </c>
      <c r="BM85">
        <v>6</v>
      </c>
      <c r="BN85">
        <v>6</v>
      </c>
      <c r="BO85">
        <v>0.5</v>
      </c>
      <c r="BP85">
        <v>0.2</v>
      </c>
      <c r="BQ85">
        <v>0.1</v>
      </c>
      <c r="BR85">
        <v>0.3</v>
      </c>
    </row>
    <row r="86" spans="1:90" x14ac:dyDescent="0.2">
      <c r="W86">
        <v>7</v>
      </c>
      <c r="X86">
        <v>7</v>
      </c>
      <c r="Y86">
        <v>0.55000000000000004</v>
      </c>
      <c r="Z86">
        <v>0.15</v>
      </c>
      <c r="AA86">
        <v>0.1</v>
      </c>
      <c r="AB86">
        <v>0.2</v>
      </c>
      <c r="AD86">
        <v>7</v>
      </c>
      <c r="AE86">
        <v>7</v>
      </c>
      <c r="AF86">
        <v>0.55000000000000004</v>
      </c>
      <c r="AG86">
        <v>0.15</v>
      </c>
      <c r="AH86">
        <v>0.1</v>
      </c>
      <c r="AI86">
        <v>0.2</v>
      </c>
      <c r="AK86">
        <v>7</v>
      </c>
      <c r="AL86">
        <v>7</v>
      </c>
      <c r="AM86">
        <v>0.45</v>
      </c>
      <c r="AN86">
        <v>0.3</v>
      </c>
      <c r="AO86">
        <v>0.1</v>
      </c>
      <c r="AP86">
        <v>0.22</v>
      </c>
      <c r="AR86">
        <v>7</v>
      </c>
      <c r="AS86">
        <v>7</v>
      </c>
      <c r="AT86">
        <v>0.5</v>
      </c>
      <c r="AU86">
        <v>0.25</v>
      </c>
      <c r="AV86">
        <v>0.1</v>
      </c>
      <c r="AW86">
        <v>0.25</v>
      </c>
      <c r="AY86">
        <v>7</v>
      </c>
      <c r="AZ86">
        <v>7</v>
      </c>
      <c r="BA86">
        <v>0.57999999999999996</v>
      </c>
      <c r="BB86">
        <v>0.18</v>
      </c>
      <c r="BC86">
        <v>0.09</v>
      </c>
      <c r="BD86">
        <v>0.3</v>
      </c>
      <c r="BF86">
        <v>7</v>
      </c>
      <c r="BG86">
        <v>7</v>
      </c>
      <c r="BH86">
        <v>0.62</v>
      </c>
      <c r="BI86">
        <v>0.14000000000000001</v>
      </c>
      <c r="BJ86">
        <v>0.08</v>
      </c>
      <c r="BK86">
        <v>0.34</v>
      </c>
      <c r="BM86">
        <v>7</v>
      </c>
      <c r="BN86">
        <v>7</v>
      </c>
      <c r="BO86">
        <v>0.55000000000000004</v>
      </c>
      <c r="BP86">
        <v>0.15</v>
      </c>
      <c r="BQ86">
        <v>0.1</v>
      </c>
      <c r="BR86">
        <v>0.34</v>
      </c>
    </row>
    <row r="87" spans="1:90" x14ac:dyDescent="0.2">
      <c r="W87">
        <v>8</v>
      </c>
      <c r="X87">
        <v>9</v>
      </c>
      <c r="Y87">
        <v>0.5</v>
      </c>
      <c r="Z87">
        <v>0.1</v>
      </c>
      <c r="AA87">
        <v>0.1</v>
      </c>
      <c r="AB87">
        <v>0.3</v>
      </c>
      <c r="AD87">
        <v>8</v>
      </c>
      <c r="AE87">
        <v>9</v>
      </c>
      <c r="AF87">
        <v>0.5</v>
      </c>
      <c r="AG87">
        <v>0.1</v>
      </c>
      <c r="AH87">
        <v>0.1</v>
      </c>
      <c r="AI87">
        <v>0.3</v>
      </c>
      <c r="AK87">
        <v>8</v>
      </c>
      <c r="AL87">
        <v>9</v>
      </c>
      <c r="AM87">
        <v>0.5</v>
      </c>
      <c r="AN87">
        <v>0.15</v>
      </c>
      <c r="AO87">
        <v>0.1</v>
      </c>
      <c r="AP87">
        <v>0.28000000000000003</v>
      </c>
      <c r="AR87">
        <v>8</v>
      </c>
      <c r="AS87">
        <v>9</v>
      </c>
      <c r="AT87">
        <v>0.55000000000000004</v>
      </c>
      <c r="AU87">
        <v>0.1</v>
      </c>
      <c r="AV87">
        <v>0.05</v>
      </c>
      <c r="AW87">
        <v>0.32</v>
      </c>
      <c r="AY87">
        <v>8</v>
      </c>
      <c r="AZ87">
        <v>9</v>
      </c>
      <c r="BA87">
        <v>0.6</v>
      </c>
      <c r="BB87">
        <v>7.0000000000000007E-2</v>
      </c>
      <c r="BC87">
        <v>0.03</v>
      </c>
      <c r="BD87">
        <v>0.36</v>
      </c>
      <c r="BF87">
        <v>8</v>
      </c>
      <c r="BG87">
        <v>9</v>
      </c>
      <c r="BH87">
        <v>0.64</v>
      </c>
      <c r="BI87">
        <v>0.04</v>
      </c>
      <c r="BJ87">
        <v>0.02</v>
      </c>
      <c r="BK87">
        <v>0.39</v>
      </c>
      <c r="BM87">
        <v>8</v>
      </c>
      <c r="BN87">
        <v>9</v>
      </c>
      <c r="BO87">
        <v>0.6</v>
      </c>
      <c r="BP87">
        <v>0.05</v>
      </c>
      <c r="BQ87">
        <v>0.05</v>
      </c>
      <c r="BR87">
        <v>0.38</v>
      </c>
    </row>
    <row r="88" spans="1:90" x14ac:dyDescent="0.2">
      <c r="W88">
        <v>9</v>
      </c>
      <c r="X88">
        <v>10</v>
      </c>
      <c r="Y88">
        <v>0.5</v>
      </c>
      <c r="Z88">
        <v>0.1</v>
      </c>
      <c r="AA88">
        <v>0.1</v>
      </c>
      <c r="AB88">
        <v>0.3</v>
      </c>
      <c r="AD88">
        <v>9</v>
      </c>
      <c r="AE88">
        <v>10</v>
      </c>
      <c r="AF88">
        <v>0.5</v>
      </c>
      <c r="AG88">
        <v>0.1</v>
      </c>
      <c r="AH88">
        <v>0.1</v>
      </c>
      <c r="AI88">
        <v>0.3</v>
      </c>
      <c r="AK88">
        <v>9</v>
      </c>
      <c r="AL88">
        <v>10</v>
      </c>
      <c r="AM88">
        <v>0.45</v>
      </c>
      <c r="AN88">
        <v>0.05</v>
      </c>
      <c r="AO88">
        <v>0.45</v>
      </c>
      <c r="AP88">
        <v>0.15</v>
      </c>
      <c r="AR88">
        <v>9</v>
      </c>
      <c r="AS88">
        <v>10</v>
      </c>
      <c r="AT88">
        <v>0.48</v>
      </c>
      <c r="AU88">
        <v>0.04</v>
      </c>
      <c r="AV88">
        <v>0.48</v>
      </c>
      <c r="AW88">
        <v>0.18</v>
      </c>
      <c r="AY88">
        <v>9</v>
      </c>
      <c r="AZ88">
        <v>10</v>
      </c>
      <c r="BA88">
        <v>0.55000000000000004</v>
      </c>
      <c r="BB88">
        <v>0.03</v>
      </c>
      <c r="BC88">
        <v>0.42</v>
      </c>
      <c r="BD88">
        <v>0.2</v>
      </c>
      <c r="BF88">
        <v>9</v>
      </c>
      <c r="BG88">
        <v>10</v>
      </c>
      <c r="BH88">
        <v>0.6</v>
      </c>
      <c r="BI88">
        <v>0.03</v>
      </c>
      <c r="BJ88">
        <v>0.37</v>
      </c>
      <c r="BK88">
        <v>0.22</v>
      </c>
      <c r="BM88">
        <v>9</v>
      </c>
      <c r="BN88">
        <v>10</v>
      </c>
      <c r="BO88">
        <v>0.48</v>
      </c>
      <c r="BP88">
        <v>0.05</v>
      </c>
      <c r="BQ88">
        <v>0.42</v>
      </c>
      <c r="BR88">
        <v>0.26</v>
      </c>
    </row>
    <row r="89" spans="1:90" x14ac:dyDescent="0.2">
      <c r="W89">
        <v>10</v>
      </c>
      <c r="X89">
        <v>11</v>
      </c>
      <c r="Y89">
        <v>0.55000000000000004</v>
      </c>
      <c r="Z89">
        <v>0.05</v>
      </c>
      <c r="AA89">
        <v>0.05</v>
      </c>
      <c r="AB89">
        <v>0.35</v>
      </c>
      <c r="AD89">
        <v>10</v>
      </c>
      <c r="AE89">
        <v>11</v>
      </c>
      <c r="AF89">
        <v>0.55000000000000004</v>
      </c>
      <c r="AG89">
        <v>0.05</v>
      </c>
      <c r="AH89">
        <v>0.1</v>
      </c>
      <c r="AI89">
        <v>0.35</v>
      </c>
      <c r="AK89">
        <v>10</v>
      </c>
      <c r="AL89">
        <v>11</v>
      </c>
      <c r="AM89">
        <v>0.5</v>
      </c>
      <c r="AN89">
        <v>0.05</v>
      </c>
      <c r="AO89">
        <v>0.25</v>
      </c>
      <c r="AP89">
        <v>0.2</v>
      </c>
      <c r="AR89">
        <v>10</v>
      </c>
      <c r="AS89">
        <v>11</v>
      </c>
      <c r="AT89">
        <v>0.52</v>
      </c>
      <c r="AU89">
        <v>0.05</v>
      </c>
      <c r="AV89">
        <v>0.25</v>
      </c>
      <c r="AW89">
        <v>0.22</v>
      </c>
      <c r="AY89">
        <v>10</v>
      </c>
      <c r="AZ89">
        <v>11</v>
      </c>
      <c r="BA89">
        <v>0.57999999999999996</v>
      </c>
      <c r="BB89">
        <v>0.03</v>
      </c>
      <c r="BC89">
        <v>0.26</v>
      </c>
      <c r="BD89">
        <v>0.26</v>
      </c>
      <c r="BF89">
        <v>10</v>
      </c>
      <c r="BG89">
        <v>11</v>
      </c>
      <c r="BH89">
        <v>0.62</v>
      </c>
      <c r="BI89">
        <v>0.03</v>
      </c>
      <c r="BJ89">
        <v>0.25</v>
      </c>
      <c r="BK89">
        <v>0.28000000000000003</v>
      </c>
      <c r="BM89">
        <v>10</v>
      </c>
      <c r="BN89">
        <v>11</v>
      </c>
      <c r="BO89">
        <v>0.52</v>
      </c>
      <c r="BP89">
        <v>0.05</v>
      </c>
      <c r="BQ89">
        <v>0.3</v>
      </c>
      <c r="BR89">
        <v>0.3</v>
      </c>
    </row>
    <row r="90" spans="1:90" x14ac:dyDescent="0.2">
      <c r="W90">
        <v>11</v>
      </c>
      <c r="X90">
        <v>12</v>
      </c>
      <c r="Y90">
        <v>0.55000000000000004</v>
      </c>
      <c r="Z90">
        <v>0.05</v>
      </c>
      <c r="AA90">
        <v>0.1</v>
      </c>
      <c r="AB90">
        <v>0.35</v>
      </c>
      <c r="AD90">
        <v>11</v>
      </c>
      <c r="AE90">
        <v>12</v>
      </c>
      <c r="AF90">
        <v>0.55000000000000004</v>
      </c>
      <c r="AG90">
        <v>0.05</v>
      </c>
      <c r="AH90">
        <v>0.1</v>
      </c>
      <c r="AI90">
        <v>0.35</v>
      </c>
      <c r="AK90">
        <v>11</v>
      </c>
      <c r="AL90">
        <v>12</v>
      </c>
      <c r="AM90">
        <v>0.55000000000000004</v>
      </c>
      <c r="AN90">
        <v>0.05</v>
      </c>
      <c r="AO90">
        <v>0.2</v>
      </c>
      <c r="AP90">
        <v>0.25</v>
      </c>
      <c r="AR90">
        <v>11</v>
      </c>
      <c r="AS90">
        <v>12</v>
      </c>
      <c r="AT90">
        <v>0.55000000000000004</v>
      </c>
      <c r="AU90">
        <v>0.05</v>
      </c>
      <c r="AV90">
        <v>0.2</v>
      </c>
      <c r="AW90">
        <v>0.26</v>
      </c>
      <c r="AY90">
        <v>11</v>
      </c>
      <c r="AZ90">
        <v>12</v>
      </c>
      <c r="BA90">
        <v>0.6</v>
      </c>
      <c r="BB90">
        <v>0.02</v>
      </c>
      <c r="BC90">
        <v>0.18</v>
      </c>
      <c r="BD90">
        <v>0.3</v>
      </c>
      <c r="BF90">
        <v>11</v>
      </c>
      <c r="BG90">
        <v>12</v>
      </c>
      <c r="BH90">
        <v>0.63</v>
      </c>
      <c r="BI90">
        <v>0.02</v>
      </c>
      <c r="BJ90">
        <v>0.18</v>
      </c>
      <c r="BK90">
        <v>0.32</v>
      </c>
      <c r="BM90">
        <v>11</v>
      </c>
      <c r="BN90">
        <v>12</v>
      </c>
      <c r="BO90">
        <v>0.56000000000000005</v>
      </c>
      <c r="BP90">
        <v>0.04</v>
      </c>
      <c r="BQ90">
        <v>0.2</v>
      </c>
      <c r="BR90">
        <v>0.34</v>
      </c>
    </row>
    <row r="91" spans="1:90" x14ac:dyDescent="0.2">
      <c r="W91">
        <v>12</v>
      </c>
      <c r="X91">
        <v>8</v>
      </c>
      <c r="Y91">
        <v>0.5</v>
      </c>
      <c r="Z91">
        <v>0.05</v>
      </c>
      <c r="AA91">
        <v>0.35</v>
      </c>
      <c r="AB91">
        <v>0.1</v>
      </c>
      <c r="AD91">
        <v>12</v>
      </c>
      <c r="AE91">
        <v>8</v>
      </c>
      <c r="AF91">
        <v>0.5</v>
      </c>
      <c r="AG91">
        <v>0.05</v>
      </c>
      <c r="AH91">
        <v>0.35</v>
      </c>
      <c r="AI91">
        <v>0.1</v>
      </c>
      <c r="AK91">
        <v>12</v>
      </c>
      <c r="AL91">
        <v>8</v>
      </c>
      <c r="AM91">
        <v>0.55000000000000004</v>
      </c>
      <c r="AN91">
        <v>0</v>
      </c>
      <c r="AO91">
        <v>0.25</v>
      </c>
      <c r="AP91">
        <v>0.22</v>
      </c>
      <c r="AR91">
        <v>12</v>
      </c>
      <c r="AS91">
        <v>8</v>
      </c>
      <c r="AT91">
        <v>0.56000000000000005</v>
      </c>
      <c r="AU91">
        <v>0</v>
      </c>
      <c r="AV91">
        <v>0.24</v>
      </c>
      <c r="AW91">
        <v>0.24</v>
      </c>
      <c r="AY91">
        <v>12</v>
      </c>
      <c r="AZ91">
        <v>8</v>
      </c>
      <c r="BA91">
        <v>0.62</v>
      </c>
      <c r="BB91">
        <v>0</v>
      </c>
      <c r="BC91">
        <v>0.18</v>
      </c>
      <c r="BD91">
        <v>0.28000000000000003</v>
      </c>
      <c r="BF91">
        <v>12</v>
      </c>
      <c r="BG91">
        <v>8</v>
      </c>
      <c r="BH91">
        <v>0.65</v>
      </c>
      <c r="BI91">
        <v>0</v>
      </c>
      <c r="BJ91">
        <v>0.15</v>
      </c>
      <c r="BK91">
        <v>0.3</v>
      </c>
      <c r="BM91">
        <v>12</v>
      </c>
      <c r="BN91">
        <v>8</v>
      </c>
      <c r="BO91">
        <v>0.56999999999999995</v>
      </c>
      <c r="BP91">
        <v>0</v>
      </c>
      <c r="BQ91">
        <v>0.23</v>
      </c>
      <c r="BR91">
        <v>0.32</v>
      </c>
    </row>
    <row r="93" spans="1:90" x14ac:dyDescent="0.2">
      <c r="A93" s="58" t="s">
        <v>1110</v>
      </c>
      <c r="B93" t="s">
        <v>1115</v>
      </c>
    </row>
    <row r="94" spans="1:90" x14ac:dyDescent="0.2">
      <c r="A94" s="58"/>
    </row>
    <row r="95" spans="1:90" x14ac:dyDescent="0.2">
      <c r="B95" t="s">
        <v>1111</v>
      </c>
      <c r="I95" t="s">
        <v>1113</v>
      </c>
      <c r="P95" t="s">
        <v>1114</v>
      </c>
      <c r="W95" t="s">
        <v>599</v>
      </c>
      <c r="AD95" t="s">
        <v>598</v>
      </c>
      <c r="AK95" t="s">
        <v>228</v>
      </c>
      <c r="AR95" t="s">
        <v>597</v>
      </c>
      <c r="AY95" t="s">
        <v>596</v>
      </c>
      <c r="BF95" t="s">
        <v>595</v>
      </c>
      <c r="BM95" t="s">
        <v>594</v>
      </c>
      <c r="BT95" t="s">
        <v>593</v>
      </c>
      <c r="CA95" t="s">
        <v>592</v>
      </c>
      <c r="CH95" t="s">
        <v>591</v>
      </c>
    </row>
    <row r="96" spans="1:90" x14ac:dyDescent="0.2">
      <c r="B96" s="86" t="s">
        <v>641</v>
      </c>
      <c r="C96" s="86" t="s">
        <v>1082</v>
      </c>
      <c r="D96" s="86" t="s">
        <v>1083</v>
      </c>
      <c r="E96" s="86" t="s">
        <v>1084</v>
      </c>
      <c r="F96" s="86" t="s">
        <v>1085</v>
      </c>
      <c r="I96" s="86" t="s">
        <v>641</v>
      </c>
      <c r="J96" s="86" t="s">
        <v>1082</v>
      </c>
      <c r="K96" s="86" t="s">
        <v>1083</v>
      </c>
      <c r="L96" s="86" t="s">
        <v>1084</v>
      </c>
      <c r="M96" s="86" t="s">
        <v>1085</v>
      </c>
      <c r="P96" s="86" t="s">
        <v>641</v>
      </c>
      <c r="Q96" s="86" t="s">
        <v>1082</v>
      </c>
      <c r="R96" s="86" t="s">
        <v>1083</v>
      </c>
      <c r="S96" s="86" t="s">
        <v>1084</v>
      </c>
      <c r="T96" s="86" t="s">
        <v>1085</v>
      </c>
      <c r="W96" s="86" t="s">
        <v>641</v>
      </c>
      <c r="X96" s="86" t="s">
        <v>1082</v>
      </c>
      <c r="Y96" s="86" t="s">
        <v>1083</v>
      </c>
      <c r="Z96" s="86" t="s">
        <v>1084</v>
      </c>
      <c r="AA96" s="86" t="s">
        <v>1085</v>
      </c>
      <c r="AD96" s="86" t="s">
        <v>641</v>
      </c>
      <c r="AE96" s="86" t="s">
        <v>1082</v>
      </c>
      <c r="AF96" s="86" t="s">
        <v>1083</v>
      </c>
      <c r="AG96" s="86" t="s">
        <v>1084</v>
      </c>
      <c r="AH96" s="86" t="s">
        <v>1085</v>
      </c>
      <c r="AK96" s="86" t="s">
        <v>641</v>
      </c>
      <c r="AL96" s="86" t="s">
        <v>1082</v>
      </c>
      <c r="AM96" s="86" t="s">
        <v>1083</v>
      </c>
      <c r="AN96" s="86" t="s">
        <v>1084</v>
      </c>
      <c r="AO96" s="86" t="s">
        <v>1085</v>
      </c>
      <c r="AR96" s="86" t="s">
        <v>641</v>
      </c>
      <c r="AS96" s="86" t="s">
        <v>1082</v>
      </c>
      <c r="AT96" s="86" t="s">
        <v>1083</v>
      </c>
      <c r="AU96" s="86" t="s">
        <v>1084</v>
      </c>
      <c r="AV96" s="86" t="s">
        <v>1085</v>
      </c>
      <c r="AY96" s="86" t="s">
        <v>641</v>
      </c>
      <c r="AZ96" s="86" t="s">
        <v>1082</v>
      </c>
      <c r="BA96" s="86" t="s">
        <v>1083</v>
      </c>
      <c r="BB96" s="86" t="s">
        <v>1084</v>
      </c>
      <c r="BC96" s="86" t="s">
        <v>1085</v>
      </c>
      <c r="BF96" s="86" t="s">
        <v>641</v>
      </c>
      <c r="BG96" s="86" t="s">
        <v>1082</v>
      </c>
      <c r="BH96" s="86" t="s">
        <v>1083</v>
      </c>
      <c r="BI96" s="86" t="s">
        <v>1084</v>
      </c>
      <c r="BJ96" s="86" t="s">
        <v>1085</v>
      </c>
      <c r="BM96" s="86" t="s">
        <v>641</v>
      </c>
      <c r="BN96" s="86" t="s">
        <v>1082</v>
      </c>
      <c r="BO96" s="86" t="s">
        <v>1083</v>
      </c>
      <c r="BP96" s="86" t="s">
        <v>1084</v>
      </c>
      <c r="BQ96" s="86" t="s">
        <v>1085</v>
      </c>
      <c r="BT96" s="86" t="s">
        <v>641</v>
      </c>
      <c r="BU96" s="86" t="s">
        <v>1082</v>
      </c>
      <c r="BV96" s="86" t="s">
        <v>1083</v>
      </c>
      <c r="BW96" s="86" t="s">
        <v>1084</v>
      </c>
      <c r="BX96" s="86" t="s">
        <v>1085</v>
      </c>
      <c r="CA96" s="86" t="s">
        <v>641</v>
      </c>
      <c r="CB96" s="86" t="s">
        <v>1082</v>
      </c>
      <c r="CC96" s="86" t="s">
        <v>1083</v>
      </c>
      <c r="CD96" s="86" t="s">
        <v>1084</v>
      </c>
      <c r="CE96" s="86" t="s">
        <v>1085</v>
      </c>
      <c r="CH96" s="86" t="s">
        <v>641</v>
      </c>
      <c r="CI96" s="86" t="s">
        <v>1082</v>
      </c>
      <c r="CJ96" s="86" t="s">
        <v>1083</v>
      </c>
      <c r="CK96" s="86" t="s">
        <v>1084</v>
      </c>
      <c r="CL96" s="86" t="s">
        <v>1085</v>
      </c>
    </row>
    <row r="97" spans="1:90" x14ac:dyDescent="0.2">
      <c r="B97" t="s">
        <v>1089</v>
      </c>
      <c r="C97">
        <v>0.4</v>
      </c>
      <c r="D97">
        <v>0.3</v>
      </c>
      <c r="E97">
        <v>0.1</v>
      </c>
      <c r="F97">
        <v>0.2</v>
      </c>
      <c r="I97" t="s">
        <v>1089</v>
      </c>
      <c r="J97">
        <v>0.4</v>
      </c>
      <c r="K97">
        <v>0.25</v>
      </c>
      <c r="L97">
        <v>0.15</v>
      </c>
      <c r="M97">
        <v>0.2</v>
      </c>
      <c r="P97" t="s">
        <v>1089</v>
      </c>
      <c r="Q97">
        <v>0.45</v>
      </c>
      <c r="R97">
        <v>0.2</v>
      </c>
      <c r="S97">
        <v>0.1</v>
      </c>
      <c r="T97">
        <v>0.25</v>
      </c>
      <c r="W97" t="s">
        <v>1089</v>
      </c>
      <c r="X97">
        <v>0.55000000000000004</v>
      </c>
      <c r="Y97">
        <v>0.15</v>
      </c>
      <c r="Z97">
        <v>0.1</v>
      </c>
      <c r="AA97">
        <v>0.2</v>
      </c>
      <c r="AD97" t="s">
        <v>1089</v>
      </c>
      <c r="AE97">
        <v>0.55000000000000004</v>
      </c>
      <c r="AF97">
        <v>0.15</v>
      </c>
      <c r="AG97">
        <v>0.1</v>
      </c>
      <c r="AH97">
        <v>0.25</v>
      </c>
      <c r="AK97" t="s">
        <v>1089</v>
      </c>
      <c r="AL97">
        <v>0.55000000000000004</v>
      </c>
      <c r="AM97">
        <v>0.15</v>
      </c>
      <c r="AN97">
        <v>0.05</v>
      </c>
      <c r="AO97">
        <v>0.25</v>
      </c>
      <c r="AR97" t="s">
        <v>1089</v>
      </c>
      <c r="AS97">
        <v>0.55000000000000004</v>
      </c>
      <c r="AT97">
        <v>0.15</v>
      </c>
      <c r="AU97">
        <v>0.05</v>
      </c>
      <c r="AV97">
        <v>0.3</v>
      </c>
      <c r="AY97" t="s">
        <v>1089</v>
      </c>
      <c r="AZ97">
        <v>0.6</v>
      </c>
      <c r="BA97">
        <v>0.15</v>
      </c>
      <c r="BB97">
        <v>0.05</v>
      </c>
      <c r="BC97">
        <v>0.3</v>
      </c>
      <c r="BF97" t="s">
        <v>1089</v>
      </c>
      <c r="BG97">
        <v>0.6</v>
      </c>
      <c r="BH97">
        <v>0.15</v>
      </c>
      <c r="BI97">
        <v>0.05</v>
      </c>
      <c r="BJ97">
        <v>0.3</v>
      </c>
      <c r="BM97" t="s">
        <v>1089</v>
      </c>
      <c r="BN97">
        <v>0.55000000000000004</v>
      </c>
      <c r="BO97">
        <v>0.15</v>
      </c>
      <c r="BP97">
        <v>0.1</v>
      </c>
      <c r="BQ97">
        <v>0.35</v>
      </c>
      <c r="BT97" t="s">
        <v>1089</v>
      </c>
      <c r="BU97">
        <v>0.64</v>
      </c>
      <c r="BV97">
        <v>0.02</v>
      </c>
      <c r="BW97">
        <v>0.26</v>
      </c>
      <c r="BX97">
        <v>0.34</v>
      </c>
      <c r="CA97" t="s">
        <v>1089</v>
      </c>
      <c r="CB97">
        <v>0.66</v>
      </c>
      <c r="CC97">
        <v>0.01</v>
      </c>
      <c r="CD97">
        <v>0.25</v>
      </c>
      <c r="CE97">
        <v>0.4</v>
      </c>
      <c r="CH97" t="s">
        <v>1089</v>
      </c>
      <c r="CI97">
        <v>0.7</v>
      </c>
      <c r="CJ97">
        <v>0.01</v>
      </c>
      <c r="CK97">
        <v>0.25</v>
      </c>
      <c r="CL97">
        <v>0.4</v>
      </c>
    </row>
    <row r="100" spans="1:90" x14ac:dyDescent="0.2">
      <c r="A100" s="58" t="s">
        <v>1112</v>
      </c>
      <c r="B100" t="s">
        <v>1116</v>
      </c>
    </row>
    <row r="103" spans="1:90" x14ac:dyDescent="0.2">
      <c r="B103" t="s">
        <v>383</v>
      </c>
      <c r="I103" t="s">
        <v>600</v>
      </c>
      <c r="P103" t="s">
        <v>1088</v>
      </c>
      <c r="W103" t="s">
        <v>599</v>
      </c>
      <c r="AD103" t="s">
        <v>598</v>
      </c>
      <c r="AK103" t="s">
        <v>1094</v>
      </c>
      <c r="AR103" t="s">
        <v>597</v>
      </c>
      <c r="AY103" t="s">
        <v>596</v>
      </c>
      <c r="BF103" t="s">
        <v>595</v>
      </c>
      <c r="BM103" t="s">
        <v>594</v>
      </c>
      <c r="BT103" t="s">
        <v>593</v>
      </c>
      <c r="CA103" t="s">
        <v>592</v>
      </c>
      <c r="CH103" t="s">
        <v>591</v>
      </c>
    </row>
    <row r="104" spans="1:90" x14ac:dyDescent="0.2">
      <c r="B104" s="86" t="s">
        <v>641</v>
      </c>
      <c r="C104" s="58" t="s">
        <v>1087</v>
      </c>
      <c r="D104" s="86" t="s">
        <v>1082</v>
      </c>
      <c r="E104" s="86" t="s">
        <v>1083</v>
      </c>
      <c r="F104" s="86" t="s">
        <v>1084</v>
      </c>
      <c r="G104" s="86" t="s">
        <v>1085</v>
      </c>
      <c r="I104" s="86" t="s">
        <v>641</v>
      </c>
      <c r="J104" s="58" t="s">
        <v>1087</v>
      </c>
      <c r="K104" s="86" t="s">
        <v>1082</v>
      </c>
      <c r="L104" s="86" t="s">
        <v>1083</v>
      </c>
      <c r="M104" s="86" t="s">
        <v>1084</v>
      </c>
      <c r="N104" s="86" t="s">
        <v>1085</v>
      </c>
      <c r="P104" s="86" t="s">
        <v>641</v>
      </c>
      <c r="Q104" s="58" t="s">
        <v>1087</v>
      </c>
      <c r="R104" s="86" t="s">
        <v>1082</v>
      </c>
      <c r="S104" s="86" t="s">
        <v>1083</v>
      </c>
      <c r="T104" s="86" t="s">
        <v>1084</v>
      </c>
      <c r="U104" s="86" t="s">
        <v>1085</v>
      </c>
      <c r="W104" s="86" t="s">
        <v>641</v>
      </c>
      <c r="X104" s="58" t="s">
        <v>1087</v>
      </c>
      <c r="Y104" s="86" t="s">
        <v>1082</v>
      </c>
      <c r="Z104" s="86" t="s">
        <v>1083</v>
      </c>
      <c r="AA104" s="86" t="s">
        <v>1084</v>
      </c>
      <c r="AB104" s="86" t="s">
        <v>1085</v>
      </c>
      <c r="AD104" s="86" t="s">
        <v>641</v>
      </c>
      <c r="AE104" s="58" t="s">
        <v>1087</v>
      </c>
      <c r="AF104" s="86" t="s">
        <v>1082</v>
      </c>
      <c r="AG104" s="86" t="s">
        <v>1083</v>
      </c>
      <c r="AH104" s="86" t="s">
        <v>1084</v>
      </c>
      <c r="AI104" s="86" t="s">
        <v>1085</v>
      </c>
      <c r="AK104" s="86" t="s">
        <v>641</v>
      </c>
      <c r="AL104" s="58" t="s">
        <v>1087</v>
      </c>
      <c r="AM104" s="86" t="s">
        <v>1082</v>
      </c>
      <c r="AN104" s="86" t="s">
        <v>1083</v>
      </c>
      <c r="AO104" s="86" t="s">
        <v>1084</v>
      </c>
      <c r="AP104" s="86" t="s">
        <v>1085</v>
      </c>
      <c r="AR104" s="86" t="s">
        <v>641</v>
      </c>
      <c r="AS104" s="58" t="s">
        <v>1087</v>
      </c>
      <c r="AT104" s="86" t="s">
        <v>1082</v>
      </c>
      <c r="AU104" s="86" t="s">
        <v>1083</v>
      </c>
      <c r="AV104" s="86" t="s">
        <v>1084</v>
      </c>
      <c r="AW104" s="86" t="s">
        <v>1085</v>
      </c>
      <c r="AY104" s="86" t="s">
        <v>641</v>
      </c>
      <c r="AZ104" s="58" t="s">
        <v>1087</v>
      </c>
      <c r="BA104" s="86" t="s">
        <v>1082</v>
      </c>
      <c r="BB104" s="86" t="s">
        <v>1083</v>
      </c>
      <c r="BC104" s="86" t="s">
        <v>1084</v>
      </c>
      <c r="BD104" s="86" t="s">
        <v>1085</v>
      </c>
      <c r="BE104" s="86"/>
      <c r="BF104" s="86" t="s">
        <v>641</v>
      </c>
      <c r="BG104" s="58" t="s">
        <v>1087</v>
      </c>
      <c r="BH104" s="86" t="s">
        <v>1082</v>
      </c>
      <c r="BI104" s="86" t="s">
        <v>1083</v>
      </c>
      <c r="BJ104" s="86" t="s">
        <v>1084</v>
      </c>
      <c r="BK104" s="86" t="s">
        <v>1085</v>
      </c>
      <c r="BL104" s="86"/>
      <c r="BM104" s="86" t="s">
        <v>641</v>
      </c>
      <c r="BN104" s="58" t="s">
        <v>1087</v>
      </c>
      <c r="BO104" s="86" t="s">
        <v>1082</v>
      </c>
      <c r="BP104" s="86" t="s">
        <v>1083</v>
      </c>
      <c r="BQ104" s="86" t="s">
        <v>1084</v>
      </c>
      <c r="BR104" s="86" t="s">
        <v>1085</v>
      </c>
      <c r="BS104" s="86"/>
      <c r="BT104" s="86" t="s">
        <v>641</v>
      </c>
      <c r="BU104" s="58" t="s">
        <v>1087</v>
      </c>
      <c r="BV104" s="86" t="s">
        <v>1082</v>
      </c>
      <c r="BW104" s="86" t="s">
        <v>1083</v>
      </c>
      <c r="BX104" s="86" t="s">
        <v>1084</v>
      </c>
      <c r="BY104" s="86" t="s">
        <v>1085</v>
      </c>
      <c r="CA104" s="86" t="s">
        <v>641</v>
      </c>
      <c r="CB104" s="58" t="s">
        <v>1087</v>
      </c>
      <c r="CC104" s="86" t="s">
        <v>1082</v>
      </c>
      <c r="CD104" s="86" t="s">
        <v>1083</v>
      </c>
      <c r="CE104" s="86" t="s">
        <v>1084</v>
      </c>
      <c r="CF104" s="86" t="s">
        <v>1085</v>
      </c>
      <c r="CH104" s="86" t="s">
        <v>641</v>
      </c>
      <c r="CI104" s="86" t="s">
        <v>1082</v>
      </c>
      <c r="CJ104" s="86" t="s">
        <v>1083</v>
      </c>
      <c r="CK104" s="86" t="s">
        <v>1084</v>
      </c>
      <c r="CL104" s="86" t="s">
        <v>1085</v>
      </c>
    </row>
    <row r="105" spans="1:90" x14ac:dyDescent="0.2">
      <c r="B105">
        <v>1</v>
      </c>
      <c r="C105">
        <v>2</v>
      </c>
      <c r="D105">
        <v>0.35</v>
      </c>
      <c r="E105">
        <v>0.2</v>
      </c>
      <c r="F105">
        <v>0.35</v>
      </c>
      <c r="G105">
        <v>0.1</v>
      </c>
      <c r="I105">
        <v>1</v>
      </c>
      <c r="J105">
        <v>2</v>
      </c>
      <c r="K105">
        <v>0.4</v>
      </c>
      <c r="L105">
        <v>0.1</v>
      </c>
      <c r="M105">
        <v>0.4</v>
      </c>
      <c r="N105">
        <v>0.1</v>
      </c>
      <c r="P105">
        <v>1</v>
      </c>
      <c r="Q105">
        <v>2</v>
      </c>
      <c r="R105">
        <v>0.45</v>
      </c>
      <c r="S105">
        <v>0.1</v>
      </c>
      <c r="T105">
        <v>0.35</v>
      </c>
      <c r="U105">
        <v>0.1</v>
      </c>
      <c r="W105">
        <v>1</v>
      </c>
      <c r="X105">
        <v>2</v>
      </c>
      <c r="Y105">
        <v>0.5</v>
      </c>
      <c r="Z105">
        <v>0.1</v>
      </c>
      <c r="AA105">
        <v>0.3</v>
      </c>
      <c r="AB105">
        <v>0.1</v>
      </c>
      <c r="AD105">
        <v>1</v>
      </c>
      <c r="AE105">
        <v>2</v>
      </c>
      <c r="AF105">
        <v>0.5</v>
      </c>
      <c r="AG105">
        <v>0.1</v>
      </c>
      <c r="AH105">
        <v>0.3</v>
      </c>
      <c r="AI105">
        <v>0.1</v>
      </c>
      <c r="AK105">
        <v>1</v>
      </c>
      <c r="AL105">
        <v>2</v>
      </c>
      <c r="AM105">
        <v>0.55000000000000004</v>
      </c>
      <c r="AN105">
        <v>0.05</v>
      </c>
      <c r="AO105">
        <v>0.35</v>
      </c>
      <c r="AP105">
        <v>0.15</v>
      </c>
      <c r="AR105">
        <v>1</v>
      </c>
      <c r="AS105">
        <v>2</v>
      </c>
      <c r="AT105">
        <v>0.55000000000000004</v>
      </c>
      <c r="AU105">
        <v>0.05</v>
      </c>
      <c r="AV105">
        <v>0.35</v>
      </c>
      <c r="AW105">
        <v>0.15</v>
      </c>
      <c r="AY105">
        <v>1</v>
      </c>
      <c r="AZ105">
        <v>2</v>
      </c>
      <c r="BA105">
        <v>0.6</v>
      </c>
      <c r="BB105">
        <v>0.05</v>
      </c>
      <c r="BC105">
        <v>0.35</v>
      </c>
      <c r="BD105">
        <v>0.2</v>
      </c>
      <c r="BF105">
        <v>1</v>
      </c>
      <c r="BG105">
        <v>2</v>
      </c>
      <c r="BH105">
        <v>0.6</v>
      </c>
      <c r="BI105">
        <v>0.05</v>
      </c>
      <c r="BJ105">
        <v>0.35</v>
      </c>
      <c r="BK105">
        <v>0.2</v>
      </c>
      <c r="BM105">
        <v>1</v>
      </c>
      <c r="BN105">
        <v>2</v>
      </c>
      <c r="BO105">
        <v>0.5</v>
      </c>
      <c r="BP105">
        <v>0.05</v>
      </c>
      <c r="BQ105">
        <v>0.35</v>
      </c>
      <c r="BR105">
        <v>0.3</v>
      </c>
      <c r="BT105">
        <v>1</v>
      </c>
      <c r="BU105">
        <v>2</v>
      </c>
      <c r="BV105">
        <v>0.62</v>
      </c>
      <c r="BW105">
        <v>0.03</v>
      </c>
      <c r="BX105">
        <v>0.25</v>
      </c>
      <c r="BY105">
        <v>0.38</v>
      </c>
      <c r="CA105">
        <v>1</v>
      </c>
      <c r="CB105">
        <v>2</v>
      </c>
      <c r="CC105">
        <v>0.65</v>
      </c>
      <c r="CD105">
        <v>0.02</v>
      </c>
      <c r="CE105">
        <v>0.23</v>
      </c>
      <c r="CF105">
        <v>0.45</v>
      </c>
      <c r="CH105" t="s">
        <v>1118</v>
      </c>
      <c r="CI105">
        <v>0.75</v>
      </c>
      <c r="CJ105">
        <v>0.02</v>
      </c>
      <c r="CK105">
        <v>0.23</v>
      </c>
      <c r="CL105">
        <v>0.5</v>
      </c>
    </row>
    <row r="106" spans="1:90" x14ac:dyDescent="0.2">
      <c r="B106">
        <v>2</v>
      </c>
      <c r="C106">
        <v>3</v>
      </c>
      <c r="D106">
        <v>0.35</v>
      </c>
      <c r="E106">
        <v>0.3</v>
      </c>
      <c r="F106">
        <v>0.25</v>
      </c>
      <c r="G106">
        <v>0.1</v>
      </c>
      <c r="I106">
        <v>2</v>
      </c>
      <c r="J106">
        <v>3</v>
      </c>
      <c r="K106">
        <v>0.45</v>
      </c>
      <c r="L106">
        <v>0.2</v>
      </c>
      <c r="M106">
        <v>0.25</v>
      </c>
      <c r="N106">
        <v>0.1</v>
      </c>
      <c r="P106">
        <v>2</v>
      </c>
      <c r="Q106">
        <v>3</v>
      </c>
      <c r="R106">
        <v>0.45</v>
      </c>
      <c r="S106">
        <v>0.2</v>
      </c>
      <c r="T106">
        <v>0.2</v>
      </c>
      <c r="U106">
        <v>0.15</v>
      </c>
      <c r="W106">
        <v>2</v>
      </c>
      <c r="X106">
        <v>3</v>
      </c>
      <c r="Y106">
        <v>0.5</v>
      </c>
      <c r="Z106">
        <v>0.15</v>
      </c>
      <c r="AA106">
        <v>0.2</v>
      </c>
      <c r="AB106">
        <v>0.15</v>
      </c>
      <c r="AD106">
        <v>2</v>
      </c>
      <c r="AE106">
        <v>3</v>
      </c>
      <c r="AF106">
        <v>0.5</v>
      </c>
      <c r="AG106">
        <v>0.15</v>
      </c>
      <c r="AH106">
        <v>0.2</v>
      </c>
      <c r="AI106">
        <v>0.15</v>
      </c>
      <c r="AK106">
        <v>2</v>
      </c>
      <c r="AL106">
        <v>3</v>
      </c>
      <c r="AM106">
        <v>0.55000000000000004</v>
      </c>
      <c r="AN106">
        <v>0.1</v>
      </c>
      <c r="AO106">
        <v>0.25</v>
      </c>
      <c r="AP106">
        <v>0.2</v>
      </c>
      <c r="AR106">
        <v>2</v>
      </c>
      <c r="AS106">
        <v>3</v>
      </c>
      <c r="AT106">
        <v>0.55000000000000004</v>
      </c>
      <c r="AU106">
        <v>0.1</v>
      </c>
      <c r="AV106">
        <v>0.25</v>
      </c>
      <c r="AW106">
        <v>0.2</v>
      </c>
      <c r="AY106">
        <v>2</v>
      </c>
      <c r="AZ106">
        <v>3</v>
      </c>
      <c r="BA106">
        <v>0.6</v>
      </c>
      <c r="BB106">
        <v>0.1</v>
      </c>
      <c r="BC106">
        <v>0.2</v>
      </c>
      <c r="BD106">
        <v>0.25</v>
      </c>
      <c r="BF106">
        <v>2</v>
      </c>
      <c r="BG106">
        <v>3</v>
      </c>
      <c r="BH106">
        <v>0.6</v>
      </c>
      <c r="BI106">
        <v>0.1</v>
      </c>
      <c r="BJ106">
        <v>0.2</v>
      </c>
      <c r="BK106">
        <v>0.25</v>
      </c>
      <c r="BM106">
        <v>2</v>
      </c>
      <c r="BN106">
        <v>3</v>
      </c>
      <c r="BO106">
        <v>0.55000000000000004</v>
      </c>
      <c r="BP106">
        <v>0.1</v>
      </c>
      <c r="BQ106">
        <v>0.25</v>
      </c>
      <c r="BR106">
        <v>0.3</v>
      </c>
      <c r="BT106">
        <v>2</v>
      </c>
      <c r="BU106">
        <v>3</v>
      </c>
      <c r="BV106">
        <v>0.63</v>
      </c>
      <c r="BW106">
        <v>0.04</v>
      </c>
      <c r="BX106">
        <v>0.23</v>
      </c>
      <c r="BY106">
        <v>0.4</v>
      </c>
      <c r="CA106">
        <v>2</v>
      </c>
      <c r="CB106">
        <v>3</v>
      </c>
      <c r="CC106">
        <v>0.66</v>
      </c>
      <c r="CD106">
        <v>0.02</v>
      </c>
      <c r="CE106">
        <v>0.22</v>
      </c>
      <c r="CF106">
        <v>0.47</v>
      </c>
      <c r="CH106" t="s">
        <v>1117</v>
      </c>
      <c r="CI106">
        <v>0.85</v>
      </c>
      <c r="CJ106">
        <v>0.02</v>
      </c>
      <c r="CK106">
        <v>0.01</v>
      </c>
      <c r="CL106">
        <v>0.6</v>
      </c>
    </row>
    <row r="107" spans="1:90" x14ac:dyDescent="0.2">
      <c r="B107">
        <v>3</v>
      </c>
      <c r="C107">
        <v>1</v>
      </c>
      <c r="D107">
        <v>0.3</v>
      </c>
      <c r="E107">
        <v>0.5</v>
      </c>
      <c r="F107">
        <v>0.1</v>
      </c>
      <c r="G107">
        <v>0.1</v>
      </c>
      <c r="I107">
        <v>3</v>
      </c>
      <c r="J107">
        <v>1</v>
      </c>
      <c r="K107">
        <v>0.3</v>
      </c>
      <c r="L107">
        <v>0.5</v>
      </c>
      <c r="M107">
        <v>0.15</v>
      </c>
      <c r="N107">
        <v>0.15</v>
      </c>
      <c r="P107">
        <v>3</v>
      </c>
      <c r="Q107">
        <v>1</v>
      </c>
      <c r="R107">
        <v>0.35</v>
      </c>
      <c r="S107">
        <v>0.45</v>
      </c>
      <c r="T107">
        <v>0.1</v>
      </c>
      <c r="U107">
        <v>0.1</v>
      </c>
      <c r="W107">
        <v>3</v>
      </c>
      <c r="X107">
        <v>1</v>
      </c>
      <c r="Y107">
        <v>0.4</v>
      </c>
      <c r="Z107">
        <v>0.4</v>
      </c>
      <c r="AA107">
        <v>0.1</v>
      </c>
      <c r="AB107">
        <v>0.1</v>
      </c>
      <c r="AD107">
        <v>3</v>
      </c>
      <c r="AE107">
        <v>1</v>
      </c>
      <c r="AF107">
        <v>0.4</v>
      </c>
      <c r="AG107">
        <v>0.4</v>
      </c>
      <c r="AH107">
        <v>0.1</v>
      </c>
      <c r="AI107">
        <v>0.1</v>
      </c>
      <c r="AK107">
        <v>3</v>
      </c>
      <c r="AL107">
        <v>1</v>
      </c>
      <c r="AM107">
        <v>0.45</v>
      </c>
      <c r="AN107">
        <v>0.35</v>
      </c>
      <c r="AO107">
        <v>0.1</v>
      </c>
      <c r="AP107">
        <v>0.1</v>
      </c>
      <c r="AR107">
        <v>3</v>
      </c>
      <c r="AS107">
        <v>1</v>
      </c>
      <c r="AT107">
        <v>0.45</v>
      </c>
      <c r="AU107">
        <v>0.35</v>
      </c>
      <c r="AV107">
        <v>0.1</v>
      </c>
      <c r="AW107">
        <v>0.1</v>
      </c>
      <c r="AY107">
        <v>3</v>
      </c>
      <c r="AZ107">
        <v>1</v>
      </c>
      <c r="BA107">
        <v>0.5</v>
      </c>
      <c r="BB107">
        <v>0.25</v>
      </c>
      <c r="BC107">
        <v>0.15</v>
      </c>
      <c r="BD107">
        <v>0.1</v>
      </c>
      <c r="BF107">
        <v>3</v>
      </c>
      <c r="BG107">
        <v>1</v>
      </c>
      <c r="BH107">
        <v>0.5</v>
      </c>
      <c r="BI107">
        <v>0.25</v>
      </c>
      <c r="BJ107">
        <v>0.15</v>
      </c>
      <c r="BK107">
        <v>0.1</v>
      </c>
      <c r="BM107">
        <v>3</v>
      </c>
      <c r="BN107">
        <v>1</v>
      </c>
      <c r="BO107">
        <v>0.45</v>
      </c>
      <c r="BP107">
        <v>0.2</v>
      </c>
      <c r="BQ107">
        <v>0.2</v>
      </c>
      <c r="BR107">
        <v>0.25</v>
      </c>
      <c r="BT107">
        <v>3</v>
      </c>
      <c r="BU107">
        <v>1</v>
      </c>
      <c r="BV107">
        <v>0.55000000000000004</v>
      </c>
      <c r="BW107">
        <v>0.18</v>
      </c>
      <c r="BX107">
        <v>0.12</v>
      </c>
      <c r="BY107">
        <v>0.25</v>
      </c>
      <c r="CA107">
        <v>3</v>
      </c>
      <c r="CB107">
        <v>1</v>
      </c>
      <c r="CC107">
        <v>0.6</v>
      </c>
      <c r="CD107">
        <v>0.15</v>
      </c>
      <c r="CE107">
        <v>0.1</v>
      </c>
      <c r="CF107">
        <v>0.3</v>
      </c>
    </row>
    <row r="108" spans="1:90" x14ac:dyDescent="0.2">
      <c r="B108">
        <v>4</v>
      </c>
      <c r="C108">
        <v>4</v>
      </c>
      <c r="D108">
        <v>0.1</v>
      </c>
      <c r="E108">
        <v>0.75</v>
      </c>
      <c r="F108">
        <v>0.05</v>
      </c>
      <c r="G108">
        <v>0.1</v>
      </c>
      <c r="I108">
        <v>4</v>
      </c>
      <c r="J108">
        <v>4</v>
      </c>
      <c r="K108">
        <v>0.1</v>
      </c>
      <c r="L108">
        <v>0.75</v>
      </c>
      <c r="M108">
        <v>0.05</v>
      </c>
      <c r="N108">
        <v>0.1</v>
      </c>
      <c r="P108">
        <v>4</v>
      </c>
      <c r="Q108">
        <v>4</v>
      </c>
      <c r="R108">
        <v>0.15</v>
      </c>
      <c r="S108">
        <v>0.7</v>
      </c>
      <c r="T108">
        <v>0.05</v>
      </c>
      <c r="U108">
        <v>0.1</v>
      </c>
      <c r="W108">
        <v>4</v>
      </c>
      <c r="X108">
        <v>4</v>
      </c>
      <c r="Y108">
        <v>0.2</v>
      </c>
      <c r="Z108">
        <v>0.65</v>
      </c>
      <c r="AA108">
        <v>0.05</v>
      </c>
      <c r="AB108">
        <v>0.1</v>
      </c>
      <c r="AD108">
        <v>4</v>
      </c>
      <c r="AE108">
        <v>4</v>
      </c>
      <c r="AF108">
        <v>0.2</v>
      </c>
      <c r="AG108">
        <v>0.65</v>
      </c>
      <c r="AH108">
        <v>0.05</v>
      </c>
      <c r="AI108">
        <v>0.1</v>
      </c>
      <c r="AK108">
        <v>4</v>
      </c>
      <c r="AL108">
        <v>4</v>
      </c>
      <c r="AM108">
        <v>0.25</v>
      </c>
      <c r="AN108">
        <v>0.6</v>
      </c>
      <c r="AO108">
        <v>0.05</v>
      </c>
      <c r="AP108">
        <v>0.1</v>
      </c>
      <c r="AR108">
        <v>4</v>
      </c>
      <c r="AS108">
        <v>4</v>
      </c>
      <c r="AT108">
        <v>0.25</v>
      </c>
      <c r="AU108">
        <v>0.6</v>
      </c>
      <c r="AV108">
        <v>0.05</v>
      </c>
      <c r="AW108">
        <v>0.1</v>
      </c>
      <c r="AY108">
        <v>4</v>
      </c>
      <c r="AZ108">
        <v>4</v>
      </c>
      <c r="BA108">
        <v>0.4</v>
      </c>
      <c r="BB108">
        <v>0.4</v>
      </c>
      <c r="BC108">
        <v>0.05</v>
      </c>
      <c r="BD108">
        <v>0.15</v>
      </c>
      <c r="BF108">
        <v>4</v>
      </c>
      <c r="BG108">
        <v>4</v>
      </c>
      <c r="BH108">
        <v>0.4</v>
      </c>
      <c r="BI108">
        <v>0.4</v>
      </c>
      <c r="BJ108">
        <v>0.05</v>
      </c>
      <c r="BK108">
        <v>0.15</v>
      </c>
      <c r="BM108">
        <v>4</v>
      </c>
      <c r="BN108">
        <v>4</v>
      </c>
      <c r="BO108">
        <v>0.3</v>
      </c>
      <c r="BP108">
        <v>0.4</v>
      </c>
      <c r="BQ108">
        <v>0.1</v>
      </c>
      <c r="BR108">
        <v>0.2</v>
      </c>
      <c r="BT108">
        <v>4</v>
      </c>
      <c r="BU108">
        <v>4</v>
      </c>
      <c r="BV108">
        <v>0.4</v>
      </c>
      <c r="BW108">
        <v>0.45</v>
      </c>
      <c r="BX108">
        <v>0.05</v>
      </c>
      <c r="BY108">
        <v>0.18</v>
      </c>
      <c r="CA108">
        <v>4</v>
      </c>
      <c r="CB108">
        <v>4</v>
      </c>
      <c r="CC108">
        <v>0.45</v>
      </c>
      <c r="CD108">
        <v>0.4</v>
      </c>
      <c r="CE108">
        <v>0.05</v>
      </c>
      <c r="CF108">
        <v>0.18</v>
      </c>
    </row>
    <row r="109" spans="1:90" x14ac:dyDescent="0.2">
      <c r="B109">
        <v>5</v>
      </c>
      <c r="C109">
        <v>5</v>
      </c>
      <c r="D109">
        <v>0.2</v>
      </c>
      <c r="E109">
        <v>0.6</v>
      </c>
      <c r="F109">
        <v>0.05</v>
      </c>
      <c r="G109">
        <v>0.15</v>
      </c>
      <c r="I109">
        <v>5</v>
      </c>
      <c r="J109">
        <v>5</v>
      </c>
      <c r="K109">
        <v>0.2</v>
      </c>
      <c r="L109">
        <v>0.55000000000000004</v>
      </c>
      <c r="M109">
        <v>0.1</v>
      </c>
      <c r="N109">
        <v>0.15</v>
      </c>
      <c r="P109">
        <v>5</v>
      </c>
      <c r="Q109">
        <v>5</v>
      </c>
      <c r="R109">
        <v>0.25</v>
      </c>
      <c r="S109">
        <v>0.5</v>
      </c>
      <c r="T109">
        <v>0.05</v>
      </c>
      <c r="U109">
        <v>0.2</v>
      </c>
      <c r="W109">
        <v>5</v>
      </c>
      <c r="X109">
        <v>5</v>
      </c>
      <c r="Y109">
        <v>0.3</v>
      </c>
      <c r="Z109">
        <v>0.45</v>
      </c>
      <c r="AA109">
        <v>0.05</v>
      </c>
      <c r="AB109">
        <v>0.2</v>
      </c>
      <c r="AD109">
        <v>5</v>
      </c>
      <c r="AE109">
        <v>5</v>
      </c>
      <c r="AF109">
        <v>0.3</v>
      </c>
      <c r="AG109">
        <v>0.45</v>
      </c>
      <c r="AH109">
        <v>0.05</v>
      </c>
      <c r="AI109">
        <v>0.2</v>
      </c>
      <c r="AK109">
        <v>5</v>
      </c>
      <c r="AL109">
        <v>5</v>
      </c>
      <c r="AM109">
        <v>0.35</v>
      </c>
      <c r="AN109">
        <v>0.4</v>
      </c>
      <c r="AO109">
        <v>0.05</v>
      </c>
      <c r="AP109">
        <v>0.2</v>
      </c>
      <c r="AR109">
        <v>5</v>
      </c>
      <c r="AS109">
        <v>5</v>
      </c>
      <c r="AT109">
        <v>0.35</v>
      </c>
      <c r="AU109">
        <v>0.4</v>
      </c>
      <c r="AV109">
        <v>0.05</v>
      </c>
      <c r="AW109">
        <v>0.2</v>
      </c>
      <c r="AY109">
        <v>5</v>
      </c>
      <c r="AZ109">
        <v>5</v>
      </c>
      <c r="BA109">
        <v>0.45</v>
      </c>
      <c r="BB109">
        <v>0.3</v>
      </c>
      <c r="BC109">
        <v>0.05</v>
      </c>
      <c r="BD109">
        <v>0.2</v>
      </c>
      <c r="BF109">
        <v>5</v>
      </c>
      <c r="BG109">
        <v>5</v>
      </c>
      <c r="BH109">
        <v>0.45</v>
      </c>
      <c r="BI109">
        <v>0.3</v>
      </c>
      <c r="BJ109">
        <v>0.05</v>
      </c>
      <c r="BK109">
        <v>0.2</v>
      </c>
      <c r="BM109">
        <v>5</v>
      </c>
      <c r="BN109">
        <v>5</v>
      </c>
      <c r="BO109">
        <v>0.4</v>
      </c>
      <c r="BP109">
        <v>0.35</v>
      </c>
      <c r="BQ109">
        <v>0.1</v>
      </c>
      <c r="BR109">
        <v>0.25</v>
      </c>
      <c r="BT109">
        <v>5</v>
      </c>
      <c r="BU109">
        <v>5</v>
      </c>
      <c r="BV109">
        <v>0.48</v>
      </c>
      <c r="BW109">
        <v>0.3</v>
      </c>
      <c r="BX109">
        <v>7.0000000000000007E-2</v>
      </c>
      <c r="BY109">
        <v>0.28000000000000003</v>
      </c>
      <c r="CA109">
        <v>5</v>
      </c>
      <c r="CB109">
        <v>5</v>
      </c>
      <c r="CC109">
        <v>0.52</v>
      </c>
      <c r="CD109">
        <v>0.3</v>
      </c>
      <c r="CE109">
        <v>0.08</v>
      </c>
      <c r="CF109">
        <v>0.3</v>
      </c>
    </row>
    <row r="110" spans="1:90" x14ac:dyDescent="0.2">
      <c r="B110">
        <v>6</v>
      </c>
      <c r="C110">
        <v>6</v>
      </c>
      <c r="D110">
        <v>0.3</v>
      </c>
      <c r="E110">
        <v>0.45</v>
      </c>
      <c r="F110">
        <v>0.1</v>
      </c>
      <c r="G110">
        <v>0.15</v>
      </c>
      <c r="I110">
        <v>6</v>
      </c>
      <c r="J110">
        <v>6</v>
      </c>
      <c r="K110">
        <v>0.3</v>
      </c>
      <c r="L110">
        <v>0.45</v>
      </c>
      <c r="M110">
        <v>0.1</v>
      </c>
      <c r="N110">
        <v>0.15</v>
      </c>
      <c r="P110">
        <v>6</v>
      </c>
      <c r="Q110">
        <v>6</v>
      </c>
      <c r="R110">
        <v>0.35</v>
      </c>
      <c r="S110">
        <v>0.4</v>
      </c>
      <c r="T110">
        <v>0.1</v>
      </c>
      <c r="U110">
        <v>0.15</v>
      </c>
      <c r="W110">
        <v>6</v>
      </c>
      <c r="X110">
        <v>6</v>
      </c>
      <c r="Y110">
        <v>0.4</v>
      </c>
      <c r="Z110">
        <v>0.35</v>
      </c>
      <c r="AA110">
        <v>0.1</v>
      </c>
      <c r="AB110">
        <v>0.15</v>
      </c>
      <c r="AD110">
        <v>6</v>
      </c>
      <c r="AE110">
        <v>6</v>
      </c>
      <c r="AF110">
        <v>0.4</v>
      </c>
      <c r="AG110">
        <v>0.35</v>
      </c>
      <c r="AH110">
        <v>0.1</v>
      </c>
      <c r="AI110">
        <v>0.15</v>
      </c>
      <c r="AK110">
        <v>6</v>
      </c>
      <c r="AL110">
        <v>6</v>
      </c>
      <c r="AM110">
        <v>0.45</v>
      </c>
      <c r="AN110">
        <v>0.3</v>
      </c>
      <c r="AO110">
        <v>0.1</v>
      </c>
      <c r="AP110">
        <v>0.15</v>
      </c>
      <c r="AR110">
        <v>6</v>
      </c>
      <c r="AS110">
        <v>6</v>
      </c>
      <c r="AT110">
        <v>0.45</v>
      </c>
      <c r="AU110">
        <v>0.3</v>
      </c>
      <c r="AV110">
        <v>0.1</v>
      </c>
      <c r="AW110">
        <v>0.15</v>
      </c>
      <c r="AY110">
        <v>6</v>
      </c>
      <c r="AZ110">
        <v>6</v>
      </c>
      <c r="BA110">
        <v>0.5</v>
      </c>
      <c r="BB110">
        <v>0.25</v>
      </c>
      <c r="BC110">
        <v>0.1</v>
      </c>
      <c r="BD110">
        <v>0.15</v>
      </c>
      <c r="BF110">
        <v>6</v>
      </c>
      <c r="BG110">
        <v>6</v>
      </c>
      <c r="BH110">
        <v>0.5</v>
      </c>
      <c r="BI110">
        <v>0.25</v>
      </c>
      <c r="BJ110">
        <v>0.1</v>
      </c>
      <c r="BK110">
        <v>0.15</v>
      </c>
      <c r="BM110">
        <v>6</v>
      </c>
      <c r="BN110">
        <v>6</v>
      </c>
      <c r="BO110">
        <v>0.5</v>
      </c>
      <c r="BP110">
        <v>0.2</v>
      </c>
      <c r="BQ110">
        <v>0.1</v>
      </c>
      <c r="BR110">
        <v>0.3</v>
      </c>
      <c r="BT110">
        <v>6</v>
      </c>
      <c r="BU110">
        <v>6</v>
      </c>
      <c r="BV110">
        <v>0.55000000000000004</v>
      </c>
      <c r="BW110">
        <v>0.23</v>
      </c>
      <c r="BX110">
        <v>7.0000000000000007E-2</v>
      </c>
      <c r="BY110">
        <v>0.3</v>
      </c>
      <c r="CA110">
        <v>6</v>
      </c>
      <c r="CB110">
        <v>6</v>
      </c>
      <c r="CC110">
        <v>0.6</v>
      </c>
      <c r="CD110">
        <v>0.2</v>
      </c>
      <c r="CE110">
        <v>0.08</v>
      </c>
      <c r="CF110">
        <v>0.34</v>
      </c>
    </row>
    <row r="111" spans="1:90" x14ac:dyDescent="0.2">
      <c r="B111" t="s">
        <v>1117</v>
      </c>
      <c r="C111">
        <v>7</v>
      </c>
      <c r="D111">
        <v>0.5</v>
      </c>
      <c r="E111">
        <v>0.15</v>
      </c>
      <c r="F111">
        <v>0.1</v>
      </c>
      <c r="G111">
        <v>0.25</v>
      </c>
      <c r="I111" t="s">
        <v>1117</v>
      </c>
      <c r="J111">
        <v>7</v>
      </c>
      <c r="K111">
        <v>0.5</v>
      </c>
      <c r="L111">
        <v>0.15</v>
      </c>
      <c r="M111">
        <v>0.1</v>
      </c>
      <c r="N111">
        <v>0.25</v>
      </c>
      <c r="P111" t="s">
        <v>1117</v>
      </c>
      <c r="Q111">
        <v>7</v>
      </c>
      <c r="R111">
        <v>0.5</v>
      </c>
      <c r="S111">
        <v>0.15</v>
      </c>
      <c r="T111">
        <v>0.1</v>
      </c>
      <c r="U111">
        <v>0.25</v>
      </c>
      <c r="W111" t="s">
        <v>1117</v>
      </c>
      <c r="X111">
        <v>7</v>
      </c>
      <c r="Y111">
        <v>0.55000000000000004</v>
      </c>
      <c r="Z111">
        <v>0.1</v>
      </c>
      <c r="AA111">
        <v>0.1</v>
      </c>
      <c r="AB111">
        <v>0.3</v>
      </c>
      <c r="AD111" t="s">
        <v>1117</v>
      </c>
      <c r="AE111">
        <v>7</v>
      </c>
      <c r="AF111">
        <v>0.55000000000000004</v>
      </c>
      <c r="AG111">
        <v>0.1</v>
      </c>
      <c r="AH111">
        <v>0.1</v>
      </c>
      <c r="AI111">
        <v>0.3</v>
      </c>
      <c r="AK111" t="s">
        <v>1117</v>
      </c>
      <c r="AL111">
        <v>7</v>
      </c>
      <c r="AM111">
        <v>0.6</v>
      </c>
      <c r="AN111">
        <v>0.05</v>
      </c>
      <c r="AO111">
        <v>0.1</v>
      </c>
      <c r="AP111">
        <v>0.35</v>
      </c>
      <c r="AR111" t="s">
        <v>1117</v>
      </c>
      <c r="AS111">
        <v>7</v>
      </c>
      <c r="AT111">
        <v>0.6</v>
      </c>
      <c r="AU111">
        <v>0.05</v>
      </c>
      <c r="AV111">
        <v>0.1</v>
      </c>
      <c r="AW111">
        <v>0.35</v>
      </c>
      <c r="AY111" t="s">
        <v>1117</v>
      </c>
      <c r="AZ111">
        <v>7</v>
      </c>
      <c r="BA111">
        <v>0.65</v>
      </c>
      <c r="BB111">
        <v>0.05</v>
      </c>
      <c r="BC111">
        <v>0.1</v>
      </c>
      <c r="BD111">
        <v>0.4</v>
      </c>
      <c r="BF111" t="s">
        <v>1117</v>
      </c>
      <c r="BG111">
        <v>7</v>
      </c>
      <c r="BH111">
        <v>0.65</v>
      </c>
      <c r="BI111">
        <v>0.05</v>
      </c>
      <c r="BJ111">
        <v>0.1</v>
      </c>
      <c r="BK111">
        <v>0.4</v>
      </c>
      <c r="BM111" t="s">
        <v>1117</v>
      </c>
      <c r="BN111">
        <v>7</v>
      </c>
      <c r="BO111">
        <v>0.7</v>
      </c>
      <c r="BP111">
        <v>0.05</v>
      </c>
      <c r="BQ111">
        <v>0.1</v>
      </c>
      <c r="BR111">
        <v>0.45</v>
      </c>
      <c r="BT111" t="s">
        <v>1117</v>
      </c>
      <c r="BU111">
        <v>7</v>
      </c>
      <c r="BV111">
        <v>0.7</v>
      </c>
      <c r="BW111">
        <v>0.05</v>
      </c>
      <c r="BX111">
        <v>0.1</v>
      </c>
      <c r="BY111">
        <v>0.5</v>
      </c>
      <c r="CA111" t="s">
        <v>1117</v>
      </c>
      <c r="CB111">
        <v>7</v>
      </c>
      <c r="CC111">
        <v>0.75</v>
      </c>
      <c r="CD111">
        <v>0.05</v>
      </c>
      <c r="CE111">
        <v>0.1</v>
      </c>
      <c r="CF111">
        <v>0.55000000000000004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1813-EC94-9142-8D31-24CC267446C6}">
  <dimension ref="A1:N47"/>
  <sheetViews>
    <sheetView zoomScale="125" zoomScaleNormal="125" workbookViewId="0">
      <selection activeCell="F12" sqref="F12"/>
    </sheetView>
  </sheetViews>
  <sheetFormatPr baseColWidth="10" defaultRowHeight="16" x14ac:dyDescent="0.2"/>
  <cols>
    <col min="1" max="1" width="30" customWidth="1"/>
    <col min="2" max="2" width="20.1640625" customWidth="1"/>
    <col min="3" max="3" width="19.83203125" customWidth="1"/>
    <col min="4" max="5" width="19.5" customWidth="1"/>
    <col min="6" max="6" width="16.1640625" customWidth="1"/>
    <col min="7" max="8" width="16.5" customWidth="1"/>
    <col min="9" max="9" width="17.5" customWidth="1"/>
    <col min="10" max="10" width="13.33203125" customWidth="1"/>
    <col min="11" max="11" width="16" customWidth="1"/>
    <col min="12" max="12" width="17.33203125" customWidth="1"/>
  </cols>
  <sheetData>
    <row r="1" spans="1:11" ht="136" customHeight="1" x14ac:dyDescent="0.2">
      <c r="A1" s="43" t="e" vm="6">
        <v>#VALUE!</v>
      </c>
      <c r="B1" s="43"/>
      <c r="C1" s="57" t="s">
        <v>733</v>
      </c>
    </row>
    <row r="2" spans="1:11" ht="14" customHeight="1" x14ac:dyDescent="0.2">
      <c r="A2" s="43"/>
      <c r="B2" s="43"/>
      <c r="C2" s="57"/>
    </row>
    <row r="3" spans="1:11" x14ac:dyDescent="0.2">
      <c r="A3" s="58" t="s">
        <v>1132</v>
      </c>
      <c r="B3" s="58"/>
    </row>
    <row r="5" spans="1:11" s="65" customFormat="1" ht="17" x14ac:dyDescent="0.2">
      <c r="A5" s="88" t="s">
        <v>1134</v>
      </c>
      <c r="B5" s="66" t="s">
        <v>1137</v>
      </c>
    </row>
    <row r="6" spans="1:11" x14ac:dyDescent="0.2">
      <c r="A6" s="76" t="s">
        <v>1133</v>
      </c>
      <c r="B6" s="66" t="s">
        <v>1138</v>
      </c>
      <c r="H6" s="5" t="s">
        <v>1194</v>
      </c>
      <c r="I6" s="5"/>
      <c r="J6" s="5"/>
      <c r="K6" s="5"/>
    </row>
    <row r="7" spans="1:11" x14ac:dyDescent="0.2">
      <c r="B7" s="66"/>
    </row>
    <row r="8" spans="1:11" x14ac:dyDescent="0.2">
      <c r="A8" t="s">
        <v>1135</v>
      </c>
      <c r="B8" s="66" t="s">
        <v>1139</v>
      </c>
    </row>
    <row r="9" spans="1:11" s="65" customFormat="1" ht="17" x14ac:dyDescent="0.2">
      <c r="A9" s="65" t="s">
        <v>1136</v>
      </c>
      <c r="B9" s="66" t="s">
        <v>1140</v>
      </c>
    </row>
    <row r="10" spans="1:11" x14ac:dyDescent="0.2">
      <c r="B10" s="66"/>
    </row>
    <row r="11" spans="1:11" s="65" customFormat="1" ht="17" x14ac:dyDescent="0.2">
      <c r="A11" s="65" t="s">
        <v>1141</v>
      </c>
      <c r="B11" s="66" t="s">
        <v>1142</v>
      </c>
    </row>
    <row r="12" spans="1:11" s="65" customFormat="1" x14ac:dyDescent="0.2">
      <c r="B12" s="66"/>
    </row>
    <row r="13" spans="1:11" s="65" customFormat="1" ht="17" x14ac:dyDescent="0.2">
      <c r="A13" s="87" t="s">
        <v>1175</v>
      </c>
      <c r="B13" s="66" t="s">
        <v>1176</v>
      </c>
    </row>
    <row r="14" spans="1:11" s="65" customFormat="1" x14ac:dyDescent="0.2">
      <c r="B14" s="66"/>
    </row>
    <row r="15" spans="1:11" s="65" customFormat="1" ht="17" x14ac:dyDescent="0.2">
      <c r="A15" s="65" t="s">
        <v>1169</v>
      </c>
      <c r="B15" s="66" t="s">
        <v>1170</v>
      </c>
    </row>
    <row r="16" spans="1:11" s="65" customFormat="1" x14ac:dyDescent="0.2">
      <c r="B16" s="66" t="s">
        <v>1171</v>
      </c>
    </row>
    <row r="17" spans="1:3" s="65" customFormat="1" x14ac:dyDescent="0.2">
      <c r="B17" s="66"/>
    </row>
    <row r="18" spans="1:3" s="65" customFormat="1" ht="17" x14ac:dyDescent="0.2">
      <c r="A18" s="87" t="s">
        <v>688</v>
      </c>
    </row>
    <row r="19" spans="1:3" s="65" customFormat="1" ht="17" x14ac:dyDescent="0.2">
      <c r="A19" s="87" t="s">
        <v>1163</v>
      </c>
      <c r="B19" s="66" t="s">
        <v>1172</v>
      </c>
    </row>
    <row r="20" spans="1:3" s="65" customFormat="1" x14ac:dyDescent="0.2">
      <c r="B20" s="66" t="s">
        <v>1185</v>
      </c>
    </row>
    <row r="21" spans="1:3" s="65" customFormat="1" x14ac:dyDescent="0.2">
      <c r="B21" s="66" t="s">
        <v>1187</v>
      </c>
    </row>
    <row r="22" spans="1:3" s="65" customFormat="1" x14ac:dyDescent="0.2">
      <c r="B22" s="66"/>
    </row>
    <row r="23" spans="1:3" x14ac:dyDescent="0.2">
      <c r="B23" t="s">
        <v>641</v>
      </c>
      <c r="C23" t="s">
        <v>1173</v>
      </c>
    </row>
    <row r="24" spans="1:3" ht="17" x14ac:dyDescent="0.2">
      <c r="B24" s="65" t="s">
        <v>1164</v>
      </c>
      <c r="C24" t="s">
        <v>1174</v>
      </c>
    </row>
    <row r="25" spans="1:3" x14ac:dyDescent="0.2">
      <c r="A25" s="58"/>
      <c r="B25" t="s">
        <v>1165</v>
      </c>
      <c r="C25" t="s">
        <v>1174</v>
      </c>
    </row>
    <row r="26" spans="1:3" ht="17" x14ac:dyDescent="0.2">
      <c r="B26" s="65" t="s">
        <v>1166</v>
      </c>
      <c r="C26" t="s">
        <v>1174</v>
      </c>
    </row>
    <row r="27" spans="1:3" x14ac:dyDescent="0.2">
      <c r="B27" t="s">
        <v>1167</v>
      </c>
      <c r="C27" t="s">
        <v>1174</v>
      </c>
    </row>
    <row r="28" spans="1:3" ht="17" x14ac:dyDescent="0.2">
      <c r="B28" s="65" t="s">
        <v>1168</v>
      </c>
      <c r="C28" t="s">
        <v>1174</v>
      </c>
    </row>
    <row r="29" spans="1:3" x14ac:dyDescent="0.2">
      <c r="B29" s="66"/>
    </row>
    <row r="30" spans="1:3" ht="17" x14ac:dyDescent="0.2">
      <c r="A30" s="58" t="s">
        <v>1177</v>
      </c>
      <c r="B30" s="65" t="s">
        <v>641</v>
      </c>
    </row>
    <row r="31" spans="1:3" x14ac:dyDescent="0.2">
      <c r="B31" s="66" t="s">
        <v>1178</v>
      </c>
      <c r="C31" t="s">
        <v>1184</v>
      </c>
    </row>
    <row r="32" spans="1:3" ht="17" x14ac:dyDescent="0.2">
      <c r="B32" s="65" t="s">
        <v>1179</v>
      </c>
      <c r="C32" t="s">
        <v>1184</v>
      </c>
    </row>
    <row r="33" spans="1:14" ht="21" customHeight="1" x14ac:dyDescent="0.2">
      <c r="B33" s="65" t="s">
        <v>1180</v>
      </c>
      <c r="C33" t="s">
        <v>1183</v>
      </c>
      <c r="D33" s="65"/>
      <c r="E33" s="65"/>
      <c r="F33" s="65"/>
      <c r="G33" s="65"/>
      <c r="H33" s="65"/>
      <c r="I33" s="65"/>
    </row>
    <row r="34" spans="1:14" ht="19" customHeight="1" x14ac:dyDescent="0.2">
      <c r="B34" s="65" t="s">
        <v>1181</v>
      </c>
      <c r="C34" t="s">
        <v>1183</v>
      </c>
    </row>
    <row r="35" spans="1:14" ht="19" customHeight="1" x14ac:dyDescent="0.2">
      <c r="B35" s="66"/>
    </row>
    <row r="36" spans="1:14" ht="19" customHeight="1" x14ac:dyDescent="0.2">
      <c r="B36" s="65" t="s">
        <v>1182</v>
      </c>
      <c r="C36" t="s">
        <v>1186</v>
      </c>
      <c r="J36" s="6"/>
      <c r="K36" s="6"/>
      <c r="L36" s="6"/>
      <c r="M36" s="6"/>
      <c r="N36" s="6"/>
    </row>
    <row r="37" spans="1:14" x14ac:dyDescent="0.2">
      <c r="B37" s="66"/>
      <c r="J37" s="6"/>
      <c r="K37" s="6"/>
      <c r="L37" s="6"/>
      <c r="M37" s="6"/>
      <c r="N37" s="6"/>
    </row>
    <row r="38" spans="1:14" x14ac:dyDescent="0.2">
      <c r="A38" s="58" t="s">
        <v>1188</v>
      </c>
      <c r="J38" s="6"/>
      <c r="K38" s="6"/>
      <c r="L38" s="6"/>
      <c r="M38" s="6"/>
      <c r="N38" s="6"/>
    </row>
    <row r="39" spans="1:14" x14ac:dyDescent="0.2">
      <c r="A39" s="58" t="s">
        <v>1174</v>
      </c>
      <c r="B39" t="s">
        <v>1189</v>
      </c>
      <c r="J39" s="6"/>
      <c r="K39" s="6"/>
      <c r="L39" s="6"/>
      <c r="M39" s="6"/>
      <c r="N39" s="6"/>
    </row>
    <row r="40" spans="1:14" x14ac:dyDescent="0.2">
      <c r="J40" s="6"/>
      <c r="K40" s="6"/>
      <c r="L40" s="6"/>
      <c r="M40" s="6"/>
      <c r="N40" s="6"/>
    </row>
    <row r="41" spans="1:14" x14ac:dyDescent="0.2">
      <c r="A41" s="58" t="s">
        <v>1190</v>
      </c>
      <c r="B41" s="66"/>
      <c r="J41" s="6"/>
      <c r="K41" s="6"/>
      <c r="L41" s="6"/>
      <c r="M41" s="6"/>
      <c r="N41" s="6"/>
    </row>
    <row r="42" spans="1:14" x14ac:dyDescent="0.2">
      <c r="A42" s="58" t="s">
        <v>1174</v>
      </c>
      <c r="B42" s="66" t="s">
        <v>1191</v>
      </c>
      <c r="J42" s="6"/>
      <c r="K42" s="6"/>
      <c r="L42" s="6"/>
      <c r="M42" s="6"/>
      <c r="N42" s="6"/>
    </row>
    <row r="43" spans="1:14" x14ac:dyDescent="0.2">
      <c r="J43" s="6"/>
      <c r="K43" s="6"/>
      <c r="L43" s="6"/>
      <c r="M43" s="6"/>
      <c r="N43" s="6"/>
    </row>
    <row r="44" spans="1:14" x14ac:dyDescent="0.2">
      <c r="A44" s="58"/>
      <c r="J44" s="6"/>
      <c r="K44" s="6"/>
      <c r="L44" s="6"/>
      <c r="M44" s="6"/>
      <c r="N44" s="6"/>
    </row>
    <row r="45" spans="1:14" x14ac:dyDescent="0.2">
      <c r="J45" s="6"/>
      <c r="K45" s="6"/>
      <c r="L45" s="6"/>
      <c r="M45" s="6"/>
      <c r="N45" s="6"/>
    </row>
    <row r="46" spans="1:14" x14ac:dyDescent="0.2">
      <c r="J46" s="6"/>
      <c r="K46" s="6"/>
      <c r="L46" s="6"/>
      <c r="M46" s="6"/>
      <c r="N46" s="6"/>
    </row>
    <row r="47" spans="1:14" x14ac:dyDescent="0.2">
      <c r="A47" s="5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E306C-24EB-3A49-B46E-32FCD86DCE2E}">
  <dimension ref="A1:C16"/>
  <sheetViews>
    <sheetView workbookViewId="0">
      <selection activeCell="C16" sqref="C16"/>
    </sheetView>
  </sheetViews>
  <sheetFormatPr baseColWidth="10" defaultRowHeight="16" x14ac:dyDescent="0.2"/>
  <cols>
    <col min="1" max="1" width="28.5" customWidth="1"/>
  </cols>
  <sheetData>
    <row r="1" spans="1:3" ht="136" customHeight="1" x14ac:dyDescent="0.2">
      <c r="A1" s="43" t="e" vm="6">
        <v>#VALUE!</v>
      </c>
      <c r="B1" s="43"/>
      <c r="C1" s="57" t="s">
        <v>1192</v>
      </c>
    </row>
    <row r="3" spans="1:3" x14ac:dyDescent="0.2">
      <c r="A3" s="58" t="s">
        <v>1193</v>
      </c>
      <c r="B3" t="s">
        <v>1195</v>
      </c>
    </row>
    <row r="5" spans="1:3" x14ac:dyDescent="0.2">
      <c r="A5" t="s">
        <v>1196</v>
      </c>
      <c r="B5" t="s">
        <v>1200</v>
      </c>
    </row>
    <row r="6" spans="1:3" x14ac:dyDescent="0.2">
      <c r="A6" t="s">
        <v>1197</v>
      </c>
      <c r="B6" t="s">
        <v>1201</v>
      </c>
    </row>
    <row r="7" spans="1:3" x14ac:dyDescent="0.2">
      <c r="A7" t="s">
        <v>1122</v>
      </c>
      <c r="B7" t="s">
        <v>1202</v>
      </c>
    </row>
    <row r="8" spans="1:3" x14ac:dyDescent="0.2">
      <c r="A8" t="s">
        <v>1198</v>
      </c>
      <c r="B8" t="s">
        <v>1203</v>
      </c>
    </row>
    <row r="9" spans="1:3" x14ac:dyDescent="0.2">
      <c r="A9" t="s">
        <v>1199</v>
      </c>
      <c r="B9" t="s">
        <v>1204</v>
      </c>
    </row>
    <row r="12" spans="1:3" x14ac:dyDescent="0.2">
      <c r="B12" t="s">
        <v>1205</v>
      </c>
    </row>
    <row r="16" spans="1:3" x14ac:dyDescent="0.2">
      <c r="A16" t="s">
        <v>1242</v>
      </c>
      <c r="B16" t="s">
        <v>1243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BPOP General Info</vt:lpstr>
      <vt:lpstr>BPOP HS College Pro Eval (OLD)</vt:lpstr>
      <vt:lpstr>BPOP 12U-14U Eval (OLD)</vt:lpstr>
      <vt:lpstr>BPOP HS COLL PRO Eval</vt:lpstr>
      <vt:lpstr>BPOP 12U-14U Eval</vt:lpstr>
      <vt:lpstr>BPOP 10U-11U Eval</vt:lpstr>
      <vt:lpstr>BPOP 9U Eval</vt:lpstr>
      <vt:lpstr>BPOP 8U Eval</vt:lpstr>
      <vt:lpstr>BPOP 7U Eval</vt:lpstr>
      <vt:lpstr>BPOP 5U-6U Eval</vt:lpstr>
      <vt:lpstr>Team Overview</vt:lpstr>
      <vt:lpstr>Add Player Screen</vt:lpstr>
      <vt:lpstr>Player Detail Page</vt:lpstr>
      <vt:lpstr>Position Management </vt:lpstr>
      <vt:lpstr>Line-Up Optimization</vt:lpstr>
      <vt:lpstr>Pitching Optimization</vt:lpstr>
      <vt:lpstr>Atheltic Skills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Napoleon</dc:creator>
  <cp:lastModifiedBy>Michael Napoleon</cp:lastModifiedBy>
  <dcterms:created xsi:type="dcterms:W3CDTF">2025-11-05T15:31:53Z</dcterms:created>
  <dcterms:modified xsi:type="dcterms:W3CDTF">2025-11-17T16:44:39Z</dcterms:modified>
</cp:coreProperties>
</file>