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2016" sheetId="2" r:id="rId4"/>
    <sheet state="visible" name="Journals" sheetId="3" r:id="rId5"/>
    <sheet state="visible" name="2017" sheetId="4" r:id="rId6"/>
    <sheet state="visible" name="2018" sheetId="5" r:id="rId7"/>
    <sheet state="visible" name="2019" sheetId="6" r:id="rId8"/>
    <sheet state="visible" name="2020" sheetId="7" r:id="rId9"/>
    <sheet state="visible" name="2021" sheetId="8" r:id="rId10"/>
    <sheet state="visible" name="2022" sheetId="9" r:id="rId11"/>
    <sheet state="visible" name="2023" sheetId="10" r:id="rId12"/>
    <sheet state="visible" name="2024" sheetId="11" r:id="rId13"/>
    <sheet state="visible" name="2025" sheetId="12" r:id="rId14"/>
    <sheet state="visible" name="Folha_auxiliar" sheetId="13" r:id="rId15"/>
  </sheets>
  <definedNames>
    <definedName hidden="1" localSheetId="2" name="_xlnm._FilterDatabase">Journals!$A$1:$F$49</definedName>
  </definedNames>
  <calcPr/>
</workbook>
</file>

<file path=xl/sharedStrings.xml><?xml version="1.0" encoding="utf-8"?>
<sst xmlns="http://schemas.openxmlformats.org/spreadsheetml/2006/main" count="2300" uniqueCount="753">
  <si>
    <t>PRODUÇÃO CIENTÍFICA</t>
  </si>
  <si>
    <t>ARTIGOS COM IF</t>
  </si>
  <si>
    <t>n total</t>
  </si>
  <si>
    <t>ÁREA</t>
  </si>
  <si>
    <t xml:space="preserve"> n Anatomy and Morphology</t>
  </si>
  <si>
    <t xml:space="preserve"> n Public, Environmental &amp; Occupational health</t>
  </si>
  <si>
    <t xml:space="preserve"> n Engineering, Biomedical</t>
  </si>
  <si>
    <t xml:space="preserve"> n Engineering, Industrial</t>
  </si>
  <si>
    <t>n Ergonomics</t>
  </si>
  <si>
    <t>n Geriatrics &amp; Gerontology</t>
  </si>
  <si>
    <t xml:space="preserve"> n Other</t>
  </si>
  <si>
    <t xml:space="preserve"> n Rehabilittion</t>
  </si>
  <si>
    <t xml:space="preserve"> n Rheumatology</t>
  </si>
  <si>
    <t>n Orthopedics</t>
  </si>
  <si>
    <t xml:space="preserve"> n Sports Sciences</t>
  </si>
  <si>
    <t>% Anatomy and Morphology</t>
  </si>
  <si>
    <t>% Public, Environmental &amp; Occupational health</t>
  </si>
  <si>
    <t>% Engineering, Biomedical</t>
  </si>
  <si>
    <t>% Engineering, Industrial</t>
  </si>
  <si>
    <t>% Ergonomics</t>
  </si>
  <si>
    <t>% Geriatrics &amp; Gerontology</t>
  </si>
  <si>
    <t>% Other</t>
  </si>
  <si>
    <t>% Rehabilittion</t>
  </si>
  <si>
    <t>% Rheumatology</t>
  </si>
  <si>
    <t>% Orthopedics</t>
  </si>
  <si>
    <t>% Sports Sciences</t>
  </si>
  <si>
    <t>QUARTIL</t>
  </si>
  <si>
    <t>média</t>
  </si>
  <si>
    <t>sd</t>
  </si>
  <si>
    <t>n Q1</t>
  </si>
  <si>
    <t>% Q1</t>
  </si>
  <si>
    <t>n Q2</t>
  </si>
  <si>
    <t>% Q2</t>
  </si>
  <si>
    <t>FATOR DE IMPACTO</t>
  </si>
  <si>
    <t>CAPÍTULOS DE LIVRO</t>
  </si>
  <si>
    <t>LIVROS</t>
  </si>
  <si>
    <t>n autor</t>
  </si>
  <si>
    <t>n editor</t>
  </si>
  <si>
    <t>n outro</t>
  </si>
  <si>
    <t>n nacional</t>
  </si>
  <si>
    <t>n internacional</t>
  </si>
  <si>
    <t>% autor</t>
  </si>
  <si>
    <t>% editor</t>
  </si>
  <si>
    <t>% outro</t>
  </si>
  <si>
    <t>% nacional</t>
  </si>
  <si>
    <t>% internacional</t>
  </si>
  <si>
    <t>OUTRAS PUBLICAÇÕES</t>
  </si>
  <si>
    <t>n artigo sem IF</t>
  </si>
  <si>
    <t>n artigo técnico-profissional</t>
  </si>
  <si>
    <t>n artigo em congresso internacional</t>
  </si>
  <si>
    <t>n artigo em congresso nacional</t>
  </si>
  <si>
    <t>n resumo em congresso internacional</t>
  </si>
  <si>
    <t>n resumo em congresso nacional</t>
  </si>
  <si>
    <t>% artigo sem IF</t>
  </si>
  <si>
    <t>% artigo técnico-profissional</t>
  </si>
  <si>
    <t>% artigo em congresso internacional</t>
  </si>
  <si>
    <t>% artigo em congresso nacional</t>
  </si>
  <si>
    <t>% resumo em congresso internacional</t>
  </si>
  <si>
    <t>% resumo em congresso nacional</t>
  </si>
  <si>
    <t>PRODUTOS/SERVIÇOS</t>
  </si>
  <si>
    <t>n programas de exercício</t>
  </si>
  <si>
    <t>n programas de educação</t>
  </si>
  <si>
    <t>n programas de re-educação</t>
  </si>
  <si>
    <t>n tecnologia</t>
  </si>
  <si>
    <t>n serviços de avaliação do movimento</t>
  </si>
  <si>
    <t>% programas de exercício</t>
  </si>
  <si>
    <t>% programas de educação</t>
  </si>
  <si>
    <t>% programas de re-educação</t>
  </si>
  <si>
    <t>% tecnologia</t>
  </si>
  <si>
    <t>% serviços de avaliação do movimento</t>
  </si>
  <si>
    <t>DISSEMINAÇÃO CIENTÍFICA</t>
  </si>
  <si>
    <t>PARTICIPAÇÃO EM EVENTOS CIENTÍFICOS</t>
  </si>
  <si>
    <t>n keynote speaker</t>
  </si>
  <si>
    <t>n Oral submetido a congresso</t>
  </si>
  <si>
    <t>n Oral a convite para seminário/evento de projeto</t>
  </si>
  <si>
    <t>n Poster submetido a congresso</t>
  </si>
  <si>
    <t>% keynote speaker</t>
  </si>
  <si>
    <t>% oral</t>
  </si>
  <si>
    <t>% poster</t>
  </si>
  <si>
    <t>ORGANIZAÇÃO EVENTOS</t>
  </si>
  <si>
    <t>n congresso/simpósio</t>
  </si>
  <si>
    <t>n curso breve</t>
  </si>
  <si>
    <t>n workshop/seminário</t>
  </si>
  <si>
    <t>n pós-graduação</t>
  </si>
  <si>
    <t>n extensão à comunidade</t>
  </si>
  <si>
    <t>% congresso/simpósio</t>
  </si>
  <si>
    <t>% curso breve</t>
  </si>
  <si>
    <t>% workshop/seminário</t>
  </si>
  <si>
    <t>% pós-graduação</t>
  </si>
  <si>
    <t>% extensão à comunidade</t>
  </si>
  <si>
    <t>ATIVIDADES DE REVISÃO CIENTÍFICA</t>
  </si>
  <si>
    <t>n editor de artigo em revista com IF</t>
  </si>
  <si>
    <t>n editor de artigo em revista sem IF</t>
  </si>
  <si>
    <t>n revisor de artigo em revista com IF</t>
  </si>
  <si>
    <t>n revisor de artigo em revista sem IF</t>
  </si>
  <si>
    <t>n revisor de resumo/artigo em congresso</t>
  </si>
  <si>
    <t>% editor de artigo em revista com IF</t>
  </si>
  <si>
    <t>% editor de artigo em revista sem IF</t>
  </si>
  <si>
    <t>% revisor de artigo em revista com IF</t>
  </si>
  <si>
    <t>% revisor de artigo em revista sem IF</t>
  </si>
  <si>
    <t>% revisor de resumo/artigo em congresso</t>
  </si>
  <si>
    <t>ATIVIDADES DE AVALIAÇÃO CIENTÍFICA</t>
  </si>
  <si>
    <t>n membro de painel de avaliação de projetos financiados</t>
  </si>
  <si>
    <t>n membro de painel de avaliação de concursos académicos</t>
  </si>
  <si>
    <t>n membro de painel de avaliação de prémios científicos</t>
  </si>
  <si>
    <t>n membro de painel de avaliação de bolsas</t>
  </si>
  <si>
    <t>% membro de painel de avaliação de projetos financiados</t>
  </si>
  <si>
    <t>% membro de painel de avaliação de concursos académicos</t>
  </si>
  <si>
    <t>% membro de painel de avaliação de prémios científicos</t>
  </si>
  <si>
    <t>% membro de painel de avaliação de bolsas</t>
  </si>
  <si>
    <t>FORMAÇÃO CIENTÍFICA</t>
  </si>
  <si>
    <t>TIPO DE FORMAÇÃO</t>
  </si>
  <si>
    <t>n teses doutoramento defendidas</t>
  </si>
  <si>
    <t>n teses mestrado defendidas</t>
  </si>
  <si>
    <t>n orientação de teses de doutoramento em curso</t>
  </si>
  <si>
    <t>n orientação de teses de mestrado em curso</t>
  </si>
  <si>
    <t>n orientação estágios 1º ciclo</t>
  </si>
  <si>
    <t>n orientação estágios 2º ciclo</t>
  </si>
  <si>
    <t>n orientação estágios 3º ciclo ou pós-doc</t>
  </si>
  <si>
    <t>% teses doutoramento defendidas</t>
  </si>
  <si>
    <t>% teses mestrado defendidas</t>
  </si>
  <si>
    <t>% orientação de teses de doutoramento em curso</t>
  </si>
  <si>
    <t>% orientação de teses de mestrado em curso</t>
  </si>
  <si>
    <t>% orientação estágios 1º ciclo</t>
  </si>
  <si>
    <t>% orientação estágios 2º ciclo</t>
  </si>
  <si>
    <t>% orientação estágios 3º ciclo ou pós-doc</t>
  </si>
  <si>
    <t>ÁREA DE FORMAÇÃO - Trabalhos concluídos</t>
  </si>
  <si>
    <t>3º ciclo</t>
  </si>
  <si>
    <t>n atividade física e saúde</t>
  </si>
  <si>
    <t>n biomecânica</t>
  </si>
  <si>
    <t>n ergonomia</t>
  </si>
  <si>
    <t>n estágio LBMF (doc ou pós doc)</t>
  </si>
  <si>
    <t>n reabilitação</t>
  </si>
  <si>
    <t>n treino desportivo</t>
  </si>
  <si>
    <t>% atividade física e saúde</t>
  </si>
  <si>
    <t>% biomecânica</t>
  </si>
  <si>
    <t>% ergonomia</t>
  </si>
  <si>
    <t>% estágio LBMF (doc ou pós doc)</t>
  </si>
  <si>
    <t>% reabilitação</t>
  </si>
  <si>
    <t>% treino desportivo</t>
  </si>
  <si>
    <t>2º ciclo</t>
  </si>
  <si>
    <t>n engenharia (estágio LBMF)</t>
  </si>
  <si>
    <t>n exercício e saúde</t>
  </si>
  <si>
    <t>n fisioterapia (estágio LBMF)</t>
  </si>
  <si>
    <t>n treino de alto rendimento</t>
  </si>
  <si>
    <t>% engenharia (estágio LBMF)</t>
  </si>
  <si>
    <t>% exercício e saúde</t>
  </si>
  <si>
    <t>% fisioterapia (estágio LBMF)</t>
  </si>
  <si>
    <t>% treino de alto rendimento</t>
  </si>
  <si>
    <t>1º ciclo</t>
  </si>
  <si>
    <t>FINANCIAMENTO E PARCERIAS</t>
  </si>
  <si>
    <t xml:space="preserve">PROJETOS DE INVESTIGAÇÃO </t>
  </si>
  <si>
    <t>n financiados</t>
  </si>
  <si>
    <t>duração média (anos)</t>
  </si>
  <si>
    <t>financiamento total atribuído ao LBMF</t>
  </si>
  <si>
    <t>financiamento anual médio</t>
  </si>
  <si>
    <t>n animal studies</t>
  </si>
  <si>
    <t>n clinical conditions (musculoskeletal and neurological)</t>
  </si>
  <si>
    <t>n life-span (aging, maturation, pregnancy and post-partum)</t>
  </si>
  <si>
    <t>n occupational</t>
  </si>
  <si>
    <t>n sports</t>
  </si>
  <si>
    <t>% financiados</t>
  </si>
  <si>
    <t>% animal studies</t>
  </si>
  <si>
    <t>% clinical conditions (musculoskeletal and neurological)</t>
  </si>
  <si>
    <t>% life-span (aging, maturation, pregnancy and post-partum)</t>
  </si>
  <si>
    <t>% occupational</t>
  </si>
  <si>
    <t>% sports</t>
  </si>
  <si>
    <t xml:space="preserve">OUTROS PROJETOS </t>
  </si>
  <si>
    <t>CONTRATOS/PARCERIAS COM INDÚSTRIA</t>
  </si>
  <si>
    <t>NETWORK</t>
  </si>
  <si>
    <t>Produção científica</t>
  </si>
  <si>
    <t>Publicações com IF</t>
  </si>
  <si>
    <t>Referência completa</t>
  </si>
  <si>
    <t>Journal</t>
  </si>
  <si>
    <t>Quartil</t>
  </si>
  <si>
    <t>IF</t>
  </si>
  <si>
    <t>Research Area (Web of Science)</t>
  </si>
  <si>
    <t>Andrade RJ, Nordez A, Hug F, Ates F, Coppieters MW, Pezarat-Correia P, Freitas SR. (2016) Non-invasive assessment of sciatic nerve stiffness during human ankle motion using ultrasound shear wave elastography. J Biomech. 49(3):326-31. doi: 10.1016/j.jbiomech.2015.12.017. URL: https://www.ncbi.nlm.nih.gov/pubmed/26725218</t>
  </si>
  <si>
    <t>Journal of Biomechanics</t>
  </si>
  <si>
    <t>Engineering, Biomedical</t>
  </si>
  <si>
    <t>André HI, Carnide F, Borja E, Ramalho F, Santos-Rocha R, Veloso AP (2016). Calf Raise Senior: A New Test for Assessment of Plantar-flexor Muscle Strength in Older Adults. Protocol, Validity and Reliability. Clinical Interventions in Aging. 11:1661-1674. doi: 10.2147/CIA.S115304. URL: https://www.ncbi.nlm.nih.gov/pubmed/27895473</t>
  </si>
  <si>
    <t>Clinical Interventions in Aging</t>
  </si>
  <si>
    <t>Geriatrics &amp; Gerontology</t>
  </si>
  <si>
    <t>Antunes A, Carnide F, Matias R (2016). Real-time kinematic biofeedback improves scapulothoracic control and performance during scapular-focused exercises: A single-blind randomized controlled laboratory study. Hum Mov Sci. 48:44-53. doi:10.1016/j.humov.2016.04.004. URL: https://www.ncbi.nlm.nih.gov/pubmed/27107896</t>
  </si>
  <si>
    <t>Human Movement Science</t>
  </si>
  <si>
    <t>Sports Sciences</t>
  </si>
  <si>
    <t>Branco MA, Santos-Rocha R, Vieira F, Aguiar L, Veloso AP (2016). Three-dimensional kinematic adaptations of gait throughout pregnancy and post-partum. Acta Bioeng Biomech. 2016;18(2):153-62. URL: https://www.ncbi.nlm.nih.gov/pubmed/27406315</t>
  </si>
  <si>
    <t>Acta of Bioengineering and Biomechanics</t>
  </si>
  <si>
    <t>Cabral S, Resende RA, Clansey AC, Deluzio KJ, Selbie WS, Veloso AP (2016) A Global Gait Asymmetry Index. J Appl Biomech, 32(2):171-7. doi: 10.1123/jab.2015-0114. URL: https://www.ncbi.nlm.nih.gov/pubmed/26502455</t>
  </si>
  <si>
    <t>Journal of Applied Biomechanics</t>
  </si>
  <si>
    <t>Costa e Silva L., Fragoso I., Teles J. Prevalence and injury profile in Portuguese children and adolescents according to their level of sports participation. The Journal of Sports Medicine and Physical Fitness. vol.58 (3) 271-279 URL: http://www.minervamedica.it/en/journals/sports-med-physical-fitness/article.php?cod=R40Y9999N00A16101303</t>
  </si>
  <si>
    <t>The Journal of Sports Medicine and Physical Fitness</t>
  </si>
  <si>
    <t>Cotrim T., Carvalhais J., Neto C., Teles J., Noriega P., Rebelo F.. Determinants of sleepiness at work among railway control workers. Applied Ergonomics, 58 (2017), 293-300. URL: http://www.sciencedirect.com/science/article/pii/S0003687016301375</t>
  </si>
  <si>
    <t>Applied Ergonomics</t>
  </si>
  <si>
    <t>Ergonomics</t>
  </si>
  <si>
    <t>Cunha CL, Vieira F, Yazigi F, Espanha M, Carnide F (2016). Pain intensity in overweight and obese adults with knee osteoarthritis: are physical activity, anthropometry and body composition of the lower limb determinant factors? Acta Reumatol Port. URL: https://www.ncbi.nlm.nih.gov/pubmed/27165511</t>
  </si>
  <si>
    <t>Acta Reumatologica Portuguesa</t>
  </si>
  <si>
    <t>Rheumatology</t>
  </si>
  <si>
    <t>Fatela P, Reis JF, Mendonca GV, Avela J, Mil-Homens P (2016). Acute effects of exercise under different levels of blood-flow restriction on muscle activation and fatigue. Eur J Appl Physiol. 116(5):985-95. doi: 10.1007/s00421-016-3359-1. URL: https://www.ncbi.nlm.nih.gov/pubmed/27017495</t>
  </si>
  <si>
    <t>European Journal of Applied Physiology</t>
  </si>
  <si>
    <t>Fernandes R, Armada-da-Silva P, Pool-Goudaazward A, Moniz-Pereira V, Veloso AP (2016). Three dimensional multi-segmental trunk kinematics and kinetics during gait: Test-retest reliability and minimal detectable change. Gait Posture 46:18-25. doi: 10.1016/j.gaitpost.2016.02.007. URL: https://www.ncbi.nlm.nih.gov/pubmed/27131171</t>
  </si>
  <si>
    <t>Gait &amp; Posture</t>
  </si>
  <si>
    <t>Freitas SR, Andrade RJ, Nordez A, Mendes B, Mil-Homens P. (2016) Acute muscle and joint mechanical responses following a high-intensity stretching protocol. Eur J Appl Physiol. 116(8):1519-26. doi: 10.1007/s00421-016-3410-2. URL: https://www.ncbi.nlm.nih.gov/pubmed/27270900</t>
  </si>
  <si>
    <t>Marconcin, P., Espanha, M., Yázigi, F., Campos, P. (2016) The PLE2NO self-management and exercise program for knee osteoarthritis: Study Protocol for a Randomized Controlled Trial. BMC Musculoskelet Disord, 17:250. doi: 10.1186/s12891-016-1115-7. URL: http://bmcmusculoskeletdisord.biomedcentral.com/articles/10.1186/s12891-016-1115-7</t>
  </si>
  <si>
    <t>BMC Musculoskeletal Disorders</t>
  </si>
  <si>
    <t>Orthopedics</t>
  </si>
  <si>
    <t>Morgado J., Monteiro C., Teles J., Reis J., Matias C., Seixas M., Alvim M., Bourbon M., Laires M., Alves F.. Immune cell response to a swimming training session during a 24 h recovery period. Applied Physiology, Nutrition, and Metabolism, 41 (2016), 1-8. URL: http://www.nrcresearchpress.com/eprint/NTzyeQdPnNqSaAdASKmN/full#.Vv1vFvkrLIU</t>
  </si>
  <si>
    <t>Applied Physiology, Nutrition and Metabolism</t>
  </si>
  <si>
    <t>Resende RA, Kirkwood RN, Deluzio KJ, Cabral S, Fonseca ST (2016). Biomechanical strategies implemented to compensate for mild leg length discrepancy during gait. Gait Posture 46:147-53. doi: 10.1016/j.gaitpost.2016.03.012. URL: https://www.ncbi.nlm.nih.gov/pubmed/27131193</t>
  </si>
  <si>
    <t>Seth A, Matias R, Veloso AP, Delp SL (2016). A Biomechanical Model of the Scapulothoracic Joint to Accurately Capture Scapular Kinematics during Shoulder Movements. PLoS One. 11(1):e0141028. doi: 10.1371/journal.pone.0141028. URL: https://www.ncbi.nlm.nih.gov/pubmed/26734761</t>
  </si>
  <si>
    <t>PLoS One</t>
  </si>
  <si>
    <t>Other</t>
  </si>
  <si>
    <t>Yázigi F, Carnide F, Espanha M, Sousa M (2016). Development of the Knee OA Pre-Screening Questionnaire. Int J Rheum Dis. 19(6):567-76. doi: 10.1111/1756-185X.12447. URL: https://www.ncbi.nlm.nih.gov/pubmed/25256737</t>
  </si>
  <si>
    <t>International Journal of Rheumatic Diseases</t>
  </si>
  <si>
    <t>Aguiar, L., Andrade, C., Branco, M., Santos-Rocha, R., Vieira, F., &amp; Veloso, A.</t>
  </si>
  <si>
    <t>Journal of Mechanics in Medicine and Biology</t>
  </si>
  <si>
    <t>Capítulos de livros</t>
  </si>
  <si>
    <t>Editora</t>
  </si>
  <si>
    <t>Âmbito</t>
  </si>
  <si>
    <t>Ayanoğlu H., Duarte E., Noriega P., Teles J., Rebelo F. (2016). Hazard perception of 3D household packages: A study using a virtual environment. In M. Soares &amp; F. Rebelo (Eds.), Ergonomics in Design: Methods and Techniques. CRC Press. URL: https://www.crcpress.com/Ergonomics-in-Design-Methods-and-Techniques/Soares-Rebelo/9781498760706</t>
  </si>
  <si>
    <t>CRC Press</t>
  </si>
  <si>
    <t>internacional</t>
  </si>
  <si>
    <t>Carina Nunes Santos, Jil Janine Ferreira, Rita Santos Rocha &amp; Maria-Raquel G. Silva (2016). Como estruturar uma sessão no programa ESCOLA ATIVA (Cap. 8, pp 95-103). In Santos-Rocha R, Simões V, Pimenta N (2016). Escola Ativa – Atividade Física e Saúde em Contexto Escolar. Rio Maior: Edições ESDRM. ISBN 978-989-8768-10-0 (print), 978-989-8768-13-1 (e-book).</t>
  </si>
  <si>
    <t>Edições ESDRM</t>
  </si>
  <si>
    <t>nacional</t>
  </si>
  <si>
    <t>da Costa A.C., Rebelo F., Teles J. (2016). Child-Persona: What I Think to What They Are. In F. Rebelo &amp; M. Soares (Eds.), Advances in Ergonomics in Design, Advances in Intelligent Systems and Computing, 485, pp. 43-51. URL: http://link.springer.com/chapter/10.1007%2F978-3-319-41983-1_5</t>
  </si>
  <si>
    <t>Springer</t>
  </si>
  <si>
    <t>Jil Janine Ferreira, Carina Nunes Santos &amp; Rita Santos Rocha (2016). A importância da atividade física no desenvolvimento da criança e prevenção do excesso de peso (Cap. 2, pp 15-28). In Santos-Rocha R, Simões V, Pimenta N (2016). Escola Ativa – Atividade Física e Saúde em Contexto Escolar. Rio Maior: Edições ESDRM. ISBN 978-989-8768-10-0 (print), 978-989-8768-13-1 (e-book).</t>
  </si>
  <si>
    <t>Marco Branco, Filomena Vieira, Rita Santos Rocha, Maria-Raquel Silva, Liliana Aguiar e António Prieto Veloso (2016). Influência da morfologia ao longo da gravidez e pós-parto nos parâmetros da cinética da marcha (Cap. 4, pp 109-131). In Santos-Rocha R &amp; Branco M (2016). Gravidez Ativa – Adaptações Fisiológicas e Biomecânicas durante a Gravidez e o Pós-Parto. ESDRM-IPS / CIPER-FMH-ULisboa / FCT. Rio Maior: Edições ESDRM. ISBN: 978-989-8768-17-9 (e-book); 978-989-8768-18-6 (edição impressa).</t>
  </si>
  <si>
    <t>Marco Branco, Liliana Aguiar, Rita Santos Rocha, Filomena Vieira e António Prieto Veloso (2016). Adaptações cinemáticas da marcha ao longo da gravidez e pós-parto (Cap. 7, pp 173-190). In Santos-Rocha R &amp; Branco M (2016). Gravidez Ativa – Adaptações Fisiológicas e Biomecânicas durante a Gravidez e o Pós-Parto. ESDRM-IPS / CIPER-FMH-ULisboa / FCT. Rio Maior: Edições ESDRM. ISBN: 978-989-8768-17-9 (e-book); 978-989-8768-18-6 (edição impressa).</t>
  </si>
  <si>
    <t>Marco Branco, Liliana Aguiar, Rita Santos Rocha, Filomena Vieira e António Prieto Veloso (2016). Adaptações cinéticas da marcha ao longo da gravidez e pós-parto (Cap. 8, pp 191-214). In Santos-Rocha R &amp; Branco M (2016). Gravidez Ativa – Adaptações Fisiológicas e Biomecânicas durante a Gravidez e o Pós-Parto. ESDRM-IPS / CIPER-FMH-ULisboa / FCT. Rio Maior: Edições ESDRM. ISBN: 978-989-8768-17-9 (e-book); 978-989-8768-18-6 (edição impressa).</t>
  </si>
  <si>
    <t>Rita Santos Rocha, Vera Simões &amp; Nuno Pimenta (2016). Introdução: Um programa de exercício físico para uma ESCOLA ATIVA (Cap. 1, pp 11-14). In Santos-Rocha R, Simões V, Pimenta N (2016). Escola Ativa – Atividade Física e Saúde em Contexto Escolar. Rio Maior: Edições ESDRM. ISBN 978-989-8768-10-0 (print), 978-989-8768-13-1 (e-book).</t>
  </si>
  <si>
    <t>Rita Santos Rocha (2016). Introdução (Cap. 1, pp 19-25). In Santos-Rocha R &amp; Branco M (2016). Gravidez Ativa – Adaptações Fisiológicas e Biomecânicas durante a Gravidez e o Pós-Parto. ESDRM-IPS / CIPER-FMH-ULisboa / FCT. Rio Maior: Edições ESDRM. ISBN: 978-989-8768-17-9 (e-book); 978-989-8768-18-6 (edição impressa).</t>
  </si>
  <si>
    <t>Livros</t>
  </si>
  <si>
    <t>Função</t>
  </si>
  <si>
    <t>Santos-Rocha R, Simões V, Pimenta N (2016). Escola Ativa – Atividade Física e Saúde em Contexto Escolar. Rio Maior: Edições ESDRM. ISBN 978-989-8768-10-0 (print), 978-989-8768-13-1 (e-book). URL: https://www.researchgate.net/profile/Rita_Santos-Rocha</t>
  </si>
  <si>
    <t>editor</t>
  </si>
  <si>
    <t>Santos-Rocha R &amp; Branco M (2016). Gravidez Ativa – Adaptações Fisiológicas e Biomecânicas durante a Gravidez e o Pós-Parto. ESDRM-IPS / CIPER-FMH-ULisboa / FCT. Rio Maior: Edições ESDRM. ISBN: 978-989-8768-17-9 (e-book); 978-989-8768-18-6 (edição impressa), disponível em: URL: https://www.researchgate.net/profile/Rita_Santos-Rocha</t>
  </si>
  <si>
    <t>Outras publicações</t>
  </si>
  <si>
    <t>Tipo de publicação (escolher)</t>
  </si>
  <si>
    <t>artigo sem IF</t>
  </si>
  <si>
    <t>Branco M, Santos-Rocha R, Vieira F, Silva MR, Aguiar L, Veloso AP. (2016) Influence of Body Composition on Gait Kinetics throughout Pregnancy and Postpartum Period. Scientifica (Cairo). 2016;2016:3921536. doi: 10.1155/2016/3921536. URL: https://www.ncbi.nlm.nih.gov/pubmed/27073713</t>
  </si>
  <si>
    <t>Machado M, Tavares C, Moniz-Pereira V, André H, Ramalho F, Veloso AP, Carnide F. Validation of YPAS-PT – The Yale Physical Activity Survey for Portuguese Older People. Science Journal of Public Health. 2016; 4(1): 72-80</t>
  </si>
  <si>
    <t>Marconcin, P., Espanha, M., &amp; Campos, P. (2016). Dor, Função Física e Nível de Atividade Física em Idosos com Osteoartrose do Joelho. In Revista Portuguesa de Ciências do Desporto, 2016/S2R1, pp.118 ISSN:1645-0523</t>
  </si>
  <si>
    <t>artigo em congresso internacional</t>
  </si>
  <si>
    <t>Antunes A, Neto S, Carnide F, Matias R. Biofeedback-assisted learning of scapula dynamic control is influenced by the dimensionality of the feedback information. Gait &amp; Posture. 49(2).p.274 DOI: 10.1016/j.gaitpost.2016.07.326</t>
  </si>
  <si>
    <t>Bernardino A, Vismara C, Baptista F, Carnide F, Oom S, Badia SB, Gouveia E, Gamboa H. A Dataset for the Automatic Assessment of Functional Senior Fitness Tests using Kinect and Physiological Sensors. Proceedings International Conference on Technology and Innovation in Sports, Health and Wellbeing, (TISHW), International Conference on, IEEE, 1-6.</t>
  </si>
  <si>
    <t>Carnide F, Baptista F, Dias SB, Moura A, Langberg H Mosbech AM, Delpozo F (2016). Frailty, falls, and functional loss education: The 3Fights@ Edu MOOC perspective Technology and Innovation in Sports, Health and Wellbeing (TISHW), International Conference on, IEEE, 1-6</t>
  </si>
  <si>
    <t>Marconcin, P., Espanha, M., Yázigi, Santos, T., André, R., &amp; Campos, P. (2016) Walking performance depends on body mass and functional strength but is not facilitate by self-efficacy in knee osteoarthritis patients. In Lohmander, S. Supplements of Osteoarthritis and Cartilage, 24 (1), Amsterdam, Netherlands, March 31 April 3, pp. 192-193</t>
  </si>
  <si>
    <t>Pascoal, Augusto Gil, Silva, Patricia, &amp; Sancho, Fatima. (2016). Reliability of a Vaginal Finger-Cot Device for Measuring Pelvic-Floor Muscles Strength. Paper presented at the BioMedWomen: Proceedings of the International Conference on Clinical and BioEngineering for Women's Health, Porto, Portugal, 20-23 June, 2015</t>
  </si>
  <si>
    <t>abstract em congresso internacional</t>
  </si>
  <si>
    <t>Fernandes, R., Armada-da-Silva, P., Pool-Goudaazward, A., Moniz-Pereira, V., &amp; Veloso, A. P. (2016). Test-retest reliability and minimal detectable change of three-dimensional gait analysis in chronic low back pain patients and healthy individuals. Manual Therapy, 25, e105. http://doi.org/10.1016/j.math.2016.05.186</t>
  </si>
  <si>
    <t>Produtos</t>
  </si>
  <si>
    <t>Designação</t>
  </si>
  <si>
    <t>Tipologia</t>
  </si>
  <si>
    <t>Disseminação científica</t>
  </si>
  <si>
    <t>Participação em congressos</t>
  </si>
  <si>
    <t>Nome Congresso</t>
  </si>
  <si>
    <t>Tipo comunicação</t>
  </si>
  <si>
    <t>João, Filipa. “Normal Gait Pattern: kinematics, kinetics and electromyography”. First Clinical Gait Analysis Course in Cerebral Palsy. Hospital Garcia de Orta, Portugal. 2016.</t>
  </si>
  <si>
    <t>First Clinical Gait Analysis Course in Cerebral Palsy</t>
  </si>
  <si>
    <t>Oral a convite para seminário/evento de projeto</t>
  </si>
  <si>
    <t>Moniz-Pereira, Vera. 3D Gait Analysis in cerebral palsy: from marker set to report. First Clinical Gait Analysis Course in Cerebral Palsy. Hospital Garcia de Orta, Portugal. 2016.</t>
  </si>
  <si>
    <t>Moniz-Pereira, Vera. O papel do exercício físico na prevenção das quedas e da fragilidade. X Jornadas da Dor - "Dor e Qualidade de Vida". Hospital Egas Moniz Portugal. 2016.</t>
  </si>
  <si>
    <t>X Jornadas da Dor - "Dor e Qualidade de Vida"</t>
  </si>
  <si>
    <t>Filomena Carnide. FUNCTIONAL DECLINE IN COMMUNITY-DWELLING OLDER ADULTS: THE ROLE OF FRAILTY, FALLS, AND PHYSICAL ACTIVITY, ALTHOUR Symposium, Leuven, Belgium, Nov 2016.</t>
  </si>
  <si>
    <t>ALTHOUR Symposium</t>
  </si>
  <si>
    <t>Moniz-Pereira, Vera. Rethinking the intervention strategies for fall prevention in older adults: an epidemiological and biomechanical approach. ALHTOUR Academic Symposium. Maastricht. Países Baixos. 2016.</t>
  </si>
  <si>
    <t>ALHTOUR Academic Symposium</t>
  </si>
  <si>
    <t>Organização de Eventos científicos</t>
  </si>
  <si>
    <t xml:space="preserve">Nome </t>
  </si>
  <si>
    <t>Tipo</t>
  </si>
  <si>
    <t>nº horas</t>
  </si>
  <si>
    <t>curso breve</t>
  </si>
  <si>
    <t>Curso de Acreditação em Antropometria - ISAK - nível 1 - junho</t>
  </si>
  <si>
    <t>Visita Alunos Fisioterapia ESTeSL</t>
  </si>
  <si>
    <t>extensão à comunidade</t>
  </si>
  <si>
    <t>Atividades de revisão científica</t>
  </si>
  <si>
    <t>Tipo de atividade (escolher)</t>
  </si>
  <si>
    <t>Nome da revista/congresso</t>
  </si>
  <si>
    <t>Investigador</t>
  </si>
  <si>
    <t>Atividades de avaliação científica</t>
  </si>
  <si>
    <t>Descrição</t>
  </si>
  <si>
    <t>Formação científica</t>
  </si>
  <si>
    <t>Preencher apenas se tese ou estágio científico</t>
  </si>
  <si>
    <t>Tipo de formação (escolher)</t>
  </si>
  <si>
    <t>Nome Estudante/Título / Nome Orientador e Co-orientador</t>
  </si>
  <si>
    <t>Instituição e Formação base</t>
  </si>
  <si>
    <t>Área 1º ciclo (apenas se concluído)</t>
  </si>
  <si>
    <t>Área 2º ciclo (apenas se concluído)</t>
  </si>
  <si>
    <t>Área 3º ciclo (apenas se concluído)</t>
  </si>
  <si>
    <t>Supervisão</t>
  </si>
  <si>
    <t>teses doutoramento defendidas</t>
  </si>
  <si>
    <t>Silvia Cabral - Development of a global gait assymetry score using biomechanical parameters. Orientador: Antonio Veloso</t>
  </si>
  <si>
    <t>biomecânica</t>
  </si>
  <si>
    <t>orientador</t>
  </si>
  <si>
    <t>Rita Fernandes - Biomechanics of the trunk and lower limbs during gait in individuals with and without chronic low back pain. Orientação: Paulo Armada</t>
  </si>
  <si>
    <t>teses mestrado defendidas</t>
  </si>
  <si>
    <t>Maria Campos Lopes</t>
  </si>
  <si>
    <t>ergonomia</t>
  </si>
  <si>
    <t>Marco António Colaço Branco - Biomechanical and morphological adaptations in women during pregnancy and the postpartum period in walking” Orientador: Rita Santos-Rocha, Co-orientador: Filomena Vieira</t>
  </si>
  <si>
    <t>coorientador</t>
  </si>
  <si>
    <t>orientação teses mestrado em curso</t>
  </si>
  <si>
    <t>Thaís Silva</t>
  </si>
  <si>
    <t>interrompeu por licença de maternidade</t>
  </si>
  <si>
    <t>Micael Sousa</t>
  </si>
  <si>
    <t>interrompeu por trabalho</t>
  </si>
  <si>
    <t>Financiamentos e parcerias</t>
  </si>
  <si>
    <t>Candidaturas a projetos de investigação (financiados ou não)</t>
  </si>
  <si>
    <t>Financiado?</t>
  </si>
  <si>
    <t>Título do Projeto</t>
  </si>
  <si>
    <t>Referência do projeto (apenas se financiado</t>
  </si>
  <si>
    <t>Âmbito da Entidade Financiadora</t>
  </si>
  <si>
    <t>Nome Entidade Financiadora</t>
  </si>
  <si>
    <t>Montante financiado para o LBMF</t>
  </si>
  <si>
    <t>Area investigação</t>
  </si>
  <si>
    <t>Duração do projecto (anos)</t>
  </si>
  <si>
    <t>sim</t>
  </si>
  <si>
    <t>FCT-CMU AHA-Augmented Human Assistance</t>
  </si>
  <si>
    <t>FCT – CMUP-ERI/HCI/0046/2013</t>
  </si>
  <si>
    <t>FCT</t>
  </si>
  <si>
    <t>life-span (aging, maturation, pregnancy and post-partum)</t>
  </si>
  <si>
    <t>H2020 ALHTOUR - Assisted living technologies for the health tourism sector</t>
  </si>
  <si>
    <t>Twinning-692311</t>
  </si>
  <si>
    <t>European Commission</t>
  </si>
  <si>
    <t>Candidaturas a outros projetos financiados</t>
  </si>
  <si>
    <t>Referência do projeto</t>
  </si>
  <si>
    <t>Montante financiado</t>
  </si>
  <si>
    <t>Área</t>
  </si>
  <si>
    <t>Contratos/Parcerias com a indústria</t>
  </si>
  <si>
    <t>Tipo de contrato/parceria</t>
  </si>
  <si>
    <t>Outras informações relevantes</t>
  </si>
  <si>
    <t>Network</t>
  </si>
  <si>
    <t>Entidade colaboradora (individual ou grupo)</t>
  </si>
  <si>
    <t>Ano</t>
  </si>
  <si>
    <t>Costa E Silva L, Fragoso MI, Teles J. Physical Activity-Related Injury Profile in Children and Adolescents According to Their Age, Maturation, and Level of Sports Participation. Sports Health. 2017 Mar/Apr;9(2):118-125. doi: 10.1177/1941738116686964</t>
  </si>
  <si>
    <t>Sports Health</t>
  </si>
  <si>
    <t>D. Franco, I. Fragoso, M. Andrea, J. Teles, F. Martins. Somatotype and body composition of normal and dysphonic adult speakers. Journal of Voice, 31 (2017), 1, 132.e9-132.e21</t>
  </si>
  <si>
    <t>Journal of Voice</t>
  </si>
  <si>
    <t>Audiology &amp; speech-language pathology</t>
  </si>
  <si>
    <t>Le Sant G, Nordez A, Andrade R, Hug F, Freitas S, Gross R (2017) Stiffness mapping of lower leg muscles during passive dorsiflexion. J Anat. 230(5):639-650. doi: 10.1111/joa.12589</t>
  </si>
  <si>
    <t>Journal of Anatomy</t>
  </si>
  <si>
    <t>Anatomy and Morphology</t>
  </si>
  <si>
    <t>Lourenço S, Correia S, Alves L,Carnide F, Silva S, Lucas R. (2017) Intergenerational educational trajectories and lower back pain in young women and men. Acta Reumatol Port.;42(1):73-81</t>
  </si>
  <si>
    <t>Neto T, Andrade R, Marques M, Gomes L, Freitas SR. Oliveira R. Lower Body Quadrant Neural Mobilization in Healthy and Low Back Pain Populations: A Systematic Review and Meta-Analysis. Musculoskelet Sci Pract 2017. 27:14-22. doi: 10.1016/j.msksp.2016.11.014</t>
  </si>
  <si>
    <t>Musculoskeletal Science And Practice</t>
  </si>
  <si>
    <t>Rehabilittion</t>
  </si>
  <si>
    <t>Nordez A, Gross R, Andrade R, Le Sant G, Freitas S, Ellis R, McNair PJ, Hug F (2017) Non-Muscular Structures Can Limit the Maximal Joint Range of Motion during Stretching. Sports Med. doi: 10.1007/s40279-017-0703-5</t>
  </si>
  <si>
    <t>Sports Medicine</t>
  </si>
  <si>
    <t>Ramalho F, Carnide F, Santos-Rocha R, André HI, Moniz-Pereira V,Machado ML,Veloso AP. (2017) Community-Based Exercise Intervention for Gait and Functional Fitness Improvement in an Older Population: Study Protocol. J Aging Phys Act; 25(1):84-93. doi: 10.1123/japa.2015-0290. Epub 2016 Sep 6</t>
  </si>
  <si>
    <t>Journal of Aging and Physical Activity</t>
  </si>
  <si>
    <t>Ribeiro J, Caseiro AR, Pereira T, Armada-da-Silva PA, Pires I, Prada J, Amorim I, Leal Reis I, Amado S, Santos JD, Bompasso S, Raimondo S, Varejão AS, Geuna S, Luís AL, Maurício AC. (2017) Evaluation of PVA biodegradable electric conductive membranes for nerve regeneration in axonotmesis injuries: the rat sciatic nerve animal model. J Biomed Mater Res A.105(5):1267-1280. doi: 10.1002/jbm.a.35998</t>
  </si>
  <si>
    <t>Journal of Biomedical Materials Research Part A</t>
  </si>
  <si>
    <t>T. Cotrim, J. Carvalhais, C. Neto, J. Teles, P. Noriega, F. Rebelo. Determinants of sleepiness at work among railway control workers. Applied Ergonomics, 58 (2017), 293-300</t>
  </si>
  <si>
    <t>Engineering, Industrial</t>
  </si>
  <si>
    <t>Vidal, A.C., Banca, P., Pascoal, A.G., Santos, G.C., Sargento-Freitas, J., Gouveia, A. &amp; Castelo-Branco, M. (2016). Bilateral versus ipsilesional cortico-subcortical activity patterns in stroke show hemispheric dependence. International Journal of Stroke: 1–13 DOI:10.1177/1747493016672087</t>
  </si>
  <si>
    <t>International Journal of Stroke</t>
  </si>
  <si>
    <t>Cabral, S., Fernandes, R., Selbie, W.S., Moniz-Pereira, V., Veloso, A.P., (2016). Inter-session agreement and reliability of the Global Gait Asymmetry index in healthy adults. Gait Posture 51, 20–24. DOI: 10.1016/j.gaitpost.2016.09.014. URL: https://www.ncbi.nlm.nih.gov/pubmed/27693957</t>
  </si>
  <si>
    <t>Andrade RJ, Freitas SR, Hug F, Le Sant G, Lacourpaille L, Gross R, McNair P, Nordez A. (2018) The potential role of sciatic nerve stiffness in the limitation of maximal ankle range of motion. Sci Rep. 8(1):14532</t>
  </si>
  <si>
    <t>Scientific Reports</t>
  </si>
  <si>
    <t>André HI, Carnide F, Moço A, Valamatos MJ, Ramalho F, Santos-Rocha R, Veloso A. (2018) Can the calf-raise senior test predict functional fitness in elderly people? A validation study using electromyography, kinematics and strength tests. Phys Ther Sport. 32:252-259.</t>
  </si>
  <si>
    <t>Physical Therapy in Sports</t>
  </si>
  <si>
    <t>Ateş F, Andrade RJ, Freitas SR, Hug F, Lacourpaille L, Gross R, Yucesoy CA, Nordez A. (2018) Passive stiffness of monoarticular lower leg muscles is influenced by knee joint angle. Eur J Appl Physiol. 118(3):585-593</t>
  </si>
  <si>
    <t>Borges A, Teodósio C, Matos P, Mil-Homens P, Pezarat-Correia P, Fahs C, Mendonca GV. (2018) Sexual Dimorphism in the Estimation of Upper-Limb Blood Flow Restriction in the Seated Position. J Strength Cond Res. 32(7):2096-2102.</t>
  </si>
  <si>
    <t>Journal of Strength and Conditioning Research</t>
  </si>
  <si>
    <t>Casanova N, Reis JF, Vaz JR, Machado R, Mendes B, Button DC, Pezarat-Correia P, Freitas SR. (2018) Effects of roller massager on muscle recovery after exercise-induced muscle damage. J Sports Sci. 36(1):56-63.</t>
  </si>
  <si>
    <t>Journal of Sports Sciences</t>
  </si>
  <si>
    <t>Domingues L, Cruz EB, Pimentel-Santos FM, Ramiro S, Donato H, Manica SR, Hayden JA, Buchbinder R, Branco JC. (2018) Prognostic factors for recovery and non-recovery in patients with non-specific neck pain: a protocol for a systematic literature review. BMJ Open. 8(11):e023356</t>
  </si>
  <si>
    <t>BMJ Open</t>
  </si>
  <si>
    <t>Fatela P, Reis JF, Mendonca GV, Freitas T, Valamatos MJ, Avela J, Mil-Homens P. (2018) Acute Neuromuscular Adaptations in Response to Low-Intensity Blood-Flow Restricted Exercise and High-Intensity Resistance Exercise: Are There Any Differences? J Strength Cond Res. 32(4):902-910.</t>
  </si>
  <si>
    <t>Freitas SR. (2018) Does the fascia stiffness increase after stretching also occurs in human individuals? J Appl Physiol (1985). 125(2):683.</t>
  </si>
  <si>
    <t>Journal of Applied Physiology</t>
  </si>
  <si>
    <t>Freitas SR, Marmeleira J, Valamatos MJ, Blazevich A, Mil-Homens P. (2018) Ultrasonographic Measurement of the Biceps Femoris Long-Head Muscle Architecture. J Ultrasound Med. 37(4):977-986</t>
  </si>
  <si>
    <t>Journal of Ultrasound in Medicine</t>
  </si>
  <si>
    <t>Garcia C, Teles J, Barrigas C, Fragoso I. (2018) Health-related quality of life of Portuguese children and adolescents according to their biological maturation and volume of physical activity. Qual Life Res. 27(6):1483-1492</t>
  </si>
  <si>
    <t>Quality of Life Research</t>
  </si>
  <si>
    <t>Public, Environmental &amp; Occupational health</t>
  </si>
  <si>
    <t>Marconcin P, Espanha M, Teles J, Bento P, Campos P, André R, Yázigi F. (2018) A randomized controlled trial of a combined self-management and exercise intervention for elderly people with osteoarthritis of the knee: the PLE(2)NO program. Clin Rehabil. 32(2):223-232</t>
  </si>
  <si>
    <t>Clinical Reabilitation</t>
  </si>
  <si>
    <t>Mendes B, Firmino T, Oliveira R, Neto T, Infante J, Vaz JR, Freitas SR. (2018) Hamstring stiffness pattern during contraction in healthy individuals: analysis by ultrasound-based shear wave elastography.Eur J Appl Physiol. 118(11):2403-2415</t>
  </si>
  <si>
    <t>Mendonca GV, Borges A, Teodósio C, Matos P, Correia J, Vila-Chã C, Mil-Homens P, Pezarat-Correia P. (2018) Muscle fatigue in response to low-load blood flow-restricted elbow-flexion exercise: are there any sex differences? Eur J Appl Physiol. 118(10):2089-2096.</t>
  </si>
  <si>
    <t>Moniz Pereira V, Kepple T, Cabral S, João F, Veloso AP (2018) Joint moments’ contributions to vertically accelerate the center of mass during stair ambulation in the elderly: An induced acceleration approach. Journal of Biomechanics. 79(1):105-111</t>
  </si>
  <si>
    <t>Pinto MD, Blazevich AJ, Andersen LL,Mil-Homens P, Pinto RS. (2018) Hamstring-to-quadriceps fatigue ratio offers new and different muscle function information than the conventional non-fatigued ratio. Scand J Med Sci Sports. 28(1):282-293</t>
  </si>
  <si>
    <t>Scandinavian Journal of Medicine &amp; Science in Sports</t>
  </si>
  <si>
    <t>Ramalho F, Santos-Rocha R, Branco M, Moniz-Pereira V, André HI, Veloso AP, Carnide F (2018). Effect of 6-Month Community-Based Exercise Interventions on Gait and Functional Fitness of an Older Population: A Quasi-Experimental Study. J Clinical Interventions in Aging. 13:595-606</t>
  </si>
  <si>
    <t>Pajaujiene S, Dabasinskiene L, Santos-Rocha R. HEALTH PROMOTION PROGRAM FOR IMPROVING WOMEN'S BODY COMPOSITION AND ACTIVE LIFESTYLE IN POSTPARTUM: A PILOT STUDY. Acta Medica Mediterranea, 2018, 34: 1365</t>
  </si>
  <si>
    <t>Acta Medica Mediterranea</t>
  </si>
  <si>
    <t>0.835</t>
  </si>
  <si>
    <t>Santos R, Valamatos MJ, Mil-Homens P, Armada-da-Silva P (2018). Muscle thickness and echo-intensity changes of the quadriceps femoris muscle during a strength training program. Radiography, 24, e75–e84</t>
  </si>
  <si>
    <t>Radiography</t>
  </si>
  <si>
    <t>7.608</t>
  </si>
  <si>
    <t>Sousa P, Duarte E, Ferreira R, Esperança A, Frontini R, Santos-Rocha R, Luís L, Dias SS, Marques N. An mHealth Intervention Program to Promote Healthy Behaviors and Prevent Adolescent Obesity (TeenPower): a Study Protocol. J Adv Nurs. 2018 Nov 5. doi: 10.1111/jan.13905. [Epub ahead of print] PubMed PMID:30397934</t>
  </si>
  <si>
    <t>Journal of Advanced Nurcing</t>
  </si>
  <si>
    <t>2.367</t>
  </si>
  <si>
    <t>Valamatos MJ, Tavares F, Santos RM, Veloso AP, Mil-Homens P, (2018). Influence of full range of motion vs. equalized partial range of motion training on muscle architecture and mechanical properties. European Journal of Applied Physiology, 118 (9), 1969–1983. DOI: 10.1007/s00421-018-3932-x</t>
  </si>
  <si>
    <t>Cabral S. (2017) Gait Symmetry Measures and their Relevance to Gait Retraining. In: Müller B. et al. (eds) Handbook of Human Motion. Springer, Cham</t>
  </si>
  <si>
    <t>Mil-Homens, P. (2017). Conceção e Programas de Treino , in Treino da Força – Volume 2: Avaliação, Planeamento e Aplicações. Pedro Pezarat Correia, Pedro Mil-Homens &amp; Gonçalo Vilhena de Mendonça Editores., Edições FMH</t>
  </si>
  <si>
    <t>Ediçoes FMH</t>
  </si>
  <si>
    <t>Mil-Homens. P., MJ Valamatos &amp; R. S. Pinto (2017). Avaliação e Controlo do Treino da Força , in Treino da Força – Volume 2: Avaliação, Planeamento e Aplicações (2017). Pedro Pezarat Correia, Pedro Mil-Homens &amp; Gonçalo Vilhena de Mendonça Editores., Edições FMH</t>
  </si>
  <si>
    <t>Moniz Pereira, L. (2017) - Adaptar para participar e incluir. In Desporto com sentido - Manuais de Desporto Adaptado (2ª ed), (pp. 31-43) Seixal: APCAS. ISBN 978-989-20-7795-6</t>
  </si>
  <si>
    <t>Edições APCAS</t>
  </si>
  <si>
    <t>Moniz Pereira, L.; Correia, D.; Damas, R. (2017) – Goalball, In Desporto com sentido - Manuais de Desporto Adaptado (2ª ed), (28 págs.). Seixal: APCAS. ISBN 978-989-20-7795-6</t>
  </si>
  <si>
    <t>Rosado, A., Moniz Pereira, L. (2017). A inclusão na educação e no desporto [Inclusion in Education and Sport]. In Desporto com sentido - Manuais de Desporto Adaptado (2ª ed), (pp 27-30). Seixal: APCAS. ISBN 978-989-20-7795-6</t>
  </si>
  <si>
    <t>Rosado, A., Moniz Pereira, L. (2017). Do empoderamento à Inclusão [From Empowerment to Inclusion]. In Desporto com sentido - Manuais de Desporto Adaptado (2ª ed), (pp. 66-72). Seixal: APCAS. ISBN 978-989-20-7795-6</t>
  </si>
  <si>
    <t>Tavares. F., Mil-Homens P. (2017). Princípios e Periodização do Treino da Força , in Treino da Força – Volume 2: Avaliação, Planeamento e Aplicações. Pedro Pezarat Correia, Pedro Mil-Homens &amp; Gonçalo Vilhena de Mendonça Editores., Edições FMH</t>
  </si>
  <si>
    <t>Valamatos. MJ., P. Mil-Homens &amp; R. S. Pinto (2017). Avaliação Isocinética da Força , in Treino da Força – Volume 2: Avaliação, Planeamento e Aplicações. Pedro Pezarat Correia, Pedro Mil-Homens &amp; Gonçalo Vilhena de Mendonça Editores., Edições FMH</t>
  </si>
  <si>
    <t>Lopes, Mónica; Moniz-Pereira, L. (2017) Guia de Atividade Física para pessoas com amputação, pp. 134. Edições FMH– Spertlab. ISBN 978-972-735-222-7</t>
  </si>
  <si>
    <t>autor</t>
  </si>
  <si>
    <t>Moniz Pereira, L. (Ed.), (2017). Desporto com sentido - Manuais de Desporto Adaptado (2ª ed), pp. Seixal: APCAS. ISBN 978-989-20-7795-6.</t>
  </si>
  <si>
    <t>Pedro Pezarat Correia, Pedro Mil-Homens &amp; Gonçalo Vilhena de Mendonça Editores. (2017) Treino da Força – Volume 2: Avaliação, Planeamento e Aplicações. Edições FMH</t>
  </si>
  <si>
    <t>Espanha, M.R., Marconcin, P.P., P.L. Campos, P.L. &amp; F.G. Yázigi, F.G. Educational program for older adults with knee osteoarthritis. Annals of the Rheumatic Diseases, 76, suppl. 2, 2017, p. 1553. http://dx.doi.org/10.1136/annrheumdis-2017-eular.6642</t>
  </si>
  <si>
    <t>Neto T, Freitas SR, Andrade R, Gomes J, Vaz J, Mendes B, Firmino T, Nordez A, Oliveira R. Sciatic nerve stiffness is not changed immediately after a slump neurodynamics technique. Muscles, Ligaments and Tendons Journal. 2017. 2017. 7(3): 583-589. doi: 10.11138/mltj/2017.7.3.583</t>
  </si>
  <si>
    <t>artigo técnico-profissional</t>
  </si>
  <si>
    <t>Pereira HV, Caetano C, Santos-Rocha R, Martins SS, Raposo FZ, Teixeira PJ. O Fisiologista do Exercício: Profissional de Referência na Área da Atividade Física, Exercício e Saúde. Revista Factores de Risco – Sociedade Portuguesa de Cardiologia, N.º 44 Abr-Jun 2017, 71-6</t>
  </si>
  <si>
    <t>Sant G, Nordez A, Andrade R, Hug F, Freitas SR, Gross R. Mesure de la variabilité spatiale de la raideur au sein des muscles fléchisseurs plantaires lors de l'étirement passif. Kinésithérapie, la Revue. 2017. 17(184), 37–38</t>
  </si>
  <si>
    <t>Silva M-R G, Santos-Rocha R, Barata P, Saavedra F (2017) Gender inequalities in Portuguese gymnasts between 2012 and 2016. Science of Gymnastics Journal, Jun 9(2): 191-200</t>
  </si>
  <si>
    <t>Tavares F, Mendes B, Driller M, Freitas SR. Do young elite football athletes have the same strength and power characteristics as senior athletes? Journal of Functional Morphology and Kinesiology. 2017, 2(4), 48; doi:10.3390/jfmk2040048</t>
  </si>
  <si>
    <t>artigo em congresso nacional</t>
  </si>
  <si>
    <t>S. Cabral, R. Fernandes, V. Moniz-Pereira, W. S. Selbie, A. P. Veloso (2017). CONCORDÂNCIA E FIABILIDADE DE ÍNDICES GLOBAIS DE SIMETRIA – INFLUÊNCIA DA FÓRMULA MATEMÁTICA. 7º Congresso Nacional de Biomecânica. Guimarães, Portugal.</t>
  </si>
  <si>
    <t>João, Filipa; Bagão, V.; Cabral, Sílvia; Veloso, António P. VARIABILIDADE DO PADRÃO DE MARCHA EM CRIANÇAS SAUDÁVEIS: DEFINIÇÃO DA NORMA. In: 7º CONGRESSO NACIONAL DE BIOMECÂNICA, 2017. Guimarães. Livro de resumos do 7º Congresso Nacional de Biomecânica. 2017.</t>
  </si>
  <si>
    <t>Moniz-Pereira, Vera; Cabral, Sílvia; António Veloso. SUBIDA DE ESCADAS EM IDOSOS: CORRELAÇÃO COM IDADE, APTIDÃO FUNCIONAL E CADÊNCIA. In: 7º CONGRESSO
 NACIONAL DE BIOMECÂNICA, 2017. Guimarães. Livro de resumos do 7º Congresso Nacional de Biomecânica. 2017</t>
  </si>
  <si>
    <t>Pedro, Bruno; João, Filipa; Lara, Jerusa; Veloso, António P. CONTRIBUIÇÃO DO MEMBRO SUPERIOR NO BATIMENTO DE DIREITA DE ATAQUE NO TÉNIS. In: 7º CONGRESSO NACIONAL DE BIOMECÂNICA, 2017. Guimarães. Livro de resumos do 7º Congresso Nacional de Biomecânica. 2017</t>
  </si>
  <si>
    <t>Mil-Homens, P., Joana F. Reis, Goncalo V. Mendonca, Tomás Freitas, Maria J. Valamatos, Pedro Fatela. (2017) Acute Neuromuscular Adaptations In Response To Low-intensity Blood-flow Restricted Exercise And High Intensity Resistance Training. Medicine &amp; Science in Sports and Exercise, 49 (5) S 39</t>
  </si>
  <si>
    <t>Fatela, P., Goncalo V. Mendonca, Janne Avela, Pedro Mil-Homens (2017). Blood Flow Restricted Exercise Alters Motor Unit Recruitment And Firing Rate . Medicine &amp; Science in Sports and Exercise, 49 (5) S 581</t>
  </si>
  <si>
    <t>Cabral. S., Fernandes, R., Moniz-Pereira, V., Selbie, W. S., Veloso, A. P. (2017) The impact of joint kinematics reliability on the intersession agreement and reliability of global gait symmetry indices. XXVI Congress of the International Society of Biomechanics, Brisbane, Australia</t>
  </si>
  <si>
    <t>Moniz-Pereira, V., Cabral, S., &amp; Veloso, A. P. (2017). Stair transitions in the elderly: correlations between lower limb joint impulses, cadence, balance level and age. In Book of abstracts of the XXVI Congress of the International Society of Biomechanics. Brisbane, Australia.</t>
  </si>
  <si>
    <t>7º Congresso Nacional de Biomecânica</t>
  </si>
  <si>
    <t>Oral submetido a congresso</t>
  </si>
  <si>
    <t>ACSM Conference - Denver</t>
  </si>
  <si>
    <t>the XXVI Congress of the International Society of Biomechanics</t>
  </si>
  <si>
    <t>Poster submetido a congresso</t>
  </si>
  <si>
    <t>Curso de Acreditação em Antropometria - ISAK - nível 1 - setembro</t>
  </si>
  <si>
    <t>Curso de Acreditação em Antropometria - ISAK - nível 2 - setembro</t>
  </si>
  <si>
    <t>Dia aberto FMH</t>
  </si>
  <si>
    <t>Dia Nacional da Biomecânica</t>
  </si>
  <si>
    <t>Visita do CEFA</t>
  </si>
  <si>
    <t>revisor de resumo/artigo em congresso</t>
  </si>
  <si>
    <t>Filipa Joao</t>
  </si>
  <si>
    <t>Vera Moniz Pereira</t>
  </si>
  <si>
    <t>António Veloso</t>
  </si>
  <si>
    <t>revisor de artigo em revista com IF</t>
  </si>
  <si>
    <t>Sílvia Cabral</t>
  </si>
  <si>
    <t>Journal of Applied Gerontology</t>
  </si>
  <si>
    <t>Disability and Rehabilitation</t>
  </si>
  <si>
    <t>revisor de artigo em revista sem IF</t>
  </si>
  <si>
    <t>Frontiers in Medicine</t>
  </si>
  <si>
    <t>membro de painel de avaliação de bolsas</t>
  </si>
  <si>
    <t>Bolsa de investigaçãopara Licenciados no âmbito do projeto de Estudos Antropométricos.</t>
  </si>
  <si>
    <t>Pedro Fatela - Acute Neuromuscular Adaptations to Blood Flow Restricted Exercise. Orientador: Pedro Mil-Homens</t>
  </si>
  <si>
    <t>Rute Santos - Morphological ultrasound evaluation in acute and chronic muscle overloading. Orientador: Paulo Armada-da-Silva</t>
  </si>
  <si>
    <t>orientação estágios 1º ciclo</t>
  </si>
  <si>
    <t>Cristina Carvalho da Costa</t>
  </si>
  <si>
    <t>engenharia (estágio LBMF)</t>
  </si>
  <si>
    <t>Mariya Matlak</t>
  </si>
  <si>
    <t>orientação estágios 2º ciclo</t>
  </si>
  <si>
    <t>Joana Isabel Flores Guerreiro-Implementação do Programa Pré-Parto no Ginásio Personal Body Wellness Care. Orientador:Filomena Vieira</t>
  </si>
  <si>
    <t>outro</t>
  </si>
  <si>
    <t>exercício e saúde</t>
  </si>
  <si>
    <t>Duarte Santos</t>
  </si>
  <si>
    <t>orientação teses doutoramento em curso</t>
  </si>
  <si>
    <t>Guilherme Hilger</t>
  </si>
  <si>
    <t>Daniela Lima</t>
  </si>
  <si>
    <t>Fez 1º ano e suspendeu por razões familiares e de saúde</t>
  </si>
  <si>
    <t>Montante financiado (atribuído ao LBMF)</t>
  </si>
  <si>
    <t>EIT-Health (campus) Frailty, Falls, and Functional Loss Education (3 Fights@edu)</t>
  </si>
  <si>
    <t>EIT Health Kic</t>
  </si>
  <si>
    <t>Efeitos contralaterais do treino de força de baixa intensidade realizado com restrição vascular</t>
  </si>
  <si>
    <t>PTDC/DTP-DES/5714/2014</t>
  </si>
  <si>
    <t>sports</t>
  </si>
  <si>
    <t>Mota P., Pascoal A.G., Vaz C., João F., Veloso A., Bø K. (2018) Diastasis Recti During Pregnancy andPostpartum. In: Brandão S., Da Roza T., Ramos I., Mascarenhas T. (eds) Women's Health and Biomechanics. Lecture Notes in Computational Vision and Biomechanics, vol 29. Springer, Cham</t>
  </si>
  <si>
    <t>Springer, Cham</t>
  </si>
  <si>
    <t>Santos-Rocha R, Gutiérrez IC, Szumilewicz A, Pajaujiene S (2018). Exercise Testing and Prescription for Pregnant Women. In Santos-Rocha, R (Ed), Exercise and Sporting Activity During Pregnancy. Evidence-Based Guidelines (pp. 183-230). Springer, Cham</t>
  </si>
  <si>
    <t>Santos-Rocha R, Branco M, Aguiar L, Vieira F, Veloso AP (2018). Biomechanical Adaptations of Gait in Pregnancy: Implications for Physical Activity and Exercise. In Santos-Rocha, R (Ed), Exercise and Sporting Activity During Pregnancy. Evidence-Based Guidelines (pp. 95-134). Springer, Cham</t>
  </si>
  <si>
    <t>Santos-Rocha R. Exercise and Sporting Activity During Pregnancy. Evidence-Based Guidelines. Springer International Publishing Switzerland 2018</t>
  </si>
  <si>
    <t>Alvarenga BAP, Fujikawa R, João F, Lara JPR, Veloso AP. (2018) The effects of a single session of lumbar spinal manipulative therapy in terms of physical performance test symmetry in asymptomatic athletes: a single-blinded, randomised controlled study. BMJ Open Sport Exerc Med. 8;4(1):e000389</t>
  </si>
  <si>
    <t>Baptista F, Lopes E, Matute-Llorente Á, Teles J, Zymbal V. (2018) Adaptation of Proximal Femur to Mechanical Loading in Young Adults: Standard Vs Localized Regions Evaluated by DXA. J Clin Densitom. 9. pii:S1094-6950(18)30159-8</t>
  </si>
  <si>
    <t>João, F., Bagão, V., Cabral, S., Veloso, A.P. (2018). P 153 - Variability of gait parameters in children: The importance of normative data establishment. Gait &amp; Posture, 65, 488 - 489</t>
  </si>
  <si>
    <t>Veloso, A. P., Cabral, S., João, F. (2018) Joint moment contributions to forward and upward acceleration of body CG are affected by the foot to ground contact model. International Foot and Ankle Biomechanics Meeting, New York, EUA</t>
  </si>
  <si>
    <t>Moniz-Pereira, V., Cabral, S., Veloso, A. P. (2018) The effects of normalization on ground reaction forces and joint moments during gait in elderly subjects. 8thWorld Congress of Biomechanics, Dublin, Ireland</t>
  </si>
  <si>
    <t>Morouço P, Fernandes C, Santos-Rocha R.  Osteoarthritis, Exercise and Tissue Engineering: a stimulating triad for health professionals.Journal of Aging Research, 2019, 1935806</t>
  </si>
  <si>
    <t>European Society of Movement Analysis in Adults and Children</t>
  </si>
  <si>
    <t>International Foot and Ankle Biomechanics Meeting</t>
  </si>
  <si>
    <t>Keynote speaker</t>
  </si>
  <si>
    <t>World Congress of Biomechanics</t>
  </si>
  <si>
    <t>João F, Ferrer-Roca V, Reche X, Cos F, Veloso AP (2018) WHY ABRUPT HORIZONTAL DECELERATIONS SHOULD BE INCLUDED IN THE KNEE INJURY PREVENTION ASSESSMENT? A BIOMECHANICAL MODELING APPROACH BASED ON INDUCED ACELERATION ANALYSIS. XXVII Isokinetic Medical Group Conference, Barcelona, Spain.</t>
  </si>
  <si>
    <t>XXVII Isokinetic Medical Group Conference</t>
  </si>
  <si>
    <t>Curso de Acreditação em Antropometria - ISAK - nível 1 - 1ª Ediçao junho</t>
  </si>
  <si>
    <t>Curso de Acreditação em Antropometria - ISAK - nível 1 - 2ª edição setembro</t>
  </si>
  <si>
    <t>Cabral, S</t>
  </si>
  <si>
    <t>editor de artigo em revista com IF</t>
  </si>
  <si>
    <t>Ata Médica Portuguesa</t>
  </si>
  <si>
    <t>Vera Moniz-Pereira</t>
  </si>
  <si>
    <t>Sports Biomechanics</t>
  </si>
  <si>
    <t>Hugo Amaral-Estudo da distribuição da pressão plantar associada ao transporte de mochilas escolares em crianças e adolescentes. Efeito da atividade física e composição corporal. Orientador: Filomena Vieira</t>
  </si>
  <si>
    <t>Dos Santos, D.F.N., (2019) Parâmetros cinemáticos da marcha em idosos portugueses a viver na comunidade: um contributo para uma base de dados normativa. Faculdade de Motricidade Humana, Universidade de Lisboa.</t>
  </si>
  <si>
    <t>FMH - Ciências do Deporto Ramo de Exercício e Saúde</t>
  </si>
  <si>
    <t>Defendeu apenas em 2019 por licença de maternidade VMPereira mas entregou e terminou em 2018, cumprindo tudo no ano respetivo (2017-2018)</t>
  </si>
  <si>
    <t>Retomou após licença de maternidade</t>
  </si>
  <si>
    <t>Vera Bagão</t>
  </si>
  <si>
    <t>BONE2MOVE - Desenvolvimento de técnicas experimentais e metodologias de modelação para a avaliação de implantes 4D nos defeitos ósseos no modelo da ovelha: uma abordagem de investigação integrativa</t>
  </si>
  <si>
    <t>IC&amp;DT Project 02/SAICT/2017</t>
  </si>
  <si>
    <t>União Europeia</t>
  </si>
  <si>
    <t>animal studies</t>
  </si>
  <si>
    <t>DESPORTO ADAPTADO NA UNIVERSIDADE - 2018</t>
  </si>
  <si>
    <t>IPDJ</t>
  </si>
  <si>
    <t>Avaliação de Calçado para a empresa Lavoro</t>
  </si>
  <si>
    <t>Koury, JC; Ribeiro, MA; Massarani, FA; Vieira, F; Marini, E (2019). Fat-free mass in adolescent athletes: Accuracy of bioimpedance equations and identification of new predictive equations. Nutrition 60: 59-65</t>
  </si>
  <si>
    <t>Nutrition</t>
  </si>
  <si>
    <t>Marco A. C. Branco, António M. V. VencesBrito, Mário A. Rodrigues-Ferreira, et al., “Effect of Aging on the Lower Limb Kinematics in Karate Practitioners: Comparing Athletes and Their Senseis,” Journal of Healthcare Engineering, vol. 2019, Article ID 2672185, 6 pages, 2019. https://doi.org/10.1155/2019/2672185</t>
  </si>
  <si>
    <t>Journal of Healthcare Engineering</t>
  </si>
  <si>
    <t>Reis, J. F., Fatela, P., Mendonça, G. V., Vaz, J. R., Valamatos, M. J., Infante, J., Mil-Homens, P., &amp; Alves, F. B. (2019). Tissue oxygenation in response to different relative levels of blood-flow restricted exercise. Frontiers in Physiology, 10, 407. doi: 10.3389/fphys.2019.00407</t>
  </si>
  <si>
    <t>Frontiers in Physiology</t>
  </si>
  <si>
    <t>3.201</t>
  </si>
  <si>
    <t>Teixeira, F. J., Matias, C. N., Monteiro, C. P., Valamatos, M. J., Reis, J. F., Batista, A., Oliveira, A. C., Alves, F., Sardinha, L. B., &amp; Phillips, S. M. (2019). No effect of HMB or α-HICA supplementation on training-induced changes in body composition. European Journal of Sport Science, 19(6), 802–810. doi: 10.1080/17461391.2018.1552723</t>
  </si>
  <si>
    <t>European Journal of Sport Science</t>
  </si>
  <si>
    <t>2.376</t>
  </si>
  <si>
    <t>Teixeira, F. J., Matias, C. N., Monteiro, C. P., Valamatos, M. J., Reis, J. F., Morton, R. W., Alves, F., Sardinha, L. B., &amp; Phillips, S. M. (2019). Leucine metabolites do not attenuate training-induced inflammation in young resistance trained men. Journal of Sports Sciences, 37(17), 2037–2044. doi: 10.1080/02640414.2019.1617503</t>
  </si>
  <si>
    <t>2.811</t>
  </si>
  <si>
    <t>Teixeira, F. J., Matias, C. N., Monteiro, C. P., Valamatos, M. J., Reis, J. F., Tavares, F., Batista, A. Domingos, C., Alves, F., Sardinha, L. B., &amp; Phillips, S. M. (2019). Leucine metabolites do not enhance training-induced performance or muscle thickness. Medicine and Science in Sports and Exercise, 51(1), 56–64. doi: 10.1249/MSS.0000000000001754</t>
  </si>
  <si>
    <t>Medicine and Science in Sports and Exercise</t>
  </si>
  <si>
    <t>4.478</t>
  </si>
  <si>
    <t>Santos-Rocha R, Gutiérrez IC, Szumilewicz A, Pajaujiene S (2019). Exercise Testing and Prescription for Pregnant Women. In Santos-Rocha, R (Ed), Exercise and Sporting Activity During Pregnancy. Evidence-Based Guidelines (pp. 183-230). Springer, Cham</t>
  </si>
  <si>
    <t>Santos-Rocha R, Branco M, Aguiar L, Vieira F, Veloso AP (2019). Biomechanical Adaptations of Gait in Pregnancy: Implications for Physical Activity and Exercise. In Santos-Rocha, R (Ed), Exercise and Sporting Activity During Pregnancy. Evidence-Based Guidelines (pp. 95-134). Springer, Cham</t>
  </si>
  <si>
    <t>Pascoal G, Stuge B, Mota P, Hilde G, Bø K (2019). Therapeutic Exercise Regarding Musculoskeletal Health of the Pregnant Exerciser and Athlete. In Santos-Rocha, R (Ed), Exercise and Sporting Activity During Pregnancy. Evidence-Based Guidelines (pp. 95-134). Springer, Cham</t>
  </si>
  <si>
    <t>Szumilewicz A, Santos-Rocha R (2019). Exercise Selection and Adaptations During Pregnancy. In Santos-Rocha, R (Ed), Exercise and Sporting Activity During Pregnancy. Evidence-Based Guidelines (pp. 95-134). Springer, Cham</t>
  </si>
  <si>
    <t>Szumilewicz A, Worska A, Santos-Rocha R, Ovieto-Caro MA (2019). Evidence-Based and Practice-Oriented Guidelines for Exercising During Pregnancy. In Santos-Rocha, R (Ed), Exercise and Sporting Activity During Pregnancy. Evidence-Based Guidelines (pp. 95-134). Springer, Cham</t>
  </si>
  <si>
    <t>Poppel M, Owe KM, Santos-Rocha R, Dias H (2019). Physical Activity, Exercise, and Health Promotion for the Pregnant Exerciser and the Pregnant Athlete. In Santos-Rocha, R (Ed), Exercise and Sporting Activity During Pregnancy. Evidence-Based Guidelines (pp. 95-134). Springer, Cham</t>
  </si>
  <si>
    <t>Espanha, M. (2019). Tecido epitelial e sangue. In M. Espanha, &amp; P. Armada-da-Silva (Eds.), Sistemas orgânicos internos. Anatomofisiologia do sistema nervoso autónomo, sistema endócrino e aparelhos digestivo, respiratório, cardiovascular e urinário (1st ed., pp. 49-67). Lisboa: Edições FMH</t>
  </si>
  <si>
    <t>Lisboa: Edições FMH</t>
  </si>
  <si>
    <t>Espanha, M., &amp; Pezarat-Correia, P. (2019). Sistema endócrino. In M. Espanha, &amp; P. Armada-da-Silva (Eds.), Sistemas orgânicos internos. Anatomofisiologia do sistema nervoso autónomo, sistema endócrino e aparelhos digestivo, respiratório, cardiovascular e urinário (1st ed., pp.107-139). Lisboa: Edições FMH.</t>
  </si>
  <si>
    <t>Espanha, M. (2019). Aparelho digestivo. In M. Espanha, &amp; P. Armada-da-Silva (Eds.), Sistemas orgânicos internos. Anatomofisiologia do sistema nervoso autónomo, sistema endócrino e aparelhos digestivo, respiratório, cardiovascular e urinário (1st ed., pp. 143-189). Lisboa: Edições FMH.</t>
  </si>
  <si>
    <t>Armada-da-Silva, P., Espanha, M., &amp; Rasoilo, J. (2019). Aparelho urinário. In M. Espanha, &amp; P. Armada-da-Silva (Eds.), Sistemas orgânicos internos. Anatomofisiologia do sistema nervoso autónomo, sistema endócrino e aparelhos digestivo, respiratório, cardiovascular e urinário (1st ed., pp. 337-381). Lisboa: Edições FMH.</t>
  </si>
  <si>
    <t>Santos-Rocha R. Exercise and Sporting Activity During Pregnancy. Evidence-Based Guidelines. Springer International Publishing Switzerland 2019</t>
  </si>
  <si>
    <t>Santos-Rocha, R (2019). Gravidez Ativa - Atividade Física e Saúde na Gravidez e Pós-Parto (2.ª edição) [Active Pregnancy - Physical Activity and Health during Pregnancy and Postpartum, 2nd ed]. CIPER-FMH-UTL / ESDRM-IPS / FCT. Rio Maior: Edições ESDRM. in press</t>
  </si>
  <si>
    <t xml:space="preserve">Espanha, M. &amp; Armada da Silva, P. (Eds).  Ed.1, ISBN: 978-972-735-224-1. Sistemas Orgânicos Internos. Anatomofisiologia do Sistema Nervoso Autónomo, Sistema Endócrino e Aparelhos Digestivo, Respiratório, Cardiovascular e Urinário (2019). </t>
  </si>
  <si>
    <t>Apóstolo J, Couto F, Bobrowicz-Campos E, Dixe M, Camacho T, Ribeiro J, Braúna M, Santos-Rocha R, Cruz A, Parreira P, Marcelino L, Malça C, Dantas C, Simões M, Almeida M. AN INTERREGIONAL, TRANSDISCIPLINARY AND GOOD PRACTICE-BASED APPROACH FOR FRAILTY: THE MIND&amp;GAIT PROJECT. TRANSLATIONAL MEDICINE AT UNISA, Vol 19 - 2019 (Jan. - Jun. 2019), 11-16</t>
  </si>
  <si>
    <t>Moniz-Pereira V, Cabral S, Veloso AP. Normalizing joint moments during stair ascent in older adults: a comparison of two methods. In: Book of abstracts of the XXVII Congress of the International Society of Biomechanics. Calgary, Canada; 2019.</t>
  </si>
  <si>
    <t>abstract em congresso nacional</t>
  </si>
  <si>
    <t>Moniz-Pereira V, Cabral S, Veloso AP. Comparação de dois tipos de normalização dos parâmetros cinéticos avaliados durante a marcha em idosos. In: Livro de resumos do 8o Congresso Nacional de Biomecânica. Unhais da Serra, Covilhã; 2019.</t>
  </si>
  <si>
    <t>Rodrigo Mateus, Filipa João, António Veloso. Differences Between Static and Dynamical Optimization Methods in Musculoskeletal Modeling Estimations to Study Elite Athletes. Proceedings of the 16th International Simposium on Computer Methods in Biomechanics and Biomedical Engineering. 14th - 16th Aug, 2019, New York City, USA.</t>
  </si>
  <si>
    <t>João F., Mateus R., Bagão V., Veloso AP. (2019) Effects of voluntary crouch gait on lower limb muscle forces and joint reaction forces in healthy children – work in progress. ESMAC 2019 Abstracts. Gait &amp; Posture. 73 (supplement 1) pp. 383-384.</t>
  </si>
  <si>
    <t>Vieira, F.; Macedo, O.; João, F.; Cabral, S.; Cunha, C.; Veloso, AP. Is the dynamic plantar pressure distribution profile altered in cerebral palsy football players? – Work in Progress. ESMAC 2019 Abstracts. Gait &amp; Posture. 73 (supplement 1) pp. 454-455.</t>
  </si>
  <si>
    <t>Rodrigo Mateus, Ventura Ferrer, Filipa João, António P. Veloso. Muscle contributions to maximal forward braking and backwards acceleration in elite athletes. Proceedings of the International Society of Biomechanics Congress. 31st – 4th August, 2019. Calgary, Canada.</t>
  </si>
  <si>
    <t>V. Ferrer-Roca, F. Joao, X. Reche, F. Cos, A.P. Veloso. Relación temporal entre la aceleración del CM y la aceleración del dispositivo WIMU PROTM en el CMJ y el aterrizaje. Proceedings do XLII Congreso de la Sociedad Iberica de Biomecanica y Biomateriales. 15-16 noviembre, 2019. Madrid, Espanha.</t>
  </si>
  <si>
    <t>Fernandes R, Pool-Goudzwaard AL, Moniz-Pereira V, Armada-da-Silva P, Veloso AP. Altered three-dimensional trunk and hip kinetics and loss of variability during gait in chronic low back pain individuals. In: Book of Abstracts of the 10th Interdisciplinary World Congress on Low Back and Pelvic Girdle Pain. 2019.</t>
  </si>
  <si>
    <t>Fernandes R, Gomes L, Pool-Goudzwaard AL, Moniz-Pereira V, Armada-da-Silva P, Veloso AP. Test-retest reliability and minimal detectable change of three-dimensional trunk motion parameters during a lifting task in chronic low back pain individuals. In: Book of Abstracts of the 10th Interdisciplinary World Congress on Low Back and Pelvic Girdle Pain. Antwerp, Belgium; 2019.</t>
  </si>
  <si>
    <t>Moniz-Pereira V. (2019) O meu cliente tem mais de 65 anos, o que ter em conta ao avaliar a sua condição física? Portugal ativo no 2: 12–3</t>
  </si>
  <si>
    <t>Yázig F, Veiga D, Marcos-Pardo P, Espanha M. Responsiveness of pain and symptom’s items of knee injury and osteoarthritis outcome score (KOOs) to the aquatic exercise. Revista de investigación en actividades acuáticas: monográfico especial de actividades acuáticas y salud, vol. 3, 2019:24-28.</t>
  </si>
  <si>
    <t>Marconcin, P., Espanha, M., Yázigi, F., Marques, A., Campos, P., &amp; Rosado, A. O impacto dos sintomas da osteoartrose nas estratégias de coping em idosos. Revista Psicologia, Saúde &amp; Doenças, 2019, 20(1), 160-169. doi: http://dx.doi.org/10.15309/19psd200113</t>
  </si>
  <si>
    <t>Nunes, A., Espanha, M. Arendt-Nielsen, L. &amp; Peterson, K. “Differences in pressure pain thresholds in computer workers with chronic trapezius myalgia, non-specific chronic neck pain and healthy workers”. In Book of Abstracts of the 11th Congress of the European Pain Federation EFIC. Valência, Espanha; 2019.</t>
  </si>
  <si>
    <t>Veloso, A. P., Cabral, S., Brito, J. (2019). On field assessment of elite goalkeepers’ movement strategies for penalty kicks in football. 16th International Symposium in Computer Methods in Biomechanics and Biomedical Engineering, New York, EUA</t>
  </si>
  <si>
    <t>Participação em eventos</t>
  </si>
  <si>
    <t>Nome do Evento</t>
  </si>
  <si>
    <t xml:space="preserve">Moniz-Pereira V, Cabral S, Veloso AP. Normalizing joint moments during stair ascent in older adults: a comparison of two methods. In: Book of abstracts of the XXVII Congress of the International Society of Biomechanics. Calgary, Canada; 2019.
</t>
  </si>
  <si>
    <t>the XXVII Congress of the International Society of Biomechanics</t>
  </si>
  <si>
    <t>8º Congresso Nacional de Biomecânica</t>
  </si>
  <si>
    <t>Nota: Apresentação feita por Bruno Pedro, ausência devido a licença de maternidade</t>
  </si>
  <si>
    <t>Annual Meeting of the European Society for Movement Analysis in Adults and Children (ESMAC)</t>
  </si>
  <si>
    <t>Interdisciplinary World Congress on Low Back and Pelvic Girdle Pain</t>
  </si>
  <si>
    <t>Nunes, A. M. P., Espanha, M., Arendt-Nielsen, L., &amp; Petersen, K. K. J. Differences in pain assessment in computer workers with chronic trapezius myalgia, non-specific chronic neck pain and healthy computer workers. 12th Osteopathic International Symposium, Nantes 15-16 March 2019. https://doi.org/10.26226/morressier.5d402f9b8f2158d25ec1252c</t>
  </si>
  <si>
    <t>Considerada a melhor “Short Communication” do Congresso.</t>
  </si>
  <si>
    <t>11th Congress of the European Pain Federation EFIC.</t>
  </si>
  <si>
    <t>Moniz-Pereira V. “A Tecnologia e o Desporto – visão académica.” In: Seminário “A tecnologia aplicada à prática desportiva.” Câmara Municipal de Odivelas, Lisboa, Portugal; 2019.</t>
  </si>
  <si>
    <t>eminário “A tecnologia aplicada à prática desportiva.” organizado pela Câmara Municipal de Odivelas</t>
  </si>
  <si>
    <t>Santos, P., Vaz, J., Correia, P., Valamatos, M., Veloso, A., Pezarat-Correia, P. (2019). Within and between day reliability of muscle synergies in a complex strength training task</t>
  </si>
  <si>
    <t>European Congress of Sport Science</t>
  </si>
  <si>
    <t>Curso de Acreditação em Antropometria - ISAK - nível 1 - 1ª edição junho</t>
  </si>
  <si>
    <t>Verão ULisboa</t>
  </si>
  <si>
    <t>Silvia Cabral</t>
  </si>
  <si>
    <t>BMC Biomedical Engineering</t>
  </si>
  <si>
    <t>Filipa João</t>
  </si>
  <si>
    <t>Ata médica portuguesa</t>
  </si>
  <si>
    <t xml:space="preserve">Ata médica portuguesa </t>
  </si>
  <si>
    <t>não é engano foram mesmo 2</t>
  </si>
  <si>
    <t>Journal: Patient Preference and Adherence</t>
  </si>
  <si>
    <t>Margarida Espanha</t>
  </si>
  <si>
    <t>Filipa João - membro de juri em Concurso para atribuição duma bolsa de Gestão de Ciência e Tecnologia</t>
  </si>
  <si>
    <t>Filipa João - Membro de juri em Concurso para contrato de Bolseiro de Investigação Científica para Mestres no âmbito do Centro Interdisciplinar para o Estudo da Performance Humana, financiado pelo projeto UID/DTP/UI447/2013</t>
  </si>
  <si>
    <t>Filipa João - Membro de juri em Concurso para a atribuição de uma Bolsa de investigação Licenciados no âmbito do projeto de Estudos Antropométricos</t>
  </si>
  <si>
    <t>Mariya Berezhanska - ANÁLISE DOS EFEITOS PRODUZIDOS NO PADRÃO DE MARCHA PELA UTILIZAÇÃO DO CALÇADO DE FÁBRICA. Orientador: Silvia Cabral</t>
  </si>
  <si>
    <t>João Pedro Serrão Augusto-Estudo da distribuição plantar associada ao transporte de mochilas escolares em crianças e adolescentes. Contribuição da atividade física e tipologia morfológica. Orientador: Filomena Vieira</t>
  </si>
  <si>
    <t>Jorge Miguel Silva Lopes Canuto-Comparação da distribuição da pressão plantar associada ao transporte de mochilas escolares em função do meio de transporte utilizado diariamente. Orientador: Filomena Vieira</t>
  </si>
  <si>
    <t>Diogo Filipe dos Reis Ricardo / ANKLE-FOOT ORTHOSES:  A BIOMECHANICAL APPROACH TO THE EFFECTS OF A NON-INVASIVE THERAPEUTICALL MANAGEMENT OF THE GAIT IN CHILDREN WITH CEREBRAL PALSY / Orientador: Filipa João</t>
  </si>
  <si>
    <t>Maria Raquel Branco Raposo / Efeitos de ortóteses de pé e tornozelo na marcha de crianças com Paralisia Cerebral / Orientação: Filipa João</t>
  </si>
  <si>
    <t>Bruno Araújo Procópio de Alvarenga / The Immediate Effects Of Lumbar Spinal Manipulative Therapy (Smt) In Terms Of Kinetic And Kinematic Symmetry Of Functional Performance Tests On Asymptomatic Participants / Orientador: António Veloso e Coorientador: Filipa João</t>
  </si>
  <si>
    <t>reabilitação</t>
  </si>
  <si>
    <t>Clara Susana Amorim Correia / Análise Biomecânica do Movimento / Orientador: Filipa João</t>
  </si>
  <si>
    <t>Faculdade de Ciências da Universidade de Lisboa - Mestrado Integrado em Engenharia Biomédica e Biofísica</t>
  </si>
  <si>
    <t>Dos Santos, D.F.N., (2019) Parâmetros cinemáticos da marcha em idosos portugueses a viver na comunidade: um contributo para uma base de dados normativa. Orientador: Vera Moniz-Pereira</t>
  </si>
  <si>
    <t xml:space="preserve">
</t>
  </si>
  <si>
    <t>Hilger, G.S., (2019) SF-FAB: Fiabilidade teste-reteste e capacidade preditiva de quedas em idosos portugueses a viver na comunidade. Orientador: Vera Moniz-Pereira</t>
  </si>
  <si>
    <t>Ciências do Desporto (Faculdade no Brasil)</t>
  </si>
  <si>
    <t>Thaís Silva - Adaptação cultural e validação da escala “Composite Physical Function Scale” para português europeu.- Orientador: Vera Moniz-Pereira</t>
  </si>
  <si>
    <t>Micael Sousa - Development and Validation of an observation tool for the Bottom-Turn manoeuvre in surfers. - Orientador:Vera Moniz-Pereira</t>
  </si>
  <si>
    <t>Vera Bagão - Título ainda por definir - Orientador: Vera Moniz-Pereira</t>
  </si>
  <si>
    <t>Alexandre Nunes / Nociplastic changes in office workers with chronic neck pain - Orientador: Margarida Espanha</t>
  </si>
  <si>
    <t>Bárbara Queiroz / Título vai ser alterado - Orientador: Margarida Espanha</t>
  </si>
  <si>
    <t>João Miguel /Estudo da força isométrica máxima e limiar da dor em trabalhadores com computador com Mialgia crónica do trapézio, Mialgia crónica do pescoço e ombro e saudáveis. - Orientador: Margarida Espanha</t>
  </si>
  <si>
    <t>Estudo da força isométrica máxima e limiar da dor em trabalhadores com computador com Mialgia crónica do trapézio, Mialgia crónica do pescoço e ombro e saudáveis.</t>
  </si>
  <si>
    <t>Franciso Luz / Intervenção no Programa Livre de Educação e Exercício na Osteoartrose: autogestão e exercício na osteoartrose - Orientador: Margarida Espanha</t>
  </si>
  <si>
    <t>Paulo Correia / Hamstring Strain Injury: Rate of Torque Development and Previous Hamstring Strain Injury - Maria João Valamatos</t>
  </si>
  <si>
    <t>treino de alto rendimento</t>
  </si>
  <si>
    <t>António Rodolfo Vieira / Periodização do Treino de Força em Guarda-Redes de Futebol</t>
  </si>
  <si>
    <t>Alberto Andrade / Estágio em Atletismo no Sport Lisboa e Benfica - Velocidade e Barreiras (Séniores) - Maria João Valamatos</t>
  </si>
  <si>
    <t>treino desportivo</t>
  </si>
  <si>
    <t>André Sá / Estágio em Atletismo no Sport Lisboa e Benfica - Saltos, Velocidade e Barreiras (Juvenis e Juniores) - Maria João Valamatos</t>
  </si>
  <si>
    <t>Gonçalo Uva/ Estágio em Atletismo no Sporting Clube de Portugal - Saltos (Iniciados e Juvenis) - Maria João Valamatos</t>
  </si>
  <si>
    <t>Manuel Nicolau / Estágio em Atletismo no Sport Lisboa e Benfica - Meio Fundo e Fundo (Séniores) - Maria João Valamatos</t>
  </si>
  <si>
    <t>Rafael Jorge / Estágio em Atletismo no Sport Lisboa e Benfica - Saltos, Velocidade e Barreiras (Iniciados e Juvenis) - Maria João Valamatos</t>
  </si>
  <si>
    <t>Rafael Marques / Estágio em Atletismo no Sporting Clube de Portugal - Meio Fundo e Fundo (Iniciados e Juvenis) - Maria João Valamatos</t>
  </si>
  <si>
    <t>Candidaturas a outros projetos (financiados ou não)</t>
  </si>
  <si>
    <t>DESPORTO ADAPTADO NA UNIVERSIDADE - 2019</t>
  </si>
  <si>
    <t>ID 580</t>
  </si>
  <si>
    <t>PLE2NO: Programa Livre de Educação e Exercício Na Osteoartrose</t>
  </si>
  <si>
    <t>ID 836</t>
  </si>
  <si>
    <t>clinical conditions (musculoskeletal and neurological)</t>
  </si>
  <si>
    <t>Outras informações relevantes (ex. Projetos de extensão à comunidade)</t>
  </si>
  <si>
    <t>Specify (If other)</t>
  </si>
  <si>
    <t>Jesus, F., Nunes,C.L., Matias, C. N., Francisco, R., Carapeto, B.,  Hugo Macias, H., Müller, D., Cardoso, M., Valamatos, M.J., Rosa, G., Sardinha, L. B. Martins, P.,  Minderico, C.S., &amp; Silva, A.M. (2020). Are predictive equations a valid method of assessing the resting metabolic rate of overweight or obese former athletes? European Journal of Sport Science, 7:1-10. doi: 10.1080/17461391.2019.1708974.</t>
  </si>
  <si>
    <t>2.781</t>
  </si>
  <si>
    <t>Correia, P., Santos, P., Mil-Homens, P., Gomes, M., Dias, A., Valamatos, M.J. (2020). Rapid hamstrings to quadriceps ratio at long muscle lengths in professional football players with previous hamstring strain injury.  European Journal of Sport Science, 21:1-9. doi: 10.1080/17461391.2020.1714741</t>
  </si>
  <si>
    <t>European Journal of Sport Science,</t>
  </si>
  <si>
    <t>André H-I, Moniz-Pereira V, Ramalho F, Santos-Rocha R, Veloso A, Carnide F. Responsiveness of the Calf-Raise Senior test in community-dwelling older adults undergoing an exercise intervention program. Forloni G, editor. PLoS One [Internet]. 2020 Apr 29;15(4):e0231556</t>
  </si>
  <si>
    <t>PloS One</t>
  </si>
  <si>
    <t>2.740</t>
  </si>
  <si>
    <t>multidisciplinary sciences</t>
  </si>
  <si>
    <t>Santos, R., Valamatos, M. J., Mil-Homens, P., Armada-da-Silva, P. (2020). The Effect of Strength Training on Vastus Lateralis' Stiffness: An Ultrasound Quasi-Static Elastography Study. International Journal of Environmental Research and Public Health, 17(12), 4381</t>
  </si>
  <si>
    <t>International Journal of Environmental Research and Public Health</t>
  </si>
  <si>
    <t>2.849</t>
  </si>
  <si>
    <t>Mateus, R. B., Ferrer-Roca, V., João, F., &amp; Veloso, A. P. (2020). Muscle contributions to maximal single-leg forward braking and backward acceleration in elite athletes. Journal of biomechanics, 112, 110047. https://doi.org/10.1016/j.jbiomech.2020.110047</t>
  </si>
  <si>
    <t>2.712</t>
  </si>
  <si>
    <t>Moniz-Pereira V. O meu cliente tem risco de queda, o que devo ter em conta ao programar o seu treino? Portugal ativo no 5. 2020;30–1.</t>
  </si>
  <si>
    <t>Artigo científico em revista com peer review e sem IF</t>
  </si>
  <si>
    <t>Santos, P., Vaz, JR, Correia, P., Valamatos MJ, Veloso, AP., Pezarat-Correia., P., (2020). Muscle synergies reliability in power clean exercise. Journal of Functional Morphology and Kinesiology, 5(4), 7</t>
  </si>
  <si>
    <t>Nome Evento</t>
  </si>
  <si>
    <t>Moniz-Pereira, V. (2020). O papel da tecnologia na avaliação da fragilidade e do risco de quedas. Onde estamos? - Visão académica. In Multiplier Event 1 - Fall-in-age project. Lisbon, Portugal.</t>
  </si>
  <si>
    <t>Multiplier Event 1 - Fall-in-age project Mesa Redonda</t>
  </si>
  <si>
    <t>Miranda, H., Valamatos, M. J., Palla, J., Reis, J. F. (2020). Efeitos do treino pliométrico na performance da partida de blocos de natação em adolescentes. Paper presented at the 43º Congresso da Associação Portuguesa de Técnicos de Natação, Odivelas, Portugal. (Online).</t>
  </si>
  <si>
    <t>43º Congresso da Associação Portuguesa de Técnicos de Natação</t>
  </si>
  <si>
    <t>Computer Methods in Biomechanics and Biomedical Engineering</t>
  </si>
  <si>
    <t>membro de painel de avaliaçao de projetos financiados</t>
  </si>
  <si>
    <t>VMP - Avaliador de programa I&amp;D-T nacional Membro do painel de avaliação da "2020 CALL FOR SR&amp;TD PROJECTS UNDER THE REGIONAL OPERATIONAL PROGRAMME OF ALGARVE2020" promovido pela Fundação para a Ciência e Tecnologia</t>
  </si>
  <si>
    <t>Joana Serra / Programa Comunitário PLE²NO - Orientador: Margarida Espanha</t>
  </si>
  <si>
    <t>trabalho não defendido</t>
  </si>
  <si>
    <t>Rodolfo Torres / Programa Comunitário PLE²NO - Orientador: Margarida Espanha</t>
  </si>
  <si>
    <t>João Almeida /  Programas Comunitários Ple2no. O papel do Treino de Força no controlo dos sintomas em pessoas com Osteoartrose - Orientador Margarida Espanha</t>
  </si>
  <si>
    <t>Carolina Cordeiro /Programa Livre de Educação e Exercício na Osteoartrose - Orientador: Margarida Espanha</t>
  </si>
  <si>
    <t>João Sena / Título ainda por definir - Orientador: Margarida Espanha</t>
  </si>
  <si>
    <t>Marília Guiomar / Título ainda por definir - Orientador: Sílvia Cabral</t>
  </si>
  <si>
    <t>Iuri Vilarigues / A INFLUÊNCIA DO PONTO DE IMPACTO NA FORÇA GERADA NO LOW KICK / Orientador: Silvia Cabral</t>
  </si>
  <si>
    <t>Silva, T. C. F. (2020). Adaptação Cultural e validação da escala “Composite Physical Function Scale” para português europeu. Faculdade de Motricidade Humana, Universidade de Lisboa. Orientador: VMP</t>
  </si>
  <si>
    <t>Fisioterapia (Faculdade no Brasil)</t>
  </si>
  <si>
    <t>Isabel Baleia - Gait biomechanical factors in stroke subjects. Orientador VMP</t>
  </si>
  <si>
    <t>Sofia Pinto - Ainda a definir Orientador VMP</t>
  </si>
  <si>
    <t>Daniela Carvalho Biomechanical patterns in individuals at medium and high-risk groups of developing chronic low back pain Orientador :VMP</t>
  </si>
  <si>
    <t>Tiago Carreira / Nordic hamstring strength in sprint performance - Association between eccentric nordic hamstring strength and sprint mechanical force-velocity profile in well-trained male adult soccer and handball players - Maria João Valamatos</t>
  </si>
  <si>
    <t>Margarida Cavaca / Relationships between dynamic strength index (DSI) and starting block performance (Normalized Averaged Horizontal Power – NAHP) in elite sprinter athletes - Maria João Valamatos</t>
  </si>
  <si>
    <t>André Romão / Different methods to calculate bilateral and unilateral dynamic strength index in top-level sprinters - Maria João Valamatos</t>
  </si>
  <si>
    <t>David Mendes / Relationships between horizontal force velocity profiling and starting block performance in elite sprinter athletes - Maria João Valamatos</t>
  </si>
  <si>
    <t>Tiago Guerreiro / Differences in ballistic force-velocity profile between brazillian jiu-jitsu and judo athletes - Pedro Mil-Homens</t>
  </si>
  <si>
    <t>João Valério / Estágio em Atletismo no Sport Lisboa e Benfica - Velocidade e Barreiras (Séniores) - Maria João Valamatos</t>
  </si>
  <si>
    <t>Rafael Godinho / Estágio em Atletismo na Academia de Atletismo do Seixal - Velocidade e Barreiras (Juniores e Séniores) - Maria João Valamatos</t>
  </si>
  <si>
    <t>não</t>
  </si>
  <si>
    <t>Fit@Walk - The impact of physical Fitness and Age in Walking mechanics - VMP</t>
  </si>
  <si>
    <r>
      <rPr>
        <rFont val="Arial, sans-serif"/>
      </rPr>
      <t xml:space="preserve">Mercê, C., Branco, M., Catela, D., Lopes, F., Rodrigues, L. P., &amp; Cordovil, R. (2021). Learning to Cycle: Are Physical Activity and Birth Order Related to the Age of Learning How to Ride a Bicycle? Children, 8(6), 487. </t>
    </r>
    <r>
      <rPr>
        <rFont val="Arial, sans-serif"/>
        <color rgb="FF1155CC"/>
        <u/>
      </rPr>
      <t>https://www.mdpi.com/2227-9067/8/6/487</t>
    </r>
  </si>
  <si>
    <t>Children</t>
  </si>
  <si>
    <t>2.863</t>
  </si>
  <si>
    <t>Santos, P., Vaz, j.R., Correia, P.F., Valamatos, M.J., Veloso, A.P., Pezarat-Correia, P., (2021) Intermuscular Coordination in the Power Clean Exercise: Comparison between Olympic Weightlifters and Untrained Individuals—A Preliminary Study. Sensors. Mar 9;21(5):1904</t>
  </si>
  <si>
    <t>Sensors</t>
  </si>
  <si>
    <t>4.350</t>
  </si>
  <si>
    <t>Matias, C.N.,Campa, F., Nunes, C.L., Francisco, R. Jesus, F., Cardoso, M., Valamatos, M,J.,Mil Homens, P., Sardinha, L.B., Martins, P., Minderico, C., Silva; A.M., (2021). Phase Angle Is a Marker of Muscle Quantity and Strength in Overweight/Obese Former Athletes. Int. J. Environ. Res. Public Health, 18(12), 6649</t>
  </si>
  <si>
    <t>Alvites, R. D., Branquinho, M. V., Sousa, A. C., Amorim, I., Magalhães, R., João, F., Almeida, D., Amado, S., Prada, J., Pires, I., Zen, F., Raimondo, S., Luís, A. L., Geuna, S., Varejão, A., &amp; Maurício, A. C. (2021). Combined Use of Chitosan and Olfactory Mucosa Mesenchymal Stem/Stromal Cells to Promote Peripheral Nerve Regeneration In Vivo. Stem cells international, 2021, 6613029. https://doi.org/10.1155/2021/6613029</t>
  </si>
  <si>
    <t>Stem cells international</t>
  </si>
  <si>
    <t>5.443</t>
  </si>
  <si>
    <t>cell biology</t>
  </si>
  <si>
    <r>
      <rPr>
        <rFont val="Arial"/>
        <color rgb="FF212121"/>
        <sz val="10.0"/>
      </rPr>
      <t xml:space="preserve">Ricardo, D., Raposo, M. R., Cruz, E. B., Oliveira, R., Carnide, F., Veloso, A. P., &amp; João, F. (2021). Effects of Ankle Foot Orthoses on the Gait Patterns in Children with Spastic Bilateral Cerebral Palsy: A Scoping Review. Children (Basel, Switzerland), 8(10), 903. </t>
    </r>
    <r>
      <rPr>
        <rFont val="Arial"/>
        <color rgb="FF1155CC"/>
        <sz val="10.0"/>
        <u/>
      </rPr>
      <t>https://doi.org/10.3390/children8100903</t>
    </r>
  </si>
  <si>
    <t>Pediatrics</t>
  </si>
  <si>
    <t>Terryn, P. J., Fernandes, P. R., João, F., Veloso, A., &amp; Baptista, F. (2021). Modeling the musculoskeletal loading in bone remodeling at the hip of a child. Computer methods and programs in biomedicine, 210, 106365. https://doi.org/10.1016/j.cmpb.2021.106365</t>
  </si>
  <si>
    <t>Computer methods and programs in biomedicine</t>
  </si>
  <si>
    <t>5.428</t>
  </si>
  <si>
    <t>computer science</t>
  </si>
  <si>
    <r>
      <rPr>
        <rFont val="Arial"/>
      </rPr>
      <t xml:space="preserve">Ricardo D, Teles J, Raposo MR, Veloso AP, João F. Test-Retest Reliability of a 6DoF Marker Set for Gait Analysis in Cerebral Palsy Children. Applied Sciences. 2021; 11(14):6515. </t>
    </r>
    <r>
      <rPr>
        <rFont val="Arial"/>
        <color rgb="FF1155CC"/>
        <u/>
      </rPr>
      <t>https://doi.org/10.3390/app11146515</t>
    </r>
  </si>
  <si>
    <t>Applies Sciences</t>
  </si>
  <si>
    <t>2.679</t>
  </si>
  <si>
    <t>engineering, multidisciplinary</t>
  </si>
  <si>
    <t>Alberto S., Cabral S., Proença J., Pona-Ferreira F., Leitão M., Bouça-Machado R., Kauppila L. A., Veloso A.P., Costa R.M., Ferreira J.J., Matias R. (2021). Validation of quantitative gait analysis systems for Parkinson's disease for use in supervised and unsupervised environments. BMC Neurology, 21 (1),331.</t>
  </si>
  <si>
    <t>BMC Neurology</t>
  </si>
  <si>
    <t>2.422</t>
  </si>
  <si>
    <t>Clinical Neurology</t>
  </si>
  <si>
    <t>Pedro, B., Cabral, S., Veloso, A.P. (2021) Concurrent validity of an inertial measurement system in tennis forehand drive, Journal of Biomechanics, 121, 110410 https://doi.org/10.1016/j.jbiomech.2021.110410</t>
  </si>
  <si>
    <t>Journal of biomechanics</t>
  </si>
  <si>
    <t>Barreto, J., Peixoto, C., Cabral, S., Williams, A.M., Casanova, F., Pedro, B., Veloso, A.P. (2021) Concurrent Validation of 3D Joint Angles during Gymnastics Techniques Using Inertial Measurement Units, Electronics, 20 (11), 1251 https://doi.org/10.3390/electronics10111251</t>
  </si>
  <si>
    <t>Electronics</t>
  </si>
  <si>
    <t>2.397</t>
  </si>
  <si>
    <t>Physics, Applied</t>
  </si>
  <si>
    <t>Assunção, A., Moniz-Pereira, V., Fujão, C., Bernardes, S., Veloso, A. P., and Carnide, F. (2021). Predictive Factors of Short ‐ Term Related Musculoskeletal Pain in the Automotive Industry. Int. J. Environ. Res. Public Health 18, 13062. doi:10.3390/ijerph182413062.</t>
  </si>
  <si>
    <t>Int. J. Environ. Res. Public Health</t>
  </si>
  <si>
    <t>Participação em eventos científicos</t>
  </si>
  <si>
    <t>Gait&amp;Posture</t>
  </si>
  <si>
    <t>Symmetry</t>
  </si>
  <si>
    <t>Applied Sciences</t>
  </si>
  <si>
    <t>Filipa João (guest editor)</t>
  </si>
  <si>
    <t>Miguel Patrão Silva / Maturação e Prescrição de Treino no Contexto de Jovens Atletas de Alta Competição. Departamento de Human Performance do Sport Lisboa e Benfica - Maria João Valamatos</t>
  </si>
  <si>
    <t>André Gomes Rebelo / Profiling the artistic roller skater: Physical and physiological performance differences in competitive female artistic roller skaters based on discipline and level of expertise / Maria João Valamatos</t>
  </si>
  <si>
    <t>Diogo Lucas / Sporting Clube de Portugal (Centro de Alto Rendimento Prof. Mário Moniz Pereira), modalidade de Atletismo (Iniciados e Juvenis) / Maria João Valamatos</t>
  </si>
  <si>
    <t>Henrique Páscoa / Fundação Salesianos de Manique (Pista de Atletismo Salesianos de Manique), modalidade de Atletismo (Infantis e Iniciados) / Maria João Valamatos</t>
  </si>
  <si>
    <t>Leonardo Aniceto / Sporting Clube de Portugal (Pista de Atletismo Prof. Mário Moniz Pereira, Lumiar), modalidade de Atletismo (Juvenis e Juniores) / Maria João Valamatos</t>
  </si>
  <si>
    <t>Lucas Souza / Federação Portuguesa de Atletismo (Centro de Alto Rendimento Prof. Mário Moniz Pereira), modalidade de Atletismo (Séniores), setor de Velocidade e Barreiras / Maria João Valamatos</t>
  </si>
  <si>
    <t>Tiago Silva / Clube Pedro Pessoa - Escola de Atletismo (Pista de Atletismo da Sobreda da Caparica), modalidade de Atletismo (Benjamins a Juvenis) / Maria João Valamatos</t>
  </si>
  <si>
    <t>António Pedroso / Titulo ainda por definir/ Sílvia Cabral</t>
  </si>
  <si>
    <t>Screentech - Using markerless motion capture for a better screening of musculoskeletal injury risk in football players</t>
  </si>
  <si>
    <t>EXPL/SAU-DES/1441/2021</t>
  </si>
  <si>
    <t>49693.75</t>
  </si>
  <si>
    <t>Disseminação cientifica</t>
  </si>
  <si>
    <t>formação cientifica</t>
  </si>
  <si>
    <t>financiamento e parcerias</t>
  </si>
  <si>
    <t>publicação com IF</t>
  </si>
  <si>
    <t>participação congressos</t>
  </si>
  <si>
    <t>Candidaturas a bolsas e projetos de investigação financiados</t>
  </si>
  <si>
    <t>capitulo de livro</t>
  </si>
  <si>
    <t>tipo de entidade</t>
  </si>
  <si>
    <t>livro</t>
  </si>
  <si>
    <t xml:space="preserve">outra publicação </t>
  </si>
  <si>
    <t>areas projetos</t>
  </si>
  <si>
    <t xml:space="preserve">orientação estágios 3º ciclo ou pós-doc </t>
  </si>
  <si>
    <t>organização conferencias</t>
  </si>
  <si>
    <t>congresso/simpósio</t>
  </si>
  <si>
    <t>papel</t>
  </si>
  <si>
    <t xml:space="preserve">occupational </t>
  </si>
  <si>
    <t>Area - web of science</t>
  </si>
  <si>
    <t>pós-graduação</t>
  </si>
  <si>
    <t>função</t>
  </si>
  <si>
    <t>workshop/seminário</t>
  </si>
  <si>
    <t>área 1º ciclo</t>
  </si>
  <si>
    <t xml:space="preserve">âmbito </t>
  </si>
  <si>
    <t>outra</t>
  </si>
  <si>
    <t>fisioterapia (estágio LBMF)</t>
  </si>
  <si>
    <t>Financiamento obtido</t>
  </si>
  <si>
    <t>atividades de revisao cientifica</t>
  </si>
  <si>
    <t>área 2º ciclo</t>
  </si>
  <si>
    <t>editor de artigo em revista sem IF</t>
  </si>
  <si>
    <t>Produtos - Tipologia</t>
  </si>
  <si>
    <t>Programa de exercício</t>
  </si>
  <si>
    <t>Programa de educação</t>
  </si>
  <si>
    <t>Programa de re-educação</t>
  </si>
  <si>
    <t>atividades de avaliaçao cientifica</t>
  </si>
  <si>
    <t>Tecnologia</t>
  </si>
  <si>
    <t>Serviço - Análise de movimento</t>
  </si>
  <si>
    <t>membro de painel de avaliaçao de concursos académicos</t>
  </si>
  <si>
    <t>membro de painel de avaliação de prémios científicos</t>
  </si>
  <si>
    <t>área 3º ciclo</t>
  </si>
  <si>
    <t>atividade física e saúde</t>
  </si>
  <si>
    <t>estágio LBMF (doc ou pós doc)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</si>
</sst>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 [$€-1]"/>
    <numFmt numFmtId="166" formatCode="m.d"/>
  </numFmts>
  <fonts count="24">
    <font>
      <sz val="10.0"/>
      <color rgb="FF000000"/>
      <name val="Arial"/>
    </font>
    <font>
      <b/>
    </font>
    <font/>
    <font>
      <sz val="10.0"/>
      <color rgb="FF000000"/>
    </font>
    <font>
      <b/>
      <color rgb="FF0B5394"/>
    </font>
    <font>
      <name val="Arial"/>
    </font>
    <font>
      <color rgb="FF000000"/>
      <name val="Calibri"/>
    </font>
    <font>
      <color rgb="FF000000"/>
      <name val="Arial"/>
    </font>
    <font>
      <b/>
      <color rgb="FF000000"/>
      <name val="Calibri"/>
    </font>
    <font>
      <sz val="11.0"/>
      <color rgb="FF1F497D"/>
      <name val="Arial"/>
    </font>
    <font>
      <sz val="10.0"/>
      <color rgb="FF292B2C"/>
      <name val="&quot;Arial&quot;"/>
    </font>
    <font>
      <color rgb="FF000000"/>
      <name val="Roboto"/>
    </font>
    <font>
      <color rgb="FF000000"/>
    </font>
    <font>
      <color rgb="FF222222"/>
      <name val="Arial"/>
    </font>
    <font>
      <sz val="10.0"/>
      <color rgb="FF222222"/>
      <name val="Arial"/>
    </font>
    <font>
      <sz val="10.0"/>
      <name val="Arial"/>
    </font>
    <font>
      <u/>
      <sz val="10.0"/>
      <color rgb="FF000000"/>
      <name val="&quot;Arial&quot;"/>
    </font>
    <font>
      <sz val="10.0"/>
      <color rgb="FF212121"/>
      <name val="Arial"/>
    </font>
    <font>
      <u/>
      <color rgb="FF0000FF"/>
      <name val="Arial"/>
    </font>
    <font>
      <u/>
      <sz val="10.0"/>
      <color rgb="FF212121"/>
      <name val="Arial"/>
    </font>
    <font>
      <u/>
      <color rgb="FF0000FF"/>
      <name val="Arial"/>
    </font>
    <font>
      <b/>
      <name val="Arial"/>
    </font>
    <font>
      <sz val="11.0"/>
      <color rgb="FF333333"/>
      <name val="Arial"/>
    </font>
    <font>
      <color rgb="FF000000"/>
      <name val="'Arial'"/>
    </font>
  </fonts>
  <fills count="7">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s>
  <borders count="56">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hair">
        <color rgb="FF000000"/>
      </left>
      <right style="hair">
        <color rgb="FF000000"/>
      </right>
      <top style="hair">
        <color rgb="FF000000"/>
      </top>
    </border>
    <border>
      <left style="medium">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style="medium">
        <color rgb="FF000000"/>
      </right>
      <top style="medium">
        <color rgb="FF000000"/>
      </top>
      <bottom style="hair">
        <color rgb="FF000000"/>
      </bottom>
    </border>
    <border>
      <left style="medium">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right style="hair">
        <color rgb="FF000000"/>
      </right>
      <top style="medium">
        <color rgb="FF000000"/>
      </top>
      <bottom style="hair">
        <color rgb="FF000000"/>
      </bottom>
    </border>
    <border>
      <right style="hair">
        <color rgb="FF000000"/>
      </right>
      <top style="hair">
        <color rgb="FF000000"/>
      </top>
      <bottom style="hair">
        <color rgb="FF000000"/>
      </bottom>
    </border>
    <border>
      <right style="hair">
        <color rgb="FF000000"/>
      </right>
      <top style="hair">
        <color rgb="FF000000"/>
      </top>
      <bottom style="medium">
        <color rgb="FF000000"/>
      </bottom>
    </border>
    <border>
      <left style="medium">
        <color rgb="FF000000"/>
      </left>
      <top style="medium">
        <color rgb="FF000000"/>
      </top>
      <bottom style="hair">
        <color rgb="FF000000"/>
      </bottom>
    </border>
    <border>
      <left style="hair">
        <color rgb="FF000000"/>
      </left>
      <top style="medium">
        <color rgb="FF000000"/>
      </top>
      <bottom style="hair">
        <color rgb="FF000000"/>
      </bottom>
    </border>
    <border>
      <left style="hair">
        <color rgb="FF000000"/>
      </left>
      <top style="hair">
        <color rgb="FF000000"/>
      </top>
      <bottom style="hair">
        <color rgb="FF000000"/>
      </bottom>
    </border>
    <border>
      <left style="medium">
        <color rgb="FF000000"/>
      </left>
      <top style="hair">
        <color rgb="FF000000"/>
      </top>
      <bottom style="hair">
        <color rgb="FF000000"/>
      </bottom>
    </border>
    <border>
      <left style="medium">
        <color rgb="FF000000"/>
      </left>
      <top style="hair">
        <color rgb="FF000000"/>
      </top>
      <bottom style="medium">
        <color rgb="FF000000"/>
      </bottom>
    </border>
    <border>
      <left style="hair">
        <color rgb="FF000000"/>
      </left>
      <top style="hair">
        <color rgb="FF000000"/>
      </top>
      <bottom style="medium">
        <color rgb="FF000000"/>
      </bottom>
    </border>
    <border>
      <left style="medium">
        <color rgb="FF000000"/>
      </lef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bottom style="hair">
        <color rgb="FF000000"/>
      </bottom>
    </border>
    <border>
      <left style="hair">
        <color rgb="FF000000"/>
      </left>
    </border>
    <border>
      <left style="hair">
        <color rgb="FF000000"/>
      </left>
      <top style="medium">
        <color rgb="FF000000"/>
      </top>
    </border>
    <border>
      <left style="hair">
        <color rgb="FF000000"/>
      </left>
      <right style="medium">
        <color rgb="FF000000"/>
      </right>
      <top style="medium">
        <color rgb="FF000000"/>
      </top>
    </border>
    <border>
      <left style="medium">
        <color rgb="FF000000"/>
      </left>
      <right style="medium">
        <color rgb="FF000000"/>
      </right>
      <top style="medium">
        <color rgb="FF000000"/>
      </top>
      <bottom style="hair">
        <color rgb="FF000000"/>
      </bottom>
    </border>
    <border>
      <left style="medium">
        <color rgb="FF000000"/>
      </left>
      <right style="medium">
        <color rgb="FF000000"/>
      </right>
      <bottom style="hair">
        <color rgb="FF000000"/>
      </bottom>
    </border>
    <border>
      <left style="medium">
        <color rgb="FF000000"/>
      </left>
      <right style="medium">
        <color rgb="FF000000"/>
      </right>
    </border>
    <border>
      <left style="medium">
        <color rgb="FF000000"/>
      </left>
      <right style="medium">
        <color rgb="FF000000"/>
      </right>
      <top style="hair">
        <color rgb="FF000000"/>
      </top>
    </border>
    <border>
      <left style="medium">
        <color rgb="FF000000"/>
      </left>
      <right style="medium">
        <color rgb="FF000000"/>
      </right>
      <top style="hair">
        <color rgb="FF000000"/>
      </top>
      <bottom style="medium">
        <color rgb="FF000000"/>
      </bottom>
    </border>
    <border>
      <left style="medium">
        <color rgb="FF000000"/>
      </left>
      <right style="medium">
        <color rgb="FF000000"/>
      </right>
      <top style="hair">
        <color rgb="FF000000"/>
      </top>
      <bottom style="hair">
        <color rgb="FF000000"/>
      </bottom>
    </border>
    <border>
      <left style="medium">
        <color rgb="FF000000"/>
      </left>
      <right style="hair">
        <color rgb="FF000000"/>
      </right>
      <top style="hair">
        <color rgb="FF000000"/>
      </top>
    </border>
    <border>
      <left style="hair">
        <color rgb="FF000000"/>
      </left>
      <top style="hair">
        <color rgb="FF000000"/>
      </top>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left style="medium">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left style="medium">
        <color rgb="FF000000"/>
      </left>
      <right style="dotted">
        <color rgb="FF000000"/>
      </righ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0" fillId="2" fontId="1" numFmtId="0" xfId="0" applyAlignment="1" applyFill="1" applyFont="1">
      <alignment readingOrder="0"/>
    </xf>
    <xf borderId="1" fillId="0" fontId="1" numFmtId="0" xfId="0" applyAlignment="1" applyBorder="1" applyFont="1">
      <alignment readingOrder="0"/>
    </xf>
    <xf borderId="1" fillId="0" fontId="1" numFmtId="0" xfId="0" applyAlignment="1" applyBorder="1" applyFont="1">
      <alignment horizontal="center" readingOrder="0"/>
    </xf>
    <xf borderId="1" fillId="0" fontId="2" numFmtId="0" xfId="0" applyAlignment="1" applyBorder="1" applyFont="1">
      <alignment horizontal="right" readingOrder="0"/>
    </xf>
    <xf borderId="1" fillId="0" fontId="3" numFmtId="164" xfId="0" applyAlignment="1" applyBorder="1" applyFont="1" applyNumberFormat="1">
      <alignment horizontal="center"/>
    </xf>
    <xf borderId="1" fillId="0" fontId="2" numFmtId="164" xfId="0" applyAlignment="1" applyBorder="1" applyFont="1" applyNumberFormat="1">
      <alignment horizontal="center"/>
    </xf>
    <xf borderId="2" fillId="3" fontId="2" numFmtId="0" xfId="0" applyAlignment="1" applyBorder="1" applyFill="1" applyFont="1">
      <alignment readingOrder="0"/>
    </xf>
    <xf borderId="2" fillId="3" fontId="2" numFmtId="164" xfId="0" applyAlignment="1" applyBorder="1" applyFont="1" applyNumberFormat="1">
      <alignment horizontal="center" readingOrder="0"/>
    </xf>
    <xf borderId="2" fillId="3" fontId="2" numFmtId="164" xfId="0" applyAlignment="1" applyBorder="1" applyFont="1" applyNumberFormat="1">
      <alignment horizontal="center"/>
    </xf>
    <xf borderId="3" fillId="3" fontId="2" numFmtId="164" xfId="0" applyAlignment="1" applyBorder="1" applyFont="1" applyNumberFormat="1">
      <alignment horizontal="center"/>
    </xf>
    <xf borderId="1" fillId="4" fontId="2" numFmtId="0" xfId="0" applyAlignment="1" applyBorder="1" applyFill="1" applyFont="1">
      <alignment horizontal="right" readingOrder="0"/>
    </xf>
    <xf borderId="1" fillId="4" fontId="2" numFmtId="164" xfId="0" applyAlignment="1" applyBorder="1" applyFont="1" applyNumberFormat="1">
      <alignment horizontal="center" readingOrder="0"/>
    </xf>
    <xf borderId="0" fillId="4" fontId="2" numFmtId="0" xfId="0" applyFont="1"/>
    <xf borderId="0" fillId="3" fontId="2" numFmtId="0" xfId="0" applyAlignment="1" applyFont="1">
      <alignment readingOrder="0"/>
    </xf>
    <xf borderId="0" fillId="3" fontId="2" numFmtId="164" xfId="0" applyAlignment="1" applyFont="1" applyNumberFormat="1">
      <alignment horizontal="center" readingOrder="0"/>
    </xf>
    <xf borderId="0" fillId="3" fontId="2" numFmtId="164" xfId="0" applyAlignment="1" applyFont="1" applyNumberFormat="1">
      <alignment horizontal="center"/>
    </xf>
    <xf borderId="4" fillId="3" fontId="2" numFmtId="164" xfId="0" applyAlignment="1" applyBorder="1" applyFont="1" applyNumberFormat="1">
      <alignment horizontal="center"/>
    </xf>
    <xf borderId="1" fillId="0" fontId="2" numFmtId="0" xfId="0" applyAlignment="1" applyBorder="1" applyFont="1">
      <alignment horizontal="center"/>
    </xf>
    <xf borderId="5" fillId="0" fontId="2" numFmtId="0" xfId="0" applyAlignment="1" applyBorder="1" applyFont="1">
      <alignment horizontal="right" readingOrder="0"/>
    </xf>
    <xf borderId="5" fillId="0" fontId="2" numFmtId="0" xfId="0" applyAlignment="1" applyBorder="1" applyFont="1">
      <alignment horizontal="center"/>
    </xf>
    <xf borderId="1" fillId="0" fontId="2" numFmtId="1" xfId="0" applyAlignment="1" applyBorder="1" applyFont="1" applyNumberFormat="1">
      <alignment horizontal="center"/>
    </xf>
    <xf borderId="0" fillId="0" fontId="2" numFmtId="10" xfId="0" applyFont="1" applyNumberFormat="1"/>
    <xf borderId="1" fillId="0" fontId="2" numFmtId="165" xfId="0" applyAlignment="1" applyBorder="1" applyFont="1" applyNumberFormat="1">
      <alignment horizontal="right" readingOrder="0"/>
    </xf>
    <xf borderId="0" fillId="0" fontId="2" numFmtId="165" xfId="0" applyFont="1" applyNumberFormat="1"/>
    <xf borderId="0" fillId="0" fontId="2" numFmtId="0" xfId="0" applyAlignment="1" applyFont="1">
      <alignment horizontal="right" readingOrder="0"/>
    </xf>
    <xf borderId="1" fillId="2" fontId="1" numFmtId="0" xfId="0" applyAlignment="1" applyBorder="1" applyFont="1">
      <alignment readingOrder="0"/>
    </xf>
    <xf borderId="0" fillId="0" fontId="1" numFmtId="0" xfId="0" applyAlignment="1" applyFont="1">
      <alignment horizontal="center" readingOrder="0"/>
    </xf>
    <xf borderId="0" fillId="0" fontId="1" numFmtId="0" xfId="0" applyAlignment="1" applyFont="1">
      <alignment readingOrder="0"/>
    </xf>
    <xf borderId="1" fillId="0" fontId="1" numFmtId="0" xfId="0" applyAlignment="1" applyBorder="1" applyFont="1">
      <alignment horizontal="left" readingOrder="0"/>
    </xf>
    <xf borderId="6" fillId="3" fontId="1" numFmtId="0" xfId="0" applyAlignment="1" applyBorder="1" applyFont="1">
      <alignment horizontal="left" readingOrder="0"/>
    </xf>
    <xf borderId="7" fillId="3" fontId="2" numFmtId="0" xfId="0" applyAlignment="1" applyBorder="1" applyFont="1">
      <alignment horizontal="center"/>
    </xf>
    <xf borderId="8" fillId="3" fontId="2" numFmtId="0" xfId="0" applyAlignment="1" applyBorder="1" applyFont="1">
      <alignment horizontal="center"/>
    </xf>
    <xf borderId="9" fillId="0" fontId="2" numFmtId="0" xfId="0" applyAlignment="1" applyBorder="1" applyFont="1">
      <alignment horizontal="right" readingOrder="0"/>
    </xf>
    <xf borderId="9" fillId="0" fontId="2" numFmtId="0" xfId="0" applyAlignment="1" applyBorder="1" applyFont="1">
      <alignment horizontal="center"/>
    </xf>
    <xf borderId="1" fillId="0" fontId="2" numFmtId="165" xfId="0" applyAlignment="1" applyBorder="1" applyFont="1" applyNumberFormat="1">
      <alignment horizontal="center"/>
    </xf>
    <xf borderId="1" fillId="0" fontId="2" numFmtId="166" xfId="0" applyAlignment="1" applyBorder="1" applyFont="1" applyNumberFormat="1">
      <alignment horizontal="center"/>
    </xf>
    <xf borderId="10" fillId="0" fontId="4" numFmtId="0" xfId="0" applyAlignment="1" applyBorder="1" applyFont="1">
      <alignment readingOrder="0"/>
    </xf>
    <xf borderId="10" fillId="0" fontId="2" numFmtId="0" xfId="0" applyBorder="1" applyFont="1"/>
    <xf borderId="11" fillId="0" fontId="1" numFmtId="0" xfId="0" applyAlignment="1" applyBorder="1" applyFont="1">
      <alignment readingOrder="0"/>
    </xf>
    <xf borderId="12" fillId="0" fontId="1" numFmtId="0" xfId="0" applyAlignment="1" applyBorder="1" applyFont="1">
      <alignment readingOrder="0"/>
    </xf>
    <xf borderId="13" fillId="0" fontId="1" numFmtId="0" xfId="0" applyAlignment="1" applyBorder="1" applyFont="1">
      <alignment readingOrder="0"/>
    </xf>
    <xf borderId="1" fillId="0" fontId="5" numFmtId="0" xfId="0" applyAlignment="1" applyBorder="1" applyFont="1">
      <alignment horizontal="left" readingOrder="0" shrinkToFit="0" vertical="bottom" wrapText="0"/>
    </xf>
    <xf borderId="1" fillId="0" fontId="5" numFmtId="0" xfId="0" applyAlignment="1" applyBorder="1" applyFont="1">
      <alignment horizontal="center" readingOrder="0" shrinkToFit="0" vertical="bottom" wrapText="0"/>
    </xf>
    <xf borderId="1" fillId="0" fontId="5" numFmtId="0" xfId="0" applyAlignment="1" applyBorder="1" applyFont="1">
      <alignment horizontal="center" readingOrder="0" shrinkToFit="0" wrapText="0"/>
    </xf>
    <xf borderId="8" fillId="0" fontId="5" numFmtId="0" xfId="0" applyAlignment="1" applyBorder="1" applyFont="1">
      <alignment horizontal="left" readingOrder="0" shrinkToFit="0" vertical="bottom" wrapText="0"/>
    </xf>
    <xf borderId="9" fillId="0" fontId="5" numFmtId="0" xfId="0" applyAlignment="1" applyBorder="1" applyFont="1">
      <alignment horizontal="left" readingOrder="0" shrinkToFit="0" vertical="bottom" wrapText="0"/>
    </xf>
    <xf borderId="3" fillId="0" fontId="5" numFmtId="0" xfId="0" applyAlignment="1" applyBorder="1" applyFont="1">
      <alignment horizontal="left" readingOrder="0" shrinkToFit="0" vertical="bottom" wrapText="0"/>
    </xf>
    <xf borderId="4" fillId="0" fontId="5" numFmtId="0" xfId="0" applyAlignment="1" applyBorder="1" applyFont="1">
      <alignment horizontal="center" readingOrder="0" shrinkToFit="0" vertical="bottom" wrapText="0"/>
    </xf>
    <xf borderId="14" fillId="0" fontId="2" numFmtId="0" xfId="0" applyAlignment="1" applyBorder="1" applyFont="1">
      <alignment readingOrder="0"/>
    </xf>
    <xf borderId="15" fillId="0" fontId="2" numFmtId="0" xfId="0" applyAlignment="1" applyBorder="1" applyFont="1">
      <alignment horizontal="center" readingOrder="0"/>
    </xf>
    <xf borderId="15" fillId="0" fontId="2" numFmtId="0" xfId="0" applyAlignment="1" applyBorder="1" applyFont="1">
      <alignment readingOrder="0"/>
    </xf>
    <xf borderId="16" fillId="0" fontId="2" numFmtId="0" xfId="0" applyBorder="1" applyFont="1"/>
    <xf borderId="15" fillId="0" fontId="2" numFmtId="166" xfId="0" applyAlignment="1" applyBorder="1" applyFont="1" applyNumberFormat="1">
      <alignment readingOrder="0"/>
    </xf>
    <xf borderId="17" fillId="0" fontId="2" numFmtId="0" xfId="0" applyAlignment="1" applyBorder="1" applyFont="1">
      <alignment readingOrder="0"/>
    </xf>
    <xf borderId="18" fillId="0" fontId="2" numFmtId="0" xfId="0" applyAlignment="1" applyBorder="1" applyFont="1">
      <alignment readingOrder="0"/>
    </xf>
    <xf borderId="19" fillId="0" fontId="2" numFmtId="0" xfId="0" applyBorder="1" applyFont="1"/>
    <xf borderId="20" fillId="0" fontId="1" numFmtId="0" xfId="0" applyAlignment="1" applyBorder="1" applyFont="1">
      <alignment readingOrder="0"/>
    </xf>
    <xf borderId="13" fillId="0" fontId="1" numFmtId="0" xfId="0" applyAlignment="1" applyBorder="1" applyFont="1">
      <alignment horizontal="left" readingOrder="0"/>
    </xf>
    <xf borderId="21" fillId="0" fontId="1" numFmtId="0" xfId="0" applyAlignment="1" applyBorder="1" applyFont="1">
      <alignment readingOrder="0"/>
    </xf>
    <xf borderId="16" fillId="0" fontId="2" numFmtId="0" xfId="0" applyAlignment="1" applyBorder="1" applyFont="1">
      <alignment readingOrder="0"/>
    </xf>
    <xf borderId="22" fillId="0" fontId="1" numFmtId="0" xfId="0" applyAlignment="1" applyBorder="1" applyFont="1">
      <alignment readingOrder="0"/>
    </xf>
    <xf borderId="19" fillId="0" fontId="2" numFmtId="0" xfId="0" applyAlignment="1" applyBorder="1" applyFont="1">
      <alignment readingOrder="0"/>
    </xf>
    <xf borderId="23" fillId="0" fontId="1" numFmtId="0" xfId="0" applyAlignment="1" applyBorder="1" applyFont="1">
      <alignment readingOrder="0"/>
    </xf>
    <xf borderId="24" fillId="0" fontId="1" numFmtId="0" xfId="0" applyAlignment="1" applyBorder="1" applyFont="1">
      <alignment readingOrder="0"/>
    </xf>
    <xf borderId="25" fillId="0" fontId="2" numFmtId="0" xfId="0" applyAlignment="1" applyBorder="1" applyFont="1">
      <alignment readingOrder="0"/>
    </xf>
    <xf borderId="26" fillId="0" fontId="1" numFmtId="0" xfId="0" applyAlignment="1" applyBorder="1" applyFont="1">
      <alignment readingOrder="0"/>
    </xf>
    <xf borderId="25" fillId="0" fontId="2" numFmtId="0" xfId="0" applyBorder="1" applyFont="1"/>
    <xf borderId="15" fillId="0" fontId="2" numFmtId="0" xfId="0" applyBorder="1" applyFont="1"/>
    <xf borderId="27" fillId="0" fontId="1" numFmtId="0" xfId="0" applyAlignment="1" applyBorder="1" applyFont="1">
      <alignment readingOrder="0"/>
    </xf>
    <xf borderId="28" fillId="0" fontId="2" numFmtId="0" xfId="0" applyBorder="1" applyFont="1"/>
    <xf borderId="18" fillId="0" fontId="2" numFmtId="0" xfId="0" applyBorder="1" applyFont="1"/>
    <xf borderId="29" fillId="0" fontId="1" numFmtId="0" xfId="0" applyAlignment="1" applyBorder="1" applyFont="1">
      <alignment readingOrder="0"/>
    </xf>
    <xf borderId="0" fillId="0" fontId="6" numFmtId="0" xfId="0" applyAlignment="1" applyFont="1">
      <alignment horizontal="left" readingOrder="0" shrinkToFit="0" wrapText="0"/>
    </xf>
    <xf borderId="14" fillId="0" fontId="2" numFmtId="0" xfId="0" applyBorder="1" applyFont="1"/>
    <xf borderId="17" fillId="0" fontId="2" numFmtId="0" xfId="0" applyBorder="1" applyFont="1"/>
    <xf borderId="0" fillId="0" fontId="7" numFmtId="0" xfId="0" applyAlignment="1" applyFont="1">
      <alignment horizontal="left" readingOrder="0" shrinkToFit="0" vertical="bottom" wrapText="0"/>
    </xf>
    <xf borderId="1" fillId="0" fontId="5" numFmtId="0" xfId="0" applyAlignment="1" applyBorder="1" applyFont="1">
      <alignment horizontal="right" readingOrder="0" shrinkToFit="0" vertical="bottom" wrapText="0"/>
    </xf>
    <xf borderId="30" fillId="0" fontId="1" numFmtId="0" xfId="0" applyAlignment="1" applyBorder="1" applyFont="1">
      <alignment horizontal="center" readingOrder="0"/>
    </xf>
    <xf borderId="31" fillId="0" fontId="2" numFmtId="0" xfId="0" applyBorder="1" applyFont="1"/>
    <xf borderId="32" fillId="0" fontId="2" numFmtId="0" xfId="0" applyBorder="1" applyFont="1"/>
    <xf borderId="33" fillId="0" fontId="1" numFmtId="0" xfId="0" applyAlignment="1" applyBorder="1" applyFont="1">
      <alignment readingOrder="0"/>
    </xf>
    <xf borderId="34" fillId="0" fontId="1" numFmtId="0" xfId="0" applyAlignment="1" applyBorder="1" applyFont="1">
      <alignment horizontal="center" readingOrder="0"/>
    </xf>
    <xf borderId="35" fillId="0" fontId="1" numFmtId="0" xfId="0" applyAlignment="1" applyBorder="1" applyFont="1">
      <alignment horizontal="center" readingOrder="0"/>
    </xf>
    <xf borderId="36" fillId="0" fontId="1" numFmtId="0" xfId="0" applyAlignment="1" applyBorder="1" applyFont="1">
      <alignment horizontal="center" readingOrder="0"/>
    </xf>
    <xf borderId="37" fillId="0" fontId="1" numFmtId="0" xfId="0" applyAlignment="1" applyBorder="1" applyFont="1">
      <alignment horizontal="center" readingOrder="0"/>
    </xf>
    <xf borderId="38" fillId="0" fontId="1" numFmtId="0" xfId="0" applyAlignment="1" applyBorder="1" applyFont="1">
      <alignment horizontal="center" readingOrder="0"/>
    </xf>
    <xf borderId="0" fillId="0" fontId="2" numFmtId="0" xfId="0" applyAlignment="1" applyFont="1">
      <alignment readingOrder="0"/>
    </xf>
    <xf borderId="10" fillId="0" fontId="4" numFmtId="0" xfId="0" applyAlignment="1" applyBorder="1" applyFont="1">
      <alignment horizontal="left" readingOrder="0" vertical="center"/>
    </xf>
    <xf borderId="14" fillId="0" fontId="5" numFmtId="0" xfId="0" applyAlignment="1" applyBorder="1" applyFont="1">
      <alignment horizontal="left" readingOrder="0" shrinkToFit="0" vertical="bottom" wrapText="0"/>
    </xf>
    <xf borderId="15" fillId="0" fontId="5" numFmtId="0" xfId="0" applyAlignment="1" applyBorder="1" applyFont="1">
      <alignment horizontal="left" readingOrder="0" shrinkToFit="0" vertical="bottom" wrapText="0"/>
    </xf>
    <xf borderId="0" fillId="0" fontId="2" numFmtId="165" xfId="0" applyAlignment="1" applyFont="1" applyNumberFormat="1">
      <alignment readingOrder="0"/>
    </xf>
    <xf borderId="15" fillId="0" fontId="6" numFmtId="0" xfId="0" applyAlignment="1" applyBorder="1" applyFont="1">
      <alignment horizontal="left" readingOrder="0" shrinkToFit="0" vertical="bottom" wrapText="0"/>
    </xf>
    <xf borderId="15" fillId="0" fontId="5" numFmtId="165" xfId="0" applyAlignment="1" applyBorder="1" applyFont="1" applyNumberFormat="1">
      <alignment readingOrder="0" shrinkToFit="0" vertical="bottom" wrapText="0"/>
    </xf>
    <xf borderId="15" fillId="0" fontId="2" numFmtId="165" xfId="0" applyBorder="1" applyFont="1" applyNumberFormat="1"/>
    <xf borderId="18" fillId="0" fontId="2" numFmtId="165" xfId="0" applyBorder="1" applyFont="1" applyNumberFormat="1"/>
    <xf borderId="0" fillId="0" fontId="4" numFmtId="0" xfId="0" applyAlignment="1" applyFont="1">
      <alignment horizontal="left" readingOrder="0" vertical="center"/>
    </xf>
    <xf borderId="12" fillId="0" fontId="1" numFmtId="0" xfId="0" applyAlignment="1" applyBorder="1" applyFont="1">
      <alignment horizontal="center" readingOrder="0"/>
    </xf>
    <xf borderId="39" fillId="0" fontId="1" numFmtId="0" xfId="0" applyAlignment="1" applyBorder="1" applyFont="1">
      <alignment readingOrder="0"/>
    </xf>
    <xf borderId="40" fillId="0" fontId="2" numFmtId="0" xfId="0" applyBorder="1" applyFont="1"/>
    <xf borderId="41" fillId="0" fontId="2" numFmtId="0" xfId="0" applyBorder="1" applyFont="1"/>
    <xf borderId="42" fillId="0" fontId="2" numFmtId="0" xfId="0" applyBorder="1" applyFont="1"/>
    <xf borderId="43" fillId="0" fontId="2" numFmtId="0" xfId="0" applyBorder="1" applyFont="1"/>
    <xf borderId="0" fillId="0" fontId="4" numFmtId="0" xfId="0" applyAlignment="1" applyFont="1">
      <alignment readingOrder="0"/>
    </xf>
    <xf borderId="39" fillId="0" fontId="2" numFmtId="0" xfId="0" applyBorder="1" applyFont="1"/>
    <xf borderId="44" fillId="0" fontId="2" numFmtId="0" xfId="0" applyBorder="1" applyFont="1"/>
    <xf borderId="0" fillId="5" fontId="1" numFmtId="0" xfId="0" applyAlignment="1" applyFill="1" applyFont="1">
      <alignment horizontal="right" readingOrder="0"/>
    </xf>
    <xf borderId="11" fillId="5" fontId="1" numFmtId="0" xfId="0" applyAlignment="1" applyBorder="1" applyFont="1">
      <alignment readingOrder="0"/>
    </xf>
    <xf borderId="12" fillId="5" fontId="1" numFmtId="0" xfId="0" applyAlignment="1" applyBorder="1" applyFont="1">
      <alignment readingOrder="0"/>
    </xf>
    <xf borderId="13" fillId="5" fontId="1" numFmtId="0" xfId="0" applyAlignment="1" applyBorder="1" applyFont="1">
      <alignment readingOrder="0"/>
    </xf>
    <xf borderId="0" fillId="4" fontId="5" numFmtId="0" xfId="0" applyAlignment="1" applyFont="1">
      <alignment horizontal="right" readingOrder="0" shrinkToFit="0" vertical="bottom" wrapText="0"/>
    </xf>
    <xf borderId="1" fillId="4" fontId="5" numFmtId="0" xfId="0" applyAlignment="1" applyBorder="1" applyFont="1">
      <alignment horizontal="left" readingOrder="0" shrinkToFit="0" vertical="bottom" wrapText="0"/>
    </xf>
    <xf borderId="1" fillId="4" fontId="5" numFmtId="0" xfId="0" applyAlignment="1" applyBorder="1" applyFont="1">
      <alignment horizontal="center" readingOrder="0" shrinkToFit="0" vertical="bottom" wrapText="0"/>
    </xf>
    <xf borderId="1" fillId="4" fontId="5" numFmtId="0" xfId="0" applyAlignment="1" applyBorder="1" applyFont="1">
      <alignment horizontal="center" readingOrder="0" shrinkToFit="0" wrapText="0"/>
    </xf>
    <xf borderId="8" fillId="4" fontId="5" numFmtId="0" xfId="0" applyAlignment="1" applyBorder="1" applyFont="1">
      <alignment horizontal="left" readingOrder="0" shrinkToFit="0" vertical="bottom" wrapText="0"/>
    </xf>
    <xf borderId="0" fillId="6" fontId="5" numFmtId="0" xfId="0" applyAlignment="1" applyFill="1" applyFont="1">
      <alignment horizontal="right" readingOrder="0" shrinkToFit="0" vertical="bottom" wrapText="0"/>
    </xf>
    <xf borderId="9" fillId="6" fontId="5" numFmtId="0" xfId="0" applyAlignment="1" applyBorder="1" applyFont="1">
      <alignment horizontal="left" readingOrder="0" shrinkToFit="0" vertical="bottom" wrapText="0"/>
    </xf>
    <xf borderId="1" fillId="6" fontId="5" numFmtId="0" xfId="0" applyAlignment="1" applyBorder="1" applyFont="1">
      <alignment horizontal="center" readingOrder="0" shrinkToFit="0" vertical="bottom" wrapText="0"/>
    </xf>
    <xf borderId="1" fillId="6" fontId="5" numFmtId="0" xfId="0" applyAlignment="1" applyBorder="1" applyFont="1">
      <alignment horizontal="center" readingOrder="0" shrinkToFit="0" wrapText="0"/>
    </xf>
    <xf borderId="3" fillId="6" fontId="5" numFmtId="0" xfId="0" applyAlignment="1" applyBorder="1" applyFont="1">
      <alignment horizontal="left" readingOrder="0" shrinkToFit="0" vertical="bottom" wrapText="0"/>
    </xf>
    <xf borderId="9" fillId="4" fontId="5" numFmtId="0" xfId="0" applyAlignment="1" applyBorder="1" applyFont="1">
      <alignment horizontal="left" readingOrder="0" shrinkToFit="0" vertical="bottom" wrapText="0"/>
    </xf>
    <xf borderId="3" fillId="4" fontId="5" numFmtId="0" xfId="0" applyAlignment="1" applyBorder="1" applyFont="1">
      <alignment horizontal="left" readingOrder="0" shrinkToFit="0" vertical="bottom" wrapText="0"/>
    </xf>
    <xf borderId="4" fillId="6" fontId="5" numFmtId="0" xfId="0" applyAlignment="1" applyBorder="1" applyFont="1">
      <alignment horizontal="center" readingOrder="0" shrinkToFit="0" vertical="bottom" wrapText="0"/>
    </xf>
    <xf borderId="14" fillId="4" fontId="2" numFmtId="0" xfId="0" applyAlignment="1" applyBorder="1" applyFont="1">
      <alignment readingOrder="0"/>
    </xf>
    <xf borderId="15" fillId="4" fontId="2" numFmtId="0" xfId="0" applyAlignment="1" applyBorder="1" applyFont="1">
      <alignment horizontal="center" readingOrder="0"/>
    </xf>
    <xf borderId="15" fillId="4" fontId="2" numFmtId="0" xfId="0" applyAlignment="1" applyBorder="1" applyFont="1">
      <alignment readingOrder="0"/>
    </xf>
    <xf borderId="16" fillId="4" fontId="2" numFmtId="0" xfId="0" applyBorder="1" applyFont="1"/>
    <xf borderId="0" fillId="6" fontId="2" numFmtId="0" xfId="0" applyAlignment="1" applyFont="1">
      <alignment horizontal="right" readingOrder="0"/>
    </xf>
    <xf borderId="1" fillId="6" fontId="5" numFmtId="0" xfId="0" applyAlignment="1" applyBorder="1" applyFont="1">
      <alignment horizontal="left" readingOrder="0" shrinkToFit="0" vertical="bottom" wrapText="0"/>
    </xf>
    <xf borderId="8" fillId="6" fontId="5" numFmtId="0" xfId="0" applyAlignment="1" applyBorder="1" applyFont="1">
      <alignment horizontal="left" readingOrder="0" shrinkToFit="0" vertical="bottom" wrapText="0"/>
    </xf>
    <xf borderId="0" fillId="4" fontId="2" numFmtId="0" xfId="0" applyAlignment="1" applyFont="1">
      <alignment horizontal="right" readingOrder="0"/>
    </xf>
    <xf borderId="1" fillId="4" fontId="5" numFmtId="0" xfId="0" applyAlignment="1" applyBorder="1" applyFont="1">
      <alignment horizontal="center" shrinkToFit="0" vertical="bottom" wrapText="0"/>
    </xf>
    <xf borderId="1" fillId="6" fontId="5" numFmtId="0" xfId="0" applyAlignment="1" applyBorder="1" applyFont="1">
      <alignment horizontal="center" shrinkToFit="0" vertical="bottom" wrapText="0"/>
    </xf>
    <xf borderId="14" fillId="0" fontId="5" numFmtId="0" xfId="0" applyAlignment="1" applyBorder="1" applyFont="1">
      <alignment readingOrder="0" shrinkToFit="0" vertical="bottom" wrapText="0"/>
    </xf>
    <xf borderId="15" fillId="0" fontId="5" numFmtId="0" xfId="0" applyAlignment="1" applyBorder="1" applyFont="1">
      <alignment horizontal="center" readingOrder="0" shrinkToFit="0" vertical="bottom" wrapText="0"/>
    </xf>
    <xf borderId="15" fillId="0" fontId="5" numFmtId="4" xfId="0" applyAlignment="1" applyBorder="1" applyFont="1" applyNumberFormat="1">
      <alignment horizontal="center" readingOrder="0" shrinkToFit="0" vertical="bottom" wrapText="0"/>
    </xf>
    <xf borderId="15" fillId="0" fontId="5" numFmtId="0" xfId="0" applyAlignment="1" applyBorder="1" applyFont="1">
      <alignment horizontal="center" readingOrder="0" shrinkToFit="0" vertical="bottom" wrapText="0"/>
    </xf>
    <xf borderId="14" fillId="0" fontId="5" numFmtId="0" xfId="0" applyAlignment="1" applyBorder="1" applyFont="1">
      <alignment readingOrder="0" shrinkToFit="0" vertical="bottom" wrapText="0"/>
    </xf>
    <xf borderId="16" fillId="0" fontId="2" numFmtId="0" xfId="0" applyAlignment="1" applyBorder="1" applyFont="1">
      <alignment readingOrder="0"/>
    </xf>
    <xf borderId="15" fillId="0" fontId="2" numFmtId="4" xfId="0" applyAlignment="1" applyBorder="1" applyFont="1" applyNumberFormat="1">
      <alignment horizontal="center" readingOrder="0"/>
    </xf>
    <xf borderId="0" fillId="4" fontId="7" numFmtId="0" xfId="0" applyAlignment="1" applyFont="1">
      <alignment horizontal="center" readingOrder="0"/>
    </xf>
    <xf borderId="0" fillId="0" fontId="2" numFmtId="0" xfId="0" applyAlignment="1" applyFont="1">
      <alignment horizontal="right"/>
    </xf>
    <xf borderId="1" fillId="0" fontId="5" numFmtId="0" xfId="0" applyAlignment="1" applyBorder="1" applyFont="1">
      <alignment horizontal="center" shrinkToFit="0" vertical="bottom" wrapText="0"/>
    </xf>
    <xf borderId="21" fillId="0" fontId="2" numFmtId="0" xfId="0" applyAlignment="1" applyBorder="1" applyFont="1">
      <alignment readingOrder="0"/>
    </xf>
    <xf borderId="22" fillId="0" fontId="2" numFmtId="0" xfId="0" applyAlignment="1" applyBorder="1" applyFont="1">
      <alignment readingOrder="0"/>
    </xf>
    <xf borderId="0" fillId="0" fontId="8" numFmtId="0" xfId="0" applyAlignment="1" applyFont="1">
      <alignment horizontal="left" readingOrder="0" shrinkToFit="0" vertical="bottom" wrapText="0"/>
    </xf>
    <xf borderId="15" fillId="0" fontId="2" numFmtId="0" xfId="0" applyAlignment="1" applyBorder="1" applyFont="1">
      <alignment readingOrder="0"/>
    </xf>
    <xf borderId="0" fillId="0" fontId="9" numFmtId="0" xfId="0" applyAlignment="1" applyFont="1">
      <alignment readingOrder="0"/>
    </xf>
    <xf borderId="1" fillId="0" fontId="5" numFmtId="0" xfId="0" applyAlignment="1" applyBorder="1" applyFont="1">
      <alignment shrinkToFit="0" vertical="bottom" wrapText="0"/>
    </xf>
    <xf borderId="0" fillId="0" fontId="6" numFmtId="0" xfId="0" applyAlignment="1" applyFont="1">
      <alignment horizontal="left" readingOrder="0" shrinkToFit="0" vertical="bottom" wrapText="0"/>
    </xf>
    <xf borderId="0" fillId="0" fontId="7" numFmtId="0" xfId="0" applyAlignment="1" applyFont="1">
      <alignment horizontal="left" readingOrder="0" shrinkToFit="0" vertical="bottom" wrapText="0"/>
    </xf>
    <xf borderId="13" fillId="0" fontId="1" numFmtId="0" xfId="0" applyAlignment="1" applyBorder="1" applyFont="1">
      <alignment horizontal="center" readingOrder="0"/>
    </xf>
    <xf borderId="15" fillId="0" fontId="2" numFmtId="166" xfId="0" applyAlignment="1" applyBorder="1" applyFont="1" applyNumberFormat="1">
      <alignment horizontal="center" readingOrder="0"/>
    </xf>
    <xf borderId="18" fillId="0" fontId="2" numFmtId="0" xfId="0" applyAlignment="1" applyBorder="1" applyFont="1">
      <alignment horizontal="center" readingOrder="0"/>
    </xf>
    <xf borderId="14" fillId="0" fontId="1" numFmtId="0" xfId="0" applyAlignment="1" applyBorder="1" applyFont="1">
      <alignment readingOrder="0"/>
    </xf>
    <xf borderId="17" fillId="0" fontId="1" numFmtId="0" xfId="0" applyAlignment="1" applyBorder="1" applyFont="1">
      <alignment readingOrder="0"/>
    </xf>
    <xf borderId="26" fillId="0" fontId="2" numFmtId="0" xfId="0" applyAlignment="1" applyBorder="1" applyFont="1">
      <alignment readingOrder="0"/>
    </xf>
    <xf borderId="25" fillId="0" fontId="2" numFmtId="0" xfId="0" applyAlignment="1" applyBorder="1" applyFont="1">
      <alignment readingOrder="0"/>
    </xf>
    <xf borderId="14" fillId="0" fontId="2" numFmtId="0" xfId="0" applyAlignment="1" applyBorder="1" applyFont="1">
      <alignment readingOrder="0"/>
    </xf>
    <xf borderId="0" fillId="0" fontId="5" numFmtId="0" xfId="0" applyAlignment="1" applyFont="1">
      <alignment horizontal="left" readingOrder="0"/>
    </xf>
    <xf borderId="0" fillId="0" fontId="7" numFmtId="0" xfId="0" applyAlignment="1" applyFont="1">
      <alignment horizontal="left" readingOrder="0"/>
    </xf>
    <xf borderId="0" fillId="0" fontId="2" numFmtId="0" xfId="0" applyAlignment="1" applyFont="1">
      <alignment horizontal="center" readingOrder="0"/>
    </xf>
    <xf borderId="15" fillId="0" fontId="2" numFmtId="165" xfId="0" applyAlignment="1" applyBorder="1" applyFont="1" applyNumberFormat="1">
      <alignment readingOrder="0"/>
    </xf>
    <xf borderId="40" fillId="0" fontId="2" numFmtId="0" xfId="0" applyAlignment="1" applyBorder="1" applyFont="1">
      <alignment readingOrder="0"/>
    </xf>
    <xf borderId="0" fillId="4" fontId="10" numFmtId="0" xfId="0" applyAlignment="1" applyFont="1">
      <alignment readingOrder="0"/>
    </xf>
    <xf borderId="0" fillId="0" fontId="0" numFmtId="0" xfId="0" applyAlignment="1" applyFont="1">
      <alignment readingOrder="0"/>
    </xf>
    <xf borderId="0" fillId="4" fontId="11" numFmtId="0" xfId="0" applyAlignment="1" applyFont="1">
      <alignment readingOrder="0"/>
    </xf>
    <xf borderId="0" fillId="0" fontId="12" numFmtId="0" xfId="0" applyAlignment="1" applyFont="1">
      <alignment readingOrder="0"/>
    </xf>
    <xf borderId="0" fillId="4" fontId="13" numFmtId="0" xfId="0" applyAlignment="1" applyFont="1">
      <alignment readingOrder="0"/>
    </xf>
    <xf borderId="0" fillId="0" fontId="14" numFmtId="0" xfId="0" applyAlignment="1" applyFont="1">
      <alignment readingOrder="0"/>
    </xf>
    <xf borderId="0" fillId="4" fontId="13" numFmtId="0" xfId="0" applyAlignment="1" applyFont="1">
      <alignment readingOrder="0"/>
    </xf>
    <xf borderId="0" fillId="0" fontId="15" numFmtId="0" xfId="0" applyAlignment="1" applyFont="1">
      <alignment readingOrder="0"/>
    </xf>
    <xf borderId="0" fillId="4" fontId="12" numFmtId="0" xfId="0" applyAlignment="1" applyFont="1">
      <alignment readingOrder="0"/>
    </xf>
    <xf borderId="0" fillId="4" fontId="7" numFmtId="0" xfId="0" applyAlignment="1" applyFont="1">
      <alignment readingOrder="0"/>
    </xf>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readingOrder="0"/>
    </xf>
    <xf borderId="0" fillId="4" fontId="0" numFmtId="165" xfId="0" applyAlignment="1" applyFont="1" applyNumberFormat="1">
      <alignment readingOrder="0"/>
    </xf>
    <xf borderId="14" fillId="0" fontId="5" numFmtId="0" xfId="0" applyAlignment="1" applyBorder="1" applyFont="1">
      <alignment readingOrder="0" shrinkToFit="0" vertical="bottom" wrapText="1"/>
    </xf>
    <xf borderId="15" fillId="0" fontId="5" numFmtId="0" xfId="0" applyAlignment="1" applyBorder="1" applyFont="1">
      <alignment horizontal="center" readingOrder="0" shrinkToFit="0" vertical="bottom" wrapText="1"/>
    </xf>
    <xf borderId="15" fillId="0" fontId="5" numFmtId="0" xfId="0" applyAlignment="1" applyBorder="1" applyFont="1">
      <alignment horizontal="center" readingOrder="0" shrinkToFit="0" vertical="bottom" wrapText="1"/>
    </xf>
    <xf borderId="14" fillId="0" fontId="5" numFmtId="0" xfId="0" applyAlignment="1" applyBorder="1" applyFont="1">
      <alignment readingOrder="0" shrinkToFit="0" vertical="bottom" wrapText="1"/>
    </xf>
    <xf borderId="0" fillId="4" fontId="17" numFmtId="0" xfId="0" applyAlignment="1" applyFont="1">
      <alignment readingOrder="0" shrinkToFit="0" wrapText="1"/>
    </xf>
    <xf borderId="16" fillId="0" fontId="2" numFmtId="0" xfId="0" applyAlignment="1" applyBorder="1" applyFont="1">
      <alignment readingOrder="0" shrinkToFit="0" wrapText="0"/>
    </xf>
    <xf borderId="45" fillId="0" fontId="2" numFmtId="0" xfId="0" applyAlignment="1" applyBorder="1" applyFont="1">
      <alignment readingOrder="0"/>
    </xf>
    <xf borderId="10" fillId="0" fontId="2" numFmtId="0" xfId="0" applyAlignment="1" applyBorder="1" applyFont="1">
      <alignment readingOrder="0"/>
    </xf>
    <xf borderId="46" fillId="0" fontId="2" numFmtId="0" xfId="0" applyBorder="1" applyFont="1"/>
    <xf borderId="46" fillId="0" fontId="2" numFmtId="0" xfId="0" applyAlignment="1" applyBorder="1" applyFont="1">
      <alignment readingOrder="0"/>
    </xf>
    <xf borderId="28" fillId="0" fontId="2" numFmtId="0" xfId="0" applyAlignment="1" applyBorder="1" applyFont="1">
      <alignment readingOrder="0"/>
    </xf>
    <xf borderId="16" fillId="0" fontId="2" numFmtId="166" xfId="0" applyAlignment="1" applyBorder="1" applyFont="1" applyNumberFormat="1">
      <alignment readingOrder="0"/>
    </xf>
    <xf borderId="47" fillId="0" fontId="1" numFmtId="0" xfId="0" applyAlignment="1" applyBorder="1" applyFont="1">
      <alignment readingOrder="0"/>
    </xf>
    <xf borderId="48" fillId="0" fontId="1" numFmtId="0" xfId="0" applyAlignment="1" applyBorder="1" applyFont="1">
      <alignment readingOrder="0"/>
    </xf>
    <xf borderId="49" fillId="0" fontId="1" numFmtId="0" xfId="0" applyAlignment="1" applyBorder="1" applyFont="1">
      <alignment horizontal="left" readingOrder="0"/>
    </xf>
    <xf borderId="50" fillId="0" fontId="18" numFmtId="0" xfId="0" applyAlignment="1" applyBorder="1" applyFont="1">
      <alignment readingOrder="0" shrinkToFit="0" vertical="bottom" wrapText="0"/>
    </xf>
    <xf borderId="51" fillId="0" fontId="5" numFmtId="0" xfId="0" applyAlignment="1" applyBorder="1" applyFont="1">
      <alignment horizontal="center" readingOrder="0" shrinkToFit="0" vertical="bottom" wrapText="0"/>
    </xf>
    <xf borderId="51" fillId="0" fontId="2" numFmtId="0" xfId="0" applyAlignment="1" applyBorder="1" applyFont="1">
      <alignment readingOrder="0"/>
    </xf>
    <xf borderId="52" fillId="0" fontId="2" numFmtId="0" xfId="0" applyBorder="1" applyFont="1"/>
    <xf borderId="50" fillId="0" fontId="5" numFmtId="0" xfId="0" applyAlignment="1" applyBorder="1" applyFont="1">
      <alignment readingOrder="0" shrinkToFit="0" vertical="bottom" wrapText="0"/>
    </xf>
    <xf borderId="51" fillId="0" fontId="5" numFmtId="0" xfId="0" applyAlignment="1" applyBorder="1" applyFont="1">
      <alignment horizontal="center" readingOrder="0" shrinkToFit="0" vertical="bottom" wrapText="0"/>
    </xf>
    <xf borderId="50" fillId="0" fontId="5" numFmtId="0" xfId="0" applyAlignment="1" applyBorder="1" applyFont="1">
      <alignment readingOrder="0" shrinkToFit="0" vertical="bottom" wrapText="0"/>
    </xf>
    <xf borderId="52" fillId="0" fontId="2" numFmtId="0" xfId="0" applyAlignment="1" applyBorder="1" applyFont="1">
      <alignment readingOrder="0"/>
    </xf>
    <xf borderId="0" fillId="4" fontId="17" numFmtId="0" xfId="0" applyAlignment="1" applyFont="1">
      <alignment readingOrder="0" shrinkToFit="0" wrapText="0"/>
    </xf>
    <xf borderId="0" fillId="4" fontId="19" numFmtId="0" xfId="0" applyAlignment="1" applyFont="1">
      <alignment readingOrder="0"/>
    </xf>
    <xf borderId="0" fillId="4" fontId="17" numFmtId="0" xfId="0" applyAlignment="1" applyFont="1">
      <alignment readingOrder="0"/>
    </xf>
    <xf borderId="50" fillId="0" fontId="20" numFmtId="0" xfId="0" applyAlignment="1" applyBorder="1" applyFont="1">
      <alignment readingOrder="0" shrinkToFit="0" vertical="bottom" wrapText="0"/>
    </xf>
    <xf borderId="50" fillId="0" fontId="2" numFmtId="0" xfId="0" applyAlignment="1" applyBorder="1" applyFont="1">
      <alignment readingOrder="0"/>
    </xf>
    <xf borderId="51" fillId="0" fontId="2" numFmtId="0" xfId="0" applyBorder="1" applyFont="1"/>
    <xf borderId="51" fillId="0" fontId="2" numFmtId="166" xfId="0" applyAlignment="1" applyBorder="1" applyFont="1" applyNumberFormat="1">
      <alignment readingOrder="0"/>
    </xf>
    <xf borderId="53" fillId="0" fontId="2" numFmtId="0" xfId="0" applyAlignment="1" applyBorder="1" applyFont="1">
      <alignment readingOrder="0"/>
    </xf>
    <xf borderId="54" fillId="0" fontId="2" numFmtId="0" xfId="0" applyAlignment="1" applyBorder="1" applyFont="1">
      <alignment readingOrder="0"/>
    </xf>
    <xf borderId="54" fillId="0" fontId="2" numFmtId="0" xfId="0" applyBorder="1" applyFont="1"/>
    <xf borderId="55" fillId="0" fontId="2" numFmtId="0" xfId="0" applyBorder="1" applyFont="1"/>
    <xf borderId="15" fillId="0" fontId="5" numFmtId="0" xfId="0" applyAlignment="1" applyBorder="1" applyFont="1">
      <alignment horizontal="center" shrinkToFit="0" vertical="bottom" wrapText="0"/>
    </xf>
    <xf borderId="0" fillId="0" fontId="21" numFmtId="0" xfId="0" applyAlignment="1" applyFont="1">
      <alignment readingOrder="0" shrinkToFit="0" vertical="bottom" wrapText="0"/>
    </xf>
    <xf borderId="0" fillId="0" fontId="5" numFmtId="0" xfId="0" applyAlignment="1" applyFont="1">
      <alignment readingOrder="0" shrinkToFit="0" vertical="bottom" wrapText="0"/>
    </xf>
    <xf borderId="0" fillId="0" fontId="21" numFmtId="0" xfId="0" applyAlignment="1" applyFont="1">
      <alignment horizontal="center" readingOrder="0" shrinkToFit="0" vertical="bottom" wrapText="0"/>
    </xf>
    <xf borderId="0" fillId="4" fontId="22" numFmtId="0" xfId="0" applyAlignment="1" applyFont="1">
      <alignment horizontal="left" readingOrder="0"/>
    </xf>
    <xf borderId="0" fillId="0" fontId="7" numFmtId="0" xfId="0" applyAlignment="1" applyFont="1">
      <alignment readingOrder="0" shrinkToFit="0" vertical="bottom" wrapText="0"/>
    </xf>
    <xf borderId="0" fillId="0" fontId="2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26226/morressier.5d402f9b8f2158d25ec1252c"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dpi.com/2227-9067/8/6/487" TargetMode="External"/><Relationship Id="rId2" Type="http://schemas.openxmlformats.org/officeDocument/2006/relationships/hyperlink" Target="https://doi.org/10.3390/children8100903" TargetMode="External"/><Relationship Id="rId3" Type="http://schemas.openxmlformats.org/officeDocument/2006/relationships/hyperlink" Target="https://doi.org/10.3390/app11146515"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2.43"/>
    <col customWidth="1" min="2" max="11" width="13.43"/>
  </cols>
  <sheetData>
    <row r="1">
      <c r="A1" s="1" t="s">
        <v>0</v>
      </c>
    </row>
    <row r="3">
      <c r="A3" s="2" t="s">
        <v>1</v>
      </c>
      <c r="B3" s="3">
        <v>2016.0</v>
      </c>
      <c r="C3" s="3">
        <v>2017.0</v>
      </c>
      <c r="D3" s="3">
        <v>2018.0</v>
      </c>
      <c r="E3" s="3">
        <v>2019.0</v>
      </c>
      <c r="F3" s="3">
        <v>2020.0</v>
      </c>
      <c r="G3" s="3">
        <v>2021.0</v>
      </c>
      <c r="H3" s="3">
        <v>2022.0</v>
      </c>
      <c r="I3" s="3">
        <v>2023.0</v>
      </c>
      <c r="J3" s="3">
        <v>2024.0</v>
      </c>
      <c r="K3" s="3">
        <v>2025.0</v>
      </c>
    </row>
    <row r="4">
      <c r="A4" s="4" t="s">
        <v>2</v>
      </c>
      <c r="B4" s="5">
        <f>COUNTA('2016'!$A$4:$A$34)</f>
        <v>17</v>
      </c>
      <c r="C4" s="6">
        <f>COUNTA('2017'!$A$4:$A$34)</f>
        <v>11</v>
      </c>
      <c r="D4" s="6">
        <f>COUNTA('2018'!A4:A35)</f>
        <v>20</v>
      </c>
      <c r="E4" s="6">
        <f>COUNTA('2019'!$A$4:$A$33)</f>
        <v>6</v>
      </c>
      <c r="F4" s="6">
        <f>COUNTA('2020'!$A$4:$A$34)</f>
        <v>5</v>
      </c>
      <c r="G4" s="6">
        <f>COUNTA('2021'!$A$4:$A$34)</f>
        <v>11</v>
      </c>
      <c r="H4" s="6">
        <f>COUNTA('2022'!$A$4:$A$34)</f>
        <v>0</v>
      </c>
      <c r="I4" s="6">
        <f>COUNTA('2023'!$A$4:$A$34)</f>
        <v>0</v>
      </c>
      <c r="J4" s="6">
        <f>COUNTA('2024'!$A$4:$A$34)</f>
        <v>0</v>
      </c>
      <c r="K4" s="6">
        <f>COUNTA('2025'!$A$4:$A$34)</f>
        <v>0</v>
      </c>
    </row>
    <row r="5">
      <c r="A5" s="7" t="s">
        <v>3</v>
      </c>
      <c r="B5" s="8"/>
      <c r="C5" s="8"/>
      <c r="D5" s="8"/>
      <c r="E5" s="9"/>
      <c r="F5" s="9"/>
      <c r="G5" s="9"/>
      <c r="H5" s="9"/>
      <c r="I5" s="9"/>
      <c r="J5" s="9"/>
      <c r="K5" s="10"/>
    </row>
    <row r="6">
      <c r="A6" s="11" t="s">
        <v>4</v>
      </c>
      <c r="B6" s="12">
        <f>countif('2016'!$E$4:$E$34,"Anatomy and Morphology")</f>
        <v>0</v>
      </c>
      <c r="C6" s="12">
        <f>countif('2017'!$E$4:$E$34,"Anatomy and Morphology")</f>
        <v>1</v>
      </c>
      <c r="D6" s="12">
        <f>countif('2018'!$E$4:$E$35,"Anatomy and Morphology")</f>
        <v>0</v>
      </c>
      <c r="E6" s="12">
        <f>countif('2019'!$E$4:$E$33,"Anatomy and Morphology")</f>
        <v>0</v>
      </c>
      <c r="F6" s="12">
        <f>countif('2020'!$E$4:$E$34,"Anatomy and Morphology")</f>
        <v>0</v>
      </c>
      <c r="G6" s="12">
        <f>countif('2021'!$E$4:$E$34,"Anatomy and Morphology")</f>
        <v>0</v>
      </c>
      <c r="H6" s="12">
        <f>countif('2022'!$E$4:$E$34,"Anatomy and Morphology")</f>
        <v>0</v>
      </c>
      <c r="I6" s="12">
        <f>countif('2023'!$E$4:$E$34,"Anatomy and Morphology")</f>
        <v>0</v>
      </c>
      <c r="J6" s="12">
        <f>countif('2024'!$E$4:$E$34,"Anatomy and Morphology")</f>
        <v>0</v>
      </c>
      <c r="K6" s="12">
        <f>countif('2025'!$E$4:$E$34,"Anatomy and Morphology")</f>
        <v>0</v>
      </c>
      <c r="L6" s="13"/>
      <c r="M6" s="13"/>
    </row>
    <row r="7">
      <c r="A7" s="11" t="s">
        <v>5</v>
      </c>
      <c r="B7" s="12">
        <f>countif('2016'!$E$4:$E$34,"Public, Environmental &amp; Occupational health")</f>
        <v>0</v>
      </c>
      <c r="C7" s="12">
        <f>countif('2017'!$E$4:$E$34,"Public, Environmental &amp; Occupational health")</f>
        <v>0</v>
      </c>
      <c r="D7" s="12">
        <f>countif('2018'!$E$4:$E$35,"Public, Environmental &amp; Occupational health")</f>
        <v>1</v>
      </c>
      <c r="E7" s="12">
        <f>countif('2019'!$E$4:$E$33,"Public, Environmental &amp; Occupational health")</f>
        <v>0</v>
      </c>
      <c r="F7" s="12">
        <f>countif('2020'!$E$4:$E$34,"Public, Environmental &amp; Occupational health")</f>
        <v>1</v>
      </c>
      <c r="G7" s="12">
        <f>countif('2021'!$E$4:$E$34,"Public, Environmental &amp; Occupational health")</f>
        <v>1</v>
      </c>
      <c r="H7" s="12">
        <f>countif('2022'!$E$4:$E$34,"Public, Environmental &amp; Occupational health")</f>
        <v>0</v>
      </c>
      <c r="I7" s="12">
        <f>countif('2023'!$E$4:$E$34,"Public, Environmental &amp; Occupational health")</f>
        <v>0</v>
      </c>
      <c r="J7" s="12">
        <f>countif('2024'!$E$4:$E$34,"Public, Environmental &amp; Occupational health")</f>
        <v>0</v>
      </c>
      <c r="K7" s="12">
        <f>countif('2025'!$E$4:$E$34,"Public, Environmental &amp; Occupational health")</f>
        <v>0</v>
      </c>
      <c r="L7" s="13"/>
      <c r="M7" s="13"/>
    </row>
    <row r="8">
      <c r="A8" s="11" t="s">
        <v>6</v>
      </c>
      <c r="B8" s="12">
        <f>countif('2016'!$E$4:$E$34,"Engineering, Biomedical")</f>
        <v>2</v>
      </c>
      <c r="C8" s="12">
        <f>countif('2017'!$E$4:$E$34,"Engineering, Biomedical")</f>
        <v>1</v>
      </c>
      <c r="D8" s="12">
        <f>countif('2018'!$E$4:$E$35,"Engineering, Biomedical")</f>
        <v>1</v>
      </c>
      <c r="E8" s="12">
        <f>countif('2019'!$E$4:$E$33,"Engineering, Biomedical")</f>
        <v>0</v>
      </c>
      <c r="F8" s="12">
        <f>countif('2020'!$E$4:$E$34,"Engineering, Biomedical")</f>
        <v>0</v>
      </c>
      <c r="G8" s="12">
        <f>countif('2021'!$E$4:$E$34,"Engineering, Biomedical")</f>
        <v>1</v>
      </c>
      <c r="H8" s="12">
        <f>countif('2022'!$E$4:$E$34,"Engineering, Biomedical")</f>
        <v>0</v>
      </c>
      <c r="I8" s="12">
        <f>countif('2023'!$E$4:$E$34,"Engineering, Biomedical")</f>
        <v>0</v>
      </c>
      <c r="J8" s="12">
        <f>countif('2024'!$E$4:$E$34,"Engineering, Biomedical")</f>
        <v>0</v>
      </c>
      <c r="K8" s="12">
        <f>countif('2025'!$E$4:$E$34,"Engineering, Biomedical")</f>
        <v>0</v>
      </c>
      <c r="L8" s="13"/>
      <c r="M8" s="13"/>
    </row>
    <row r="9">
      <c r="A9" s="11" t="s">
        <v>7</v>
      </c>
      <c r="B9" s="12">
        <f>countif('2016'!$E$4:$E$34,"Engineering, Industrial")</f>
        <v>0</v>
      </c>
      <c r="C9" s="12">
        <f>countif('2017'!$E$4:$E$34,"Engineering, Industrial")</f>
        <v>1</v>
      </c>
      <c r="D9" s="12">
        <f>countif('2018'!$E$4:$E$35,"Engineering, Industrial")</f>
        <v>0</v>
      </c>
      <c r="E9" s="12">
        <f>countif('2019'!$E$4:$E$33,"Engineering, Industrial")</f>
        <v>0</v>
      </c>
      <c r="F9" s="12">
        <f>countif('2020'!$E$4:$E$34,"Engineering, Industrial")</f>
        <v>0</v>
      </c>
      <c r="G9" s="12">
        <f>countif('2021'!$E$4:$E$34,"Engineering, Industrial")</f>
        <v>1</v>
      </c>
      <c r="H9" s="12">
        <f>countif('2022'!$E$4:$E$34,"Engineering, Industrial")</f>
        <v>0</v>
      </c>
      <c r="I9" s="12">
        <f>countif('2023'!$E$4:$E$34,"Engineering, Industrial")</f>
        <v>0</v>
      </c>
      <c r="J9" s="12">
        <f>countif('2024'!$E$4:$E$34,"Engineering, Industrial")</f>
        <v>0</v>
      </c>
      <c r="K9" s="12">
        <f>countif('2025'!$E$4:$E$34,"Engineering, Industrial")</f>
        <v>0</v>
      </c>
      <c r="L9" s="13"/>
      <c r="M9" s="13"/>
    </row>
    <row r="10">
      <c r="A10" s="11" t="s">
        <v>8</v>
      </c>
      <c r="B10" s="12">
        <f>COUNTIF('2016'!$E$4:$E$34,"Ergonomics")</f>
        <v>1</v>
      </c>
      <c r="C10" s="12">
        <f>COUNTIF('2017'!$E$4:$E$34,"Ergonomics")</f>
        <v>0</v>
      </c>
      <c r="D10" s="12">
        <f>COUNTIF('2018'!$E$4:$E$35,"Ergonomics")</f>
        <v>0</v>
      </c>
      <c r="E10" s="12">
        <f>COUNTIF('2019'!$E$4:$E$33,"Ergonomics")</f>
        <v>0</v>
      </c>
      <c r="F10" s="12">
        <f>COUNTIF('2020'!$E$4:$E$34,"Ergonomics")</f>
        <v>0</v>
      </c>
      <c r="G10" s="12">
        <f>COUNTIF('2021'!$E$4:$E$34,"Ergonomics")</f>
        <v>0</v>
      </c>
      <c r="H10" s="12">
        <f>COUNTIF('2022'!$E$4:$E$34,"Ergonomics")</f>
        <v>0</v>
      </c>
      <c r="I10" s="12">
        <f>COUNTIF('2023'!$E$4:$E$34,"Ergonomics")</f>
        <v>0</v>
      </c>
      <c r="J10" s="12">
        <f>COUNTIF('2024'!$E$4:$E$34,"Ergonomics")</f>
        <v>0</v>
      </c>
      <c r="K10" s="12">
        <f>COUNTIF('2025'!$E$4:$E$34,"Ergonomics")</f>
        <v>0</v>
      </c>
      <c r="L10" s="13"/>
      <c r="M10" s="13"/>
    </row>
    <row r="11">
      <c r="A11" s="11" t="s">
        <v>9</v>
      </c>
      <c r="B11" s="12">
        <f>COUNTIF('2016'!$E$4:$E$34,"Geriatrics &amp; Gerontology")</f>
        <v>1</v>
      </c>
      <c r="C11" s="12">
        <f>COUNTIF('2017'!$E$4:$E$34,"Geriatrics &amp; Gerontology")</f>
        <v>0</v>
      </c>
      <c r="D11" s="12">
        <f>COUNTIF('2018'!$E$4:$E$35,"Geriatrics &amp; Gerontology")</f>
        <v>1</v>
      </c>
      <c r="E11" s="12">
        <f>COUNTIF('2019'!$E$4:$E$33,"Geriatrics &amp; Gerontology")</f>
        <v>0</v>
      </c>
      <c r="F11" s="12">
        <f>COUNTIF('2020'!$E$4:$E$34,"Geriatrics &amp; Gerontology")</f>
        <v>0</v>
      </c>
      <c r="G11" s="12">
        <f>COUNTIF('2021'!$E$4:$E$34,"Geriatrics &amp; Gerontology")</f>
        <v>0</v>
      </c>
      <c r="H11" s="12">
        <f>COUNTIF('2022'!$E$4:$E$34,"Geriatrics &amp; Gerontology")</f>
        <v>0</v>
      </c>
      <c r="I11" s="12">
        <f>COUNTIF('2023'!$E$4:$E$34,"Geriatrics &amp; Gerontology")</f>
        <v>0</v>
      </c>
      <c r="J11" s="12">
        <f>COUNTIF('2024'!$E$4:$E$34,"Geriatrics &amp; Gerontology")</f>
        <v>0</v>
      </c>
      <c r="K11" s="12">
        <f>COUNTIF('2025'!$E$4:$E$34,"Geriatrics &amp; Gerontology")</f>
        <v>0</v>
      </c>
      <c r="L11" s="13"/>
      <c r="M11" s="13"/>
    </row>
    <row r="12">
      <c r="A12" s="11" t="s">
        <v>10</v>
      </c>
      <c r="B12" s="12">
        <f>countif('2016'!$E$4:$E$34,"Other")</f>
        <v>1</v>
      </c>
      <c r="C12" s="12">
        <f>countif('2017'!$E$4:$E$34,"Other")</f>
        <v>1</v>
      </c>
      <c r="D12" s="12">
        <f>countif('2018'!$E$4:$E$35,"Other")</f>
        <v>6</v>
      </c>
      <c r="E12" s="12">
        <f>countif('2019'!$E$4:$E$33,"Other")</f>
        <v>1</v>
      </c>
      <c r="F12" s="12">
        <f>countif('2020'!$E$4:$E$34,"Other")</f>
        <v>0</v>
      </c>
      <c r="G12" s="12">
        <f>countif('2021'!$E$4:$E$34,"Other")</f>
        <v>7</v>
      </c>
      <c r="H12" s="12">
        <f>countif('2022'!$E$4:$E$34,"Other")</f>
        <v>0</v>
      </c>
      <c r="I12" s="12">
        <f>countif('2023'!$E$4:$E$34,"Other")</f>
        <v>0</v>
      </c>
      <c r="J12" s="12">
        <f>countif('2024'!$E$4:$E$34,"Other")</f>
        <v>0</v>
      </c>
      <c r="K12" s="12">
        <f>countif('2025'!$E$4:$E$34,"Other")</f>
        <v>0</v>
      </c>
      <c r="L12" s="13"/>
      <c r="M12" s="13"/>
    </row>
    <row r="13">
      <c r="A13" s="11" t="s">
        <v>11</v>
      </c>
      <c r="B13" s="12">
        <f>countif('2016'!$E$4:$E$34,"Rehabilittion")</f>
        <v>0</v>
      </c>
      <c r="C13" s="12">
        <f>countif('2017'!$E$4:$E$34,"Rehabilittion")</f>
        <v>1</v>
      </c>
      <c r="D13" s="12">
        <f>countif('2018'!$E$4:$E$35,"Rehabilittion")</f>
        <v>1</v>
      </c>
      <c r="E13" s="12">
        <f>countif('2019'!$E$4:$E$33,"Rehabilittion")</f>
        <v>0</v>
      </c>
      <c r="F13" s="12">
        <f>countif('2020'!$E$4:$E$34,"Rehabilittion")</f>
        <v>0</v>
      </c>
      <c r="G13" s="12">
        <f>countif('2021'!$E$4:$E$34,"Rehabilittion")</f>
        <v>0</v>
      </c>
      <c r="H13" s="12">
        <f>countif('2022'!$E$4:$E$34,"Rehabilittion")</f>
        <v>0</v>
      </c>
      <c r="I13" s="12">
        <f>countif('2023'!$E$4:$E$34,"Rehabilittion")</f>
        <v>0</v>
      </c>
      <c r="J13" s="12">
        <f>countif('2024'!$E$4:$E$34,"Rehabilittion")</f>
        <v>0</v>
      </c>
      <c r="K13" s="12">
        <f>countif('2025'!$E$4:$E$34,"Rehabilittion")</f>
        <v>0</v>
      </c>
      <c r="L13" s="13"/>
      <c r="M13" s="13"/>
    </row>
    <row r="14">
      <c r="A14" s="11" t="s">
        <v>12</v>
      </c>
      <c r="B14" s="12">
        <f>countif('2016'!$E$4:$E$34,"Rheumatology")</f>
        <v>2</v>
      </c>
      <c r="C14" s="12">
        <f>countif('2017'!$E$4:$E$34,"Rheumatology")</f>
        <v>1</v>
      </c>
      <c r="D14" s="12">
        <f>countif('2018'!$E$4:$E$35,"Rheumatology")</f>
        <v>0</v>
      </c>
      <c r="E14" s="12">
        <f>countif('2019'!$E$4:$E$33,"Rheumatology")</f>
        <v>0</v>
      </c>
      <c r="F14" s="12">
        <f>countif('2020'!$E$4:$E$34,"Rheumatology")</f>
        <v>0</v>
      </c>
      <c r="G14" s="12">
        <f>countif('2021'!$E$4:$E$34,"Rheumatology")</f>
        <v>0</v>
      </c>
      <c r="H14" s="12">
        <f>countif('2022'!$E$4:$E$34,"Rheumatology")</f>
        <v>0</v>
      </c>
      <c r="I14" s="12">
        <f>countif('2023'!$E$4:$E$34,"Rheumatology")</f>
        <v>0</v>
      </c>
      <c r="J14" s="12">
        <f>countif('2024'!$E$4:$E$34,"Rheumatology")</f>
        <v>0</v>
      </c>
      <c r="K14" s="12">
        <f>countif('2025'!$E$4:$E$34,"Rheumatology")</f>
        <v>0</v>
      </c>
      <c r="L14" s="13"/>
      <c r="M14" s="13"/>
    </row>
    <row r="15">
      <c r="A15" s="11" t="s">
        <v>13</v>
      </c>
      <c r="B15" s="12">
        <f>COUNTIF('2016'!$E$4:$E$34,"Orthopedics")</f>
        <v>1</v>
      </c>
      <c r="C15" s="12">
        <f>COUNTIF('2017'!$E$4:$E$34,"Orthopedics")</f>
        <v>0</v>
      </c>
      <c r="D15" s="12">
        <f>COUNTIF('2018'!$E$4:$E$35,"Orthopedics")</f>
        <v>0</v>
      </c>
      <c r="E15" s="12">
        <f>COUNTIF('2019'!$E$4:$E$33,"Orthopedics")</f>
        <v>0</v>
      </c>
      <c r="F15" s="12">
        <f>COUNTIF('2020'!$E$4:$E$34,"Orthopedics")</f>
        <v>0</v>
      </c>
      <c r="G15" s="12">
        <f>COUNTIF('2021'!$E$4:$E$34,"Orthopedics")</f>
        <v>0</v>
      </c>
      <c r="H15" s="12">
        <f>COUNTIF('2022'!$E$4:$E$34,"Orthopedics")</f>
        <v>0</v>
      </c>
      <c r="I15" s="12">
        <f>COUNTIF('2023'!$E$4:$E$34,"Orthopedics")</f>
        <v>0</v>
      </c>
      <c r="J15" s="12">
        <f>COUNTIF('2024'!$E$4:$E$34,"Orthopedics")</f>
        <v>0</v>
      </c>
      <c r="K15" s="12">
        <f>COUNTIF('2025'!$E$4:$E$34,"Orthopedics")</f>
        <v>0</v>
      </c>
      <c r="L15" s="13"/>
      <c r="M15" s="13"/>
    </row>
    <row r="16">
      <c r="A16" s="11" t="s">
        <v>14</v>
      </c>
      <c r="B16" s="12">
        <f>countif('2016'!$E$4:$E$34,"Sports Sciences")</f>
        <v>8</v>
      </c>
      <c r="C16" s="12">
        <f>countif('2017'!$E$4:$E$34,"Sports Sciences")</f>
        <v>4</v>
      </c>
      <c r="D16" s="12">
        <f>countif('2018'!$E$4:$E$35,"Sports Sciences")</f>
        <v>10</v>
      </c>
      <c r="E16" s="12">
        <f>countif('2019'!$E$4:$E$33,"Sports Sciences")</f>
        <v>5</v>
      </c>
      <c r="F16" s="12">
        <f>countif('2020'!$E$4:$E$34,"Sports Sciences")</f>
        <v>4</v>
      </c>
      <c r="G16" s="12">
        <f>countif('2021'!$E$4:$E$34,"Sports Sciences")</f>
        <v>0</v>
      </c>
      <c r="H16" s="12">
        <f>countif('2022'!$E$4:$E$34,"Sports Sciences")</f>
        <v>0</v>
      </c>
      <c r="I16" s="12">
        <f>countif('2023'!$E$4:$E$34,"Sports Sciences")</f>
        <v>0</v>
      </c>
      <c r="J16" s="12">
        <f>countif('2024'!$E$4:$E$34,"Sports Sciences")</f>
        <v>0</v>
      </c>
      <c r="K16" s="12">
        <f>countif('2025'!$E$4:$E$34,"Sports Sciences")</f>
        <v>0</v>
      </c>
      <c r="L16" s="13"/>
      <c r="M16" s="13"/>
    </row>
    <row r="17">
      <c r="A17" s="11" t="s">
        <v>15</v>
      </c>
      <c r="B17" s="12">
        <f t="shared" ref="B17:K17" si="1">B6*100/B$4</f>
        <v>0</v>
      </c>
      <c r="C17" s="12">
        <f t="shared" si="1"/>
        <v>9.090909091</v>
      </c>
      <c r="D17" s="12">
        <f t="shared" si="1"/>
        <v>0</v>
      </c>
      <c r="E17" s="12">
        <f t="shared" si="1"/>
        <v>0</v>
      </c>
      <c r="F17" s="12">
        <f t="shared" si="1"/>
        <v>0</v>
      </c>
      <c r="G17" s="12">
        <f t="shared" si="1"/>
        <v>0</v>
      </c>
      <c r="H17" s="12" t="str">
        <f t="shared" si="1"/>
        <v>#DIV/0!</v>
      </c>
      <c r="I17" s="12" t="str">
        <f t="shared" si="1"/>
        <v>#DIV/0!</v>
      </c>
      <c r="J17" s="12" t="str">
        <f t="shared" si="1"/>
        <v>#DIV/0!</v>
      </c>
      <c r="K17" s="12" t="str">
        <f t="shared" si="1"/>
        <v>#DIV/0!</v>
      </c>
      <c r="L17" s="13"/>
      <c r="M17" s="13"/>
    </row>
    <row r="18">
      <c r="A18" s="11" t="s">
        <v>16</v>
      </c>
      <c r="B18" s="12">
        <f t="shared" ref="B18:K18" si="2">B7*100/B$4</f>
        <v>0</v>
      </c>
      <c r="C18" s="12">
        <f t="shared" si="2"/>
        <v>0</v>
      </c>
      <c r="D18" s="12">
        <f t="shared" si="2"/>
        <v>5</v>
      </c>
      <c r="E18" s="12">
        <f t="shared" si="2"/>
        <v>0</v>
      </c>
      <c r="F18" s="12">
        <f t="shared" si="2"/>
        <v>20</v>
      </c>
      <c r="G18" s="12">
        <f t="shared" si="2"/>
        <v>9.090909091</v>
      </c>
      <c r="H18" s="12" t="str">
        <f t="shared" si="2"/>
        <v>#DIV/0!</v>
      </c>
      <c r="I18" s="12" t="str">
        <f t="shared" si="2"/>
        <v>#DIV/0!</v>
      </c>
      <c r="J18" s="12" t="str">
        <f t="shared" si="2"/>
        <v>#DIV/0!</v>
      </c>
      <c r="K18" s="12" t="str">
        <f t="shared" si="2"/>
        <v>#DIV/0!</v>
      </c>
      <c r="L18" s="13"/>
      <c r="M18" s="13"/>
    </row>
    <row r="19">
      <c r="A19" s="11" t="s">
        <v>17</v>
      </c>
      <c r="B19" s="12">
        <f t="shared" ref="B19:K19" si="3">B8*100/B$4</f>
        <v>11.76470588</v>
      </c>
      <c r="C19" s="12">
        <f t="shared" si="3"/>
        <v>9.090909091</v>
      </c>
      <c r="D19" s="12">
        <f t="shared" si="3"/>
        <v>5</v>
      </c>
      <c r="E19" s="12">
        <f t="shared" si="3"/>
        <v>0</v>
      </c>
      <c r="F19" s="12">
        <f t="shared" si="3"/>
        <v>0</v>
      </c>
      <c r="G19" s="12">
        <f t="shared" si="3"/>
        <v>9.090909091</v>
      </c>
      <c r="H19" s="12" t="str">
        <f t="shared" si="3"/>
        <v>#DIV/0!</v>
      </c>
      <c r="I19" s="12" t="str">
        <f t="shared" si="3"/>
        <v>#DIV/0!</v>
      </c>
      <c r="J19" s="12" t="str">
        <f t="shared" si="3"/>
        <v>#DIV/0!</v>
      </c>
      <c r="K19" s="12" t="str">
        <f t="shared" si="3"/>
        <v>#DIV/0!</v>
      </c>
      <c r="L19" s="13"/>
      <c r="M19" s="13"/>
    </row>
    <row r="20">
      <c r="A20" s="11" t="s">
        <v>18</v>
      </c>
      <c r="B20" s="12">
        <f t="shared" ref="B20:K20" si="4">B9*100/B$4</f>
        <v>0</v>
      </c>
      <c r="C20" s="12">
        <f t="shared" si="4"/>
        <v>9.090909091</v>
      </c>
      <c r="D20" s="12">
        <f t="shared" si="4"/>
        <v>0</v>
      </c>
      <c r="E20" s="12">
        <f t="shared" si="4"/>
        <v>0</v>
      </c>
      <c r="F20" s="12">
        <f t="shared" si="4"/>
        <v>0</v>
      </c>
      <c r="G20" s="12">
        <f t="shared" si="4"/>
        <v>9.090909091</v>
      </c>
      <c r="H20" s="12" t="str">
        <f t="shared" si="4"/>
        <v>#DIV/0!</v>
      </c>
      <c r="I20" s="12" t="str">
        <f t="shared" si="4"/>
        <v>#DIV/0!</v>
      </c>
      <c r="J20" s="12" t="str">
        <f t="shared" si="4"/>
        <v>#DIV/0!</v>
      </c>
      <c r="K20" s="12" t="str">
        <f t="shared" si="4"/>
        <v>#DIV/0!</v>
      </c>
      <c r="L20" s="13"/>
      <c r="M20" s="13"/>
    </row>
    <row r="21">
      <c r="A21" s="11" t="s">
        <v>19</v>
      </c>
      <c r="B21" s="12">
        <f t="shared" ref="B21:K21" si="5">B10*100/B$4</f>
        <v>5.882352941</v>
      </c>
      <c r="C21" s="12">
        <f t="shared" si="5"/>
        <v>0</v>
      </c>
      <c r="D21" s="12">
        <f t="shared" si="5"/>
        <v>0</v>
      </c>
      <c r="E21" s="12">
        <f t="shared" si="5"/>
        <v>0</v>
      </c>
      <c r="F21" s="12">
        <f t="shared" si="5"/>
        <v>0</v>
      </c>
      <c r="G21" s="12">
        <f t="shared" si="5"/>
        <v>0</v>
      </c>
      <c r="H21" s="12" t="str">
        <f t="shared" si="5"/>
        <v>#DIV/0!</v>
      </c>
      <c r="I21" s="12" t="str">
        <f t="shared" si="5"/>
        <v>#DIV/0!</v>
      </c>
      <c r="J21" s="12" t="str">
        <f t="shared" si="5"/>
        <v>#DIV/0!</v>
      </c>
      <c r="K21" s="12" t="str">
        <f t="shared" si="5"/>
        <v>#DIV/0!</v>
      </c>
      <c r="L21" s="13"/>
      <c r="M21" s="13"/>
    </row>
    <row r="22">
      <c r="A22" s="11" t="s">
        <v>20</v>
      </c>
      <c r="B22" s="12">
        <f t="shared" ref="B22:K22" si="6">B11*100/B$4</f>
        <v>5.882352941</v>
      </c>
      <c r="C22" s="12">
        <f t="shared" si="6"/>
        <v>0</v>
      </c>
      <c r="D22" s="12">
        <f t="shared" si="6"/>
        <v>5</v>
      </c>
      <c r="E22" s="12">
        <f t="shared" si="6"/>
        <v>0</v>
      </c>
      <c r="F22" s="12">
        <f t="shared" si="6"/>
        <v>0</v>
      </c>
      <c r="G22" s="12">
        <f t="shared" si="6"/>
        <v>0</v>
      </c>
      <c r="H22" s="12" t="str">
        <f t="shared" si="6"/>
        <v>#DIV/0!</v>
      </c>
      <c r="I22" s="12" t="str">
        <f t="shared" si="6"/>
        <v>#DIV/0!</v>
      </c>
      <c r="J22" s="12" t="str">
        <f t="shared" si="6"/>
        <v>#DIV/0!</v>
      </c>
      <c r="K22" s="12" t="str">
        <f t="shared" si="6"/>
        <v>#DIV/0!</v>
      </c>
      <c r="L22" s="13"/>
      <c r="M22" s="13"/>
    </row>
    <row r="23">
      <c r="A23" s="11" t="s">
        <v>21</v>
      </c>
      <c r="B23" s="12">
        <f t="shared" ref="B23:K23" si="7">B12*100/B$4</f>
        <v>5.882352941</v>
      </c>
      <c r="C23" s="12">
        <f t="shared" si="7"/>
        <v>9.090909091</v>
      </c>
      <c r="D23" s="12">
        <f t="shared" si="7"/>
        <v>30</v>
      </c>
      <c r="E23" s="12">
        <f t="shared" si="7"/>
        <v>16.66666667</v>
      </c>
      <c r="F23" s="12">
        <f t="shared" si="7"/>
        <v>0</v>
      </c>
      <c r="G23" s="12">
        <f t="shared" si="7"/>
        <v>63.63636364</v>
      </c>
      <c r="H23" s="12" t="str">
        <f t="shared" si="7"/>
        <v>#DIV/0!</v>
      </c>
      <c r="I23" s="12" t="str">
        <f t="shared" si="7"/>
        <v>#DIV/0!</v>
      </c>
      <c r="J23" s="12" t="str">
        <f t="shared" si="7"/>
        <v>#DIV/0!</v>
      </c>
      <c r="K23" s="12" t="str">
        <f t="shared" si="7"/>
        <v>#DIV/0!</v>
      </c>
      <c r="L23" s="13"/>
      <c r="M23" s="13"/>
    </row>
    <row r="24">
      <c r="A24" s="11" t="s">
        <v>22</v>
      </c>
      <c r="B24" s="12">
        <f t="shared" ref="B24:K24" si="8">B13*100/B$4</f>
        <v>0</v>
      </c>
      <c r="C24" s="12">
        <f t="shared" si="8"/>
        <v>9.090909091</v>
      </c>
      <c r="D24" s="12">
        <f t="shared" si="8"/>
        <v>5</v>
      </c>
      <c r="E24" s="12">
        <f t="shared" si="8"/>
        <v>0</v>
      </c>
      <c r="F24" s="12">
        <f t="shared" si="8"/>
        <v>0</v>
      </c>
      <c r="G24" s="12">
        <f t="shared" si="8"/>
        <v>0</v>
      </c>
      <c r="H24" s="12" t="str">
        <f t="shared" si="8"/>
        <v>#DIV/0!</v>
      </c>
      <c r="I24" s="12" t="str">
        <f t="shared" si="8"/>
        <v>#DIV/0!</v>
      </c>
      <c r="J24" s="12" t="str">
        <f t="shared" si="8"/>
        <v>#DIV/0!</v>
      </c>
      <c r="K24" s="12" t="str">
        <f t="shared" si="8"/>
        <v>#DIV/0!</v>
      </c>
      <c r="L24" s="13"/>
      <c r="M24" s="13"/>
    </row>
    <row r="25">
      <c r="A25" s="11" t="s">
        <v>23</v>
      </c>
      <c r="B25" s="12">
        <f t="shared" ref="B25:K25" si="9">B14*100/B$4</f>
        <v>11.76470588</v>
      </c>
      <c r="C25" s="12">
        <f t="shared" si="9"/>
        <v>9.090909091</v>
      </c>
      <c r="D25" s="12">
        <f t="shared" si="9"/>
        <v>0</v>
      </c>
      <c r="E25" s="12">
        <f t="shared" si="9"/>
        <v>0</v>
      </c>
      <c r="F25" s="12">
        <f t="shared" si="9"/>
        <v>0</v>
      </c>
      <c r="G25" s="12">
        <f t="shared" si="9"/>
        <v>0</v>
      </c>
      <c r="H25" s="12" t="str">
        <f t="shared" si="9"/>
        <v>#DIV/0!</v>
      </c>
      <c r="I25" s="12" t="str">
        <f t="shared" si="9"/>
        <v>#DIV/0!</v>
      </c>
      <c r="J25" s="12" t="str">
        <f t="shared" si="9"/>
        <v>#DIV/0!</v>
      </c>
      <c r="K25" s="12" t="str">
        <f t="shared" si="9"/>
        <v>#DIV/0!</v>
      </c>
      <c r="L25" s="13"/>
      <c r="M25" s="13"/>
    </row>
    <row r="26">
      <c r="A26" s="11" t="s">
        <v>24</v>
      </c>
      <c r="B26" s="12">
        <f t="shared" ref="B26:K26" si="10">B15*100/B$4</f>
        <v>5.882352941</v>
      </c>
      <c r="C26" s="12">
        <f t="shared" si="10"/>
        <v>0</v>
      </c>
      <c r="D26" s="12">
        <f t="shared" si="10"/>
        <v>0</v>
      </c>
      <c r="E26" s="12">
        <f t="shared" si="10"/>
        <v>0</v>
      </c>
      <c r="F26" s="12">
        <f t="shared" si="10"/>
        <v>0</v>
      </c>
      <c r="G26" s="12">
        <f t="shared" si="10"/>
        <v>0</v>
      </c>
      <c r="H26" s="12" t="str">
        <f t="shared" si="10"/>
        <v>#DIV/0!</v>
      </c>
      <c r="I26" s="12" t="str">
        <f t="shared" si="10"/>
        <v>#DIV/0!</v>
      </c>
      <c r="J26" s="12" t="str">
        <f t="shared" si="10"/>
        <v>#DIV/0!</v>
      </c>
      <c r="K26" s="12" t="str">
        <f t="shared" si="10"/>
        <v>#DIV/0!</v>
      </c>
      <c r="L26" s="13"/>
      <c r="M26" s="13"/>
    </row>
    <row r="27">
      <c r="A27" s="11" t="s">
        <v>25</v>
      </c>
      <c r="B27" s="12">
        <f t="shared" ref="B27:K27" si="11">B16*100/B$4</f>
        <v>47.05882353</v>
      </c>
      <c r="C27" s="12">
        <f t="shared" si="11"/>
        <v>36.36363636</v>
      </c>
      <c r="D27" s="12">
        <f t="shared" si="11"/>
        <v>50</v>
      </c>
      <c r="E27" s="12">
        <f t="shared" si="11"/>
        <v>83.33333333</v>
      </c>
      <c r="F27" s="12">
        <f t="shared" si="11"/>
        <v>80</v>
      </c>
      <c r="G27" s="12">
        <f t="shared" si="11"/>
        <v>0</v>
      </c>
      <c r="H27" s="12" t="str">
        <f t="shared" si="11"/>
        <v>#DIV/0!</v>
      </c>
      <c r="I27" s="12" t="str">
        <f t="shared" si="11"/>
        <v>#DIV/0!</v>
      </c>
      <c r="J27" s="12" t="str">
        <f t="shared" si="11"/>
        <v>#DIV/0!</v>
      </c>
      <c r="K27" s="12" t="str">
        <f t="shared" si="11"/>
        <v>#DIV/0!</v>
      </c>
      <c r="L27" s="13"/>
      <c r="M27" s="13"/>
    </row>
    <row r="28">
      <c r="A28" s="14" t="s">
        <v>26</v>
      </c>
      <c r="B28" s="15"/>
      <c r="C28" s="15"/>
      <c r="D28" s="15"/>
      <c r="E28" s="16"/>
      <c r="F28" s="16"/>
      <c r="G28" s="16"/>
      <c r="H28" s="16"/>
      <c r="I28" s="16"/>
      <c r="J28" s="16"/>
      <c r="K28" s="17"/>
    </row>
    <row r="29">
      <c r="A29" s="4" t="s">
        <v>27</v>
      </c>
      <c r="B29" s="6">
        <f>AVERAGE('2016'!$C$4:$C$34)</f>
        <v>2.25</v>
      </c>
      <c r="C29" s="6">
        <f>AVERAGE('2017'!$C$4:$C$34)</f>
        <v>1.9</v>
      </c>
      <c r="D29" s="6">
        <f>AVERAGE('2018'!$C$4:$C$35)</f>
        <v>1.5</v>
      </c>
      <c r="E29" s="6">
        <f>AVERAGE('2019'!$C$4:$C$33)</f>
        <v>1.833333333</v>
      </c>
      <c r="F29" s="6">
        <f>AVERAGE('2020'!$C$4:$C$34)</f>
        <v>1.8</v>
      </c>
      <c r="G29" s="6">
        <f>AVERAGE('2021'!$C$4:$C$34)</f>
        <v>2.222222222</v>
      </c>
      <c r="H29" s="6" t="str">
        <f>AVERAGE('2022'!$C$4:$C$34)</f>
        <v>#DIV/0!</v>
      </c>
      <c r="I29" s="6" t="str">
        <f>AVERAGE('2023'!$C$4:$C$34)</f>
        <v>#DIV/0!</v>
      </c>
      <c r="J29" s="6" t="str">
        <f>AVERAGE('2024'!$C$4:$C$34)</f>
        <v>#DIV/0!</v>
      </c>
      <c r="K29" s="6" t="str">
        <f>AVERAGE('2025'!$C$4:$C$34)</f>
        <v>#DIV/0!</v>
      </c>
    </row>
    <row r="30">
      <c r="A30" s="4" t="s">
        <v>28</v>
      </c>
      <c r="B30" s="6">
        <f>STDEV('2016'!$C$4:$C$34)</f>
        <v>1</v>
      </c>
      <c r="C30" s="6">
        <f>STDEV('2017'!$C$4:$C$34)</f>
        <v>1.197219</v>
      </c>
      <c r="D30" s="6">
        <f>STDEV('2018'!$C$4:$C$35)</f>
        <v>0.8271701919</v>
      </c>
      <c r="E30" s="6">
        <f>STDEV('2019'!$C$4:$C$33)</f>
        <v>0.7527726527</v>
      </c>
      <c r="F30" s="6">
        <f>STDEV('2020'!$C$4:$C$34)</f>
        <v>0.4472135955</v>
      </c>
      <c r="G30" s="6">
        <f>STDEV('2021'!$C$4:$C$34)</f>
        <v>0.6666666667</v>
      </c>
      <c r="H30" s="6" t="str">
        <f>STDEV('2022'!$C$4:$C$34)</f>
        <v>#DIV/0!</v>
      </c>
      <c r="I30" s="6" t="str">
        <f>STDEV('2023'!$C$4:$C$34)</f>
        <v>#DIV/0!</v>
      </c>
      <c r="J30" s="6" t="str">
        <f>STDEV('2024'!$C$4:$C$34)</f>
        <v>#DIV/0!</v>
      </c>
      <c r="K30" s="6" t="str">
        <f>STDEV('2025'!$C$4:$C$34)</f>
        <v>#DIV/0!</v>
      </c>
    </row>
    <row r="31">
      <c r="A31" s="4" t="s">
        <v>29</v>
      </c>
      <c r="B31" s="6">
        <f>COUNTIF('2016'!$C$4:$C$34, 1)</f>
        <v>4</v>
      </c>
      <c r="C31" s="6">
        <f>COUNTIF('2017'!$C$4:$C$34, 1)</f>
        <v>5</v>
      </c>
      <c r="D31" s="6">
        <f>COUNTIF('2018'!$C$4:$C$35, 1)</f>
        <v>13</v>
      </c>
      <c r="E31" s="6">
        <f>COUNTIF('2019'!$C$4:$C$33, 1)</f>
        <v>2</v>
      </c>
      <c r="F31" s="6">
        <f>COUNTIF('2020'!$C$4:$C$34, 1)</f>
        <v>1</v>
      </c>
      <c r="G31" s="6">
        <f>COUNTIF('2021'!$C$4:$C$34, 1)</f>
        <v>1</v>
      </c>
      <c r="H31" s="6">
        <f>COUNTIF('2022'!$C$4:$C$34, 1)</f>
        <v>0</v>
      </c>
      <c r="I31" s="6">
        <f>COUNTIF('2023'!$C$4:$C$34, 1)</f>
        <v>0</v>
      </c>
      <c r="J31" s="6">
        <f>COUNTIF('2024'!$C$4:$C$34, 1)</f>
        <v>0</v>
      </c>
      <c r="K31" s="6">
        <f>COUNTIF('2025'!$C$4:$C$34, 1)</f>
        <v>0</v>
      </c>
    </row>
    <row r="32">
      <c r="A32" s="4" t="s">
        <v>30</v>
      </c>
      <c r="B32" s="6">
        <f t="shared" ref="B32:K32" si="12">B31*100/B$4</f>
        <v>23.52941176</v>
      </c>
      <c r="C32" s="6">
        <f t="shared" si="12"/>
        <v>45.45454545</v>
      </c>
      <c r="D32" s="6">
        <f t="shared" si="12"/>
        <v>65</v>
      </c>
      <c r="E32" s="6">
        <f t="shared" si="12"/>
        <v>33.33333333</v>
      </c>
      <c r="F32" s="6">
        <f t="shared" si="12"/>
        <v>20</v>
      </c>
      <c r="G32" s="6">
        <f t="shared" si="12"/>
        <v>9.090909091</v>
      </c>
      <c r="H32" s="6" t="str">
        <f t="shared" si="12"/>
        <v>#DIV/0!</v>
      </c>
      <c r="I32" s="6" t="str">
        <f t="shared" si="12"/>
        <v>#DIV/0!</v>
      </c>
      <c r="J32" s="6" t="str">
        <f t="shared" si="12"/>
        <v>#DIV/0!</v>
      </c>
      <c r="K32" s="6" t="str">
        <f t="shared" si="12"/>
        <v>#DIV/0!</v>
      </c>
    </row>
    <row r="33">
      <c r="A33" s="4" t="s">
        <v>31</v>
      </c>
      <c r="B33" s="6">
        <f>COUNTIF('2016'!$C$4:$C$34, 2)</f>
        <v>6</v>
      </c>
      <c r="C33" s="6">
        <f>COUNTIF('2017'!$C$4:$C$34, 2)</f>
        <v>3</v>
      </c>
      <c r="D33" s="6">
        <f>COUNTIF('2018'!$C$4:$C$35, 2)</f>
        <v>5</v>
      </c>
      <c r="E33" s="6">
        <f>COUNTIF('2019'!$C$4:$C$33, 2)</f>
        <v>3</v>
      </c>
      <c r="F33" s="6">
        <f>COUNTIF('2020'!$C$4:$C$34, 2)</f>
        <v>4</v>
      </c>
      <c r="G33" s="6">
        <f>COUNTIF('2021'!$C$4:$C$34, 2)</f>
        <v>5</v>
      </c>
      <c r="H33" s="6">
        <f>COUNTIF('2022'!$C$4:$C$34, 2)</f>
        <v>0</v>
      </c>
      <c r="I33" s="6">
        <f>COUNTIF('2023'!$C$4:$C$34, 2)</f>
        <v>0</v>
      </c>
      <c r="J33" s="6">
        <f>COUNTIF('2024'!$C$4:$C$34, 2)</f>
        <v>0</v>
      </c>
      <c r="K33" s="6">
        <f>COUNTIF('2025'!$C$4:$C$34, 2)</f>
        <v>0</v>
      </c>
    </row>
    <row r="34">
      <c r="A34" s="4" t="s">
        <v>32</v>
      </c>
      <c r="B34" s="6">
        <f t="shared" ref="B34:K34" si="13">B33*100/B$4</f>
        <v>35.29411765</v>
      </c>
      <c r="C34" s="6">
        <f t="shared" si="13"/>
        <v>27.27272727</v>
      </c>
      <c r="D34" s="6">
        <f t="shared" si="13"/>
        <v>25</v>
      </c>
      <c r="E34" s="6">
        <f t="shared" si="13"/>
        <v>50</v>
      </c>
      <c r="F34" s="6">
        <f t="shared" si="13"/>
        <v>80</v>
      </c>
      <c r="G34" s="6">
        <f t="shared" si="13"/>
        <v>45.45454545</v>
      </c>
      <c r="H34" s="6" t="str">
        <f t="shared" si="13"/>
        <v>#DIV/0!</v>
      </c>
      <c r="I34" s="6" t="str">
        <f t="shared" si="13"/>
        <v>#DIV/0!</v>
      </c>
      <c r="J34" s="6" t="str">
        <f t="shared" si="13"/>
        <v>#DIV/0!</v>
      </c>
      <c r="K34" s="6" t="str">
        <f t="shared" si="13"/>
        <v>#DIV/0!</v>
      </c>
    </row>
    <row r="35">
      <c r="A35" s="14" t="s">
        <v>33</v>
      </c>
      <c r="B35" s="16"/>
      <c r="C35" s="16"/>
      <c r="D35" s="16"/>
      <c r="E35" s="16"/>
      <c r="F35" s="16"/>
      <c r="G35" s="16"/>
      <c r="H35" s="16"/>
      <c r="I35" s="16"/>
      <c r="J35" s="16"/>
      <c r="K35" s="17"/>
    </row>
    <row r="36">
      <c r="A36" s="4" t="s">
        <v>27</v>
      </c>
      <c r="B36" s="6">
        <f>AVERAGE('2016'!$D$4:$D$34)</f>
        <v>1.9505625</v>
      </c>
      <c r="C36" s="6">
        <f>AVERAGE('2017'!$D$4:$D$34)</f>
        <v>3.020888889</v>
      </c>
      <c r="D36" s="6">
        <f>AVERAGE('2018'!$D$4:$D$35)</f>
        <v>2.842823529</v>
      </c>
      <c r="E36" s="6">
        <f>AVERAGE('2019'!$D$4:$D$33)</f>
        <v>2.443</v>
      </c>
      <c r="F36" s="6" t="str">
        <f>AVERAGE('2020'!$D$4:$D$34)</f>
        <v>#DIV/0!</v>
      </c>
      <c r="G36" s="6" t="str">
        <f>AVERAGE('2021'!$D$4:$D$34)</f>
        <v>#DIV/0!</v>
      </c>
      <c r="H36" s="6" t="str">
        <f>AVERAGE('2022'!$D$4:$D$34)</f>
        <v>#DIV/0!</v>
      </c>
      <c r="I36" s="6" t="str">
        <f>AVERAGE('2023'!$D$4:$D$34)</f>
        <v>#DIV/0!</v>
      </c>
      <c r="J36" s="6" t="str">
        <f>AVERAGE('2024'!$D$4:$D$34)</f>
        <v>#DIV/0!</v>
      </c>
      <c r="K36" s="6" t="str">
        <f>AVERAGE('2025'!$D$4:$D$34)</f>
        <v>#DIV/0!</v>
      </c>
    </row>
    <row r="37">
      <c r="A37" s="4" t="s">
        <v>28</v>
      </c>
      <c r="B37" s="6">
        <f>STDEV('2016'!$D$4:$D$34)</f>
        <v>0.6326842255</v>
      </c>
      <c r="C37" s="6">
        <f>STDEV('2017'!$D$4:$D$34)</f>
        <v>1.699782739</v>
      </c>
      <c r="D37" s="6">
        <f>STDEV('2018'!$D$4:$D$35)</f>
        <v>0.5468086086</v>
      </c>
      <c r="E37" s="6">
        <f>STDEV('2019'!$D$4:$D$33)</f>
        <v>1.62351717</v>
      </c>
      <c r="F37" s="6" t="str">
        <f>STDEV('2020'!$D$4:$D$34)</f>
        <v>#DIV/0!</v>
      </c>
      <c r="G37" s="6" t="str">
        <f>STDEV('2021'!$D$4:$D$34)</f>
        <v>#DIV/0!</v>
      </c>
      <c r="H37" s="6" t="str">
        <f>STDEV('2022'!$D$4:$D$34)</f>
        <v>#DIV/0!</v>
      </c>
      <c r="I37" s="6" t="str">
        <f>STDEV('2023'!$D$4:$D$34)</f>
        <v>#DIV/0!</v>
      </c>
      <c r="J37" s="6" t="str">
        <f>STDEV('2024'!$D$4:$D$34)</f>
        <v>#DIV/0!</v>
      </c>
      <c r="K37" s="6" t="str">
        <f>STDEV('2025'!$D$4:$D$34)</f>
        <v>#DIV/0!</v>
      </c>
    </row>
    <row r="39">
      <c r="A39" s="2" t="s">
        <v>34</v>
      </c>
      <c r="B39" s="3">
        <v>2016.0</v>
      </c>
      <c r="C39" s="3">
        <v>2017.0</v>
      </c>
      <c r="D39" s="3">
        <v>2018.0</v>
      </c>
      <c r="E39" s="3">
        <v>2019.0</v>
      </c>
      <c r="F39" s="3">
        <v>2020.0</v>
      </c>
      <c r="G39" s="3">
        <v>2021.0</v>
      </c>
      <c r="H39" s="3">
        <v>2022.0</v>
      </c>
      <c r="I39" s="3">
        <v>2023.0</v>
      </c>
      <c r="J39" s="3">
        <v>2024.0</v>
      </c>
      <c r="K39" s="3">
        <v>2025.0</v>
      </c>
    </row>
    <row r="40">
      <c r="A40" s="4" t="s">
        <v>2</v>
      </c>
      <c r="B40" s="18">
        <f>counta('2016'!$A$38:$A$46)</f>
        <v>9</v>
      </c>
      <c r="C40" s="18">
        <f>counta('2017'!$A$38:$A$46)</f>
        <v>9</v>
      </c>
      <c r="D40" s="18">
        <f>counta('2018'!$A$39:$A$47)</f>
        <v>3</v>
      </c>
      <c r="E40" s="18">
        <f>counta('2019'!$A$37:$A$45)</f>
        <v>9</v>
      </c>
      <c r="F40" s="18">
        <f>counta('2020'!$A$38:$A$46)</f>
        <v>0</v>
      </c>
      <c r="G40" s="18">
        <f>counta('2021'!$A$38:$A$46)</f>
        <v>0</v>
      </c>
      <c r="H40" s="18">
        <f>counta('2022'!$A$38:$A$46)</f>
        <v>0</v>
      </c>
      <c r="I40" s="18">
        <f>counta('2023'!$A$38:$A$46)</f>
        <v>0</v>
      </c>
      <c r="J40" s="18">
        <f>counta('2024'!$A$38:$A$46)</f>
        <v>0</v>
      </c>
      <c r="K40" s="18">
        <f>counta('2025'!$A$38:$A$46)</f>
        <v>0</v>
      </c>
    </row>
    <row r="42">
      <c r="A42" s="2" t="s">
        <v>35</v>
      </c>
      <c r="B42" s="3">
        <v>2016.0</v>
      </c>
      <c r="C42" s="3">
        <v>2017.0</v>
      </c>
      <c r="D42" s="3">
        <v>2018.0</v>
      </c>
      <c r="E42" s="3">
        <v>2019.0</v>
      </c>
      <c r="F42" s="3">
        <v>2020.0</v>
      </c>
      <c r="G42" s="3">
        <v>2021.0</v>
      </c>
      <c r="H42" s="3">
        <v>2022.0</v>
      </c>
      <c r="I42" s="3">
        <v>2023.0</v>
      </c>
      <c r="J42" s="3">
        <v>2024.0</v>
      </c>
      <c r="K42" s="3">
        <v>2025.0</v>
      </c>
    </row>
    <row r="43">
      <c r="A43" s="19" t="s">
        <v>2</v>
      </c>
      <c r="B43" s="20">
        <f>counta('2016'!$A$50:$A$54)</f>
        <v>2</v>
      </c>
      <c r="C43" s="20">
        <f>counta('2017'!$A$50:$A$54)</f>
        <v>3</v>
      </c>
      <c r="D43" s="20">
        <f>counta('2018'!$A$51:$A$55)</f>
        <v>1</v>
      </c>
      <c r="E43" s="20">
        <f>counta('2019'!$A$49:$A$53)</f>
        <v>3</v>
      </c>
      <c r="F43" s="20">
        <f>counta('2020'!$A$50:$A$54)</f>
        <v>0</v>
      </c>
      <c r="G43" s="20">
        <f>counta('2021'!$A$50:$A$54)</f>
        <v>0</v>
      </c>
      <c r="H43" s="20">
        <f>counta('2022'!$A$50:$A$54)</f>
        <v>0</v>
      </c>
      <c r="I43" s="20">
        <f>counta('2023'!$A$50:$A$54)</f>
        <v>0</v>
      </c>
      <c r="J43" s="20">
        <f>counta('2024'!$A$50:$A$54)</f>
        <v>0</v>
      </c>
      <c r="K43" s="20">
        <f>counta('2025'!$A$50:$A$54)</f>
        <v>0</v>
      </c>
    </row>
    <row r="44">
      <c r="A44" s="4" t="s">
        <v>36</v>
      </c>
      <c r="B44" s="18">
        <f>countif('2016'!$B$50:$B$54, "autor")</f>
        <v>0</v>
      </c>
      <c r="C44" s="18">
        <f>countif('2016'!$B$50:$B$54, "autor")</f>
        <v>0</v>
      </c>
      <c r="D44" s="18">
        <f>countif('2016'!$B$50:$B$54, "autor")</f>
        <v>0</v>
      </c>
      <c r="E44" s="18">
        <f>countif('2016'!$B$50:$B$54, "autor")</f>
        <v>0</v>
      </c>
      <c r="F44" s="18">
        <f>countif('2016'!$B$50:$B$54, "autor")</f>
        <v>0</v>
      </c>
      <c r="G44" s="18">
        <f>countif('2016'!$B$50:$B$54, "autor")</f>
        <v>0</v>
      </c>
      <c r="H44" s="18">
        <f>countif('2016'!$B$50:$B$54, "autor")</f>
        <v>0</v>
      </c>
      <c r="I44" s="18">
        <f>countif('2016'!$B$50:$B$54, "autor")</f>
        <v>0</v>
      </c>
      <c r="J44" s="18">
        <f>countif('2016'!$B$50:$B$54, "autor")</f>
        <v>0</v>
      </c>
      <c r="K44" s="18">
        <f>countif('2016'!$B$50:$B$54, "autor")</f>
        <v>0</v>
      </c>
    </row>
    <row r="45">
      <c r="A45" s="4" t="s">
        <v>37</v>
      </c>
      <c r="B45" s="18">
        <f>countif('2016'!$B$50:$B$54, "editor")</f>
        <v>2</v>
      </c>
      <c r="C45" s="18">
        <f>countif('2016'!$B$50:$B$54, "editor")</f>
        <v>2</v>
      </c>
      <c r="D45" s="18">
        <f>countif('2016'!$B$50:$B$54, "editor")</f>
        <v>2</v>
      </c>
      <c r="E45" s="18">
        <f>countif('2016'!$B$50:$B$54, "editor")</f>
        <v>2</v>
      </c>
      <c r="F45" s="18">
        <f>countif('2016'!$B$50:$B$54, "editor")</f>
        <v>2</v>
      </c>
      <c r="G45" s="18">
        <f>countif('2016'!$B$50:$B$54, "editor")</f>
        <v>2</v>
      </c>
      <c r="H45" s="18">
        <f>countif('2016'!$B$50:$B$54, "editor")</f>
        <v>2</v>
      </c>
      <c r="I45" s="18">
        <f>countif('2016'!$B$50:$B$54, "editor")</f>
        <v>2</v>
      </c>
      <c r="J45" s="18">
        <f>countif('2016'!$B$50:$B$54, "editor")</f>
        <v>2</v>
      </c>
      <c r="K45" s="18">
        <f>countif('2016'!$B$50:$B$54, "editor")</f>
        <v>2</v>
      </c>
    </row>
    <row r="46">
      <c r="A46" s="4" t="s">
        <v>38</v>
      </c>
      <c r="B46" s="18">
        <f>countif('2016'!$B$50:$B$54, "outro")</f>
        <v>0</v>
      </c>
      <c r="C46" s="18">
        <f>countif('2016'!$B$50:$B$54, "outro")</f>
        <v>0</v>
      </c>
      <c r="D46" s="18">
        <f>countif('2016'!$B$50:$B$54, "outro")</f>
        <v>0</v>
      </c>
      <c r="E46" s="18">
        <f>countif('2016'!$B$50:$B$54, "outro")</f>
        <v>0</v>
      </c>
      <c r="F46" s="18">
        <f>countif('2016'!$B$50:$B$54, "outro")</f>
        <v>0</v>
      </c>
      <c r="G46" s="18">
        <f>countif('2016'!$B$50:$B$54, "outro")</f>
        <v>0</v>
      </c>
      <c r="H46" s="18">
        <f>countif('2016'!$B$50:$B$54, "outro")</f>
        <v>0</v>
      </c>
      <c r="I46" s="18">
        <f>countif('2016'!$B$50:$B$54, "outro")</f>
        <v>0</v>
      </c>
      <c r="J46" s="18">
        <f>countif('2016'!$B$50:$B$54, "outro")</f>
        <v>0</v>
      </c>
      <c r="K46" s="18">
        <f>countif('2016'!$B$50:$B$54, "outro")</f>
        <v>0</v>
      </c>
    </row>
    <row r="47">
      <c r="A47" s="4" t="s">
        <v>39</v>
      </c>
      <c r="B47" s="18">
        <f>COUNTIF('2016'!$D$50:$D$54,"nacional")</f>
        <v>2</v>
      </c>
      <c r="C47" s="21">
        <f>COUNTIF('2017'!$D$50:$D$54,"nacional")</f>
        <v>3</v>
      </c>
      <c r="D47" s="18">
        <f>COUNTIF('2018'!$D$51:$D$55,"nacional")</f>
        <v>0</v>
      </c>
      <c r="E47" s="18">
        <f>COUNTIF('2019'!$D$49:$D$53,"nacional")</f>
        <v>2</v>
      </c>
      <c r="F47" s="18">
        <f>COUNTIF('2020'!$D$50:$D$54,"nacional")</f>
        <v>0</v>
      </c>
      <c r="G47" s="18">
        <f>COUNTIF('2021'!$D$50:$D$54,"nacional")</f>
        <v>0</v>
      </c>
      <c r="H47" s="18">
        <f>COUNTIF('2022'!$D$50:$D$54,"nacional")</f>
        <v>0</v>
      </c>
      <c r="I47" s="18">
        <f>COUNTIF('2023'!$D$50:$D$54,"nacional")</f>
        <v>0</v>
      </c>
      <c r="J47" s="18">
        <f>COUNTIF('2024'!$D$50:$D$54,"nacional")</f>
        <v>0</v>
      </c>
      <c r="K47" s="18">
        <f>COUNTIF('2025'!$D$50:$D$54,"nacional")</f>
        <v>0</v>
      </c>
    </row>
    <row r="48">
      <c r="A48" s="4" t="s">
        <v>40</v>
      </c>
      <c r="B48" s="18">
        <f>COUNTIF('2016'!$D$50:$D$54,"internacional")</f>
        <v>0</v>
      </c>
      <c r="C48" s="18">
        <f>COUNTIF('2017'!$D$50:$D$54,"internacional")</f>
        <v>0</v>
      </c>
      <c r="D48" s="18">
        <f>COUNTIF('2018'!$D$51:$D$55,"internacional")</f>
        <v>1</v>
      </c>
      <c r="E48" s="18">
        <f>COUNTIF('2019'!$D$49:$D$53,"internacional")</f>
        <v>1</v>
      </c>
      <c r="F48" s="18">
        <f>COUNTIF('2020'!$D$50:$D$54,"internacional")</f>
        <v>0</v>
      </c>
      <c r="G48" s="18">
        <f>COUNTIF('2021'!$D$50:$D$54,"internacional")</f>
        <v>0</v>
      </c>
      <c r="H48" s="18">
        <f>COUNTIF('2022'!$D$50:$D$54,"internacional")</f>
        <v>0</v>
      </c>
      <c r="I48" s="18">
        <f>COUNTIF('2023'!$D$50:$D$54,"internacional")</f>
        <v>0</v>
      </c>
      <c r="J48" s="18">
        <f>COUNTIF('2024'!$D$50:$D$54,"internacional")</f>
        <v>0</v>
      </c>
      <c r="K48" s="18">
        <f>COUNTIF('2025'!$D$50:$D$54,"internacional")</f>
        <v>0</v>
      </c>
    </row>
    <row r="49">
      <c r="A49" s="4" t="s">
        <v>41</v>
      </c>
      <c r="B49" s="18">
        <f t="shared" ref="B49:K49" si="14">B44*100/B$43</f>
        <v>0</v>
      </c>
      <c r="C49" s="18">
        <f t="shared" si="14"/>
        <v>0</v>
      </c>
      <c r="D49" s="18">
        <f t="shared" si="14"/>
        <v>0</v>
      </c>
      <c r="E49" s="18">
        <f t="shared" si="14"/>
        <v>0</v>
      </c>
      <c r="F49" s="18" t="str">
        <f t="shared" si="14"/>
        <v>#DIV/0!</v>
      </c>
      <c r="G49" s="18" t="str">
        <f t="shared" si="14"/>
        <v>#DIV/0!</v>
      </c>
      <c r="H49" s="18" t="str">
        <f t="shared" si="14"/>
        <v>#DIV/0!</v>
      </c>
      <c r="I49" s="18" t="str">
        <f t="shared" si="14"/>
        <v>#DIV/0!</v>
      </c>
      <c r="J49" s="18" t="str">
        <f t="shared" si="14"/>
        <v>#DIV/0!</v>
      </c>
      <c r="K49" s="18" t="str">
        <f t="shared" si="14"/>
        <v>#DIV/0!</v>
      </c>
    </row>
    <row r="50">
      <c r="A50" s="4" t="s">
        <v>42</v>
      </c>
      <c r="B50" s="18">
        <f t="shared" ref="B50:K50" si="15">B45*100/B$43</f>
        <v>100</v>
      </c>
      <c r="C50" s="21">
        <f t="shared" si="15"/>
        <v>66.66666667</v>
      </c>
      <c r="D50" s="18">
        <f t="shared" si="15"/>
        <v>200</v>
      </c>
      <c r="E50" s="21">
        <f t="shared" si="15"/>
        <v>66.66666667</v>
      </c>
      <c r="F50" s="18" t="str">
        <f t="shared" si="15"/>
        <v>#DIV/0!</v>
      </c>
      <c r="G50" s="18" t="str">
        <f t="shared" si="15"/>
        <v>#DIV/0!</v>
      </c>
      <c r="H50" s="18" t="str">
        <f t="shared" si="15"/>
        <v>#DIV/0!</v>
      </c>
      <c r="I50" s="18" t="str">
        <f t="shared" si="15"/>
        <v>#DIV/0!</v>
      </c>
      <c r="J50" s="18" t="str">
        <f t="shared" si="15"/>
        <v>#DIV/0!</v>
      </c>
      <c r="K50" s="18" t="str">
        <f t="shared" si="15"/>
        <v>#DIV/0!</v>
      </c>
    </row>
    <row r="51">
      <c r="A51" s="4" t="s">
        <v>43</v>
      </c>
      <c r="B51" s="18">
        <f t="shared" ref="B51:K51" si="16">B46*100/B$43</f>
        <v>0</v>
      </c>
      <c r="C51" s="18">
        <f t="shared" si="16"/>
        <v>0</v>
      </c>
      <c r="D51" s="18">
        <f t="shared" si="16"/>
        <v>0</v>
      </c>
      <c r="E51" s="21">
        <f t="shared" si="16"/>
        <v>0</v>
      </c>
      <c r="F51" s="18" t="str">
        <f t="shared" si="16"/>
        <v>#DIV/0!</v>
      </c>
      <c r="G51" s="18" t="str">
        <f t="shared" si="16"/>
        <v>#DIV/0!</v>
      </c>
      <c r="H51" s="18" t="str">
        <f t="shared" si="16"/>
        <v>#DIV/0!</v>
      </c>
      <c r="I51" s="18" t="str">
        <f t="shared" si="16"/>
        <v>#DIV/0!</v>
      </c>
      <c r="J51" s="18" t="str">
        <f t="shared" si="16"/>
        <v>#DIV/0!</v>
      </c>
      <c r="K51" s="18" t="str">
        <f t="shared" si="16"/>
        <v>#DIV/0!</v>
      </c>
    </row>
    <row r="52">
      <c r="A52" s="4" t="s">
        <v>44</v>
      </c>
      <c r="B52" s="18">
        <f t="shared" ref="B52:K52" si="17">B47*100/B$43</f>
        <v>100</v>
      </c>
      <c r="C52" s="18">
        <f t="shared" si="17"/>
        <v>100</v>
      </c>
      <c r="D52" s="18">
        <f t="shared" si="17"/>
        <v>0</v>
      </c>
      <c r="E52" s="21">
        <f t="shared" si="17"/>
        <v>66.66666667</v>
      </c>
      <c r="F52" s="18" t="str">
        <f t="shared" si="17"/>
        <v>#DIV/0!</v>
      </c>
      <c r="G52" s="18" t="str">
        <f t="shared" si="17"/>
        <v>#DIV/0!</v>
      </c>
      <c r="H52" s="18" t="str">
        <f t="shared" si="17"/>
        <v>#DIV/0!</v>
      </c>
      <c r="I52" s="18" t="str">
        <f t="shared" si="17"/>
        <v>#DIV/0!</v>
      </c>
      <c r="J52" s="18" t="str">
        <f t="shared" si="17"/>
        <v>#DIV/0!</v>
      </c>
      <c r="K52" s="18" t="str">
        <f t="shared" si="17"/>
        <v>#DIV/0!</v>
      </c>
    </row>
    <row r="53">
      <c r="A53" s="4" t="s">
        <v>45</v>
      </c>
      <c r="B53" s="18">
        <f t="shared" ref="B53:K53" si="18">B48*100/B$43</f>
        <v>0</v>
      </c>
      <c r="C53" s="18">
        <f t="shared" si="18"/>
        <v>0</v>
      </c>
      <c r="D53" s="18">
        <f t="shared" si="18"/>
        <v>100</v>
      </c>
      <c r="E53" s="21">
        <f t="shared" si="18"/>
        <v>33.33333333</v>
      </c>
      <c r="F53" s="18" t="str">
        <f t="shared" si="18"/>
        <v>#DIV/0!</v>
      </c>
      <c r="G53" s="18" t="str">
        <f t="shared" si="18"/>
        <v>#DIV/0!</v>
      </c>
      <c r="H53" s="18" t="str">
        <f t="shared" si="18"/>
        <v>#DIV/0!</v>
      </c>
      <c r="I53" s="18" t="str">
        <f t="shared" si="18"/>
        <v>#DIV/0!</v>
      </c>
      <c r="J53" s="18" t="str">
        <f t="shared" si="18"/>
        <v>#DIV/0!</v>
      </c>
      <c r="K53" s="18" t="str">
        <f t="shared" si="18"/>
        <v>#DIV/0!</v>
      </c>
    </row>
    <row r="55">
      <c r="A55" s="2" t="s">
        <v>46</v>
      </c>
      <c r="B55" s="3">
        <v>2016.0</v>
      </c>
      <c r="C55" s="3">
        <v>2017.0</v>
      </c>
      <c r="D55" s="3">
        <v>2018.0</v>
      </c>
      <c r="E55" s="3">
        <v>2019.0</v>
      </c>
      <c r="F55" s="3">
        <v>2020.0</v>
      </c>
      <c r="G55" s="3">
        <v>2021.0</v>
      </c>
      <c r="H55" s="3">
        <v>2022.0</v>
      </c>
      <c r="I55" s="3">
        <v>2023.0</v>
      </c>
      <c r="J55" s="3">
        <v>2024.0</v>
      </c>
      <c r="K55" s="3">
        <v>2025.0</v>
      </c>
    </row>
    <row r="56">
      <c r="A56" s="4" t="s">
        <v>2</v>
      </c>
      <c r="B56" s="18">
        <f>counta('2016'!$A$58:$A$87)</f>
        <v>9</v>
      </c>
      <c r="C56" s="18">
        <f>counta('2017'!$A$58:$A$87)</f>
        <v>14</v>
      </c>
      <c r="D56" s="18">
        <f>counta('2018'!$A$59:$A$88)</f>
        <v>6</v>
      </c>
      <c r="E56" s="18">
        <f>counta('2019'!$A$57:$A$86)</f>
        <v>16</v>
      </c>
      <c r="F56" s="18">
        <f>counta('2020'!$A$58:$A$87)</f>
        <v>2</v>
      </c>
      <c r="G56" s="18">
        <f>counta('2021'!$A$58:$A$87)</f>
        <v>0</v>
      </c>
      <c r="H56" s="18">
        <f>counta('2022'!$A$58:$A$87)</f>
        <v>0</v>
      </c>
      <c r="I56" s="18">
        <f>counta('2023'!$A$58:$A$87)</f>
        <v>0</v>
      </c>
      <c r="J56" s="18">
        <f>counta('2024'!$A$58:$A$87)</f>
        <v>0</v>
      </c>
      <c r="K56" s="18">
        <f>counta('2025'!$A$58:$A$87)</f>
        <v>0</v>
      </c>
      <c r="L56" s="22"/>
      <c r="M56" s="22"/>
      <c r="N56" s="22"/>
      <c r="O56" s="22"/>
      <c r="P56" s="22"/>
      <c r="Q56" s="22"/>
      <c r="R56" s="22"/>
      <c r="S56" s="22"/>
      <c r="T56" s="22"/>
      <c r="U56" s="22"/>
      <c r="V56" s="22"/>
      <c r="W56" s="22"/>
      <c r="X56" s="22"/>
      <c r="Y56" s="22"/>
      <c r="Z56" s="22"/>
    </row>
    <row r="57">
      <c r="A57" s="4" t="s">
        <v>47</v>
      </c>
      <c r="B57" s="18">
        <f>countif('2016'!$A$58:$A$87,"artigo sem if")</f>
        <v>3</v>
      </c>
      <c r="C57" s="18">
        <f>countif('2017'!$A$58:$A$87,"artigo sem if")</f>
        <v>5</v>
      </c>
      <c r="D57" s="18">
        <f>countif('2018'!$A$59:$A$88,"artigo sem if")</f>
        <v>3</v>
      </c>
      <c r="E57" s="18">
        <f>countif('2019'!$A$57:$A$86,"artigo sem if")</f>
        <v>4</v>
      </c>
      <c r="F57" s="18">
        <f>countif('2020'!$A$58:$A$87,"artigo sem if")</f>
        <v>0</v>
      </c>
      <c r="G57" s="18">
        <f>countif('2021'!$A$58:$A$87,"artigo sem if")</f>
        <v>0</v>
      </c>
      <c r="H57" s="18">
        <f>countif('2016'!$A$58:$A$87,"artigo sem if")</f>
        <v>3</v>
      </c>
      <c r="I57" s="18">
        <f>countif('2023'!$A$58:$A$87,"artigo sem if")</f>
        <v>0</v>
      </c>
      <c r="J57" s="18">
        <f>countif('2024'!$A$58:$A$87,"artigo sem if")</f>
        <v>0</v>
      </c>
      <c r="K57" s="18">
        <f>countif('2025'!$A$58:$A$87,"artigo sem if")</f>
        <v>0</v>
      </c>
      <c r="L57" s="22"/>
      <c r="M57" s="22"/>
      <c r="N57" s="22"/>
      <c r="O57" s="22"/>
      <c r="P57" s="22"/>
      <c r="Q57" s="22"/>
      <c r="R57" s="22"/>
      <c r="S57" s="22"/>
      <c r="T57" s="22"/>
      <c r="U57" s="22"/>
      <c r="V57" s="22"/>
      <c r="W57" s="22"/>
      <c r="X57" s="22"/>
      <c r="Y57" s="22"/>
      <c r="Z57" s="22"/>
    </row>
    <row r="58">
      <c r="A58" s="4" t="s">
        <v>48</v>
      </c>
      <c r="B58" s="18">
        <f>countif('2016'!$A$58:$A$87,"artigo técnico-profissional")</f>
        <v>0</v>
      </c>
      <c r="C58" s="18">
        <f>countif('2017'!$A$58:$A$87,"artigo técnico-profissional")</f>
        <v>1</v>
      </c>
      <c r="D58" s="18">
        <f>countif('2018'!$A$59:$A$88,"artigo técnico-profissional")</f>
        <v>0</v>
      </c>
      <c r="E58" s="18">
        <f>countif('2019'!$A$57:$A$86,"artigo técnico-profissional")</f>
        <v>1</v>
      </c>
      <c r="F58" s="18">
        <f>countif('2020'!$A$58:$A$87,"artigo técnico-profissional")</f>
        <v>1</v>
      </c>
      <c r="G58" s="18">
        <f>countif('2021'!$A$58:$A$87,"artigo técnico-profissional")</f>
        <v>0</v>
      </c>
      <c r="H58" s="18">
        <f>countif('2016'!$A$58:$A$87,"artigo técnico-profissional")</f>
        <v>0</v>
      </c>
      <c r="I58" s="18">
        <f>countif('2023'!$A$58:$A$87,"artigo técnico-profissional")</f>
        <v>0</v>
      </c>
      <c r="J58" s="18">
        <f>countif('2024'!$A$58:$A$87,"artigo técnico-profissional")</f>
        <v>0</v>
      </c>
      <c r="K58" s="18">
        <f>countif('2025'!$A$58:$A$87,"artigo técnico-profissional")</f>
        <v>0</v>
      </c>
      <c r="L58" s="22"/>
      <c r="M58" s="22"/>
      <c r="N58" s="22"/>
      <c r="O58" s="22"/>
      <c r="P58" s="22"/>
      <c r="Q58" s="22"/>
      <c r="R58" s="22"/>
      <c r="S58" s="22"/>
      <c r="T58" s="22"/>
      <c r="U58" s="22"/>
      <c r="V58" s="22"/>
      <c r="W58" s="22"/>
      <c r="X58" s="22"/>
      <c r="Y58" s="22"/>
      <c r="Z58" s="22"/>
    </row>
    <row r="59">
      <c r="A59" s="4" t="s">
        <v>49</v>
      </c>
      <c r="B59" s="18">
        <f>countif('2016'!$A$58:$A$87,"artigo em congresso internacional")</f>
        <v>5</v>
      </c>
      <c r="C59" s="18">
        <f>countif('2017'!$A$58:$A$87,"artigo em congresso internacional")</f>
        <v>0</v>
      </c>
      <c r="D59" s="18">
        <f>countif('2018'!$A$59:$A$88,"artigo em congresso internacional")</f>
        <v>0</v>
      </c>
      <c r="E59" s="18">
        <f>countif('2019'!$A$57:$A$86,"artigo em congresso internacional")</f>
        <v>3</v>
      </c>
      <c r="F59" s="18">
        <f>countif('2020'!$A$58:$A$87,"artigo em congresso internacional")</f>
        <v>0</v>
      </c>
      <c r="G59" s="18">
        <f>countif('2021'!$A$58:$A$87,"artigo em congresso internacional")</f>
        <v>0</v>
      </c>
      <c r="H59" s="18">
        <f>countif('2016'!$A$58:$A$87,"artigo em congresso internacional")</f>
        <v>5</v>
      </c>
      <c r="I59" s="18">
        <f>countif('2023'!$A$58:$A$87,"artigo em congresso internacional")</f>
        <v>0</v>
      </c>
      <c r="J59" s="18">
        <f>countif('2024'!$A$58:$A$87,"artigo em congresso internacional")</f>
        <v>0</v>
      </c>
      <c r="K59" s="18">
        <f>countif('2025'!$A$58:$A$87,"artigo em congresso internacional")</f>
        <v>0</v>
      </c>
      <c r="L59" s="22"/>
      <c r="M59" s="22"/>
      <c r="N59" s="22"/>
      <c r="O59" s="22"/>
      <c r="P59" s="22"/>
      <c r="Q59" s="22"/>
      <c r="R59" s="22"/>
      <c r="S59" s="22"/>
      <c r="T59" s="22"/>
      <c r="U59" s="22"/>
      <c r="V59" s="22"/>
      <c r="W59" s="22"/>
      <c r="X59" s="22"/>
      <c r="Y59" s="22"/>
      <c r="Z59" s="22"/>
    </row>
    <row r="60">
      <c r="A60" s="23" t="s">
        <v>50</v>
      </c>
      <c r="B60" s="18">
        <f>countif('2016'!$A$58:$A$87,"artigo em congresso nacional")</f>
        <v>0</v>
      </c>
      <c r="C60" s="18">
        <f>countif('2017'!$A$58:$A$87,"artigo em congresso nacional")</f>
        <v>4</v>
      </c>
      <c r="D60" s="18">
        <f>countif('2018'!$A$59:$A$88,"artigo em congresso nacional")</f>
        <v>0</v>
      </c>
      <c r="E60" s="18">
        <f>countif('2019'!$A$57:$A$86,"artigo em congresso nacional")</f>
        <v>0</v>
      </c>
      <c r="F60" s="18">
        <f>countif('2020'!$A$58:$A$87,"artigo em congresso nacional")</f>
        <v>0</v>
      </c>
      <c r="G60" s="18">
        <f>countif('2021'!$A$58:$A$87,"artigo em congresso nacional")</f>
        <v>0</v>
      </c>
      <c r="H60" s="18">
        <f>countif('2016'!$A$58:$A$87,"artigo em congresso nacional")</f>
        <v>0</v>
      </c>
      <c r="I60" s="18">
        <f>countif('2023'!$A$58:$A$87,"artigo em congresso nacional")</f>
        <v>0</v>
      </c>
      <c r="J60" s="18">
        <f>countif('2024'!$A$58:$A$87,"artigo em congresso nacional")</f>
        <v>0</v>
      </c>
      <c r="K60" s="18">
        <f>countif('2025'!$A$58:$A$87,"artigo em congresso nacional")</f>
        <v>0</v>
      </c>
      <c r="L60" s="24"/>
      <c r="M60" s="24"/>
      <c r="N60" s="24"/>
      <c r="O60" s="24"/>
      <c r="P60" s="24"/>
      <c r="Q60" s="24"/>
      <c r="R60" s="24"/>
      <c r="S60" s="24"/>
      <c r="T60" s="24"/>
      <c r="U60" s="24"/>
      <c r="V60" s="24"/>
      <c r="W60" s="24"/>
      <c r="X60" s="24"/>
      <c r="Y60" s="24"/>
      <c r="Z60" s="24"/>
    </row>
    <row r="61">
      <c r="A61" s="4" t="s">
        <v>51</v>
      </c>
      <c r="B61" s="18">
        <f>countif('2016'!$A$58:$A$87,"resumo em congresso internacional")</f>
        <v>0</v>
      </c>
      <c r="C61" s="18">
        <f>countif('2017'!$A$58:$A$87,"resumo em congresso internacional")</f>
        <v>0</v>
      </c>
      <c r="D61" s="18">
        <f>countif('2018'!$A$59:$A$88,"resumo em congresso internacional")</f>
        <v>0</v>
      </c>
      <c r="E61" s="18">
        <f>countif('2019'!$A$57:$A$86,"resumo em congresso internacional")</f>
        <v>0</v>
      </c>
      <c r="F61" s="18">
        <f>countif('2020'!$A$58:$A$87,"resumo em congresso internacional")</f>
        <v>0</v>
      </c>
      <c r="G61" s="18">
        <f>countif('2021'!$A$58:$A$87,"resumo em congresso internacional")</f>
        <v>0</v>
      </c>
      <c r="H61" s="18">
        <f>countif('2016'!$A$58:$A$87,"resumo em congresso internacional")</f>
        <v>0</v>
      </c>
      <c r="I61" s="18">
        <f>countif('2023'!$A$58:$A$87,"resumo em congresso internacional")</f>
        <v>0</v>
      </c>
      <c r="J61" s="18">
        <f>countif('2024'!$A$58:$A$87,"resumo em congresso internacional")</f>
        <v>0</v>
      </c>
      <c r="K61" s="18">
        <f>countif('2025'!$A$58:$A$87,"resumo em congresso internacional")</f>
        <v>0</v>
      </c>
      <c r="L61" s="22"/>
      <c r="M61" s="22"/>
      <c r="N61" s="22"/>
      <c r="O61" s="22"/>
      <c r="P61" s="22"/>
      <c r="Q61" s="22"/>
      <c r="R61" s="22"/>
      <c r="S61" s="22"/>
      <c r="T61" s="22"/>
      <c r="U61" s="22"/>
      <c r="V61" s="22"/>
      <c r="W61" s="22"/>
      <c r="X61" s="22"/>
      <c r="Y61" s="22"/>
      <c r="Z61" s="22"/>
    </row>
    <row r="62">
      <c r="A62" s="4" t="s">
        <v>52</v>
      </c>
      <c r="B62" s="18">
        <f>countif('2016'!$A$58:$A$87,"resumo em congresso nacional")</f>
        <v>0</v>
      </c>
      <c r="C62" s="18">
        <f>countif('2017'!$A$58:$A$87,"resumo em congresso nacional")</f>
        <v>0</v>
      </c>
      <c r="D62" s="18">
        <f>countif('2018'!$A$59:$A$88,"resumo em congresso nacional")</f>
        <v>0</v>
      </c>
      <c r="E62" s="18">
        <f>countif('2019'!$A$57:$A$86,"resumo em congresso nacional")</f>
        <v>0</v>
      </c>
      <c r="F62" s="18">
        <f>countif('2020'!$A$58:$A$87,"resumo em congresso nacional")</f>
        <v>0</v>
      </c>
      <c r="G62" s="18">
        <f>countif('2021'!$A$58:$A$87,"resumo em congresso nacional")</f>
        <v>0</v>
      </c>
      <c r="H62" s="18">
        <f>countif('2016'!$A$58:$A$87,"resumo em congresso nacional")</f>
        <v>0</v>
      </c>
      <c r="I62" s="18">
        <f>countif('2023'!$A$58:$A$87,"resumo em congresso nacional")</f>
        <v>0</v>
      </c>
      <c r="J62" s="18">
        <f>countif('2024'!$A$58:$A$87,"resumo em congresso nacional")</f>
        <v>0</v>
      </c>
      <c r="K62" s="18">
        <f>countif('2025'!$A$58:$A$87,"resumo em congresso nacional")</f>
        <v>0</v>
      </c>
    </row>
    <row r="63">
      <c r="A63" s="4" t="s">
        <v>53</v>
      </c>
      <c r="B63" s="6">
        <f t="shared" ref="B63:K63" si="19">B57*100/B$56</f>
        <v>33.33333333</v>
      </c>
      <c r="C63" s="21">
        <f t="shared" si="19"/>
        <v>35.71428571</v>
      </c>
      <c r="D63" s="18">
        <f t="shared" si="19"/>
        <v>50</v>
      </c>
      <c r="E63" s="18">
        <f t="shared" si="19"/>
        <v>25</v>
      </c>
      <c r="F63" s="18">
        <f t="shared" si="19"/>
        <v>0</v>
      </c>
      <c r="G63" s="18" t="str">
        <f t="shared" si="19"/>
        <v>#DIV/0!</v>
      </c>
      <c r="H63" s="18" t="str">
        <f t="shared" si="19"/>
        <v>#DIV/0!</v>
      </c>
      <c r="I63" s="18" t="str">
        <f t="shared" si="19"/>
        <v>#DIV/0!</v>
      </c>
      <c r="J63" s="18" t="str">
        <f t="shared" si="19"/>
        <v>#DIV/0!</v>
      </c>
      <c r="K63" s="18" t="str">
        <f t="shared" si="19"/>
        <v>#DIV/0!</v>
      </c>
    </row>
    <row r="64">
      <c r="A64" s="4" t="s">
        <v>54</v>
      </c>
      <c r="B64" s="18">
        <f t="shared" ref="B64:K64" si="20">B58*100/B$56</f>
        <v>0</v>
      </c>
      <c r="C64" s="21">
        <f t="shared" si="20"/>
        <v>7.142857143</v>
      </c>
      <c r="D64" s="18">
        <f t="shared" si="20"/>
        <v>0</v>
      </c>
      <c r="E64" s="18">
        <f t="shared" si="20"/>
        <v>6.25</v>
      </c>
      <c r="F64" s="18">
        <f t="shared" si="20"/>
        <v>50</v>
      </c>
      <c r="G64" s="18" t="str">
        <f t="shared" si="20"/>
        <v>#DIV/0!</v>
      </c>
      <c r="H64" s="18" t="str">
        <f t="shared" si="20"/>
        <v>#DIV/0!</v>
      </c>
      <c r="I64" s="18" t="str">
        <f t="shared" si="20"/>
        <v>#DIV/0!</v>
      </c>
      <c r="J64" s="18" t="str">
        <f t="shared" si="20"/>
        <v>#DIV/0!</v>
      </c>
      <c r="K64" s="18" t="str">
        <f t="shared" si="20"/>
        <v>#DIV/0!</v>
      </c>
    </row>
    <row r="65">
      <c r="A65" s="4" t="s">
        <v>55</v>
      </c>
      <c r="B65" s="6">
        <f t="shared" ref="B65:K65" si="21">B59*100/B$56</f>
        <v>55.55555556</v>
      </c>
      <c r="C65" s="21">
        <f t="shared" si="21"/>
        <v>0</v>
      </c>
      <c r="D65" s="18">
        <f t="shared" si="21"/>
        <v>0</v>
      </c>
      <c r="E65" s="18">
        <f t="shared" si="21"/>
        <v>18.75</v>
      </c>
      <c r="F65" s="18">
        <f t="shared" si="21"/>
        <v>0</v>
      </c>
      <c r="G65" s="18" t="str">
        <f t="shared" si="21"/>
        <v>#DIV/0!</v>
      </c>
      <c r="H65" s="18" t="str">
        <f t="shared" si="21"/>
        <v>#DIV/0!</v>
      </c>
      <c r="I65" s="18" t="str">
        <f t="shared" si="21"/>
        <v>#DIV/0!</v>
      </c>
      <c r="J65" s="18" t="str">
        <f t="shared" si="21"/>
        <v>#DIV/0!</v>
      </c>
      <c r="K65" s="18" t="str">
        <f t="shared" si="21"/>
        <v>#DIV/0!</v>
      </c>
    </row>
    <row r="66">
      <c r="A66" s="23" t="s">
        <v>56</v>
      </c>
      <c r="B66" s="18">
        <f t="shared" ref="B66:K66" si="22">B60*100/B$56</f>
        <v>0</v>
      </c>
      <c r="C66" s="21">
        <f t="shared" si="22"/>
        <v>28.57142857</v>
      </c>
      <c r="D66" s="18">
        <f t="shared" si="22"/>
        <v>0</v>
      </c>
      <c r="E66" s="18">
        <f t="shared" si="22"/>
        <v>0</v>
      </c>
      <c r="F66" s="18">
        <f t="shared" si="22"/>
        <v>0</v>
      </c>
      <c r="G66" s="18" t="str">
        <f t="shared" si="22"/>
        <v>#DIV/0!</v>
      </c>
      <c r="H66" s="18" t="str">
        <f t="shared" si="22"/>
        <v>#DIV/0!</v>
      </c>
      <c r="I66" s="18" t="str">
        <f t="shared" si="22"/>
        <v>#DIV/0!</v>
      </c>
      <c r="J66" s="18" t="str">
        <f t="shared" si="22"/>
        <v>#DIV/0!</v>
      </c>
      <c r="K66" s="18" t="str">
        <f t="shared" si="22"/>
        <v>#DIV/0!</v>
      </c>
    </row>
    <row r="67">
      <c r="A67" s="4" t="s">
        <v>57</v>
      </c>
      <c r="B67" s="18">
        <f t="shared" ref="B67:K67" si="23">B61*100/B$56</f>
        <v>0</v>
      </c>
      <c r="C67" s="21">
        <f t="shared" si="23"/>
        <v>0</v>
      </c>
      <c r="D67" s="18">
        <f t="shared" si="23"/>
        <v>0</v>
      </c>
      <c r="E67" s="18">
        <f t="shared" si="23"/>
        <v>0</v>
      </c>
      <c r="F67" s="18">
        <f t="shared" si="23"/>
        <v>0</v>
      </c>
      <c r="G67" s="18" t="str">
        <f t="shared" si="23"/>
        <v>#DIV/0!</v>
      </c>
      <c r="H67" s="18" t="str">
        <f t="shared" si="23"/>
        <v>#DIV/0!</v>
      </c>
      <c r="I67" s="18" t="str">
        <f t="shared" si="23"/>
        <v>#DIV/0!</v>
      </c>
      <c r="J67" s="18" t="str">
        <f t="shared" si="23"/>
        <v>#DIV/0!</v>
      </c>
      <c r="K67" s="18" t="str">
        <f t="shared" si="23"/>
        <v>#DIV/0!</v>
      </c>
    </row>
    <row r="68">
      <c r="A68" s="4" t="s">
        <v>58</v>
      </c>
      <c r="B68" s="18">
        <f t="shared" ref="B68:K68" si="24">B62*100/B$56</f>
        <v>0</v>
      </c>
      <c r="C68" s="21">
        <f t="shared" si="24"/>
        <v>0</v>
      </c>
      <c r="D68" s="18">
        <f t="shared" si="24"/>
        <v>0</v>
      </c>
      <c r="E68" s="18">
        <f t="shared" si="24"/>
        <v>0</v>
      </c>
      <c r="F68" s="18">
        <f t="shared" si="24"/>
        <v>0</v>
      </c>
      <c r="G68" s="18" t="str">
        <f t="shared" si="24"/>
        <v>#DIV/0!</v>
      </c>
      <c r="H68" s="18" t="str">
        <f t="shared" si="24"/>
        <v>#DIV/0!</v>
      </c>
      <c r="I68" s="18" t="str">
        <f t="shared" si="24"/>
        <v>#DIV/0!</v>
      </c>
      <c r="J68" s="18" t="str">
        <f t="shared" si="24"/>
        <v>#DIV/0!</v>
      </c>
      <c r="K68" s="18" t="str">
        <f t="shared" si="24"/>
        <v>#DIV/0!</v>
      </c>
    </row>
    <row r="70">
      <c r="A70" s="2" t="s">
        <v>59</v>
      </c>
      <c r="B70" s="3">
        <v>2016.0</v>
      </c>
      <c r="C70" s="3">
        <v>2017.0</v>
      </c>
      <c r="D70" s="3">
        <v>2018.0</v>
      </c>
      <c r="E70" s="3">
        <v>2019.0</v>
      </c>
      <c r="F70" s="3">
        <v>2020.0</v>
      </c>
      <c r="G70" s="3">
        <v>2021.0</v>
      </c>
      <c r="H70" s="3">
        <v>2022.0</v>
      </c>
      <c r="I70" s="3">
        <v>2023.0</v>
      </c>
      <c r="J70" s="3">
        <v>2024.0</v>
      </c>
      <c r="K70" s="3">
        <v>2025.0</v>
      </c>
    </row>
    <row r="71">
      <c r="A71" s="4" t="s">
        <v>2</v>
      </c>
      <c r="B71" s="18">
        <f>COUNTA('2016'!$A$91:$A$94)</f>
        <v>0</v>
      </c>
      <c r="C71" s="18">
        <f>COUNTA('2017'!$A$91:$A$94)</f>
        <v>0</v>
      </c>
      <c r="D71" s="18">
        <f>COUNTA('2018'!$A$92:$A$95)</f>
        <v>0</v>
      </c>
      <c r="E71" s="18">
        <f>COUNTA('2019'!$A$90:$A$93)</f>
        <v>0</v>
      </c>
      <c r="F71" s="18">
        <f>COUNTA('2020'!$A$91:$A$94)</f>
        <v>0</v>
      </c>
      <c r="G71" s="18">
        <f>COUNTA('2021'!$A$91:$A$94)</f>
        <v>0</v>
      </c>
      <c r="H71" s="18">
        <f>COUNTA('2022'!$A$91:$A$94)</f>
        <v>0</v>
      </c>
      <c r="I71" s="18">
        <f>COUNTA('2023'!$A$91:$A$94)</f>
        <v>0</v>
      </c>
      <c r="J71" s="18">
        <f>COUNTA('2024'!$A$91:$A$94)</f>
        <v>0</v>
      </c>
      <c r="K71" s="18">
        <f>COUNTA('2025'!$A$91:$A$94)</f>
        <v>0</v>
      </c>
    </row>
    <row r="72">
      <c r="A72" s="4" t="s">
        <v>60</v>
      </c>
      <c r="B72" s="18">
        <f>COUNTIF('2016'!$A$91:$A$94,"Programa de exercício")</f>
        <v>0</v>
      </c>
      <c r="C72" s="18">
        <f>COUNTIF('2017'!$A$91:$A$94,"Programa de exercício")</f>
        <v>0</v>
      </c>
      <c r="D72" s="18">
        <f>COUNTIF('2018'!$A$92:$A$95,"Programa de exercício")</f>
        <v>0</v>
      </c>
      <c r="E72" s="18">
        <f>COUNTIF('2019'!$A$90:$A$93,"Programa de exercício")</f>
        <v>0</v>
      </c>
      <c r="F72" s="18">
        <f>COUNTIF('2020'!$A$91:$A$94,"Programa de exercício")</f>
        <v>0</v>
      </c>
      <c r="G72" s="18">
        <f>COUNTIF('2021'!$A$91:$A$94,"Programa de exercício")</f>
        <v>0</v>
      </c>
      <c r="H72" s="18">
        <f>COUNTIF('2022'!$A$91:$A$94,"Programa de exercício")</f>
        <v>0</v>
      </c>
      <c r="I72" s="18">
        <f>COUNTIF('2023'!$A$91:$A$94,"Programa de exercício")</f>
        <v>0</v>
      </c>
      <c r="J72" s="18">
        <f>COUNTIF('2024'!$A$91:$A$94,"Programa de exercício")</f>
        <v>0</v>
      </c>
      <c r="K72" s="18">
        <f>COUNTIF('2025'!$A$91:$A$94,"Programa de exercício")</f>
        <v>0</v>
      </c>
    </row>
    <row r="73">
      <c r="A73" s="4" t="s">
        <v>61</v>
      </c>
      <c r="B73" s="18">
        <f>COUNTIF('2016'!$A$91:$A$94,"Programa de educação")</f>
        <v>0</v>
      </c>
      <c r="C73" s="18">
        <f>COUNTIF('2017'!$A$91:$A$94,"Programa de educação")</f>
        <v>0</v>
      </c>
      <c r="D73" s="18">
        <f>COUNTIF('2018'!$A$92:$A$95,"Programa de educação")</f>
        <v>0</v>
      </c>
      <c r="E73" s="18">
        <f>COUNTIF('2019'!$A$90:$A$93,"Programa de educação")</f>
        <v>0</v>
      </c>
      <c r="F73" s="18">
        <f>COUNTIF('2020'!$A$91:$A$94,"Programa de educação")</f>
        <v>0</v>
      </c>
      <c r="G73" s="18">
        <f>COUNTIF('2021'!$A$91:$A$94,"Programa de educação")</f>
        <v>0</v>
      </c>
      <c r="H73" s="18">
        <f>COUNTIF('2022'!$A$91:$A$94,"Programa de educação")</f>
        <v>0</v>
      </c>
      <c r="I73" s="18">
        <f>COUNTIF('2023'!$A$91:$A$94,"Programa de educação")</f>
        <v>0</v>
      </c>
      <c r="J73" s="18">
        <f>COUNTIF('2024'!$A$91:$A$94,"Programa de educação")</f>
        <v>0</v>
      </c>
      <c r="K73" s="18">
        <f>COUNTIF('2025'!$A$91:$A$94,"Programa de educação")</f>
        <v>0</v>
      </c>
    </row>
    <row r="74">
      <c r="A74" s="4" t="s">
        <v>62</v>
      </c>
      <c r="B74" s="18">
        <f>COUNTIF('2016'!$A$91:$A$94,"Programa de re-educação")</f>
        <v>0</v>
      </c>
      <c r="C74" s="18">
        <f>COUNTIF('2017'!$A$91:$A$94,"Programa de re-educação")</f>
        <v>0</v>
      </c>
      <c r="D74" s="18">
        <f>COUNTIF('2018'!$A$92:$A$95,"Programa de re-educação")</f>
        <v>0</v>
      </c>
      <c r="E74" s="18">
        <f>COUNTIF('2019'!$A$90:$A$93,"Programa de re-educação")</f>
        <v>0</v>
      </c>
      <c r="F74" s="18">
        <f>COUNTIF('2020'!$A$91:$A$94,"Programa de re-educação")</f>
        <v>0</v>
      </c>
      <c r="G74" s="18">
        <f>COUNTIF('2021'!$A$91:$A$94,"Programa de re-educação")</f>
        <v>0</v>
      </c>
      <c r="H74" s="18">
        <f>COUNTIF('2022'!$A$91:$A$94,"Programa de re-educação")</f>
        <v>0</v>
      </c>
      <c r="I74" s="18">
        <f>COUNTIF('2023'!$A$91:$A$94,"Programa de re-educação")</f>
        <v>0</v>
      </c>
      <c r="J74" s="18">
        <f>COUNTIF('2024'!$A$91:$A$94,"Programa de re-educação")</f>
        <v>0</v>
      </c>
      <c r="K74" s="18">
        <f>COUNTIF('2025'!$A$91:$A$94,"Programa de re-educação")</f>
        <v>0</v>
      </c>
    </row>
    <row r="75">
      <c r="A75" s="4" t="s">
        <v>63</v>
      </c>
      <c r="B75" s="18">
        <f>COUNTIF('2016'!$A$91:$A$94,"Tecnologia")</f>
        <v>0</v>
      </c>
      <c r="C75" s="18">
        <f>COUNTIF('2017'!$A$91:$A$94,"Tecnologia")</f>
        <v>0</v>
      </c>
      <c r="D75" s="18">
        <f>COUNTIF('2018'!$A$92:$A$95,"Tecnologia")</f>
        <v>0</v>
      </c>
      <c r="E75" s="18">
        <f>COUNTIF('2019'!$A$90:$A$93,"Tecnologia")</f>
        <v>0</v>
      </c>
      <c r="F75" s="18">
        <f>COUNTIF('2020'!$A$91:$A$94,"Tecnologia")</f>
        <v>0</v>
      </c>
      <c r="G75" s="18">
        <f>COUNTIF('2021'!$A$91:$A$94,"Tecnologia")</f>
        <v>0</v>
      </c>
      <c r="H75" s="18">
        <f>COUNTIF('2022'!$A$91:$A$94,"Tecnologia")</f>
        <v>0</v>
      </c>
      <c r="I75" s="18">
        <f>COUNTIF('2023'!$A$91:$A$94,"Tecnologia")</f>
        <v>0</v>
      </c>
      <c r="J75" s="18">
        <f>COUNTIF('2024'!$A$91:$A$94,"Tecnologia")</f>
        <v>0</v>
      </c>
      <c r="K75" s="18">
        <f>COUNTIF('2025'!$A$91:$A$94,"Tecnologia")</f>
        <v>0</v>
      </c>
    </row>
    <row r="76">
      <c r="A76" s="4" t="s">
        <v>64</v>
      </c>
      <c r="B76" s="18">
        <f>COUNTIF('2016'!$A$91:$A$94,"Serviço de Análise de Movimento")</f>
        <v>0</v>
      </c>
      <c r="C76" s="18">
        <f>COUNTIF('2017'!$A$91:$A$94,"Serviço de Análise de Movimento")</f>
        <v>0</v>
      </c>
      <c r="D76" s="18">
        <f>COUNTIF('2018'!$A$92:$A$95,"Serviço de Análise de Movimento")</f>
        <v>0</v>
      </c>
      <c r="E76" s="18">
        <f>COUNTIF('2019'!$A$90:$A$93,"Serviço de Análise de Movimento")</f>
        <v>0</v>
      </c>
      <c r="F76" s="18">
        <f>COUNTIF('2020'!$A$91:$A$94,"Serviço de Análise de Movimento")</f>
        <v>0</v>
      </c>
      <c r="G76" s="18">
        <f>COUNTIF('2021'!$A$91:$A$94,"Serviço de Análise de Movimento")</f>
        <v>0</v>
      </c>
      <c r="H76" s="18">
        <f>COUNTIF('2022'!$A$91:$A$94,"Serviço de Análise de Movimento")</f>
        <v>0</v>
      </c>
      <c r="I76" s="18">
        <f>COUNTIF('2023'!$A$91:$A$94,"Serviço de Análise de Movimento")</f>
        <v>0</v>
      </c>
      <c r="J76" s="18">
        <f>COUNTIF('2024'!$A$91:$A$94,"Serviço de Análise de Movimento")</f>
        <v>0</v>
      </c>
      <c r="K76" s="18">
        <f>COUNTIF('2025'!$A$91:$A$94,"Serviço de Análise de Movimento")</f>
        <v>0</v>
      </c>
    </row>
    <row r="77">
      <c r="A77" s="4" t="s">
        <v>65</v>
      </c>
      <c r="B77" s="6" t="str">
        <f t="shared" ref="B77:K77" si="25">B72*100/B$71</f>
        <v>#DIV/0!</v>
      </c>
      <c r="C77" s="6" t="str">
        <f t="shared" si="25"/>
        <v>#DIV/0!</v>
      </c>
      <c r="D77" s="6" t="str">
        <f t="shared" si="25"/>
        <v>#DIV/0!</v>
      </c>
      <c r="E77" s="6" t="str">
        <f t="shared" si="25"/>
        <v>#DIV/0!</v>
      </c>
      <c r="F77" s="6" t="str">
        <f t="shared" si="25"/>
        <v>#DIV/0!</v>
      </c>
      <c r="G77" s="6" t="str">
        <f t="shared" si="25"/>
        <v>#DIV/0!</v>
      </c>
      <c r="H77" s="6" t="str">
        <f t="shared" si="25"/>
        <v>#DIV/0!</v>
      </c>
      <c r="I77" s="6" t="str">
        <f t="shared" si="25"/>
        <v>#DIV/0!</v>
      </c>
      <c r="J77" s="6" t="str">
        <f t="shared" si="25"/>
        <v>#DIV/0!</v>
      </c>
      <c r="K77" s="6" t="str">
        <f t="shared" si="25"/>
        <v>#DIV/0!</v>
      </c>
    </row>
    <row r="78">
      <c r="A78" s="4" t="s">
        <v>66</v>
      </c>
      <c r="B78" s="6" t="str">
        <f t="shared" ref="B78:K78" si="26">B73*100/B$71</f>
        <v>#DIV/0!</v>
      </c>
      <c r="C78" s="6" t="str">
        <f t="shared" si="26"/>
        <v>#DIV/0!</v>
      </c>
      <c r="D78" s="6" t="str">
        <f t="shared" si="26"/>
        <v>#DIV/0!</v>
      </c>
      <c r="E78" s="6" t="str">
        <f t="shared" si="26"/>
        <v>#DIV/0!</v>
      </c>
      <c r="F78" s="6" t="str">
        <f t="shared" si="26"/>
        <v>#DIV/0!</v>
      </c>
      <c r="G78" s="6" t="str">
        <f t="shared" si="26"/>
        <v>#DIV/0!</v>
      </c>
      <c r="H78" s="6" t="str">
        <f t="shared" si="26"/>
        <v>#DIV/0!</v>
      </c>
      <c r="I78" s="6" t="str">
        <f t="shared" si="26"/>
        <v>#DIV/0!</v>
      </c>
      <c r="J78" s="6" t="str">
        <f t="shared" si="26"/>
        <v>#DIV/0!</v>
      </c>
      <c r="K78" s="6" t="str">
        <f t="shared" si="26"/>
        <v>#DIV/0!</v>
      </c>
    </row>
    <row r="79">
      <c r="A79" s="4" t="s">
        <v>67</v>
      </c>
      <c r="B79" s="6" t="str">
        <f t="shared" ref="B79:K79" si="27">B74*100/B$71</f>
        <v>#DIV/0!</v>
      </c>
      <c r="C79" s="6" t="str">
        <f t="shared" si="27"/>
        <v>#DIV/0!</v>
      </c>
      <c r="D79" s="6" t="str">
        <f t="shared" si="27"/>
        <v>#DIV/0!</v>
      </c>
      <c r="E79" s="6" t="str">
        <f t="shared" si="27"/>
        <v>#DIV/0!</v>
      </c>
      <c r="F79" s="6" t="str">
        <f t="shared" si="27"/>
        <v>#DIV/0!</v>
      </c>
      <c r="G79" s="6" t="str">
        <f t="shared" si="27"/>
        <v>#DIV/0!</v>
      </c>
      <c r="H79" s="6" t="str">
        <f t="shared" si="27"/>
        <v>#DIV/0!</v>
      </c>
      <c r="I79" s="6" t="str">
        <f t="shared" si="27"/>
        <v>#DIV/0!</v>
      </c>
      <c r="J79" s="6" t="str">
        <f t="shared" si="27"/>
        <v>#DIV/0!</v>
      </c>
      <c r="K79" s="6" t="str">
        <f t="shared" si="27"/>
        <v>#DIV/0!</v>
      </c>
    </row>
    <row r="80">
      <c r="A80" s="4" t="s">
        <v>68</v>
      </c>
      <c r="B80" s="6" t="str">
        <f t="shared" ref="B80:K80" si="28">B75*100/B$71</f>
        <v>#DIV/0!</v>
      </c>
      <c r="C80" s="6" t="str">
        <f t="shared" si="28"/>
        <v>#DIV/0!</v>
      </c>
      <c r="D80" s="6" t="str">
        <f t="shared" si="28"/>
        <v>#DIV/0!</v>
      </c>
      <c r="E80" s="6" t="str">
        <f t="shared" si="28"/>
        <v>#DIV/0!</v>
      </c>
      <c r="F80" s="6" t="str">
        <f t="shared" si="28"/>
        <v>#DIV/0!</v>
      </c>
      <c r="G80" s="6" t="str">
        <f t="shared" si="28"/>
        <v>#DIV/0!</v>
      </c>
      <c r="H80" s="6" t="str">
        <f t="shared" si="28"/>
        <v>#DIV/0!</v>
      </c>
      <c r="I80" s="6" t="str">
        <f t="shared" si="28"/>
        <v>#DIV/0!</v>
      </c>
      <c r="J80" s="6" t="str">
        <f t="shared" si="28"/>
        <v>#DIV/0!</v>
      </c>
      <c r="K80" s="6" t="str">
        <f t="shared" si="28"/>
        <v>#DIV/0!</v>
      </c>
    </row>
    <row r="81">
      <c r="A81" s="4" t="s">
        <v>69</v>
      </c>
      <c r="B81" s="6" t="str">
        <f t="shared" ref="B81:K81" si="29">B76*100/B$71</f>
        <v>#DIV/0!</v>
      </c>
      <c r="C81" s="6" t="str">
        <f t="shared" si="29"/>
        <v>#DIV/0!</v>
      </c>
      <c r="D81" s="6" t="str">
        <f t="shared" si="29"/>
        <v>#DIV/0!</v>
      </c>
      <c r="E81" s="6" t="str">
        <f t="shared" si="29"/>
        <v>#DIV/0!</v>
      </c>
      <c r="F81" s="6" t="str">
        <f t="shared" si="29"/>
        <v>#DIV/0!</v>
      </c>
      <c r="G81" s="6" t="str">
        <f t="shared" si="29"/>
        <v>#DIV/0!</v>
      </c>
      <c r="H81" s="6" t="str">
        <f t="shared" si="29"/>
        <v>#DIV/0!</v>
      </c>
      <c r="I81" s="6" t="str">
        <f t="shared" si="29"/>
        <v>#DIV/0!</v>
      </c>
      <c r="J81" s="6" t="str">
        <f t="shared" si="29"/>
        <v>#DIV/0!</v>
      </c>
      <c r="K81" s="6" t="str">
        <f t="shared" si="29"/>
        <v>#DIV/0!</v>
      </c>
    </row>
    <row r="83">
      <c r="A83" s="1" t="s">
        <v>70</v>
      </c>
    </row>
    <row r="85">
      <c r="A85" s="2" t="s">
        <v>71</v>
      </c>
      <c r="B85" s="3">
        <v>2016.0</v>
      </c>
      <c r="C85" s="3">
        <v>2017.0</v>
      </c>
      <c r="D85" s="3">
        <v>2018.0</v>
      </c>
      <c r="E85" s="3">
        <v>2019.0</v>
      </c>
      <c r="F85" s="3">
        <v>2020.0</v>
      </c>
      <c r="G85" s="3">
        <v>2021.0</v>
      </c>
      <c r="H85" s="3">
        <v>2022.0</v>
      </c>
      <c r="I85" s="3">
        <v>2023.0</v>
      </c>
      <c r="J85" s="3">
        <v>2024.0</v>
      </c>
      <c r="K85" s="3">
        <v>2025.0</v>
      </c>
    </row>
    <row r="86">
      <c r="A86" s="4" t="s">
        <v>2</v>
      </c>
      <c r="B86" s="18">
        <f>COUNTA('2016'!$A$99:$A$114)</f>
        <v>5</v>
      </c>
      <c r="C86" s="18">
        <f>COUNTA('2017'!$A$99:$A$114)</f>
        <v>7</v>
      </c>
      <c r="D86" s="18">
        <f>COUNTA('2018'!$A$100:$A$115)</f>
        <v>4</v>
      </c>
      <c r="E86" s="18">
        <f>COUNTA('2019'!$A$98:$A$113)</f>
        <v>13</v>
      </c>
      <c r="F86" s="18">
        <f>COUNTA('2020'!$A$99:$A$114)</f>
        <v>2</v>
      </c>
      <c r="G86" s="18">
        <f>COUNTA('2021'!$A$99:$A$114)</f>
        <v>0</v>
      </c>
      <c r="H86" s="18">
        <f>COUNTA('2022'!$A$99:$A$114)</f>
        <v>0</v>
      </c>
      <c r="I86" s="18">
        <f>COUNTA('2023'!$A$99:$A$114)</f>
        <v>0</v>
      </c>
      <c r="J86" s="18">
        <f>COUNTA('2024'!$A$99:$A$114)</f>
        <v>0</v>
      </c>
      <c r="K86" s="18">
        <f>COUNTA('2025'!$A$99:$A$114)</f>
        <v>0</v>
      </c>
    </row>
    <row r="87">
      <c r="A87" s="4" t="s">
        <v>72</v>
      </c>
      <c r="B87" s="18">
        <f>COUNTIF('2016'!$C$99:$C$114,"Keynote speaker")</f>
        <v>0</v>
      </c>
      <c r="C87" s="18">
        <f>COUNTIF('2017'!$C$99:$C$114,"Keynote speaker")</f>
        <v>0</v>
      </c>
      <c r="D87" s="18">
        <f>COUNTIF('2018'!$C$100:$C$115,"Keynote speaker")</f>
        <v>1</v>
      </c>
      <c r="E87" s="18">
        <f>COUNTIF('2019'!$C$98:$C$113,"Keynote speaker")</f>
        <v>1</v>
      </c>
      <c r="F87" s="18">
        <f>COUNTIF('2020'!$C$99:$C$114,"Keynote speaker")</f>
        <v>0</v>
      </c>
      <c r="G87" s="18">
        <f>COUNTIF('2021'!$C$99:$C$114,"Keynote speaker")</f>
        <v>0</v>
      </c>
      <c r="H87" s="18">
        <f>COUNTIF('2022'!$C$99:$C$114,"Keynote speaker")</f>
        <v>0</v>
      </c>
      <c r="I87" s="18">
        <f>COUNTIF('2023'!$C$99:$C$114,"Keynote speaker")</f>
        <v>0</v>
      </c>
      <c r="J87" s="18">
        <f>COUNTIF('2024'!$C$99:$C$114,"Keynote speaker")</f>
        <v>0</v>
      </c>
      <c r="K87" s="18">
        <f>COUNTIF('2025'!$C$99:$C$114,"Keynote speaker")</f>
        <v>0</v>
      </c>
    </row>
    <row r="88">
      <c r="A88" s="4" t="s">
        <v>73</v>
      </c>
      <c r="B88" s="18">
        <f>COUNTIF('2016'!$C$99:$C$114,"Oral submetido a congresso")</f>
        <v>0</v>
      </c>
      <c r="C88" s="18">
        <f>COUNTIF('2017'!$C$99:$C$114,"Oral submetido a congresso")</f>
        <v>6</v>
      </c>
      <c r="D88" s="18">
        <f>COUNTIF('2018'!$C$100:$C$115,"Oral submetido a congresso")</f>
        <v>0</v>
      </c>
      <c r="E88" s="18">
        <f>COUNTIF('2019'!$C$98:$C$113,"Oral submetido a congresso")</f>
        <v>4</v>
      </c>
      <c r="F88" s="18">
        <f>COUNTIF('2020'!$C$99:$C$114,"Oral submetido a congresso")</f>
        <v>1</v>
      </c>
      <c r="G88" s="18">
        <f>COUNTIF('2021'!$C$99:$C$114,"Oral submetido a congresso")</f>
        <v>0</v>
      </c>
      <c r="H88" s="18">
        <f>COUNTIF('2022'!$C$99:$C$114,"Oral submetido a congresso")</f>
        <v>0</v>
      </c>
      <c r="I88" s="18">
        <f>COUNTIF('2023'!$C$99:$C$114,"Oral submetido a congresso")</f>
        <v>0</v>
      </c>
      <c r="J88" s="18">
        <f>COUNTIF('2024'!$C$99:$C$114,"Oral submetido a congresso")</f>
        <v>0</v>
      </c>
      <c r="K88" s="18">
        <f>COUNTIF('2025'!$C$99:$C$114,"Oral submetido a congresso")</f>
        <v>0</v>
      </c>
    </row>
    <row r="89">
      <c r="A89" s="4" t="s">
        <v>74</v>
      </c>
      <c r="B89" s="18">
        <f>COUNTIF('2016'!$C$99:$C$114,"Oral a convite para seminário/evento de projeto")</f>
        <v>5</v>
      </c>
      <c r="C89" s="18">
        <f>COUNTIF('2017'!$C$99:$C$114,"Oral a convite para seminário/evento de projeto")</f>
        <v>0</v>
      </c>
      <c r="D89" s="18">
        <f>COUNTIF('2018'!$C$100:$C$115,"Oral a convite para seminário/evento de projeto")</f>
        <v>0</v>
      </c>
      <c r="E89" s="18">
        <f>COUNTIF('2019'!$C$98:$C$113,"Oral a convite para seminário/evento de projeto")</f>
        <v>1</v>
      </c>
      <c r="F89" s="18">
        <f>COUNTIF('2020'!$C$99:$C$114,"Oral a convite para seminário/evento de projeto")</f>
        <v>1</v>
      </c>
      <c r="G89" s="18">
        <f>COUNTIF('2021'!$C$99:$C$114,"Oral a convite para seminário/evento de projeto")</f>
        <v>0</v>
      </c>
      <c r="H89" s="18">
        <f>COUNTIF('2022'!$C$99:$C$114,"Oral a convite para seminário/evento de projeto")</f>
        <v>0</v>
      </c>
      <c r="I89" s="18">
        <f>COUNTIF('2023'!$C$99:$C$114,"Oral a convite para seminário/evento de projeto")</f>
        <v>0</v>
      </c>
      <c r="J89" s="18">
        <f>COUNTIF('2024'!$C$99:$C$114,"Oral a convite para seminário/evento de projeto")</f>
        <v>0</v>
      </c>
      <c r="K89" s="18">
        <f>COUNTIF('2025'!$C$99:$C$114,"Oral a convite para seminário/evento de projeto")</f>
        <v>0</v>
      </c>
    </row>
    <row r="90">
      <c r="A90" s="4" t="s">
        <v>75</v>
      </c>
      <c r="B90" s="18">
        <f>COUNTIF('2016'!$C$99:$C$114,"Poster submetido a congresso")</f>
        <v>0</v>
      </c>
      <c r="C90" s="18">
        <f>COUNTIF('2017'!$C$99:$C$114,"Poster submetido a congresso")</f>
        <v>1</v>
      </c>
      <c r="D90" s="18">
        <f>COUNTIF('2018'!$C$100:$C$115,"Poster submetido a congresso")</f>
        <v>3</v>
      </c>
      <c r="E90" s="18">
        <f>COUNTIF('2019'!$C$98:$C$113,"Poster submetido a congresso")</f>
        <v>7</v>
      </c>
      <c r="F90" s="18">
        <f>COUNTIF('2020'!$C$99:$C$114,"Poster submetido a congresso")</f>
        <v>0</v>
      </c>
      <c r="G90" s="18">
        <f>COUNTIF('2021'!$C$99:$C$114,"Poster submetido a congresso")</f>
        <v>0</v>
      </c>
      <c r="H90" s="18">
        <f>COUNTIF('2022'!$C$99:$C$114,"Poster submetido a congresso")</f>
        <v>0</v>
      </c>
      <c r="I90" s="18">
        <f>COUNTIF('2023'!$C$99:$C$114,"Poster submetido a congresso")</f>
        <v>0</v>
      </c>
      <c r="J90" s="18">
        <f>COUNTIF('2024'!$C$99:$C$114,"Poster submetido a congresso")</f>
        <v>0</v>
      </c>
      <c r="K90" s="18">
        <f>COUNTIF('2025'!$C$99:$C$114,"Poster submetido a congresso")</f>
        <v>0</v>
      </c>
    </row>
    <row r="91">
      <c r="A91" s="4" t="s">
        <v>39</v>
      </c>
      <c r="B91" s="18">
        <f>COUNTIF('2016'!$D$99:$D$114,"nacional")</f>
        <v>3</v>
      </c>
      <c r="C91" s="18">
        <f>COUNTIF('2017'!$D$99:$D$114,"nacional")</f>
        <v>4</v>
      </c>
      <c r="D91" s="18">
        <f>COUNTIF('2018'!$D$100:$D$115,"nacional")</f>
        <v>0</v>
      </c>
      <c r="E91" s="18">
        <f>COUNTIF('2019'!$D$98:$D$113,"nacional")</f>
        <v>2</v>
      </c>
      <c r="F91" s="18">
        <f>COUNTIF('2020'!$D$99:$D$114,"nacional")</f>
        <v>2</v>
      </c>
      <c r="G91" s="18">
        <f>COUNTIF('2021'!$D$99:$D$114,"nacional")</f>
        <v>0</v>
      </c>
      <c r="H91" s="18">
        <f>COUNTIF('2022'!$D$99:$D$114,"nacional")</f>
        <v>0</v>
      </c>
      <c r="I91" s="18">
        <f>COUNTIF('2023'!$D$99:$D$114,"nacional")</f>
        <v>0</v>
      </c>
      <c r="J91" s="18">
        <f>COUNTIF('2024'!$D$99:$D$114,"nacional")</f>
        <v>0</v>
      </c>
      <c r="K91" s="18">
        <f>COUNTIF('2025'!$D$99:$D$114,"nacional")</f>
        <v>0</v>
      </c>
    </row>
    <row r="92">
      <c r="A92" s="4" t="s">
        <v>40</v>
      </c>
      <c r="B92" s="18">
        <f>COUNTIF('2016'!$D$99:$D$114,"internacional")</f>
        <v>2</v>
      </c>
      <c r="C92" s="18">
        <f>COUNTIF('2017'!$D$99:$D$114,"internacional")</f>
        <v>3</v>
      </c>
      <c r="D92" s="18">
        <f>COUNTIF('2018'!$D$100:$D$115,"internacional")</f>
        <v>4</v>
      </c>
      <c r="E92" s="18">
        <f>COUNTIF('2019'!$D$98:$D$113,"internacional")</f>
        <v>11</v>
      </c>
      <c r="F92" s="18">
        <f>COUNTIF('2020'!$D$99:$D$114,"internacional")</f>
        <v>0</v>
      </c>
      <c r="G92" s="18">
        <f>COUNTIF('2021'!$D$99:$D$114,"internacional")</f>
        <v>0</v>
      </c>
      <c r="H92" s="18">
        <f>COUNTIF('2022'!$D$99:$D$114,"internacional")</f>
        <v>0</v>
      </c>
      <c r="I92" s="18">
        <f>COUNTIF('2023'!$D$99:$D$114,"internacional")</f>
        <v>0</v>
      </c>
      <c r="J92" s="18">
        <f>COUNTIF('2024'!$D$99:$D$114,"internacional")</f>
        <v>0</v>
      </c>
      <c r="K92" s="18">
        <f>COUNTIF('2025'!$D$99:$D$114,"internacional")</f>
        <v>0</v>
      </c>
    </row>
    <row r="93">
      <c r="A93" s="4" t="s">
        <v>76</v>
      </c>
      <c r="B93" s="18">
        <f t="shared" ref="B93:K93" si="30">B87*100/B86</f>
        <v>0</v>
      </c>
      <c r="C93" s="21">
        <f t="shared" si="30"/>
        <v>0</v>
      </c>
      <c r="D93" s="18">
        <f t="shared" si="30"/>
        <v>25</v>
      </c>
      <c r="E93" s="6">
        <f t="shared" si="30"/>
        <v>7.692307692</v>
      </c>
      <c r="F93" s="18">
        <f t="shared" si="30"/>
        <v>0</v>
      </c>
      <c r="G93" s="18" t="str">
        <f t="shared" si="30"/>
        <v>#DIV/0!</v>
      </c>
      <c r="H93" s="18" t="str">
        <f t="shared" si="30"/>
        <v>#DIV/0!</v>
      </c>
      <c r="I93" s="18" t="str">
        <f t="shared" si="30"/>
        <v>#DIV/0!</v>
      </c>
      <c r="J93" s="18" t="str">
        <f t="shared" si="30"/>
        <v>#DIV/0!</v>
      </c>
      <c r="K93" s="18" t="str">
        <f t="shared" si="30"/>
        <v>#DIV/0!</v>
      </c>
    </row>
    <row r="94">
      <c r="A94" s="4" t="s">
        <v>77</v>
      </c>
      <c r="B94" s="18">
        <f t="shared" ref="B94:K94" si="31">B88*100/B86</f>
        <v>0</v>
      </c>
      <c r="C94" s="21">
        <f t="shared" si="31"/>
        <v>85.71428571</v>
      </c>
      <c r="D94" s="18">
        <f t="shared" si="31"/>
        <v>0</v>
      </c>
      <c r="E94" s="6">
        <f t="shared" si="31"/>
        <v>30.76923077</v>
      </c>
      <c r="F94" s="18">
        <f t="shared" si="31"/>
        <v>50</v>
      </c>
      <c r="G94" s="18" t="str">
        <f t="shared" si="31"/>
        <v>#DIV/0!</v>
      </c>
      <c r="H94" s="18" t="str">
        <f t="shared" si="31"/>
        <v>#DIV/0!</v>
      </c>
      <c r="I94" s="18" t="str">
        <f t="shared" si="31"/>
        <v>#DIV/0!</v>
      </c>
      <c r="J94" s="18" t="str">
        <f t="shared" si="31"/>
        <v>#DIV/0!</v>
      </c>
      <c r="K94" s="18" t="str">
        <f t="shared" si="31"/>
        <v>#DIV/0!</v>
      </c>
    </row>
    <row r="95">
      <c r="A95" s="4" t="s">
        <v>78</v>
      </c>
      <c r="B95" s="18">
        <f t="shared" ref="B95:K95" si="32">B89*100/B86</f>
        <v>100</v>
      </c>
      <c r="C95" s="21">
        <f t="shared" si="32"/>
        <v>0</v>
      </c>
      <c r="D95" s="18">
        <f t="shared" si="32"/>
        <v>0</v>
      </c>
      <c r="E95" s="6">
        <f t="shared" si="32"/>
        <v>7.692307692</v>
      </c>
      <c r="F95" s="18">
        <f t="shared" si="32"/>
        <v>50</v>
      </c>
      <c r="G95" s="18" t="str">
        <f t="shared" si="32"/>
        <v>#DIV/0!</v>
      </c>
      <c r="H95" s="18" t="str">
        <f t="shared" si="32"/>
        <v>#DIV/0!</v>
      </c>
      <c r="I95" s="18" t="str">
        <f t="shared" si="32"/>
        <v>#DIV/0!</v>
      </c>
      <c r="J95" s="18" t="str">
        <f t="shared" si="32"/>
        <v>#DIV/0!</v>
      </c>
      <c r="K95" s="18" t="str">
        <f t="shared" si="32"/>
        <v>#DIV/0!</v>
      </c>
    </row>
    <row r="96">
      <c r="A96" s="4" t="s">
        <v>44</v>
      </c>
      <c r="B96" s="18">
        <f t="shared" ref="B96:K96" si="33">B91*100/B86</f>
        <v>60</v>
      </c>
      <c r="C96" s="21">
        <f t="shared" si="33"/>
        <v>57.14285714</v>
      </c>
      <c r="D96" s="18">
        <f t="shared" si="33"/>
        <v>0</v>
      </c>
      <c r="E96" s="6">
        <f t="shared" si="33"/>
        <v>15.38461538</v>
      </c>
      <c r="F96" s="18">
        <f t="shared" si="33"/>
        <v>100</v>
      </c>
      <c r="G96" s="18" t="str">
        <f t="shared" si="33"/>
        <v>#DIV/0!</v>
      </c>
      <c r="H96" s="18" t="str">
        <f t="shared" si="33"/>
        <v>#DIV/0!</v>
      </c>
      <c r="I96" s="18" t="str">
        <f t="shared" si="33"/>
        <v>#DIV/0!</v>
      </c>
      <c r="J96" s="18" t="str">
        <f t="shared" si="33"/>
        <v>#DIV/0!</v>
      </c>
      <c r="K96" s="18" t="str">
        <f t="shared" si="33"/>
        <v>#DIV/0!</v>
      </c>
    </row>
    <row r="97">
      <c r="A97" s="4" t="s">
        <v>45</v>
      </c>
      <c r="B97" s="18">
        <f t="shared" ref="B97:K97" si="34">B92*100/B86</f>
        <v>40</v>
      </c>
      <c r="C97" s="21">
        <f t="shared" si="34"/>
        <v>42.85714286</v>
      </c>
      <c r="D97" s="18">
        <f t="shared" si="34"/>
        <v>100</v>
      </c>
      <c r="E97" s="6">
        <f t="shared" si="34"/>
        <v>84.61538462</v>
      </c>
      <c r="F97" s="18">
        <f t="shared" si="34"/>
        <v>0</v>
      </c>
      <c r="G97" s="18" t="str">
        <f t="shared" si="34"/>
        <v>#DIV/0!</v>
      </c>
      <c r="H97" s="18" t="str">
        <f t="shared" si="34"/>
        <v>#DIV/0!</v>
      </c>
      <c r="I97" s="18" t="str">
        <f t="shared" si="34"/>
        <v>#DIV/0!</v>
      </c>
      <c r="J97" s="18" t="str">
        <f t="shared" si="34"/>
        <v>#DIV/0!</v>
      </c>
      <c r="K97" s="18" t="str">
        <f t="shared" si="34"/>
        <v>#DIV/0!</v>
      </c>
    </row>
    <row r="99">
      <c r="A99" s="2" t="s">
        <v>79</v>
      </c>
      <c r="B99" s="3">
        <v>2016.0</v>
      </c>
      <c r="C99" s="3">
        <v>2017.0</v>
      </c>
      <c r="D99" s="3">
        <v>2018.0</v>
      </c>
      <c r="E99" s="3">
        <v>2019.0</v>
      </c>
      <c r="F99" s="3">
        <v>2020.0</v>
      </c>
      <c r="G99" s="3">
        <v>2021.0</v>
      </c>
      <c r="H99" s="3">
        <v>2022.0</v>
      </c>
      <c r="I99" s="3">
        <v>2023.0</v>
      </c>
      <c r="J99" s="3">
        <v>2024.0</v>
      </c>
      <c r="K99" s="3">
        <v>2025.0</v>
      </c>
    </row>
    <row r="100">
      <c r="A100" s="4" t="s">
        <v>2</v>
      </c>
      <c r="B100" s="18">
        <f>counta('2016'!$A$118:$A$122)</f>
        <v>3</v>
      </c>
      <c r="C100" s="18">
        <f>counta('2017'!$A$118:$A$123)</f>
        <v>6</v>
      </c>
      <c r="D100" s="18">
        <f>counta('2018'!$A$119:$A$124)</f>
        <v>6</v>
      </c>
      <c r="E100" s="18">
        <f>counta('2019'!$A$117:$A$122)</f>
        <v>6</v>
      </c>
      <c r="F100" s="18">
        <f>counta('2020'!$A$118:$A$122)</f>
        <v>0</v>
      </c>
      <c r="G100" s="18">
        <f>counta('2021'!$A$118:$A$122)</f>
        <v>0</v>
      </c>
      <c r="H100" s="18">
        <f>counta('2022'!$A$118:$A$122)</f>
        <v>0</v>
      </c>
      <c r="I100" s="18">
        <f>counta('2023'!$A$118:$A$122)</f>
        <v>0</v>
      </c>
      <c r="J100" s="18">
        <f>counta('2024'!$A$118:$A$122)</f>
        <v>0</v>
      </c>
      <c r="K100" s="18">
        <f>counta('2025'!$A$118:$A$122)</f>
        <v>0</v>
      </c>
    </row>
    <row r="101">
      <c r="A101" s="4" t="s">
        <v>80</v>
      </c>
      <c r="B101" s="18">
        <f>countif('2016'!$B$118:$B$122,"congresso/simpósio")</f>
        <v>0</v>
      </c>
      <c r="C101" s="18">
        <f>countif('2017'!$B$118:$B$123,"congresso/simpósio")</f>
        <v>0</v>
      </c>
      <c r="D101" s="18">
        <f>countif('2018'!$B$119:$B$124,"congresso/simpósio")</f>
        <v>0</v>
      </c>
      <c r="E101" s="18">
        <f>countif('2019'!$B$117:$B$122,"congresso/simpósio")</f>
        <v>0</v>
      </c>
      <c r="F101" s="18">
        <f>countif('2020'!$B$118:$B$122,"congresso/simpósio")</f>
        <v>0</v>
      </c>
      <c r="G101" s="18">
        <f>countif('2021'!$B$118:$B$122,"congresso/simpósio")</f>
        <v>0</v>
      </c>
      <c r="H101" s="18">
        <f>countif('2022'!$B$118:$B$122,"congresso/simpósio")</f>
        <v>0</v>
      </c>
      <c r="I101" s="18">
        <f>countif('2023'!$B$118:$B$122,"congresso/simpósio")</f>
        <v>0</v>
      </c>
      <c r="J101" s="18">
        <f>countif('2024'!$B$118:$B$122,"congresso/simpósio")</f>
        <v>0</v>
      </c>
      <c r="K101" s="18">
        <f>countif('2025'!$B$118:$B$122,"congresso/simpósio")</f>
        <v>0</v>
      </c>
    </row>
    <row r="102">
      <c r="A102" s="4" t="s">
        <v>81</v>
      </c>
      <c r="B102" s="18">
        <f>countif('2016'!$B$118:$B$122,"curso breve")</f>
        <v>2</v>
      </c>
      <c r="C102" s="18">
        <f>countif('2017'!$B$118:$B$123,"curso breve")</f>
        <v>2</v>
      </c>
      <c r="D102" s="18">
        <f>countif('2018'!$B$119:$B$124,"curso breve")</f>
        <v>3</v>
      </c>
      <c r="E102" s="18">
        <f>countif('2019'!$B$117:$B$122,"curso breve")</f>
        <v>2</v>
      </c>
      <c r="F102" s="18">
        <f>countif('2020'!$B$118:$B$122,"curso breve")</f>
        <v>0</v>
      </c>
      <c r="G102" s="18">
        <f>countif('2021'!$B$118:$B$122,"curso breve")</f>
        <v>0</v>
      </c>
      <c r="H102" s="18">
        <f>countif('2022'!$B$118:$B$122,"curso breve")</f>
        <v>0</v>
      </c>
      <c r="I102" s="18">
        <f>countif('2023'!$B$118:$B$122,"curso breve")</f>
        <v>0</v>
      </c>
      <c r="J102" s="18">
        <f>countif('2024'!$B$118:$B$122,"curso breve")</f>
        <v>0</v>
      </c>
      <c r="K102" s="18">
        <f>countif('2025'!$B$118:$B$122,"curso breve")</f>
        <v>0</v>
      </c>
    </row>
    <row r="103">
      <c r="A103" s="4" t="s">
        <v>82</v>
      </c>
      <c r="B103" s="18">
        <f>countif('2016'!$B$118:$B$122,"workshop/seminário")</f>
        <v>0</v>
      </c>
      <c r="C103" s="18">
        <f>countif('2017'!$B$118:$B$123,"workshop/seminário")</f>
        <v>0</v>
      </c>
      <c r="D103" s="18">
        <f>countif('2018'!$B$119:$B$124,"workshop/seminário")</f>
        <v>0</v>
      </c>
      <c r="E103" s="18">
        <f>countif('2019'!$B$117:$B$122,"workshop/seminário")</f>
        <v>0</v>
      </c>
      <c r="F103" s="18">
        <f>countif('2020'!$B$118:$B$122,"workshop/seminário")</f>
        <v>0</v>
      </c>
      <c r="G103" s="18">
        <f>countif('2021'!$B$118:$B$122,"workshop/seminário")</f>
        <v>0</v>
      </c>
      <c r="H103" s="18">
        <f>countif('2022'!$B$118:$B$122,"workshop/seminário")</f>
        <v>0</v>
      </c>
      <c r="I103" s="18">
        <f>countif('2023'!$B$118:$B$122,"workshop/seminário")</f>
        <v>0</v>
      </c>
      <c r="J103" s="18">
        <f>countif('2024'!$B$118:$B$122,"workshop/seminário")</f>
        <v>0</v>
      </c>
      <c r="K103" s="18">
        <f>countif('2025'!$B$118:$B$122,"workshop/seminário")</f>
        <v>0</v>
      </c>
    </row>
    <row r="104">
      <c r="A104" s="4" t="s">
        <v>83</v>
      </c>
      <c r="B104" s="18">
        <f>countif('2016'!$B$118:$B$122,"pós-graduação")</f>
        <v>0</v>
      </c>
      <c r="C104" s="18">
        <f>countif('2017'!$B$118:$B$123,"pós-graduação")</f>
        <v>0</v>
      </c>
      <c r="D104" s="18">
        <f>countif('2018'!$B$119:$B$124,"pós-graduação")</f>
        <v>0</v>
      </c>
      <c r="E104" s="18">
        <f>countif('2019'!$B$117:$B$122,"pós-graduação")</f>
        <v>0</v>
      </c>
      <c r="F104" s="18">
        <f>countif('2020'!$B$118:$B$122,"pós-graduação")</f>
        <v>0</v>
      </c>
      <c r="G104" s="18">
        <f>countif('2021'!$B$118:$B$122,"pós-graduação")</f>
        <v>0</v>
      </c>
      <c r="H104" s="18">
        <f>countif('2022'!$B$118:$B$122,"pós-graduação")</f>
        <v>0</v>
      </c>
      <c r="I104" s="18">
        <f>countif('2023'!$B$118:$B$122,"pós-graduação")</f>
        <v>0</v>
      </c>
      <c r="J104" s="18">
        <f>countif('2024'!$B$118:$B$122,"pós-graduação")</f>
        <v>0</v>
      </c>
      <c r="K104" s="18">
        <f>countif('2025'!$B$118:$B$122,"pós-graduação")</f>
        <v>0</v>
      </c>
    </row>
    <row r="105">
      <c r="A105" s="4" t="s">
        <v>84</v>
      </c>
      <c r="B105" s="18">
        <f>COUNTIF('2016'!$B$118:$B$122,"extensão à comunidade")</f>
        <v>1</v>
      </c>
      <c r="C105" s="18">
        <f>COUNTIF('2017'!$B$118:$B$123,"extensão à comunidade")</f>
        <v>4</v>
      </c>
      <c r="D105" s="18">
        <f>COUNTIF('2018'!$B$119:$B$124,"extensão à comunidade")</f>
        <v>3</v>
      </c>
      <c r="E105" s="18">
        <f>COUNTIF('2019'!$B$117:$B$122,"extensão à comunidade")</f>
        <v>4</v>
      </c>
      <c r="F105" s="18">
        <f>COUNTIF('2020'!$B$118:$B$122,"extensão à comunidade")</f>
        <v>0</v>
      </c>
      <c r="G105" s="18">
        <f>COUNTIF('2021'!$B$118:$B$122,"extensão à comunidade")</f>
        <v>0</v>
      </c>
      <c r="H105" s="18">
        <f>COUNTIF('2022'!$B$118:$B$122,"extensão à comunidade")</f>
        <v>0</v>
      </c>
      <c r="I105" s="18">
        <f>COUNTIF('2023'!$B$118:$B$122,"extensão à comunidade")</f>
        <v>0</v>
      </c>
      <c r="J105" s="18">
        <f>COUNTIF('2024'!$B$118:$B$122,"extensão à comunidade")</f>
        <v>0</v>
      </c>
      <c r="K105" s="18">
        <f>COUNTIF('2025'!$B$118:$B$122,"extensão à comunidade")</f>
        <v>0</v>
      </c>
    </row>
    <row r="106">
      <c r="A106" s="4" t="s">
        <v>39</v>
      </c>
      <c r="B106" s="18">
        <f>countif('2016'!$D$118:$D$122, "nacional")</f>
        <v>2</v>
      </c>
      <c r="C106" s="18">
        <f>countif('2017'!$D$118:$D$123, "nacional")</f>
        <v>3</v>
      </c>
      <c r="D106" s="18">
        <f>countif('2018'!$D$119:$D$124, "nacional")</f>
        <v>2</v>
      </c>
      <c r="E106" s="18">
        <f>countif('2019'!$D$117:$D$122, "nacional")</f>
        <v>3</v>
      </c>
      <c r="F106" s="18">
        <f>countif('2020'!$D$118:$D$122, "nacional")</f>
        <v>0</v>
      </c>
      <c r="G106" s="18">
        <f>countif('2021'!$D$118:$D$122, "nacional")</f>
        <v>0</v>
      </c>
      <c r="H106" s="18">
        <f>countif('2022'!$D$118:$D$122, "nacional")</f>
        <v>0</v>
      </c>
      <c r="I106" s="18">
        <f>countif('2023'!$D$118:$D$122, "nacional")</f>
        <v>0</v>
      </c>
      <c r="J106" s="18">
        <f>countif('2024'!$D$118:$D$122, "nacional")</f>
        <v>0</v>
      </c>
      <c r="K106" s="18">
        <f>countif('2025'!$D$118:$D$122, "nacional")</f>
        <v>0</v>
      </c>
    </row>
    <row r="107">
      <c r="A107" s="4" t="s">
        <v>40</v>
      </c>
      <c r="B107" s="18">
        <f>countif('2016'!$D$118:$D$122,"internacional")</f>
        <v>1</v>
      </c>
      <c r="C107" s="18">
        <f>countif('2017'!$D$118:$D$123,"internacional")</f>
        <v>3</v>
      </c>
      <c r="D107" s="18">
        <f>countif('2018'!$D$119:$D$124,"internacional")</f>
        <v>4</v>
      </c>
      <c r="E107" s="18">
        <f>countif('2019'!$D$117:$D$122,"internacional")</f>
        <v>3</v>
      </c>
      <c r="F107" s="18">
        <f>countif('2020'!$D$118:$D$122,"internacional")</f>
        <v>0</v>
      </c>
      <c r="G107" s="18">
        <f>countif('2021'!$D$118:$D$122,"internacional")</f>
        <v>0</v>
      </c>
      <c r="H107" s="18">
        <f>countif('2022'!$D$118:$D$122,"internacional")</f>
        <v>0</v>
      </c>
      <c r="I107" s="18">
        <f>countif('2023'!$D$118:$D$122,"internacional")</f>
        <v>0</v>
      </c>
      <c r="J107" s="18">
        <f>countif('2024'!$D$118:$D$122,"internacional")</f>
        <v>0</v>
      </c>
      <c r="K107" s="18">
        <f>countif('2025'!$D$118:$D$122,"internacional")</f>
        <v>0</v>
      </c>
    </row>
    <row r="108">
      <c r="A108" s="4" t="s">
        <v>85</v>
      </c>
      <c r="B108" s="21">
        <f t="shared" ref="B108:K108" si="35">B101*100/B$100</f>
        <v>0</v>
      </c>
      <c r="C108" s="21">
        <f t="shared" si="35"/>
        <v>0</v>
      </c>
      <c r="D108" s="21">
        <f t="shared" si="35"/>
        <v>0</v>
      </c>
      <c r="E108" s="21">
        <f t="shared" si="35"/>
        <v>0</v>
      </c>
      <c r="F108" s="21" t="str">
        <f t="shared" si="35"/>
        <v>#DIV/0!</v>
      </c>
      <c r="G108" s="21" t="str">
        <f t="shared" si="35"/>
        <v>#DIV/0!</v>
      </c>
      <c r="H108" s="21" t="str">
        <f t="shared" si="35"/>
        <v>#DIV/0!</v>
      </c>
      <c r="I108" s="21" t="str">
        <f t="shared" si="35"/>
        <v>#DIV/0!</v>
      </c>
      <c r="J108" s="21" t="str">
        <f t="shared" si="35"/>
        <v>#DIV/0!</v>
      </c>
      <c r="K108" s="21" t="str">
        <f t="shared" si="35"/>
        <v>#DIV/0!</v>
      </c>
    </row>
    <row r="109">
      <c r="A109" s="4" t="s">
        <v>86</v>
      </c>
      <c r="B109" s="21">
        <f t="shared" ref="B109:K109" si="36">B102*100/B$100</f>
        <v>66.66666667</v>
      </c>
      <c r="C109" s="21">
        <f t="shared" si="36"/>
        <v>33.33333333</v>
      </c>
      <c r="D109" s="21">
        <f t="shared" si="36"/>
        <v>50</v>
      </c>
      <c r="E109" s="21">
        <f t="shared" si="36"/>
        <v>33.33333333</v>
      </c>
      <c r="F109" s="21" t="str">
        <f t="shared" si="36"/>
        <v>#DIV/0!</v>
      </c>
      <c r="G109" s="21" t="str">
        <f t="shared" si="36"/>
        <v>#DIV/0!</v>
      </c>
      <c r="H109" s="21" t="str">
        <f t="shared" si="36"/>
        <v>#DIV/0!</v>
      </c>
      <c r="I109" s="21" t="str">
        <f t="shared" si="36"/>
        <v>#DIV/0!</v>
      </c>
      <c r="J109" s="21" t="str">
        <f t="shared" si="36"/>
        <v>#DIV/0!</v>
      </c>
      <c r="K109" s="21" t="str">
        <f t="shared" si="36"/>
        <v>#DIV/0!</v>
      </c>
    </row>
    <row r="110">
      <c r="A110" s="4" t="s">
        <v>87</v>
      </c>
      <c r="B110" s="21">
        <f t="shared" ref="B110:K110" si="37">B103*100/B$100</f>
        <v>0</v>
      </c>
      <c r="C110" s="21">
        <f t="shared" si="37"/>
        <v>0</v>
      </c>
      <c r="D110" s="21">
        <f t="shared" si="37"/>
        <v>0</v>
      </c>
      <c r="E110" s="21">
        <f t="shared" si="37"/>
        <v>0</v>
      </c>
      <c r="F110" s="21" t="str">
        <f t="shared" si="37"/>
        <v>#DIV/0!</v>
      </c>
      <c r="G110" s="21" t="str">
        <f t="shared" si="37"/>
        <v>#DIV/0!</v>
      </c>
      <c r="H110" s="21" t="str">
        <f t="shared" si="37"/>
        <v>#DIV/0!</v>
      </c>
      <c r="I110" s="21" t="str">
        <f t="shared" si="37"/>
        <v>#DIV/0!</v>
      </c>
      <c r="J110" s="21" t="str">
        <f t="shared" si="37"/>
        <v>#DIV/0!</v>
      </c>
      <c r="K110" s="21" t="str">
        <f t="shared" si="37"/>
        <v>#DIV/0!</v>
      </c>
    </row>
    <row r="111">
      <c r="A111" s="4" t="s">
        <v>88</v>
      </c>
      <c r="B111" s="21">
        <f t="shared" ref="B111:K111" si="38">B104*100/B$100</f>
        <v>0</v>
      </c>
      <c r="C111" s="21">
        <f t="shared" si="38"/>
        <v>0</v>
      </c>
      <c r="D111" s="21">
        <f t="shared" si="38"/>
        <v>0</v>
      </c>
      <c r="E111" s="21">
        <f t="shared" si="38"/>
        <v>0</v>
      </c>
      <c r="F111" s="21" t="str">
        <f t="shared" si="38"/>
        <v>#DIV/0!</v>
      </c>
      <c r="G111" s="21" t="str">
        <f t="shared" si="38"/>
        <v>#DIV/0!</v>
      </c>
      <c r="H111" s="21" t="str">
        <f t="shared" si="38"/>
        <v>#DIV/0!</v>
      </c>
      <c r="I111" s="21" t="str">
        <f t="shared" si="38"/>
        <v>#DIV/0!</v>
      </c>
      <c r="J111" s="21" t="str">
        <f t="shared" si="38"/>
        <v>#DIV/0!</v>
      </c>
      <c r="K111" s="21" t="str">
        <f t="shared" si="38"/>
        <v>#DIV/0!</v>
      </c>
    </row>
    <row r="112">
      <c r="A112" s="4" t="s">
        <v>89</v>
      </c>
      <c r="B112" s="21">
        <f t="shared" ref="B112:K112" si="39">B105*100/B$100</f>
        <v>33.33333333</v>
      </c>
      <c r="C112" s="21">
        <f t="shared" si="39"/>
        <v>66.66666667</v>
      </c>
      <c r="D112" s="21">
        <f t="shared" si="39"/>
        <v>50</v>
      </c>
      <c r="E112" s="21">
        <f t="shared" si="39"/>
        <v>66.66666667</v>
      </c>
      <c r="F112" s="21" t="str">
        <f t="shared" si="39"/>
        <v>#DIV/0!</v>
      </c>
      <c r="G112" s="21" t="str">
        <f t="shared" si="39"/>
        <v>#DIV/0!</v>
      </c>
      <c r="H112" s="21" t="str">
        <f t="shared" si="39"/>
        <v>#DIV/0!</v>
      </c>
      <c r="I112" s="21" t="str">
        <f t="shared" si="39"/>
        <v>#DIV/0!</v>
      </c>
      <c r="J112" s="21" t="str">
        <f t="shared" si="39"/>
        <v>#DIV/0!</v>
      </c>
      <c r="K112" s="21" t="str">
        <f t="shared" si="39"/>
        <v>#DIV/0!</v>
      </c>
    </row>
    <row r="113">
      <c r="A113" s="4" t="s">
        <v>44</v>
      </c>
      <c r="B113" s="21">
        <f t="shared" ref="B113:K113" si="40">B106*100/B$100</f>
        <v>66.66666667</v>
      </c>
      <c r="C113" s="21">
        <f t="shared" si="40"/>
        <v>50</v>
      </c>
      <c r="D113" s="21">
        <f t="shared" si="40"/>
        <v>33.33333333</v>
      </c>
      <c r="E113" s="21">
        <f t="shared" si="40"/>
        <v>50</v>
      </c>
      <c r="F113" s="21" t="str">
        <f t="shared" si="40"/>
        <v>#DIV/0!</v>
      </c>
      <c r="G113" s="21" t="str">
        <f t="shared" si="40"/>
        <v>#DIV/0!</v>
      </c>
      <c r="H113" s="21" t="str">
        <f t="shared" si="40"/>
        <v>#DIV/0!</v>
      </c>
      <c r="I113" s="21" t="str">
        <f t="shared" si="40"/>
        <v>#DIV/0!</v>
      </c>
      <c r="J113" s="21" t="str">
        <f t="shared" si="40"/>
        <v>#DIV/0!</v>
      </c>
      <c r="K113" s="21" t="str">
        <f t="shared" si="40"/>
        <v>#DIV/0!</v>
      </c>
    </row>
    <row r="114">
      <c r="A114" s="4" t="s">
        <v>45</v>
      </c>
      <c r="B114" s="21">
        <f t="shared" ref="B114:K114" si="41">B107*100/B$100</f>
        <v>33.33333333</v>
      </c>
      <c r="C114" s="21">
        <f t="shared" si="41"/>
        <v>50</v>
      </c>
      <c r="D114" s="21">
        <f t="shared" si="41"/>
        <v>66.66666667</v>
      </c>
      <c r="E114" s="21">
        <f t="shared" si="41"/>
        <v>50</v>
      </c>
      <c r="F114" s="21" t="str">
        <f t="shared" si="41"/>
        <v>#DIV/0!</v>
      </c>
      <c r="G114" s="21" t="str">
        <f t="shared" si="41"/>
        <v>#DIV/0!</v>
      </c>
      <c r="H114" s="21" t="str">
        <f t="shared" si="41"/>
        <v>#DIV/0!</v>
      </c>
      <c r="I114" s="21" t="str">
        <f t="shared" si="41"/>
        <v>#DIV/0!</v>
      </c>
      <c r="J114" s="21" t="str">
        <f t="shared" si="41"/>
        <v>#DIV/0!</v>
      </c>
      <c r="K114" s="21" t="str">
        <f t="shared" si="41"/>
        <v>#DIV/0!</v>
      </c>
    </row>
    <row r="116">
      <c r="A116" s="2" t="s">
        <v>90</v>
      </c>
      <c r="B116" s="3">
        <v>2016.0</v>
      </c>
      <c r="C116" s="3">
        <v>2017.0</v>
      </c>
      <c r="D116" s="3">
        <v>2018.0</v>
      </c>
      <c r="E116" s="3">
        <v>2019.0</v>
      </c>
      <c r="F116" s="3">
        <v>2020.0</v>
      </c>
      <c r="G116" s="3">
        <v>2021.0</v>
      </c>
      <c r="H116" s="3">
        <v>2022.0</v>
      </c>
      <c r="I116" s="3">
        <v>2023.0</v>
      </c>
      <c r="J116" s="3">
        <v>2024.0</v>
      </c>
      <c r="K116" s="3">
        <v>2025.0</v>
      </c>
    </row>
    <row r="117">
      <c r="A117" s="4" t="s">
        <v>2</v>
      </c>
      <c r="B117" s="18">
        <f>counta('2016'!$A$126:$A$134)</f>
        <v>0</v>
      </c>
      <c r="C117" s="18">
        <f>counta('2017'!$A$127:$A$135)</f>
        <v>7</v>
      </c>
      <c r="D117" s="18">
        <f>counta('2018'!$A$128:$A$136)</f>
        <v>3</v>
      </c>
      <c r="E117" s="18">
        <f>counta('2019'!$A$126:$A$134)</f>
        <v>8</v>
      </c>
      <c r="F117" s="18">
        <f>counta('2020'!$A$126:$A$134)</f>
        <v>4</v>
      </c>
      <c r="G117" s="18">
        <f>counta('2021'!$A$126:$A$134)</f>
        <v>6</v>
      </c>
      <c r="H117" s="18">
        <f>counta('2022'!$A$126:$A$134)</f>
        <v>0</v>
      </c>
      <c r="I117" s="18">
        <f>counta('2023'!$A$126:$A$134)</f>
        <v>0</v>
      </c>
      <c r="J117" s="18">
        <f>counta('2024'!$A$126:$A$134)</f>
        <v>0</v>
      </c>
      <c r="K117" s="18">
        <f>counta('2025'!$A$126:$A$134)</f>
        <v>0</v>
      </c>
    </row>
    <row r="118">
      <c r="A118" s="4" t="s">
        <v>91</v>
      </c>
      <c r="B118" s="18">
        <f>COUNTIF('2016'!$A$126:$A$134, "editor de artigo em revista com IF")</f>
        <v>0</v>
      </c>
      <c r="C118" s="18">
        <f>COUNTIF('2017'!$A$127:$A$135, "editor de artigo em revista com IF")</f>
        <v>0</v>
      </c>
      <c r="D118" s="18">
        <f>COUNTIF('2018'!$A$128:$A$136, "editor de artigo em revista com IF")</f>
        <v>2</v>
      </c>
      <c r="E118" s="18">
        <f>COUNTIF('2019'!$A$126:$A$134, "editor de artigo em revista com IF")</f>
        <v>0</v>
      </c>
      <c r="F118" s="18">
        <f>COUNTIF('2020'!$A$126:$A$134, "editor de artigo em revista com IF")</f>
        <v>0</v>
      </c>
      <c r="G118" s="18">
        <f>COUNTIF('2021'!$A$126:$A$134, "editor de artigo em revista com IF")</f>
        <v>1</v>
      </c>
      <c r="H118" s="18">
        <f>COUNTIF('2022'!$A$126:$A$134, "editor de artigo em revista com IF")</f>
        <v>0</v>
      </c>
      <c r="I118" s="18">
        <f>COUNTIF('2023'!$A$126:$A$134, "editor de artigo em revista com IF")</f>
        <v>0</v>
      </c>
      <c r="J118" s="18">
        <f>COUNTIF('2024'!$A$126:$A$134, "editor de artigo em revista com IF")</f>
        <v>0</v>
      </c>
      <c r="K118" s="18">
        <f>COUNTIF('2025'!$A$126:$A$134, "editor de artigo em revista com IF")</f>
        <v>0</v>
      </c>
    </row>
    <row r="119">
      <c r="A119" s="4" t="s">
        <v>92</v>
      </c>
      <c r="B119" s="18">
        <f>COUNTIF('2016'!$A$126:$A$134, "editor de artigo em revista sem IF")</f>
        <v>0</v>
      </c>
      <c r="C119" s="18">
        <f>COUNTIF('2017'!$A$127:$A$135, "editor de artigo em revista sem IF")</f>
        <v>0</v>
      </c>
      <c r="D119" s="18">
        <f>COUNTIF('2018'!$A$128:$A$136, "editor de artigo em revista sem IF")</f>
        <v>0</v>
      </c>
      <c r="E119" s="18">
        <f>COUNTIF('2019'!$A$126:$A$134, "editor de artigo em revista sem IF")</f>
        <v>0</v>
      </c>
      <c r="F119" s="18">
        <f>COUNTIF('2020'!$A$126:$A$134, "editor de artigo em revista sem IF")</f>
        <v>0</v>
      </c>
      <c r="G119" s="18">
        <f>COUNTIF('2021'!$A$126:$A$134, "editor de artigo em revista sem IF")</f>
        <v>0</v>
      </c>
      <c r="H119" s="18">
        <f>COUNTIF('2022'!$A$126:$A$134, "editor de artigo em revista sem IF")</f>
        <v>0</v>
      </c>
      <c r="I119" s="18">
        <f>COUNTIF('2023'!$A$126:$A$134, "editor de artigo em revista sem IF")</f>
        <v>0</v>
      </c>
      <c r="J119" s="18">
        <f>COUNTIF('2024'!$A$126:$A$134, "editor de artigo em revista sem IF")</f>
        <v>0</v>
      </c>
      <c r="K119" s="18">
        <f>COUNTIF('2025'!$A$126:$A$134, "editor de artigo em revista sem IF")</f>
        <v>0</v>
      </c>
    </row>
    <row r="120">
      <c r="A120" s="4" t="s">
        <v>93</v>
      </c>
      <c r="B120" s="18">
        <f>countif('2016'!$A$126:$A$134, "revisor de artigo em revista com IF")</f>
        <v>0</v>
      </c>
      <c r="C120" s="18">
        <f>countif('2017'!$A$127:$A$135, "revisor de artigo em revista com IF")</f>
        <v>3</v>
      </c>
      <c r="D120" s="18">
        <f>countif('2018'!$A$128:$A$136, "revisor de artigo em revista com IF")</f>
        <v>1</v>
      </c>
      <c r="E120" s="18">
        <f>countif('2019'!$A$126:$A$134, "revisor de artigo em revista com IF")</f>
        <v>5</v>
      </c>
      <c r="F120" s="18">
        <f>countif('2020'!$A$126:$A$134, "revisor de artigo em revista com IF")</f>
        <v>4</v>
      </c>
      <c r="G120" s="18">
        <f>countif('2021'!$A$126:$A$134, "revisor de artigo em revista com IF")</f>
        <v>5</v>
      </c>
      <c r="H120" s="18">
        <f>countif('2022'!$A$126:$A$134, "revisor de artigo em revista com IF")</f>
        <v>0</v>
      </c>
      <c r="I120" s="18">
        <f>countif('2023'!$A$126:$A$134, "revisor de artigo em revista com IF")</f>
        <v>0</v>
      </c>
      <c r="J120" s="18">
        <f>countif('2024'!$A$126:$A$134, "revisor de artigo em revista com IF")</f>
        <v>0</v>
      </c>
      <c r="K120" s="18">
        <f>countif('2025'!$A$126:$A$134, "revisor de artigo em revista com IF")</f>
        <v>0</v>
      </c>
    </row>
    <row r="121">
      <c r="A121" s="4" t="s">
        <v>94</v>
      </c>
      <c r="B121" s="18">
        <f>countif('2016'!$A$126:$A$134, "revisor de artigo em revista sem IF")</f>
        <v>0</v>
      </c>
      <c r="C121" s="18">
        <f>countif('2017'!$A$127:$A$135, "revisor de artigo em revista sem IF")</f>
        <v>1</v>
      </c>
      <c r="D121" s="18">
        <f>countif('2018'!$A$128:$A$136, "revisor de artigo em revista sem IF")</f>
        <v>0</v>
      </c>
      <c r="E121" s="18">
        <f>countif('2019'!$A$126:$A$134, "revisor de artigo em revista sem IF")</f>
        <v>1</v>
      </c>
      <c r="F121" s="18">
        <f>countif('2020'!$A$126:$A$134, "revisor de artigo em revista sem IF")</f>
        <v>0</v>
      </c>
      <c r="G121" s="18">
        <f>countif('2021'!$A$126:$A$134, "revisor de artigo em revista sem IF")</f>
        <v>0</v>
      </c>
      <c r="H121" s="18">
        <f>countif('2022'!$A$126:$A$134, "revisor de artigo em revista sem IF")</f>
        <v>0</v>
      </c>
      <c r="I121" s="18">
        <f>countif('2023'!$A$126:$A$134, "revisor de artigo em revista sem IF")</f>
        <v>0</v>
      </c>
      <c r="J121" s="18">
        <f>countif('2024'!$A$126:$A$134, "revisor de artigo em revista sem IF")</f>
        <v>0</v>
      </c>
      <c r="K121" s="18">
        <f>countif('2025'!$A$126:$A$134, "revisor de artigo em revista sem IF")</f>
        <v>0</v>
      </c>
    </row>
    <row r="122">
      <c r="A122" s="4" t="s">
        <v>95</v>
      </c>
      <c r="B122" s="18">
        <f>countif('2016'!$A$126:$A$134, "revisor de resumo/artigo em congresso")</f>
        <v>0</v>
      </c>
      <c r="C122" s="18">
        <f>countif('2017'!$A$127:$A$135, "revisor de resumo/artigo em congresso")</f>
        <v>3</v>
      </c>
      <c r="D122" s="18">
        <f>countif('2018'!$A$128:$A$136, "revisor de resumo/artigo em congresso")</f>
        <v>0</v>
      </c>
      <c r="E122" s="18">
        <f>countif('2019'!$A$126:$A$134, "revisor de resumo/artigo em congresso")</f>
        <v>2</v>
      </c>
      <c r="F122" s="18">
        <f>countif('2020'!$A$126:$A$134, "revisor de resumo/artigo em congresso")</f>
        <v>0</v>
      </c>
      <c r="G122" s="18">
        <f>countif('2021'!$A$126:$A$134, "revisor de resumo/artigo em congresso")</f>
        <v>0</v>
      </c>
      <c r="H122" s="18">
        <f>countif('2022'!$A$126:$A$134, "revisor de resumo/artigo em congresso")</f>
        <v>0</v>
      </c>
      <c r="I122" s="18">
        <f>countif('2023'!$A$126:$A$134, "revisor de resumo/artigo em congresso")</f>
        <v>0</v>
      </c>
      <c r="J122" s="18">
        <f>countif('2024'!$A$126:$A$134, "revisor de resumo/artigo em congresso")</f>
        <v>0</v>
      </c>
      <c r="K122" s="18">
        <f>countif('2025'!$A$126:$A$134, "revisor de resumo/artigo em congresso")</f>
        <v>0</v>
      </c>
    </row>
    <row r="123">
      <c r="A123" s="4" t="s">
        <v>96</v>
      </c>
      <c r="B123" s="18" t="str">
        <f t="shared" ref="B123:K123" si="42">B118*100/B$117</f>
        <v>#DIV/0!</v>
      </c>
      <c r="C123" s="21">
        <f t="shared" si="42"/>
        <v>0</v>
      </c>
      <c r="D123" s="21">
        <f t="shared" si="42"/>
        <v>66.66666667</v>
      </c>
      <c r="E123" s="18">
        <f t="shared" si="42"/>
        <v>0</v>
      </c>
      <c r="F123" s="18">
        <f t="shared" si="42"/>
        <v>0</v>
      </c>
      <c r="G123" s="18">
        <f t="shared" si="42"/>
        <v>16.66666667</v>
      </c>
      <c r="H123" s="18" t="str">
        <f t="shared" si="42"/>
        <v>#DIV/0!</v>
      </c>
      <c r="I123" s="18" t="str">
        <f t="shared" si="42"/>
        <v>#DIV/0!</v>
      </c>
      <c r="J123" s="18" t="str">
        <f t="shared" si="42"/>
        <v>#DIV/0!</v>
      </c>
      <c r="K123" s="18" t="str">
        <f t="shared" si="42"/>
        <v>#DIV/0!</v>
      </c>
    </row>
    <row r="124">
      <c r="A124" s="4" t="s">
        <v>97</v>
      </c>
      <c r="B124" s="18" t="str">
        <f t="shared" ref="B124:K124" si="43">B119*100/B$117</f>
        <v>#DIV/0!</v>
      </c>
      <c r="C124" s="21">
        <f t="shared" si="43"/>
        <v>0</v>
      </c>
      <c r="D124" s="21">
        <f t="shared" si="43"/>
        <v>0</v>
      </c>
      <c r="E124" s="18">
        <f t="shared" si="43"/>
        <v>0</v>
      </c>
      <c r="F124" s="18">
        <f t="shared" si="43"/>
        <v>0</v>
      </c>
      <c r="G124" s="18">
        <f t="shared" si="43"/>
        <v>0</v>
      </c>
      <c r="H124" s="18" t="str">
        <f t="shared" si="43"/>
        <v>#DIV/0!</v>
      </c>
      <c r="I124" s="18" t="str">
        <f t="shared" si="43"/>
        <v>#DIV/0!</v>
      </c>
      <c r="J124" s="18" t="str">
        <f t="shared" si="43"/>
        <v>#DIV/0!</v>
      </c>
      <c r="K124" s="18" t="str">
        <f t="shared" si="43"/>
        <v>#DIV/0!</v>
      </c>
    </row>
    <row r="125">
      <c r="A125" s="4" t="s">
        <v>98</v>
      </c>
      <c r="B125" s="18" t="str">
        <f t="shared" ref="B125:K125" si="44">B120*100/B$117</f>
        <v>#DIV/0!</v>
      </c>
      <c r="C125" s="21">
        <f t="shared" si="44"/>
        <v>42.85714286</v>
      </c>
      <c r="D125" s="21">
        <f t="shared" si="44"/>
        <v>33.33333333</v>
      </c>
      <c r="E125" s="18">
        <f t="shared" si="44"/>
        <v>62.5</v>
      </c>
      <c r="F125" s="18">
        <f t="shared" si="44"/>
        <v>100</v>
      </c>
      <c r="G125" s="18">
        <f t="shared" si="44"/>
        <v>83.33333333</v>
      </c>
      <c r="H125" s="18" t="str">
        <f t="shared" si="44"/>
        <v>#DIV/0!</v>
      </c>
      <c r="I125" s="18" t="str">
        <f t="shared" si="44"/>
        <v>#DIV/0!</v>
      </c>
      <c r="J125" s="18" t="str">
        <f t="shared" si="44"/>
        <v>#DIV/0!</v>
      </c>
      <c r="K125" s="18" t="str">
        <f t="shared" si="44"/>
        <v>#DIV/0!</v>
      </c>
    </row>
    <row r="126">
      <c r="A126" s="4" t="s">
        <v>99</v>
      </c>
      <c r="B126" s="18" t="str">
        <f t="shared" ref="B126:K126" si="45">B121*100/B$117</f>
        <v>#DIV/0!</v>
      </c>
      <c r="C126" s="21">
        <f t="shared" si="45"/>
        <v>14.28571429</v>
      </c>
      <c r="D126" s="21">
        <f t="shared" si="45"/>
        <v>0</v>
      </c>
      <c r="E126" s="18">
        <f t="shared" si="45"/>
        <v>12.5</v>
      </c>
      <c r="F126" s="18">
        <f t="shared" si="45"/>
        <v>0</v>
      </c>
      <c r="G126" s="18">
        <f t="shared" si="45"/>
        <v>0</v>
      </c>
      <c r="H126" s="18" t="str">
        <f t="shared" si="45"/>
        <v>#DIV/0!</v>
      </c>
      <c r="I126" s="18" t="str">
        <f t="shared" si="45"/>
        <v>#DIV/0!</v>
      </c>
      <c r="J126" s="18" t="str">
        <f t="shared" si="45"/>
        <v>#DIV/0!</v>
      </c>
      <c r="K126" s="18" t="str">
        <f t="shared" si="45"/>
        <v>#DIV/0!</v>
      </c>
    </row>
    <row r="127">
      <c r="A127" s="4" t="s">
        <v>100</v>
      </c>
      <c r="B127" s="18" t="str">
        <f t="shared" ref="B127:K127" si="46">B122*100/B$117</f>
        <v>#DIV/0!</v>
      </c>
      <c r="C127" s="21">
        <f t="shared" si="46"/>
        <v>42.85714286</v>
      </c>
      <c r="D127" s="21">
        <f t="shared" si="46"/>
        <v>0</v>
      </c>
      <c r="E127" s="18">
        <f t="shared" si="46"/>
        <v>25</v>
      </c>
      <c r="F127" s="18">
        <f t="shared" si="46"/>
        <v>0</v>
      </c>
      <c r="G127" s="18">
        <f t="shared" si="46"/>
        <v>0</v>
      </c>
      <c r="H127" s="18" t="str">
        <f t="shared" si="46"/>
        <v>#DIV/0!</v>
      </c>
      <c r="I127" s="18" t="str">
        <f t="shared" si="46"/>
        <v>#DIV/0!</v>
      </c>
      <c r="J127" s="18" t="str">
        <f t="shared" si="46"/>
        <v>#DIV/0!</v>
      </c>
      <c r="K127" s="18" t="str">
        <f t="shared" si="46"/>
        <v>#DIV/0!</v>
      </c>
    </row>
    <row r="128">
      <c r="A128" s="25"/>
    </row>
    <row r="129">
      <c r="A129" s="2" t="s">
        <v>101</v>
      </c>
      <c r="B129" s="3">
        <v>2016.0</v>
      </c>
      <c r="C129" s="3">
        <v>2017.0</v>
      </c>
      <c r="D129" s="3">
        <v>2018.0</v>
      </c>
      <c r="E129" s="3">
        <v>2019.0</v>
      </c>
      <c r="F129" s="3">
        <v>2020.0</v>
      </c>
      <c r="G129" s="3">
        <v>2021.0</v>
      </c>
      <c r="H129" s="3">
        <v>2022.0</v>
      </c>
      <c r="I129" s="3">
        <v>2023.0</v>
      </c>
      <c r="J129" s="3">
        <v>2024.0</v>
      </c>
      <c r="K129" s="3">
        <v>2025.0</v>
      </c>
    </row>
    <row r="130">
      <c r="A130" s="4" t="s">
        <v>2</v>
      </c>
      <c r="B130" s="18">
        <f>counta('2016'!$A$138:$A$146)</f>
        <v>0</v>
      </c>
      <c r="C130" s="18">
        <f>counta('2017'!$A$139:$A$147)</f>
        <v>1</v>
      </c>
      <c r="D130" s="18">
        <f>counta('2018'!$A$140:$A$148)</f>
        <v>0</v>
      </c>
      <c r="E130" s="18">
        <f>counta('2019'!$A$138:$A$146)</f>
        <v>3</v>
      </c>
      <c r="F130" s="18">
        <f>counta('2020'!$A$138:$A$146)</f>
        <v>1</v>
      </c>
      <c r="G130" s="18">
        <f>counta('2021'!$A$138:$A$146)</f>
        <v>0</v>
      </c>
      <c r="H130" s="18">
        <f>counta('2022'!$A$138:$A$146)</f>
        <v>0</v>
      </c>
      <c r="I130" s="18">
        <f>counta('2023'!$A$138:$A$146)</f>
        <v>0</v>
      </c>
      <c r="J130" s="18">
        <f>counta('2024'!$A$138:$A$146)</f>
        <v>0</v>
      </c>
      <c r="K130" s="18">
        <f>counta('2025'!$A$138:$A$146)</f>
        <v>0</v>
      </c>
    </row>
    <row r="131">
      <c r="A131" s="4" t="s">
        <v>102</v>
      </c>
      <c r="B131" s="18">
        <f>COUNTIF('2016'!$A$138:$A$146,"membro de painel de avaliaçao de projetos financiados")</f>
        <v>0</v>
      </c>
      <c r="C131" s="18">
        <f>COUNTIF('2017'!$A$139:$A$147,"membro de painel de avaliaçao de projetos financiados")</f>
        <v>0</v>
      </c>
      <c r="D131" s="18">
        <f>COUNTIF('2018'!$A$140:$A$148,"membro de painel de avaliaçao de projetos financiados")</f>
        <v>0</v>
      </c>
      <c r="E131" s="18">
        <f>COUNTIF('2019'!$A$138:$A$146,"membro de painel de avaliaçao de projetos financiados")</f>
        <v>0</v>
      </c>
      <c r="F131" s="18">
        <f>COUNTIF('2020'!$A$138:$A$146,"membro de painel de avaliaçao de projetos financiados")</f>
        <v>1</v>
      </c>
      <c r="G131" s="18">
        <f>COUNTIF('2021'!$A$138:$A$146,"membro de painel de avaliaçao de projetos financiados")</f>
        <v>0</v>
      </c>
      <c r="H131" s="18">
        <f>COUNTIF('2022'!$A$138:$A$146,"membro de painel de avaliaçao de projetos financiados")</f>
        <v>0</v>
      </c>
      <c r="I131" s="18">
        <f>COUNTIF('2023'!$A$138:$A$146,"membro de painel de avaliaçao de projetos financiados")</f>
        <v>0</v>
      </c>
      <c r="J131" s="18">
        <f>COUNTIF('2024'!$A$138:$A$146,"membro de painel de avaliaçao de projetos financiados")</f>
        <v>0</v>
      </c>
      <c r="K131" s="18">
        <f>COUNTIF('2025'!$A$138:$A$146,"membro de painel de avaliaçao de projetos financiados")</f>
        <v>0</v>
      </c>
    </row>
    <row r="132">
      <c r="A132" s="4" t="s">
        <v>103</v>
      </c>
      <c r="B132" s="18">
        <f>countif('2016'!$A$138:$A$146,"membro de painel de avaliação de concursos académicos")</f>
        <v>0</v>
      </c>
      <c r="C132" s="18">
        <f>countif('2017'!$A$139:$A$147,"membro de painel de avaliação de concursos académicos")</f>
        <v>0</v>
      </c>
      <c r="D132" s="18">
        <f>countif('2018'!$A$140:$A$148,"membro de painel de avaliação de concursos académicos")</f>
        <v>0</v>
      </c>
      <c r="E132" s="18">
        <f>countif('2019'!$A$138:$A$146,"membro de painel de avaliação de concursos académicos")</f>
        <v>0</v>
      </c>
      <c r="F132" s="18">
        <f>countif('2020'!$A$138:$A$146,"membro de painel de avaliação de concursos académicos")</f>
        <v>0</v>
      </c>
      <c r="G132" s="18">
        <f>countif('2021'!$A$138:$A$146,"membro de painel de avaliação de concursos académicos")</f>
        <v>0</v>
      </c>
      <c r="H132" s="18">
        <f>countif('2022'!$A$138:$A$146,"membro de painel de avaliação de concursos académicos")</f>
        <v>0</v>
      </c>
      <c r="I132" s="18">
        <f>countif('2023'!$A$138:$A$146,"membro de painel de avaliação de concursos académicos")</f>
        <v>0</v>
      </c>
      <c r="J132" s="18">
        <f>countif('2024'!$A$138:$A$146,"membro de painel de avaliação de concursos académicos")</f>
        <v>0</v>
      </c>
      <c r="K132" s="18">
        <f>countif('2025'!$A$138:$A$146,"membro de painel de avaliação de concursos académicos")</f>
        <v>0</v>
      </c>
    </row>
    <row r="133">
      <c r="A133" s="4" t="s">
        <v>104</v>
      </c>
      <c r="B133" s="18">
        <f>countif('2016'!$A$138:$A$146,"membro de painel de avaliação de prémios científicos")</f>
        <v>0</v>
      </c>
      <c r="C133" s="18">
        <f>countif('2017'!$A$139:$A$147,"membro de painel de avaliação de prémios científicos")</f>
        <v>0</v>
      </c>
      <c r="D133" s="18">
        <f>countif('2018'!$A$140:$A$148,"membro de painel de avaliação de prémios científicos")</f>
        <v>0</v>
      </c>
      <c r="E133" s="18">
        <f>countif('2019'!$A$138:$A$146,"membro de painel de avaliação de prémios científicos")</f>
        <v>0</v>
      </c>
      <c r="F133" s="18">
        <f>countif('2020'!$A$138:$A$146,"membro de painel de avaliação de prémios científicos")</f>
        <v>0</v>
      </c>
      <c r="G133" s="18">
        <f>countif('2021'!$A$138:$A$146,"membro de painel de avaliação de prémios científicos")</f>
        <v>0</v>
      </c>
      <c r="H133" s="18">
        <f>countif('2022'!$A$138:$A$146,"membro de painel de avaliação de prémios científicos")</f>
        <v>0</v>
      </c>
      <c r="I133" s="18">
        <f>countif('2023'!$A$138:$A$146,"membro de painel de avaliação de prémios científicos")</f>
        <v>0</v>
      </c>
      <c r="J133" s="18">
        <f>countif('2024'!$A$138:$A$146,"membro de painel de avaliação de prémios científicos")</f>
        <v>0</v>
      </c>
      <c r="K133" s="18">
        <f>countif('2025'!$A$138:$A$146,"membro de painel de avaliação de prémios científicos")</f>
        <v>0</v>
      </c>
    </row>
    <row r="134">
      <c r="A134" s="4" t="s">
        <v>105</v>
      </c>
      <c r="B134" s="18">
        <f>countif('2016'!$A$138:$A$146,"membro de painel de avaliação de bolsas")</f>
        <v>0</v>
      </c>
      <c r="C134" s="18">
        <f>countif('2017'!$A$139:$A$147,"membro de painel de avaliação de bolsas")</f>
        <v>1</v>
      </c>
      <c r="D134" s="18">
        <f>countif('2018'!$A$140:$A$148,"membro de painel de avaliação de bolsas")</f>
        <v>0</v>
      </c>
      <c r="E134" s="18">
        <f>countif('2019'!$A$138:$A$146,"membro de painel de avaliação de bolsas")</f>
        <v>3</v>
      </c>
      <c r="F134" s="18">
        <f>countif('2020'!$A$138:$A$146,"membro de painel de avaliação de bolsas")</f>
        <v>0</v>
      </c>
      <c r="G134" s="18">
        <f>countif('2021'!$A$138:$A$146,"membro de painel de avaliação de bolsas")</f>
        <v>0</v>
      </c>
      <c r="H134" s="18">
        <f>countif('2022'!$A$138:$A$146,"membro de painel de avaliação de bolsas")</f>
        <v>0</v>
      </c>
      <c r="I134" s="18">
        <f>countif('2023'!$A$138:$A$146,"membro de painel de avaliação de bolsas")</f>
        <v>0</v>
      </c>
      <c r="J134" s="18">
        <f>countif('2024'!$A$138:$A$146,"membro de painel de avaliação de bolsas")</f>
        <v>0</v>
      </c>
      <c r="K134" s="18">
        <f>countif('2025'!$A$138:$A$146,"membro de painel de avaliação de bolsas")</f>
        <v>0</v>
      </c>
    </row>
    <row r="135">
      <c r="A135" s="4" t="s">
        <v>106</v>
      </c>
      <c r="B135" s="18" t="str">
        <f t="shared" ref="B135:K135" si="47">B131*100/B$130</f>
        <v>#DIV/0!</v>
      </c>
      <c r="C135" s="18">
        <f t="shared" si="47"/>
        <v>0</v>
      </c>
      <c r="D135" s="18" t="str">
        <f t="shared" si="47"/>
        <v>#DIV/0!</v>
      </c>
      <c r="E135" s="18">
        <f t="shared" si="47"/>
        <v>0</v>
      </c>
      <c r="F135" s="18">
        <f t="shared" si="47"/>
        <v>100</v>
      </c>
      <c r="G135" s="18" t="str">
        <f t="shared" si="47"/>
        <v>#DIV/0!</v>
      </c>
      <c r="H135" s="18" t="str">
        <f t="shared" si="47"/>
        <v>#DIV/0!</v>
      </c>
      <c r="I135" s="18" t="str">
        <f t="shared" si="47"/>
        <v>#DIV/0!</v>
      </c>
      <c r="J135" s="18" t="str">
        <f t="shared" si="47"/>
        <v>#DIV/0!</v>
      </c>
      <c r="K135" s="18" t="str">
        <f t="shared" si="47"/>
        <v>#DIV/0!</v>
      </c>
    </row>
    <row r="136">
      <c r="A136" s="4" t="s">
        <v>107</v>
      </c>
      <c r="B136" s="18" t="str">
        <f t="shared" ref="B136:K136" si="48">B132*100/B$130</f>
        <v>#DIV/0!</v>
      </c>
      <c r="C136" s="18">
        <f t="shared" si="48"/>
        <v>0</v>
      </c>
      <c r="D136" s="18" t="str">
        <f t="shared" si="48"/>
        <v>#DIV/0!</v>
      </c>
      <c r="E136" s="18">
        <f t="shared" si="48"/>
        <v>0</v>
      </c>
      <c r="F136" s="18">
        <f t="shared" si="48"/>
        <v>0</v>
      </c>
      <c r="G136" s="18" t="str">
        <f t="shared" si="48"/>
        <v>#DIV/0!</v>
      </c>
      <c r="H136" s="18" t="str">
        <f t="shared" si="48"/>
        <v>#DIV/0!</v>
      </c>
      <c r="I136" s="18" t="str">
        <f t="shared" si="48"/>
        <v>#DIV/0!</v>
      </c>
      <c r="J136" s="18" t="str">
        <f t="shared" si="48"/>
        <v>#DIV/0!</v>
      </c>
      <c r="K136" s="18" t="str">
        <f t="shared" si="48"/>
        <v>#DIV/0!</v>
      </c>
    </row>
    <row r="137">
      <c r="A137" s="4" t="s">
        <v>108</v>
      </c>
      <c r="B137" s="18" t="str">
        <f t="shared" ref="B137:K137" si="49">B133*100/B$130</f>
        <v>#DIV/0!</v>
      </c>
      <c r="C137" s="18">
        <f t="shared" si="49"/>
        <v>0</v>
      </c>
      <c r="D137" s="18" t="str">
        <f t="shared" si="49"/>
        <v>#DIV/0!</v>
      </c>
      <c r="E137" s="18">
        <f t="shared" si="49"/>
        <v>0</v>
      </c>
      <c r="F137" s="18">
        <f t="shared" si="49"/>
        <v>0</v>
      </c>
      <c r="G137" s="18" t="str">
        <f t="shared" si="49"/>
        <v>#DIV/0!</v>
      </c>
      <c r="H137" s="18" t="str">
        <f t="shared" si="49"/>
        <v>#DIV/0!</v>
      </c>
      <c r="I137" s="18" t="str">
        <f t="shared" si="49"/>
        <v>#DIV/0!</v>
      </c>
      <c r="J137" s="18" t="str">
        <f t="shared" si="49"/>
        <v>#DIV/0!</v>
      </c>
      <c r="K137" s="18" t="str">
        <f t="shared" si="49"/>
        <v>#DIV/0!</v>
      </c>
    </row>
    <row r="138">
      <c r="A138" s="4" t="s">
        <v>109</v>
      </c>
      <c r="B138" s="18" t="str">
        <f t="shared" ref="B138:K138" si="50">B134*100/B$130</f>
        <v>#DIV/0!</v>
      </c>
      <c r="C138" s="18">
        <f t="shared" si="50"/>
        <v>100</v>
      </c>
      <c r="D138" s="18" t="str">
        <f t="shared" si="50"/>
        <v>#DIV/0!</v>
      </c>
      <c r="E138" s="18">
        <f t="shared" si="50"/>
        <v>100</v>
      </c>
      <c r="F138" s="18">
        <f t="shared" si="50"/>
        <v>0</v>
      </c>
      <c r="G138" s="18" t="str">
        <f t="shared" si="50"/>
        <v>#DIV/0!</v>
      </c>
      <c r="H138" s="18" t="str">
        <f t="shared" si="50"/>
        <v>#DIV/0!</v>
      </c>
      <c r="I138" s="18" t="str">
        <f t="shared" si="50"/>
        <v>#DIV/0!</v>
      </c>
      <c r="J138" s="18" t="str">
        <f t="shared" si="50"/>
        <v>#DIV/0!</v>
      </c>
      <c r="K138" s="18" t="str">
        <f t="shared" si="50"/>
        <v>#DIV/0!</v>
      </c>
    </row>
    <row r="140">
      <c r="A140" s="26" t="s">
        <v>110</v>
      </c>
      <c r="B140" s="27"/>
      <c r="C140" s="27"/>
      <c r="D140" s="27"/>
      <c r="E140" s="27"/>
      <c r="F140" s="27"/>
      <c r="G140" s="27"/>
      <c r="H140" s="27"/>
      <c r="I140" s="27"/>
      <c r="J140" s="27"/>
      <c r="K140" s="27"/>
    </row>
    <row r="141">
      <c r="A141" s="28"/>
      <c r="B141" s="27"/>
      <c r="C141" s="27"/>
      <c r="D141" s="27"/>
      <c r="E141" s="27"/>
      <c r="F141" s="27"/>
      <c r="G141" s="27"/>
      <c r="H141" s="27"/>
      <c r="I141" s="27"/>
      <c r="J141" s="27"/>
      <c r="K141" s="27"/>
    </row>
    <row r="142">
      <c r="A142" s="2" t="s">
        <v>111</v>
      </c>
      <c r="B142" s="3">
        <v>2016.0</v>
      </c>
      <c r="C142" s="3">
        <v>2017.0</v>
      </c>
      <c r="D142" s="3">
        <v>2018.0</v>
      </c>
      <c r="E142" s="3">
        <v>2019.0</v>
      </c>
      <c r="F142" s="3">
        <v>2020.0</v>
      </c>
      <c r="G142" s="3">
        <v>2021.0</v>
      </c>
      <c r="H142" s="3">
        <v>2022.0</v>
      </c>
      <c r="I142" s="3">
        <v>2023.0</v>
      </c>
      <c r="J142" s="3">
        <v>2024.0</v>
      </c>
      <c r="K142" s="3">
        <v>2025.0</v>
      </c>
    </row>
    <row r="143">
      <c r="A143" s="4" t="s">
        <v>2</v>
      </c>
      <c r="B143" s="18">
        <f>counta('2016'!$A$150:$A$169)</f>
        <v>6</v>
      </c>
      <c r="C143" s="18">
        <f>counta('2017'!$A$151:$A$170)</f>
        <v>8</v>
      </c>
      <c r="D143" s="18">
        <f>counta('2018'!$A$152:$A$171)</f>
        <v>6</v>
      </c>
      <c r="E143" s="21">
        <f>COUNTA('2019'!$A$150:$A$173)</f>
        <v>24</v>
      </c>
      <c r="F143" s="21">
        <f>counta('2020'!$A$150:$A$169)</f>
        <v>19</v>
      </c>
      <c r="G143" s="18">
        <f>counta('2021'!$A$150:$A$169)</f>
        <v>10</v>
      </c>
      <c r="H143" s="18">
        <f>counta('2022'!$A$150:$A$169)</f>
        <v>0</v>
      </c>
      <c r="I143" s="18">
        <f>counta('2023'!$A$150:$A$169)</f>
        <v>0</v>
      </c>
      <c r="J143" s="18">
        <f>counta('2024'!$A$150:$A$169)</f>
        <v>0</v>
      </c>
      <c r="K143" s="18">
        <f>counta('2025'!$A$150:$A$169)</f>
        <v>0</v>
      </c>
    </row>
    <row r="144">
      <c r="A144" s="4" t="s">
        <v>112</v>
      </c>
      <c r="B144" s="18">
        <f>countif('2016'!$A$150:$A$169,"teses doutoramento defendidas")</f>
        <v>3</v>
      </c>
      <c r="C144" s="18">
        <f>countif('2017'!$A$151:$A$170,"teses doutoramento defendidas")</f>
        <v>2</v>
      </c>
      <c r="D144" s="18">
        <f>countif('2018'!$A$152:$A$171,"teses doutoramento defendidas")</f>
        <v>0</v>
      </c>
      <c r="E144" s="21">
        <f>COUNTIF('2019'!$A$150:$A$173,"teses doutoramento defendidas")</f>
        <v>1</v>
      </c>
      <c r="F144" s="21">
        <f>countif('2020'!$A$150:$A$169,"teses doutoramento defendidas")</f>
        <v>0</v>
      </c>
      <c r="G144" s="18">
        <f>countif('2021'!$A$150:$A$169,"teses doutoramento defendidas")</f>
        <v>0</v>
      </c>
      <c r="H144" s="18">
        <f>countif('2022'!$A$150:$A$169,"teses doutoramento defendidas")</f>
        <v>0</v>
      </c>
      <c r="I144" s="18">
        <f>countif('2023'!$A$150:$A$169,"teses doutoramento defendidas")</f>
        <v>0</v>
      </c>
      <c r="J144" s="18">
        <f>countif('2024'!$A$150:$A$169,"teses doutoramento defendidas")</f>
        <v>0</v>
      </c>
      <c r="K144" s="18">
        <f>countif('2025'!$A$150:$A$169,"teses doutoramento defendidas")</f>
        <v>0</v>
      </c>
    </row>
    <row r="145">
      <c r="A145" s="4" t="s">
        <v>113</v>
      </c>
      <c r="B145" s="18">
        <f>countif('2016'!$A$150:$A$169,"teses mestrado defendidas")</f>
        <v>1</v>
      </c>
      <c r="C145" s="18">
        <f>countif('2017'!$A$151:$A$170,"teses mestrado defendidas")</f>
        <v>0</v>
      </c>
      <c r="D145" s="18">
        <f>countif('2018'!$A$152:$A$171,"teses mestrado defendidas")</f>
        <v>0</v>
      </c>
      <c r="E145" s="21">
        <f>COUNTIF('2019'!$A$150:$A$173,"teses mestrado defendidas")</f>
        <v>5</v>
      </c>
      <c r="F145" s="21">
        <f>countif('2020'!$A$150:$A$169,"teses mestrado defendidas")</f>
        <v>6</v>
      </c>
      <c r="G145" s="18">
        <f>countif('2021'!$A$150:$A$169,"teses mestrado defendidas")</f>
        <v>1</v>
      </c>
      <c r="H145" s="18">
        <f>countif('2022'!$A$150:$A$169,"teses mestrado defendidas")</f>
        <v>0</v>
      </c>
      <c r="I145" s="18">
        <f>countif('2023'!$A$150:$A$169,"teses mestrado defendidas")</f>
        <v>0</v>
      </c>
      <c r="J145" s="18">
        <f>countif('2024'!$A$150:$A$169,"teses mestrado defendidas")</f>
        <v>0</v>
      </c>
      <c r="K145" s="18">
        <f>countif('2025'!$A$150:$A$169,"teses mestrado defendidas")</f>
        <v>0</v>
      </c>
    </row>
    <row r="146">
      <c r="A146" s="4" t="s">
        <v>114</v>
      </c>
      <c r="B146" s="18">
        <f>countif('2016'!$A$150:$A$169,"orientação de teses de doutoramento em curso")</f>
        <v>0</v>
      </c>
      <c r="C146" s="18">
        <f>countif('2017'!$A$151:$A$170,"orientação de teses de doutoramento em curso")</f>
        <v>0</v>
      </c>
      <c r="D146" s="18">
        <f>countif('2018'!$A$152:$A$171,"orientação de teses de doutoramento em curso")</f>
        <v>0</v>
      </c>
      <c r="E146" s="21">
        <f>COUNTIF('2019'!$A$150:$A$173,"orientação de teses de doutoramento em curso")</f>
        <v>0</v>
      </c>
      <c r="F146" s="21">
        <f>countif('2020'!$A$150:$A$169,"orientação de teses de doutoramento em curso")</f>
        <v>0</v>
      </c>
      <c r="G146" s="18">
        <f>countif('2021'!$A$150:$A$169,"orientação de teses de doutoramento em curso")</f>
        <v>0</v>
      </c>
      <c r="H146" s="18">
        <f>countif('2022'!$A$150:$A$169,"orientação de teses de doutoramento em curso")</f>
        <v>0</v>
      </c>
      <c r="I146" s="18">
        <f>countif('2023'!$A$150:$A$169,"orientação de teses de doutoramento em curso")</f>
        <v>0</v>
      </c>
      <c r="J146" s="18">
        <f>countif('2024'!$A$150:$A$169,"orientação de teses de doutoramento em curso")</f>
        <v>0</v>
      </c>
      <c r="K146" s="18">
        <f>countif('2025'!$A$150:$A$169,"orientação de teses de doutoramento em curso")</f>
        <v>0</v>
      </c>
    </row>
    <row r="147">
      <c r="A147" s="4" t="s">
        <v>115</v>
      </c>
      <c r="B147" s="18">
        <f>countif('2016'!$A$150:$A$169,"orientação de teses de mestrado em curso")</f>
        <v>0</v>
      </c>
      <c r="C147" s="18">
        <f>countif('2017'!$A$151:$A$170,"orientação de teses de mestrado em curso")</f>
        <v>0</v>
      </c>
      <c r="D147" s="18">
        <f>countif('2018'!$A$152:$A$171,"orientação de teses de mestrado em curso")</f>
        <v>0</v>
      </c>
      <c r="E147" s="21">
        <f>COUNTIF('2019'!$A$150:$A$173,"orientação de teses de mestrado em curso")</f>
        <v>0</v>
      </c>
      <c r="F147" s="21">
        <f>countif('2020'!$A$150:$A$169,"orientação de teses de mestrado em curso")</f>
        <v>0</v>
      </c>
      <c r="G147" s="18">
        <f>countif('2021'!$A$150:$A$169,"orientação de teses de mestrado em curso")</f>
        <v>0</v>
      </c>
      <c r="H147" s="18">
        <f>countif('2022'!$A$150:$A$169,"orientação de teses de mestrado em curso")</f>
        <v>0</v>
      </c>
      <c r="I147" s="18">
        <f>countif('2023'!$A$150:$A$169,"orientação de teses de mestrado em curso")</f>
        <v>0</v>
      </c>
      <c r="J147" s="18">
        <f>countif('2024'!$A$150:$A$169,"orientação de teses de mestrado em curso")</f>
        <v>0</v>
      </c>
      <c r="K147" s="18">
        <f>countif('2025'!$A$150:$A$169,"orientação de teses de mestrado em curso")</f>
        <v>0</v>
      </c>
    </row>
    <row r="148">
      <c r="A148" s="4" t="s">
        <v>116</v>
      </c>
      <c r="B148" s="18">
        <f>countif('2016'!$A$150:$A$169,"orientação estágios 1º ciclo")</f>
        <v>0</v>
      </c>
      <c r="C148" s="18">
        <f>countif('2017'!$A$151:$A$170,"orientação estágios 1º ciclo")</f>
        <v>2</v>
      </c>
      <c r="D148" s="18">
        <f>countif('2018'!$A$152:$A$171,"orientação estágios 1º ciclo")</f>
        <v>0</v>
      </c>
      <c r="E148" s="21">
        <f>COUNTIF('2019'!$A$150:$A$173,"orientação estágios 1º ciclo")</f>
        <v>7</v>
      </c>
      <c r="F148" s="21">
        <f>countif('2020'!$A$150:$A$169,"orientação estágios 1º ciclo")</f>
        <v>2</v>
      </c>
      <c r="G148" s="18">
        <f>countif('2021'!$A$150:$A$169,"orientação estágios 1º ciclo")</f>
        <v>5</v>
      </c>
      <c r="H148" s="18">
        <f>countif('2022'!$A$150:$A$169,"orientação estágios 1º ciclo")</f>
        <v>0</v>
      </c>
      <c r="I148" s="18">
        <f>countif('2023'!$A$150:$A$169,"orientação estágios 1º ciclo")</f>
        <v>0</v>
      </c>
      <c r="J148" s="18">
        <f>countif('2024'!$A$150:$A$169,"orientação estágios 1º ciclo")</f>
        <v>0</v>
      </c>
      <c r="K148" s="18">
        <f>countif('2025'!$A$150:$A$169,"orientação estágios 1º ciclo")</f>
        <v>0</v>
      </c>
    </row>
    <row r="149">
      <c r="A149" s="4" t="s">
        <v>117</v>
      </c>
      <c r="B149" s="18">
        <f>countif('2016'!$A$150:$A$169,"orientação estágios 2º ciclo")</f>
        <v>0</v>
      </c>
      <c r="C149" s="18">
        <f>countif('2017'!$A$151:$A$170,"orientação estágios 2º ciclo")</f>
        <v>1</v>
      </c>
      <c r="D149" s="18">
        <f>countif('2018'!$A$152:$A$171,"orientação estágios 2º ciclo")</f>
        <v>0</v>
      </c>
      <c r="E149" s="21">
        <f>COUNTIF('2019'!$A$150:$A$173,"orientação estágios 2º ciclo")</f>
        <v>2</v>
      </c>
      <c r="F149" s="21">
        <f>countif('2020'!$A$150:$A$169,"orientação estágios 2º ciclo")</f>
        <v>4</v>
      </c>
      <c r="G149" s="18">
        <f>countif('2021'!$A$150:$A$169,"orientação estágios 2º ciclo")</f>
        <v>1</v>
      </c>
      <c r="H149" s="18">
        <f>countif('2022'!$A$150:$A$169,"orientação estágios 2º ciclo")</f>
        <v>0</v>
      </c>
      <c r="I149" s="18">
        <f>countif('2023'!$A$150:$A$169,"orientação estágios 2º ciclo")</f>
        <v>0</v>
      </c>
      <c r="J149" s="18">
        <f>countif('2024'!$A$150:$A$169,"orientação estágios 2º ciclo")</f>
        <v>0</v>
      </c>
      <c r="K149" s="18">
        <f>countif('2025'!$A$150:$A$169,"orientação estágios 2º ciclo")</f>
        <v>0</v>
      </c>
    </row>
    <row r="150">
      <c r="A150" s="4" t="s">
        <v>118</v>
      </c>
      <c r="B150" s="18">
        <f>COUNTIF('2016'!$A$150:$A$169,"orientação estágios 3º ciclo ou pós-doc")</f>
        <v>0</v>
      </c>
      <c r="C150" s="18">
        <f>COUNTIF('2017'!$A$151:$A$170,"orientação estágios 3º ciclo ou pós-doc")</f>
        <v>0</v>
      </c>
      <c r="D150" s="18">
        <f>COUNTIF('2018'!$A$152:$A$171,"orientação estágios 3º ciclo ou pós-doc")</f>
        <v>0</v>
      </c>
      <c r="E150" s="21">
        <f>COUNTIF('2019'!$A$150:$A$173,"orientação estágios 3º ciclo ou pós-doc")</f>
        <v>0</v>
      </c>
      <c r="F150" s="21">
        <f>COUNTIF('2020'!$A$150:$A$169,"orientação estágios 3º ciclo ou pós-doc")</f>
        <v>0</v>
      </c>
      <c r="G150" s="18">
        <f>COUNTIF('2021'!$A$150:$A$169,"orientação estágios 3º ciclo ou pós-doc")</f>
        <v>0</v>
      </c>
      <c r="H150" s="18">
        <f>COUNTIF('2022'!$A$150:$A$169,"orientação estágios 3º ciclo ou pós-doc")</f>
        <v>0</v>
      </c>
      <c r="I150" s="18">
        <f>COUNTIF('2023'!$A$150:$A$169,"orientação estágios 3º ciclo ou pós-doc")</f>
        <v>0</v>
      </c>
      <c r="J150" s="18">
        <f>COUNTIF('2024'!$A$150:$A$169,"orientação estágios 3º ciclo ou pós-doc")</f>
        <v>0</v>
      </c>
      <c r="K150" s="18">
        <f>COUNTIF('2025'!$A$150:$A$169,"orientação estágios 3º ciclo ou pós-doc")</f>
        <v>0</v>
      </c>
    </row>
    <row r="151">
      <c r="A151" s="4" t="s">
        <v>119</v>
      </c>
      <c r="B151" s="21">
        <f t="shared" ref="B151:K151" si="51">B144*100/B$143</f>
        <v>50</v>
      </c>
      <c r="C151" s="21">
        <f t="shared" si="51"/>
        <v>25</v>
      </c>
      <c r="D151" s="21">
        <f t="shared" si="51"/>
        <v>0</v>
      </c>
      <c r="E151" s="21">
        <f t="shared" si="51"/>
        <v>4.166666667</v>
      </c>
      <c r="F151" s="21">
        <f t="shared" si="51"/>
        <v>0</v>
      </c>
      <c r="G151" s="18">
        <f t="shared" si="51"/>
        <v>0</v>
      </c>
      <c r="H151" s="18" t="str">
        <f t="shared" si="51"/>
        <v>#DIV/0!</v>
      </c>
      <c r="I151" s="18" t="str">
        <f t="shared" si="51"/>
        <v>#DIV/0!</v>
      </c>
      <c r="J151" s="18" t="str">
        <f t="shared" si="51"/>
        <v>#DIV/0!</v>
      </c>
      <c r="K151" s="18" t="str">
        <f t="shared" si="51"/>
        <v>#DIV/0!</v>
      </c>
    </row>
    <row r="152">
      <c r="A152" s="4" t="s">
        <v>120</v>
      </c>
      <c r="B152" s="21">
        <f t="shared" ref="B152:K152" si="52">B145*100/B$143</f>
        <v>16.66666667</v>
      </c>
      <c r="C152" s="21">
        <f t="shared" si="52"/>
        <v>0</v>
      </c>
      <c r="D152" s="21">
        <f t="shared" si="52"/>
        <v>0</v>
      </c>
      <c r="E152" s="21">
        <f t="shared" si="52"/>
        <v>20.83333333</v>
      </c>
      <c r="F152" s="21">
        <f t="shared" si="52"/>
        <v>31.57894737</v>
      </c>
      <c r="G152" s="18">
        <f t="shared" si="52"/>
        <v>10</v>
      </c>
      <c r="H152" s="18" t="str">
        <f t="shared" si="52"/>
        <v>#DIV/0!</v>
      </c>
      <c r="I152" s="18" t="str">
        <f t="shared" si="52"/>
        <v>#DIV/0!</v>
      </c>
      <c r="J152" s="18" t="str">
        <f t="shared" si="52"/>
        <v>#DIV/0!</v>
      </c>
      <c r="K152" s="18" t="str">
        <f t="shared" si="52"/>
        <v>#DIV/0!</v>
      </c>
    </row>
    <row r="153">
      <c r="A153" s="4" t="s">
        <v>121</v>
      </c>
      <c r="B153" s="21">
        <f t="shared" ref="B153:K153" si="53">B146*100/B$143</f>
        <v>0</v>
      </c>
      <c r="C153" s="21">
        <f t="shared" si="53"/>
        <v>0</v>
      </c>
      <c r="D153" s="21">
        <f t="shared" si="53"/>
        <v>0</v>
      </c>
      <c r="E153" s="21">
        <f t="shared" si="53"/>
        <v>0</v>
      </c>
      <c r="F153" s="21">
        <f t="shared" si="53"/>
        <v>0</v>
      </c>
      <c r="G153" s="18">
        <f t="shared" si="53"/>
        <v>0</v>
      </c>
      <c r="H153" s="18" t="str">
        <f t="shared" si="53"/>
        <v>#DIV/0!</v>
      </c>
      <c r="I153" s="18" t="str">
        <f t="shared" si="53"/>
        <v>#DIV/0!</v>
      </c>
      <c r="J153" s="18" t="str">
        <f t="shared" si="53"/>
        <v>#DIV/0!</v>
      </c>
      <c r="K153" s="18" t="str">
        <f t="shared" si="53"/>
        <v>#DIV/0!</v>
      </c>
    </row>
    <row r="154">
      <c r="A154" s="4" t="s">
        <v>122</v>
      </c>
      <c r="B154" s="21">
        <f t="shared" ref="B154:K154" si="54">B147*100/B$143</f>
        <v>0</v>
      </c>
      <c r="C154" s="21">
        <f t="shared" si="54"/>
        <v>0</v>
      </c>
      <c r="D154" s="21">
        <f t="shared" si="54"/>
        <v>0</v>
      </c>
      <c r="E154" s="21">
        <f t="shared" si="54"/>
        <v>0</v>
      </c>
      <c r="F154" s="21">
        <f t="shared" si="54"/>
        <v>0</v>
      </c>
      <c r="G154" s="18">
        <f t="shared" si="54"/>
        <v>0</v>
      </c>
      <c r="H154" s="18" t="str">
        <f t="shared" si="54"/>
        <v>#DIV/0!</v>
      </c>
      <c r="I154" s="18" t="str">
        <f t="shared" si="54"/>
        <v>#DIV/0!</v>
      </c>
      <c r="J154" s="18" t="str">
        <f t="shared" si="54"/>
        <v>#DIV/0!</v>
      </c>
      <c r="K154" s="18" t="str">
        <f t="shared" si="54"/>
        <v>#DIV/0!</v>
      </c>
    </row>
    <row r="155">
      <c r="A155" s="4" t="s">
        <v>123</v>
      </c>
      <c r="B155" s="21">
        <f t="shared" ref="B155:K155" si="55">B148*100/B$143</f>
        <v>0</v>
      </c>
      <c r="C155" s="21">
        <f t="shared" si="55"/>
        <v>25</v>
      </c>
      <c r="D155" s="21">
        <f t="shared" si="55"/>
        <v>0</v>
      </c>
      <c r="E155" s="21">
        <f t="shared" si="55"/>
        <v>29.16666667</v>
      </c>
      <c r="F155" s="21">
        <f t="shared" si="55"/>
        <v>10.52631579</v>
      </c>
      <c r="G155" s="18">
        <f t="shared" si="55"/>
        <v>50</v>
      </c>
      <c r="H155" s="18" t="str">
        <f t="shared" si="55"/>
        <v>#DIV/0!</v>
      </c>
      <c r="I155" s="18" t="str">
        <f t="shared" si="55"/>
        <v>#DIV/0!</v>
      </c>
      <c r="J155" s="18" t="str">
        <f t="shared" si="55"/>
        <v>#DIV/0!</v>
      </c>
      <c r="K155" s="18" t="str">
        <f t="shared" si="55"/>
        <v>#DIV/0!</v>
      </c>
    </row>
    <row r="156">
      <c r="A156" s="4" t="s">
        <v>124</v>
      </c>
      <c r="B156" s="21">
        <f t="shared" ref="B156:K156" si="56">B149*100/B$143</f>
        <v>0</v>
      </c>
      <c r="C156" s="21">
        <f t="shared" si="56"/>
        <v>12.5</v>
      </c>
      <c r="D156" s="21">
        <f t="shared" si="56"/>
        <v>0</v>
      </c>
      <c r="E156" s="21">
        <f t="shared" si="56"/>
        <v>8.333333333</v>
      </c>
      <c r="F156" s="21">
        <f t="shared" si="56"/>
        <v>21.05263158</v>
      </c>
      <c r="G156" s="18">
        <f t="shared" si="56"/>
        <v>10</v>
      </c>
      <c r="H156" s="18" t="str">
        <f t="shared" si="56"/>
        <v>#DIV/0!</v>
      </c>
      <c r="I156" s="18" t="str">
        <f t="shared" si="56"/>
        <v>#DIV/0!</v>
      </c>
      <c r="J156" s="18" t="str">
        <f t="shared" si="56"/>
        <v>#DIV/0!</v>
      </c>
      <c r="K156" s="18" t="str">
        <f t="shared" si="56"/>
        <v>#DIV/0!</v>
      </c>
    </row>
    <row r="157">
      <c r="A157" s="4" t="s">
        <v>125</v>
      </c>
      <c r="B157" s="21">
        <f t="shared" ref="B157:K157" si="57">B150*100/B$143</f>
        <v>0</v>
      </c>
      <c r="C157" s="21">
        <f t="shared" si="57"/>
        <v>0</v>
      </c>
      <c r="D157" s="21">
        <f t="shared" si="57"/>
        <v>0</v>
      </c>
      <c r="E157" s="21">
        <f t="shared" si="57"/>
        <v>0</v>
      </c>
      <c r="F157" s="21">
        <f t="shared" si="57"/>
        <v>0</v>
      </c>
      <c r="G157" s="18">
        <f t="shared" si="57"/>
        <v>0</v>
      </c>
      <c r="H157" s="18" t="str">
        <f t="shared" si="57"/>
        <v>#DIV/0!</v>
      </c>
      <c r="I157" s="18" t="str">
        <f t="shared" si="57"/>
        <v>#DIV/0!</v>
      </c>
      <c r="J157" s="18" t="str">
        <f t="shared" si="57"/>
        <v>#DIV/0!</v>
      </c>
      <c r="K157" s="18" t="str">
        <f t="shared" si="57"/>
        <v>#DIV/0!</v>
      </c>
    </row>
    <row r="158">
      <c r="A158" s="29" t="s">
        <v>126</v>
      </c>
      <c r="B158" s="3">
        <v>2016.0</v>
      </c>
      <c r="C158" s="3">
        <v>2017.0</v>
      </c>
      <c r="D158" s="3">
        <v>2018.0</v>
      </c>
      <c r="E158" s="3">
        <v>2019.0</v>
      </c>
      <c r="F158" s="3">
        <v>2020.0</v>
      </c>
      <c r="G158" s="3">
        <v>2021.0</v>
      </c>
      <c r="H158" s="3">
        <v>2022.0</v>
      </c>
      <c r="I158" s="3">
        <v>2023.0</v>
      </c>
      <c r="J158" s="3">
        <v>2024.0</v>
      </c>
      <c r="K158" s="3">
        <v>2025.0</v>
      </c>
    </row>
    <row r="159">
      <c r="A159" s="30" t="s">
        <v>127</v>
      </c>
      <c r="B159" s="31"/>
      <c r="C159" s="31"/>
      <c r="D159" s="31"/>
      <c r="E159" s="31"/>
      <c r="F159" s="31"/>
      <c r="G159" s="31"/>
      <c r="H159" s="31"/>
      <c r="I159" s="31"/>
      <c r="J159" s="31"/>
      <c r="K159" s="32"/>
    </row>
    <row r="160">
      <c r="A160" s="33" t="s">
        <v>128</v>
      </c>
      <c r="B160" s="34">
        <f>countif('2016'!$F$150:$F$169,"atividade física e saúde")</f>
        <v>0</v>
      </c>
      <c r="C160" s="34">
        <f>countif('2017'!$F$151:$F$170,"atividade física e saúde")</f>
        <v>0</v>
      </c>
      <c r="D160" s="34">
        <f>countif('2018'!$F$152:$F$171,"atividade física e saúde")</f>
        <v>0</v>
      </c>
      <c r="E160" s="34">
        <f>countif('2019'!$F$150:$F$170,"atividade física e saúde")</f>
        <v>0</v>
      </c>
      <c r="F160" s="34">
        <f>countif('2020'!$F$150:$F$169,"atividade física e saúde")</f>
        <v>0</v>
      </c>
      <c r="G160" s="34">
        <f>countif('2021'!$F$150:$F$169,"atividade física e saúde")</f>
        <v>0</v>
      </c>
      <c r="H160" s="34">
        <f>countif('2022'!$F$150:$F$169,"atividade física e saúde")</f>
        <v>0</v>
      </c>
      <c r="I160" s="34">
        <f>countif('2023'!$F$150:$F$169,"atividade física e saúde")</f>
        <v>0</v>
      </c>
      <c r="J160" s="34">
        <f>countif('2024'!$F$150:$F$169,"atividade física e saúde")</f>
        <v>0</v>
      </c>
      <c r="K160" s="34">
        <f>countif('2025'!$F$150:$F$169,"atividade física e saúde")</f>
        <v>0</v>
      </c>
    </row>
    <row r="161">
      <c r="A161" s="4" t="s">
        <v>129</v>
      </c>
      <c r="B161" s="34">
        <f>countif('2016'!$F$150:$F$169,"biomecânica")</f>
        <v>3</v>
      </c>
      <c r="C161" s="34">
        <f>countif('2017'!$F$151:$F$170,"biomecânica")</f>
        <v>2</v>
      </c>
      <c r="D161" s="34">
        <f>countif('2018'!$F$152:$F$171,"biomecânica")</f>
        <v>0</v>
      </c>
      <c r="E161" s="34">
        <f>countif('2019'!$F$150:$F$170,"biomecânica")</f>
        <v>1</v>
      </c>
      <c r="F161" s="34">
        <f>countif('2020'!$F$150:$F$169,"biomecânica")</f>
        <v>0</v>
      </c>
      <c r="G161" s="34">
        <f>countif('2021'!$F$150:$F$169,"biomecânica")</f>
        <v>0</v>
      </c>
      <c r="H161" s="34">
        <f>countif('2022'!$F$150:$F$169,"biomecânica")</f>
        <v>0</v>
      </c>
      <c r="I161" s="34">
        <f>countif('2023'!$F$150:$F$169,"biomecânica")</f>
        <v>0</v>
      </c>
      <c r="J161" s="34">
        <f>countif('2024'!$F$150:$F$169,"biomecânica")</f>
        <v>0</v>
      </c>
      <c r="K161" s="34">
        <f>countif('2025'!$F$150:$F$169,"biomecânica")</f>
        <v>0</v>
      </c>
    </row>
    <row r="162">
      <c r="A162" s="4" t="s">
        <v>130</v>
      </c>
      <c r="B162" s="34">
        <f>countif('2016'!$F$150:$F$169,"ergonomia")</f>
        <v>0</v>
      </c>
      <c r="C162" s="34">
        <f>countif('2017'!$F$151:$F$170,"ergonomia")</f>
        <v>0</v>
      </c>
      <c r="D162" s="34">
        <f>countif('2018'!$F$152:$F$171,"ergonomia")</f>
        <v>0</v>
      </c>
      <c r="E162" s="34">
        <f>countif('2019'!$F$150:$F$170,"ergonomia")</f>
        <v>0</v>
      </c>
      <c r="F162" s="34">
        <f>countif('2020'!$F$150:$F$169,"ergonomia")</f>
        <v>0</v>
      </c>
      <c r="G162" s="34">
        <f>countif('2021'!$F$150:$F$169,"ergonomia")</f>
        <v>0</v>
      </c>
      <c r="H162" s="34">
        <f>countif('2022'!$F$150:$F$169,"ergonomia")</f>
        <v>0</v>
      </c>
      <c r="I162" s="34">
        <f>countif('2023'!$F$150:$F$169,"ergonomia")</f>
        <v>0</v>
      </c>
      <c r="J162" s="34">
        <f>countif('2024'!$F$150:$F$169,"ergonomia")</f>
        <v>0</v>
      </c>
      <c r="K162" s="34">
        <f>countif('2025'!$F$150:$F$169,"ergonomia")</f>
        <v>0</v>
      </c>
    </row>
    <row r="163">
      <c r="A163" s="4" t="s">
        <v>131</v>
      </c>
      <c r="B163" s="34">
        <f>countif('2016'!$F$150:$F$169,"estágio LBMF (doc ou pós doc)")</f>
        <v>0</v>
      </c>
      <c r="C163" s="34">
        <f>countif('2017'!$F$151:$F$170,"estágio LBMF (doc ou pós doc)")</f>
        <v>0</v>
      </c>
      <c r="D163" s="34">
        <f>countif('2018'!$F$152:$F$171,"estágio LBMF (doc ou pós doc)")</f>
        <v>0</v>
      </c>
      <c r="E163" s="34">
        <f>countif('2019'!$F$150:$F$170,"estágio LBMF (doc ou pós doc)")</f>
        <v>0</v>
      </c>
      <c r="F163" s="34">
        <f>countif('2020'!$F$150:$F$169,"estágio LBMF (doc ou pós doc)")</f>
        <v>0</v>
      </c>
      <c r="G163" s="34">
        <f>countif('2021'!$F$150:$F$169,"estágio LBMF (doc ou pós doc)")</f>
        <v>0</v>
      </c>
      <c r="H163" s="34">
        <f>countif('2022'!$F$150:$F$169,"estágio LBMF (doc ou pós doc)")</f>
        <v>0</v>
      </c>
      <c r="I163" s="34">
        <f>countif('2023'!$F$150:$F$169,"estágio LBMF (doc ou pós doc)")</f>
        <v>0</v>
      </c>
      <c r="J163" s="34">
        <f>countif('2024'!$F$150:$F$169,"estágio LBMF (doc ou pós doc)")</f>
        <v>0</v>
      </c>
      <c r="K163" s="34">
        <f>countif('2025'!$F$150:$F$169,"estágio LBMF (doc ou pós doc)")</f>
        <v>0</v>
      </c>
    </row>
    <row r="164">
      <c r="A164" s="4" t="s">
        <v>132</v>
      </c>
      <c r="B164" s="34">
        <f>countif('2016'!$F$150:$F$169,"reabilitação")</f>
        <v>0</v>
      </c>
      <c r="C164" s="34">
        <f>countif('2017'!$F$151:$F$170,"reabilitação")</f>
        <v>0</v>
      </c>
      <c r="D164" s="34">
        <f>countif('2018'!$F$152:$F$171,"reabilitação")</f>
        <v>0</v>
      </c>
      <c r="E164" s="34">
        <f>countif('2019'!$F$150:$F$170,"reabilitação")</f>
        <v>1</v>
      </c>
      <c r="F164" s="34">
        <f>countif('2020'!$F$150:$F$169,"reabilitação")</f>
        <v>0</v>
      </c>
      <c r="G164" s="34">
        <f>countif('2021'!$F$150:$F$169,"reabilitação")</f>
        <v>0</v>
      </c>
      <c r="H164" s="34">
        <f>countif('2022'!$F$150:$F$169,"reabilitação")</f>
        <v>0</v>
      </c>
      <c r="I164" s="34">
        <f>countif('2023'!$F$150:$F$169,"reabilitação")</f>
        <v>0</v>
      </c>
      <c r="J164" s="34">
        <f>countif('2024'!$F$150:$F$169,"reabilitação")</f>
        <v>0</v>
      </c>
      <c r="K164" s="34">
        <f>countif('2025'!$F$150:$F$169,"reabilitação")</f>
        <v>0</v>
      </c>
    </row>
    <row r="165">
      <c r="A165" s="4" t="s">
        <v>133</v>
      </c>
      <c r="B165" s="34">
        <f>countif('2016'!$F$150:$F$169,"treino desportivo")</f>
        <v>0</v>
      </c>
      <c r="C165" s="34">
        <f>countif('2017'!$F$151:$F$170,"treino desportivo")</f>
        <v>0</v>
      </c>
      <c r="D165" s="34">
        <f>countif('2018'!$F$152:$F$171,"treino desportivo")</f>
        <v>0</v>
      </c>
      <c r="E165" s="34">
        <f>countif('2019'!$F$150:$F$170,"treino desportivo")</f>
        <v>0</v>
      </c>
      <c r="F165" s="34">
        <f>countif('2020'!$F$150:$F$169,"treino desportivo")</f>
        <v>0</v>
      </c>
      <c r="G165" s="34">
        <f>countif('2021'!$F$150:$F$169,"treino desportivo")</f>
        <v>0</v>
      </c>
      <c r="H165" s="34">
        <f>countif('2022'!$F$150:$F$169,"treino desportivo")</f>
        <v>0</v>
      </c>
      <c r="I165" s="34">
        <f>countif('2023'!$F$150:$F$169,"treino desportivo")</f>
        <v>0</v>
      </c>
      <c r="J165" s="34">
        <f>countif('2024'!$F$150:$F$169,"treino desportivo")</f>
        <v>0</v>
      </c>
      <c r="K165" s="34">
        <f>countif('2025'!$F$150:$F$169,"treino desportivo")</f>
        <v>0</v>
      </c>
    </row>
    <row r="166">
      <c r="A166" s="4" t="s">
        <v>38</v>
      </c>
      <c r="B166" s="34">
        <f>countif('2016'!$F$150:$F$169, "outro")</f>
        <v>0</v>
      </c>
      <c r="C166" s="34">
        <f>countif('2017'!$F$151:$F$170, "outro")</f>
        <v>0</v>
      </c>
      <c r="D166" s="34">
        <f>countif('2018'!$F$152:$F$171, "outro")</f>
        <v>0</v>
      </c>
      <c r="E166" s="34">
        <f>countif('2019'!$F$150:$F$170, "outro")</f>
        <v>0</v>
      </c>
      <c r="F166" s="34">
        <f>countif('2020'!$F$150:$F$169, "outro")</f>
        <v>0</v>
      </c>
      <c r="G166" s="34">
        <f>countif('2021'!$F$150:$F$169, "outro")</f>
        <v>0</v>
      </c>
      <c r="H166" s="34">
        <f>countif('2022'!$F$150:$F$169, "outro")</f>
        <v>0</v>
      </c>
      <c r="I166" s="34">
        <f>countif('2023'!$F$150:$F$169, "outro")</f>
        <v>0</v>
      </c>
      <c r="J166" s="34">
        <f>countif('2024'!$F$150:$F$169, "outro")</f>
        <v>0</v>
      </c>
      <c r="K166" s="34">
        <f>countif('2025'!$F$150:$F$169, "outro")</f>
        <v>0</v>
      </c>
    </row>
    <row r="167">
      <c r="A167" s="33" t="s">
        <v>134</v>
      </c>
      <c r="B167" s="34">
        <f t="shared" ref="B167:K167" si="58">B160*100/B$144</f>
        <v>0</v>
      </c>
      <c r="C167" s="34">
        <f t="shared" si="58"/>
        <v>0</v>
      </c>
      <c r="D167" s="34" t="str">
        <f t="shared" si="58"/>
        <v>#DIV/0!</v>
      </c>
      <c r="E167" s="34">
        <f t="shared" si="58"/>
        <v>0</v>
      </c>
      <c r="F167" s="34" t="str">
        <f t="shared" si="58"/>
        <v>#DIV/0!</v>
      </c>
      <c r="G167" s="34" t="str">
        <f t="shared" si="58"/>
        <v>#DIV/0!</v>
      </c>
      <c r="H167" s="34" t="str">
        <f t="shared" si="58"/>
        <v>#DIV/0!</v>
      </c>
      <c r="I167" s="34" t="str">
        <f t="shared" si="58"/>
        <v>#DIV/0!</v>
      </c>
      <c r="J167" s="34" t="str">
        <f t="shared" si="58"/>
        <v>#DIV/0!</v>
      </c>
      <c r="K167" s="34" t="str">
        <f t="shared" si="58"/>
        <v>#DIV/0!</v>
      </c>
    </row>
    <row r="168">
      <c r="A168" s="4" t="s">
        <v>135</v>
      </c>
      <c r="B168" s="34">
        <f t="shared" ref="B168:K168" si="59">B161*100/B$144</f>
        <v>100</v>
      </c>
      <c r="C168" s="34">
        <f t="shared" si="59"/>
        <v>100</v>
      </c>
      <c r="D168" s="34" t="str">
        <f t="shared" si="59"/>
        <v>#DIV/0!</v>
      </c>
      <c r="E168" s="34">
        <f t="shared" si="59"/>
        <v>100</v>
      </c>
      <c r="F168" s="34" t="str">
        <f t="shared" si="59"/>
        <v>#DIV/0!</v>
      </c>
      <c r="G168" s="34" t="str">
        <f t="shared" si="59"/>
        <v>#DIV/0!</v>
      </c>
      <c r="H168" s="34" t="str">
        <f t="shared" si="59"/>
        <v>#DIV/0!</v>
      </c>
      <c r="I168" s="34" t="str">
        <f t="shared" si="59"/>
        <v>#DIV/0!</v>
      </c>
      <c r="J168" s="34" t="str">
        <f t="shared" si="59"/>
        <v>#DIV/0!</v>
      </c>
      <c r="K168" s="34" t="str">
        <f t="shared" si="59"/>
        <v>#DIV/0!</v>
      </c>
    </row>
    <row r="169">
      <c r="A169" s="4" t="s">
        <v>136</v>
      </c>
      <c r="B169" s="34">
        <f t="shared" ref="B169:K169" si="60">B162*100/B$144</f>
        <v>0</v>
      </c>
      <c r="C169" s="34">
        <f t="shared" si="60"/>
        <v>0</v>
      </c>
      <c r="D169" s="34" t="str">
        <f t="shared" si="60"/>
        <v>#DIV/0!</v>
      </c>
      <c r="E169" s="34">
        <f t="shared" si="60"/>
        <v>0</v>
      </c>
      <c r="F169" s="34" t="str">
        <f t="shared" si="60"/>
        <v>#DIV/0!</v>
      </c>
      <c r="G169" s="34" t="str">
        <f t="shared" si="60"/>
        <v>#DIV/0!</v>
      </c>
      <c r="H169" s="34" t="str">
        <f t="shared" si="60"/>
        <v>#DIV/0!</v>
      </c>
      <c r="I169" s="34" t="str">
        <f t="shared" si="60"/>
        <v>#DIV/0!</v>
      </c>
      <c r="J169" s="34" t="str">
        <f t="shared" si="60"/>
        <v>#DIV/0!</v>
      </c>
      <c r="K169" s="34" t="str">
        <f t="shared" si="60"/>
        <v>#DIV/0!</v>
      </c>
    </row>
    <row r="170">
      <c r="A170" s="4" t="s">
        <v>137</v>
      </c>
      <c r="B170" s="34" t="str">
        <f t="shared" ref="B170:K170" si="61">B163*100/B150</f>
        <v>#DIV/0!</v>
      </c>
      <c r="C170" s="34" t="str">
        <f t="shared" si="61"/>
        <v>#DIV/0!</v>
      </c>
      <c r="D170" s="34" t="str">
        <f t="shared" si="61"/>
        <v>#DIV/0!</v>
      </c>
      <c r="E170" s="34" t="str">
        <f t="shared" si="61"/>
        <v>#DIV/0!</v>
      </c>
      <c r="F170" s="34" t="str">
        <f t="shared" si="61"/>
        <v>#DIV/0!</v>
      </c>
      <c r="G170" s="34" t="str">
        <f t="shared" si="61"/>
        <v>#DIV/0!</v>
      </c>
      <c r="H170" s="34" t="str">
        <f t="shared" si="61"/>
        <v>#DIV/0!</v>
      </c>
      <c r="I170" s="34" t="str">
        <f t="shared" si="61"/>
        <v>#DIV/0!</v>
      </c>
      <c r="J170" s="34" t="str">
        <f t="shared" si="61"/>
        <v>#DIV/0!</v>
      </c>
      <c r="K170" s="34" t="str">
        <f t="shared" si="61"/>
        <v>#DIV/0!</v>
      </c>
    </row>
    <row r="171">
      <c r="A171" s="4" t="s">
        <v>138</v>
      </c>
      <c r="B171" s="34">
        <f t="shared" ref="B171:K171" si="62">B164*100/B$144</f>
        <v>0</v>
      </c>
      <c r="C171" s="34">
        <f t="shared" si="62"/>
        <v>0</v>
      </c>
      <c r="D171" s="34" t="str">
        <f t="shared" si="62"/>
        <v>#DIV/0!</v>
      </c>
      <c r="E171" s="34">
        <f t="shared" si="62"/>
        <v>100</v>
      </c>
      <c r="F171" s="34" t="str">
        <f t="shared" si="62"/>
        <v>#DIV/0!</v>
      </c>
      <c r="G171" s="34" t="str">
        <f t="shared" si="62"/>
        <v>#DIV/0!</v>
      </c>
      <c r="H171" s="34" t="str">
        <f t="shared" si="62"/>
        <v>#DIV/0!</v>
      </c>
      <c r="I171" s="34" t="str">
        <f t="shared" si="62"/>
        <v>#DIV/0!</v>
      </c>
      <c r="J171" s="34" t="str">
        <f t="shared" si="62"/>
        <v>#DIV/0!</v>
      </c>
      <c r="K171" s="34" t="str">
        <f t="shared" si="62"/>
        <v>#DIV/0!</v>
      </c>
    </row>
    <row r="172">
      <c r="A172" s="4" t="s">
        <v>139</v>
      </c>
      <c r="B172" s="34">
        <f t="shared" ref="B172:K172" si="63">B165*100/B$144</f>
        <v>0</v>
      </c>
      <c r="C172" s="34">
        <f t="shared" si="63"/>
        <v>0</v>
      </c>
      <c r="D172" s="34" t="str">
        <f t="shared" si="63"/>
        <v>#DIV/0!</v>
      </c>
      <c r="E172" s="34">
        <f t="shared" si="63"/>
        <v>0</v>
      </c>
      <c r="F172" s="34" t="str">
        <f t="shared" si="63"/>
        <v>#DIV/0!</v>
      </c>
      <c r="G172" s="34" t="str">
        <f t="shared" si="63"/>
        <v>#DIV/0!</v>
      </c>
      <c r="H172" s="34" t="str">
        <f t="shared" si="63"/>
        <v>#DIV/0!</v>
      </c>
      <c r="I172" s="34" t="str">
        <f t="shared" si="63"/>
        <v>#DIV/0!</v>
      </c>
      <c r="J172" s="34" t="str">
        <f t="shared" si="63"/>
        <v>#DIV/0!</v>
      </c>
      <c r="K172" s="34" t="str">
        <f t="shared" si="63"/>
        <v>#DIV/0!</v>
      </c>
    </row>
    <row r="173">
      <c r="A173" s="4" t="s">
        <v>43</v>
      </c>
      <c r="B173" s="34">
        <f t="shared" ref="B173:K173" si="64">B166*100/B$144</f>
        <v>0</v>
      </c>
      <c r="C173" s="34">
        <f t="shared" si="64"/>
        <v>0</v>
      </c>
      <c r="D173" s="34" t="str">
        <f t="shared" si="64"/>
        <v>#DIV/0!</v>
      </c>
      <c r="E173" s="34">
        <f t="shared" si="64"/>
        <v>0</v>
      </c>
      <c r="F173" s="34" t="str">
        <f t="shared" si="64"/>
        <v>#DIV/0!</v>
      </c>
      <c r="G173" s="34" t="str">
        <f t="shared" si="64"/>
        <v>#DIV/0!</v>
      </c>
      <c r="H173" s="34" t="str">
        <f t="shared" si="64"/>
        <v>#DIV/0!</v>
      </c>
      <c r="I173" s="34" t="str">
        <f t="shared" si="64"/>
        <v>#DIV/0!</v>
      </c>
      <c r="J173" s="34" t="str">
        <f t="shared" si="64"/>
        <v>#DIV/0!</v>
      </c>
      <c r="K173" s="34" t="str">
        <f t="shared" si="64"/>
        <v>#DIV/0!</v>
      </c>
    </row>
    <row r="174">
      <c r="A174" s="30" t="s">
        <v>140</v>
      </c>
      <c r="B174" s="31"/>
      <c r="C174" s="31"/>
      <c r="D174" s="31"/>
      <c r="E174" s="31"/>
      <c r="F174" s="31"/>
      <c r="G174" s="31"/>
      <c r="H174" s="31"/>
      <c r="I174" s="31"/>
      <c r="J174" s="31"/>
      <c r="K174" s="32"/>
    </row>
    <row r="175">
      <c r="A175" s="33" t="s">
        <v>141</v>
      </c>
      <c r="B175" s="34">
        <f>countif('2016'!$E$150:$E$169,"engenharia (estágio LBMF)")</f>
        <v>0</v>
      </c>
      <c r="C175" s="34">
        <f>countif('2017'!$E$151:$E$170,"engenharia (estágio LBMF)")</f>
        <v>0</v>
      </c>
      <c r="D175" s="34">
        <f>countif('2018'!$E$152:$E$171,"engenharia (estágio LBMF)")</f>
        <v>0</v>
      </c>
      <c r="E175" s="34">
        <f>countif('2019'!$E$150:$E$170,"engenharia (estágio LBMF)")</f>
        <v>1</v>
      </c>
      <c r="F175" s="34">
        <f>countif('2020'!$E$150:$E$169,"engenharia (estágio LBMF)")</f>
        <v>0</v>
      </c>
      <c r="G175" s="34">
        <f>countif('2021'!$E$150:$E$169,"engenharia (estágio LBMF)")</f>
        <v>0</v>
      </c>
      <c r="H175" s="34">
        <f>countif('2022'!$E$150:$E$169,"engenharia (estágio LBMF)")</f>
        <v>0</v>
      </c>
      <c r="I175" s="34">
        <f>countif('2023'!$E$150:$E$169,"engenharia (estágio LBMF)")</f>
        <v>0</v>
      </c>
      <c r="J175" s="34">
        <f>countif('2024'!$E$150:$E$169,"engenharia (estágio LBMF)")</f>
        <v>0</v>
      </c>
      <c r="K175" s="34">
        <f>countif('2025'!$E$150:$E$169,"engenharia (estágio LBMF)")</f>
        <v>0</v>
      </c>
    </row>
    <row r="176">
      <c r="A176" s="4" t="s">
        <v>130</v>
      </c>
      <c r="B176" s="34">
        <f>countif('2016'!$E$150:$E$169,"ergonomia")</f>
        <v>1</v>
      </c>
      <c r="C176" s="34">
        <f>countif('2017'!$E$151:$E$170,"ergonomia")</f>
        <v>0</v>
      </c>
      <c r="D176" s="34">
        <f>countif('2018'!$E$152:$E$171,"ergonomia")</f>
        <v>0</v>
      </c>
      <c r="E176" s="34">
        <f>countif('2019'!$E$150:$E$170,"ergonomia")</f>
        <v>0</v>
      </c>
      <c r="F176" s="34">
        <f>countif('2020'!$E$150:$E$169,"ergonomia")</f>
        <v>0</v>
      </c>
      <c r="G176" s="34">
        <f>countif('2021'!$E$150:$E$169,"ergonomia")</f>
        <v>0</v>
      </c>
      <c r="H176" s="34">
        <f>countif('2022'!$E$150:$E$169,"ergonomia")</f>
        <v>0</v>
      </c>
      <c r="I176" s="34">
        <f>countif('2023'!$E$150:$E$169,"ergonomia")</f>
        <v>0</v>
      </c>
      <c r="J176" s="34">
        <f>countif('2024'!$E$150:$E$169,"ergonomia")</f>
        <v>0</v>
      </c>
      <c r="K176" s="34">
        <f>countif('2025'!$E$150:$E$169,"ergonomia")</f>
        <v>0</v>
      </c>
    </row>
    <row r="177">
      <c r="A177" s="4" t="s">
        <v>142</v>
      </c>
      <c r="B177" s="34">
        <f>countif('2016'!$E$150:$E$169,"exercício e saúde")</f>
        <v>0</v>
      </c>
      <c r="C177" s="34">
        <f>countif('2017'!$E$151:$E$170,"exercício e saúde")</f>
        <v>1</v>
      </c>
      <c r="D177" s="34">
        <f>countif('2018'!$E$152:$E$171,"exercício e saúde")</f>
        <v>1</v>
      </c>
      <c r="E177" s="34">
        <f>countif('2019'!$E$150:$E$170,"exercício e saúde")</f>
        <v>4</v>
      </c>
      <c r="F177" s="34">
        <f>countif('2020'!$E$150:$E$169,"exercício e saúde")</f>
        <v>1</v>
      </c>
      <c r="G177" s="34">
        <f>countif('2021'!$E$150:$E$169,"exercício e saúde")</f>
        <v>1</v>
      </c>
      <c r="H177" s="34">
        <f>countif('2022'!$E$150:$E$169,"exercício e saúde")</f>
        <v>0</v>
      </c>
      <c r="I177" s="34">
        <f>countif('2023'!$E$150:$E$169,"exercício e saúde")</f>
        <v>0</v>
      </c>
      <c r="J177" s="34">
        <f>countif('2024'!$E$150:$E$169,"exercício e saúde")</f>
        <v>0</v>
      </c>
      <c r="K177" s="34">
        <f>countif('2025'!$E$150:$E$169,"exercício e saúde")</f>
        <v>0</v>
      </c>
    </row>
    <row r="178">
      <c r="A178" s="4" t="s">
        <v>143</v>
      </c>
      <c r="B178" s="34">
        <f>countif('2016'!$E$150:$E$169,"fisioterapia (estágio LBMF)")</f>
        <v>0</v>
      </c>
      <c r="C178" s="34">
        <f>countif('2017'!$E$151:$E$170,"fisioterapia (estágio LBMF)")</f>
        <v>0</v>
      </c>
      <c r="D178" s="34">
        <f>countif('2018'!$E$152:$E$171,"fisioterapia (estágio LBMF)")</f>
        <v>0</v>
      </c>
      <c r="E178" s="34">
        <f>countif('2019'!$E$150:$E$170,"fisioterapia (estágio LBMF)")</f>
        <v>0</v>
      </c>
      <c r="F178" s="34">
        <f>countif('2020'!$E$150:$E$169,"fisioterapia (estágio LBMF)")</f>
        <v>0</v>
      </c>
      <c r="G178" s="34">
        <f>countif('2021'!$E$150:$E$169,"fisioterapia (estágio LBMF)")</f>
        <v>0</v>
      </c>
      <c r="H178" s="34">
        <f>countif('2022'!$E$150:$E$169,"fisioterapia (estágio LBMF)")</f>
        <v>0</v>
      </c>
      <c r="I178" s="34">
        <f>countif('2023'!$E$150:$E$169,"fisioterapia (estágio LBMF)")</f>
        <v>0</v>
      </c>
      <c r="J178" s="34">
        <f>countif('2024'!$E$150:$E$169,"fisioterapia (estágio LBMF)")</f>
        <v>0</v>
      </c>
      <c r="K178" s="34">
        <f>countif('2025'!$E$150:$E$169,"fisioterapia (estágio LBMF)")</f>
        <v>0</v>
      </c>
    </row>
    <row r="179">
      <c r="A179" s="4" t="s">
        <v>144</v>
      </c>
      <c r="B179" s="34">
        <f>countif('2016'!$E$150:$E$169,"treino de alto rendimento")</f>
        <v>0</v>
      </c>
      <c r="C179" s="34">
        <f>countif('2017'!$E$151:$E$170,"treino de alto rendimento")</f>
        <v>0</v>
      </c>
      <c r="D179" s="34">
        <f>countif('2018'!$E$152:$E$171,"treino de alto rendimento")</f>
        <v>0</v>
      </c>
      <c r="E179" s="34">
        <f>countif('2019'!$E$150:$E$170,"treino de alto rendimento")</f>
        <v>2</v>
      </c>
      <c r="F179" s="34">
        <f>countif('2020'!$E$150:$E$169,"treino de alto rendimento")</f>
        <v>3</v>
      </c>
      <c r="G179" s="34">
        <f>countif('2021'!$E$150:$E$169,"treino de alto rendimento")</f>
        <v>1</v>
      </c>
      <c r="H179" s="34">
        <f>countif('2022'!$E$150:$E$169,"treino de alto rendimento")</f>
        <v>0</v>
      </c>
      <c r="I179" s="34">
        <f>countif('2023'!$E$150:$E$169,"treino de alto rendimento")</f>
        <v>0</v>
      </c>
      <c r="J179" s="34">
        <f>countif('2024'!$E$150:$E$169,"treino de alto rendimento")</f>
        <v>0</v>
      </c>
      <c r="K179" s="34">
        <f>countif('2025'!$E$150:$E$169,"treino de alto rendimento")</f>
        <v>0</v>
      </c>
    </row>
    <row r="180">
      <c r="A180" s="4" t="s">
        <v>133</v>
      </c>
      <c r="B180" s="34">
        <f>countif('2016'!$E$150:$E$169,"treino desportivo")</f>
        <v>0</v>
      </c>
      <c r="C180" s="34">
        <f>countif('2017'!$E$151:$E$170,"treino desportivo")</f>
        <v>0</v>
      </c>
      <c r="D180" s="34">
        <f>countif('2018'!$E$152:$E$171,"treino desportivo")</f>
        <v>0</v>
      </c>
      <c r="E180" s="34">
        <f>countif('2019'!$E$150:$E$170,"treino desportivo")</f>
        <v>0</v>
      </c>
      <c r="F180" s="34">
        <f>countif('2020'!$E$150:$E$169,"treino desportivo")</f>
        <v>0</v>
      </c>
      <c r="G180" s="34">
        <f>countif('2021'!$E$150:$E$169,"treino desportivo")</f>
        <v>0</v>
      </c>
      <c r="H180" s="34">
        <f>countif('2022'!$E$150:$E$169,"treino desportivo")</f>
        <v>0</v>
      </c>
      <c r="I180" s="34">
        <f>countif('2023'!$E$150:$E$169,"treino desportivo")</f>
        <v>0</v>
      </c>
      <c r="J180" s="34">
        <f>countif('2024'!$E$150:$E$169,"treino desportivo")</f>
        <v>0</v>
      </c>
      <c r="K180" s="34">
        <f>countif('2025'!$E$150:$E$169,"treino desportivo")</f>
        <v>0</v>
      </c>
    </row>
    <row r="181">
      <c r="A181" s="4" t="s">
        <v>38</v>
      </c>
      <c r="B181" s="34">
        <f>countif('2016'!$E$150:$E$169, "outro")</f>
        <v>0</v>
      </c>
      <c r="C181" s="34">
        <f>countif('2017'!$E$151:$E$170, "outro")</f>
        <v>0</v>
      </c>
      <c r="D181" s="34">
        <f>countif('2018'!$E$152:$E$171, "outro")</f>
        <v>0</v>
      </c>
      <c r="E181" s="34">
        <f>countif('2019'!$E$150:$E$170, "outro")</f>
        <v>0</v>
      </c>
      <c r="F181" s="34">
        <f>countif('2020'!$E$150:$E$169, "outro")</f>
        <v>0</v>
      </c>
      <c r="G181" s="34">
        <f>countif('2021'!$E$150:$E$169, "outro")</f>
        <v>0</v>
      </c>
      <c r="H181" s="34">
        <f>countif('2022'!$E$150:$E$169, "outro")</f>
        <v>0</v>
      </c>
      <c r="I181" s="34">
        <f>countif('2023'!$E$150:$E$169, "outro")</f>
        <v>0</v>
      </c>
      <c r="J181" s="34">
        <f>countif('2024'!$E$150:$E$169, "outro")</f>
        <v>0</v>
      </c>
      <c r="K181" s="34">
        <f>countif('2025'!$E$150:$E$169, "outro")</f>
        <v>0</v>
      </c>
    </row>
    <row r="182">
      <c r="A182" s="33" t="s">
        <v>145</v>
      </c>
      <c r="B182" s="34" t="str">
        <f t="shared" ref="B182:K182" si="65">B175*100/B$149</f>
        <v>#DIV/0!</v>
      </c>
      <c r="C182" s="34">
        <f t="shared" si="65"/>
        <v>0</v>
      </c>
      <c r="D182" s="34" t="str">
        <f t="shared" si="65"/>
        <v>#DIV/0!</v>
      </c>
      <c r="E182" s="34">
        <f t="shared" si="65"/>
        <v>50</v>
      </c>
      <c r="F182" s="34">
        <f t="shared" si="65"/>
        <v>0</v>
      </c>
      <c r="G182" s="34">
        <f t="shared" si="65"/>
        <v>0</v>
      </c>
      <c r="H182" s="34" t="str">
        <f t="shared" si="65"/>
        <v>#DIV/0!</v>
      </c>
      <c r="I182" s="34" t="str">
        <f t="shared" si="65"/>
        <v>#DIV/0!</v>
      </c>
      <c r="J182" s="34" t="str">
        <f t="shared" si="65"/>
        <v>#DIV/0!</v>
      </c>
      <c r="K182" s="34" t="str">
        <f t="shared" si="65"/>
        <v>#DIV/0!</v>
      </c>
    </row>
    <row r="183">
      <c r="A183" s="4" t="s">
        <v>136</v>
      </c>
      <c r="B183" s="34">
        <f t="shared" ref="B183:K183" si="66">B176*100/B$145</f>
        <v>100</v>
      </c>
      <c r="C183" s="34" t="str">
        <f t="shared" si="66"/>
        <v>#DIV/0!</v>
      </c>
      <c r="D183" s="34" t="str">
        <f t="shared" si="66"/>
        <v>#DIV/0!</v>
      </c>
      <c r="E183" s="34">
        <f t="shared" si="66"/>
        <v>0</v>
      </c>
      <c r="F183" s="34">
        <f t="shared" si="66"/>
        <v>0</v>
      </c>
      <c r="G183" s="34">
        <f t="shared" si="66"/>
        <v>0</v>
      </c>
      <c r="H183" s="34" t="str">
        <f t="shared" si="66"/>
        <v>#DIV/0!</v>
      </c>
      <c r="I183" s="34" t="str">
        <f t="shared" si="66"/>
        <v>#DIV/0!</v>
      </c>
      <c r="J183" s="34" t="str">
        <f t="shared" si="66"/>
        <v>#DIV/0!</v>
      </c>
      <c r="K183" s="34" t="str">
        <f t="shared" si="66"/>
        <v>#DIV/0!</v>
      </c>
    </row>
    <row r="184">
      <c r="A184" s="4" t="s">
        <v>146</v>
      </c>
      <c r="B184" s="34">
        <f t="shared" ref="B184:K184" si="67">B177*100/B$145</f>
        <v>0</v>
      </c>
      <c r="C184" s="34" t="str">
        <f t="shared" si="67"/>
        <v>#DIV/0!</v>
      </c>
      <c r="D184" s="34" t="str">
        <f t="shared" si="67"/>
        <v>#DIV/0!</v>
      </c>
      <c r="E184" s="34">
        <f t="shared" si="67"/>
        <v>80</v>
      </c>
      <c r="F184" s="34">
        <f t="shared" si="67"/>
        <v>16.66666667</v>
      </c>
      <c r="G184" s="34">
        <f t="shared" si="67"/>
        <v>100</v>
      </c>
      <c r="H184" s="34" t="str">
        <f t="shared" si="67"/>
        <v>#DIV/0!</v>
      </c>
      <c r="I184" s="34" t="str">
        <f t="shared" si="67"/>
        <v>#DIV/0!</v>
      </c>
      <c r="J184" s="34" t="str">
        <f t="shared" si="67"/>
        <v>#DIV/0!</v>
      </c>
      <c r="K184" s="34" t="str">
        <f t="shared" si="67"/>
        <v>#DIV/0!</v>
      </c>
    </row>
    <row r="185">
      <c r="A185" s="4" t="s">
        <v>147</v>
      </c>
      <c r="B185" s="34" t="str">
        <f t="shared" ref="B185:K185" si="68">B178*100/B$149</f>
        <v>#DIV/0!</v>
      </c>
      <c r="C185" s="34">
        <f t="shared" si="68"/>
        <v>0</v>
      </c>
      <c r="D185" s="34" t="str">
        <f t="shared" si="68"/>
        <v>#DIV/0!</v>
      </c>
      <c r="E185" s="34">
        <f t="shared" si="68"/>
        <v>0</v>
      </c>
      <c r="F185" s="34">
        <f t="shared" si="68"/>
        <v>0</v>
      </c>
      <c r="G185" s="34">
        <f t="shared" si="68"/>
        <v>0</v>
      </c>
      <c r="H185" s="34" t="str">
        <f t="shared" si="68"/>
        <v>#DIV/0!</v>
      </c>
      <c r="I185" s="34" t="str">
        <f t="shared" si="68"/>
        <v>#DIV/0!</v>
      </c>
      <c r="J185" s="34" t="str">
        <f t="shared" si="68"/>
        <v>#DIV/0!</v>
      </c>
      <c r="K185" s="34" t="str">
        <f t="shared" si="68"/>
        <v>#DIV/0!</v>
      </c>
    </row>
    <row r="186">
      <c r="A186" s="4" t="s">
        <v>148</v>
      </c>
      <c r="B186" s="34">
        <f t="shared" ref="B186:K186" si="69">B179*100/B$145</f>
        <v>0</v>
      </c>
      <c r="C186" s="34" t="str">
        <f t="shared" si="69"/>
        <v>#DIV/0!</v>
      </c>
      <c r="D186" s="34" t="str">
        <f t="shared" si="69"/>
        <v>#DIV/0!</v>
      </c>
      <c r="E186" s="34">
        <f t="shared" si="69"/>
        <v>40</v>
      </c>
      <c r="F186" s="34">
        <f t="shared" si="69"/>
        <v>50</v>
      </c>
      <c r="G186" s="34">
        <f t="shared" si="69"/>
        <v>100</v>
      </c>
      <c r="H186" s="34" t="str">
        <f t="shared" si="69"/>
        <v>#DIV/0!</v>
      </c>
      <c r="I186" s="34" t="str">
        <f t="shared" si="69"/>
        <v>#DIV/0!</v>
      </c>
      <c r="J186" s="34" t="str">
        <f t="shared" si="69"/>
        <v>#DIV/0!</v>
      </c>
      <c r="K186" s="34" t="str">
        <f t="shared" si="69"/>
        <v>#DIV/0!</v>
      </c>
    </row>
    <row r="187">
      <c r="A187" s="4" t="s">
        <v>139</v>
      </c>
      <c r="B187" s="34">
        <f t="shared" ref="B187:K187" si="70">B180*100/B$145</f>
        <v>0</v>
      </c>
      <c r="C187" s="34" t="str">
        <f t="shared" si="70"/>
        <v>#DIV/0!</v>
      </c>
      <c r="D187" s="34" t="str">
        <f t="shared" si="70"/>
        <v>#DIV/0!</v>
      </c>
      <c r="E187" s="34">
        <f t="shared" si="70"/>
        <v>0</v>
      </c>
      <c r="F187" s="34">
        <f t="shared" si="70"/>
        <v>0</v>
      </c>
      <c r="G187" s="34">
        <f t="shared" si="70"/>
        <v>0</v>
      </c>
      <c r="H187" s="34" t="str">
        <f t="shared" si="70"/>
        <v>#DIV/0!</v>
      </c>
      <c r="I187" s="34" t="str">
        <f t="shared" si="70"/>
        <v>#DIV/0!</v>
      </c>
      <c r="J187" s="34" t="str">
        <f t="shared" si="70"/>
        <v>#DIV/0!</v>
      </c>
      <c r="K187" s="34" t="str">
        <f t="shared" si="70"/>
        <v>#DIV/0!</v>
      </c>
    </row>
    <row r="188">
      <c r="A188" s="4" t="s">
        <v>43</v>
      </c>
      <c r="B188" s="34">
        <f t="shared" ref="B188:K188" si="71">B181*100/B$145</f>
        <v>0</v>
      </c>
      <c r="C188" s="34" t="str">
        <f t="shared" si="71"/>
        <v>#DIV/0!</v>
      </c>
      <c r="D188" s="34" t="str">
        <f t="shared" si="71"/>
        <v>#DIV/0!</v>
      </c>
      <c r="E188" s="34">
        <f t="shared" si="71"/>
        <v>0</v>
      </c>
      <c r="F188" s="34">
        <f t="shared" si="71"/>
        <v>0</v>
      </c>
      <c r="G188" s="34">
        <f t="shared" si="71"/>
        <v>0</v>
      </c>
      <c r="H188" s="34" t="str">
        <f t="shared" si="71"/>
        <v>#DIV/0!</v>
      </c>
      <c r="I188" s="34" t="str">
        <f t="shared" si="71"/>
        <v>#DIV/0!</v>
      </c>
      <c r="J188" s="34" t="str">
        <f t="shared" si="71"/>
        <v>#DIV/0!</v>
      </c>
      <c r="K188" s="34" t="str">
        <f t="shared" si="71"/>
        <v>#DIV/0!</v>
      </c>
    </row>
    <row r="189">
      <c r="A189" s="30" t="s">
        <v>149</v>
      </c>
      <c r="B189" s="31"/>
      <c r="C189" s="31"/>
      <c r="D189" s="31"/>
      <c r="E189" s="31"/>
      <c r="F189" s="31"/>
      <c r="G189" s="31"/>
      <c r="H189" s="31"/>
      <c r="I189" s="31"/>
      <c r="J189" s="31"/>
      <c r="K189" s="32"/>
    </row>
    <row r="190">
      <c r="A190" s="33" t="s">
        <v>141</v>
      </c>
      <c r="B190" s="34">
        <f>countif('2016'!$D$150:$D$169,"engenharia (estágio LBMF)")</f>
        <v>0</v>
      </c>
      <c r="C190" s="34">
        <f>countif('2017'!$D$151:$D$170,"engenharia (estágio LBMF)")</f>
        <v>2</v>
      </c>
      <c r="D190" s="34">
        <f>countif('2018'!$D$152:$D$171,"engenharia (estágio LBMF)")</f>
        <v>0</v>
      </c>
      <c r="E190" s="34">
        <f>countif('2019'!$D$150:$D$170,"engenharia (estágio LBMF)")</f>
        <v>1</v>
      </c>
      <c r="F190" s="34">
        <f>countif('2020'!$D$150:$D$169,"engenharia (estágio LBMF)")</f>
        <v>0</v>
      </c>
      <c r="G190" s="34">
        <f>countif('2021'!$D$150:$D$169,"engenharia (estágio LBMF)")</f>
        <v>0</v>
      </c>
      <c r="H190" s="34">
        <f>countif('2022'!$D$150:$D$169,"engenharia (estágio LBMF)")</f>
        <v>0</v>
      </c>
      <c r="I190" s="34">
        <f>countif('2023'!$D$150:$D$169,"engenharia (estágio LBMF)")</f>
        <v>0</v>
      </c>
      <c r="J190" s="34">
        <f>countif('2024'!$D$150:$D$169,"engenharia (estágio LBMF)")</f>
        <v>0</v>
      </c>
      <c r="K190" s="34">
        <f>countif('2025'!$D$150:$D$169,"engenharia (estágio LBMF)")</f>
        <v>0</v>
      </c>
    </row>
    <row r="191">
      <c r="A191" s="4" t="s">
        <v>143</v>
      </c>
      <c r="B191" s="18">
        <f>countif('2016'!$D$150:$D$169,"fisioterapia (estágio LBMF)")</f>
        <v>0</v>
      </c>
      <c r="C191" s="18">
        <f>countif('2017'!$D$151:$D$170,"fisioterapia (estágio LBMF)")</f>
        <v>0</v>
      </c>
      <c r="D191" s="18">
        <f>countif('2018'!$D$152:$D$171,"fisioterapia (estágio LBMF)")</f>
        <v>0</v>
      </c>
      <c r="E191" s="18">
        <f>countif('2019'!$D$150:$D$170,"fisioterapia (estágio LBMF)")</f>
        <v>0</v>
      </c>
      <c r="F191" s="18">
        <f>countif('2020'!$D$150:$D$169,"fisioterapia (estágio LBMF)")</f>
        <v>0</v>
      </c>
      <c r="G191" s="18">
        <f>countif('2021'!$D$150:$D$169,"fisioterapia (estágio LBMF)")</f>
        <v>0</v>
      </c>
      <c r="H191" s="18">
        <f>countif('2022'!$D$150:$D$169,"fisioterapia (estágio LBMF)")</f>
        <v>0</v>
      </c>
      <c r="I191" s="18">
        <f>countif('2023'!$D$150:$D$169,"fisioterapia (estágio LBMF)")</f>
        <v>0</v>
      </c>
      <c r="J191" s="18">
        <f>countif('2024'!$D$150:$D$169,"fisioterapia (estágio LBMF)")</f>
        <v>0</v>
      </c>
      <c r="K191" s="18">
        <f>countif('2025'!$D$150:$D$169,"fisioterapia (estágio LBMF)")</f>
        <v>0</v>
      </c>
    </row>
    <row r="192">
      <c r="A192" s="4" t="s">
        <v>38</v>
      </c>
      <c r="B192" s="18">
        <f>countif('2016'!$D$150:$D$169, "outro")</f>
        <v>0</v>
      </c>
      <c r="C192" s="18">
        <f>countif('2017'!$D$151:$D$170, "outro")</f>
        <v>1</v>
      </c>
      <c r="D192" s="18">
        <f>countif('2018'!$D$152:$D$171, "outro")</f>
        <v>0</v>
      </c>
      <c r="E192" s="18">
        <f>countif('2019'!$D$150:$D$170, "outro")</f>
        <v>0</v>
      </c>
      <c r="F192" s="18">
        <f>countif('2020'!$D$150:$D$169, "outro")</f>
        <v>0</v>
      </c>
      <c r="G192" s="18">
        <f>countif('2021'!$D$150:$D$169, "outro")</f>
        <v>0</v>
      </c>
      <c r="H192" s="18">
        <f>countif('2022'!$D$150:$D$169, "outro")</f>
        <v>0</v>
      </c>
      <c r="I192" s="18">
        <f>countif('2023'!$D$150:$D$169, "outro")</f>
        <v>0</v>
      </c>
      <c r="J192" s="18">
        <f>countif('2024'!$D$150:$D$169, "outro")</f>
        <v>0</v>
      </c>
      <c r="K192" s="18">
        <f>countif('2025'!$D$150:$D$169, "outro")</f>
        <v>0</v>
      </c>
    </row>
    <row r="193">
      <c r="A193" s="33" t="s">
        <v>145</v>
      </c>
      <c r="B193" s="18" t="str">
        <f t="shared" ref="B193:K193" si="72">B190*100/B$155</f>
        <v>#DIV/0!</v>
      </c>
      <c r="C193" s="18">
        <f t="shared" si="72"/>
        <v>8</v>
      </c>
      <c r="D193" s="18" t="str">
        <f t="shared" si="72"/>
        <v>#DIV/0!</v>
      </c>
      <c r="E193" s="18">
        <f t="shared" si="72"/>
        <v>3.428571429</v>
      </c>
      <c r="F193" s="18">
        <f t="shared" si="72"/>
        <v>0</v>
      </c>
      <c r="G193" s="18">
        <f t="shared" si="72"/>
        <v>0</v>
      </c>
      <c r="H193" s="18" t="str">
        <f t="shared" si="72"/>
        <v>#DIV/0!</v>
      </c>
      <c r="I193" s="18" t="str">
        <f t="shared" si="72"/>
        <v>#DIV/0!</v>
      </c>
      <c r="J193" s="18" t="str">
        <f t="shared" si="72"/>
        <v>#DIV/0!</v>
      </c>
      <c r="K193" s="18" t="str">
        <f t="shared" si="72"/>
        <v>#DIV/0!</v>
      </c>
    </row>
    <row r="194">
      <c r="A194" s="4" t="s">
        <v>147</v>
      </c>
      <c r="B194" s="18" t="str">
        <f t="shared" ref="B194:K194" si="73">B191*100/B$155</f>
        <v>#DIV/0!</v>
      </c>
      <c r="C194" s="18">
        <f t="shared" si="73"/>
        <v>0</v>
      </c>
      <c r="D194" s="18" t="str">
        <f t="shared" si="73"/>
        <v>#DIV/0!</v>
      </c>
      <c r="E194" s="18">
        <f t="shared" si="73"/>
        <v>0</v>
      </c>
      <c r="F194" s="18">
        <f t="shared" si="73"/>
        <v>0</v>
      </c>
      <c r="G194" s="18">
        <f t="shared" si="73"/>
        <v>0</v>
      </c>
      <c r="H194" s="18" t="str">
        <f t="shared" si="73"/>
        <v>#DIV/0!</v>
      </c>
      <c r="I194" s="18" t="str">
        <f t="shared" si="73"/>
        <v>#DIV/0!</v>
      </c>
      <c r="J194" s="18" t="str">
        <f t="shared" si="73"/>
        <v>#DIV/0!</v>
      </c>
      <c r="K194" s="18" t="str">
        <f t="shared" si="73"/>
        <v>#DIV/0!</v>
      </c>
    </row>
    <row r="195">
      <c r="A195" s="4" t="s">
        <v>43</v>
      </c>
      <c r="B195" s="18" t="str">
        <f t="shared" ref="B195:K195" si="74">B192*100/B$155</f>
        <v>#DIV/0!</v>
      </c>
      <c r="C195" s="18">
        <f t="shared" si="74"/>
        <v>4</v>
      </c>
      <c r="D195" s="18" t="str">
        <f t="shared" si="74"/>
        <v>#DIV/0!</v>
      </c>
      <c r="E195" s="18">
        <f t="shared" si="74"/>
        <v>0</v>
      </c>
      <c r="F195" s="18">
        <f t="shared" si="74"/>
        <v>0</v>
      </c>
      <c r="G195" s="18">
        <f t="shared" si="74"/>
        <v>0</v>
      </c>
      <c r="H195" s="18" t="str">
        <f t="shared" si="74"/>
        <v>#DIV/0!</v>
      </c>
      <c r="I195" s="18" t="str">
        <f t="shared" si="74"/>
        <v>#DIV/0!</v>
      </c>
      <c r="J195" s="18" t="str">
        <f t="shared" si="74"/>
        <v>#DIV/0!</v>
      </c>
      <c r="K195" s="18" t="str">
        <f t="shared" si="74"/>
        <v>#DIV/0!</v>
      </c>
    </row>
    <row r="197">
      <c r="A197" s="26" t="s">
        <v>150</v>
      </c>
    </row>
    <row r="199">
      <c r="A199" s="2" t="s">
        <v>151</v>
      </c>
      <c r="B199" s="3">
        <v>2016.0</v>
      </c>
      <c r="C199" s="3">
        <v>2017.0</v>
      </c>
      <c r="D199" s="3">
        <v>2018.0</v>
      </c>
      <c r="E199" s="3">
        <v>2019.0</v>
      </c>
      <c r="F199" s="3">
        <v>2020.0</v>
      </c>
      <c r="G199" s="3">
        <v>2021.0</v>
      </c>
      <c r="H199" s="3">
        <v>2022.0</v>
      </c>
      <c r="I199" s="3">
        <v>2023.0</v>
      </c>
      <c r="J199" s="3">
        <v>2024.0</v>
      </c>
      <c r="K199" s="3">
        <v>2025.0</v>
      </c>
    </row>
    <row r="200">
      <c r="A200" s="4" t="s">
        <v>2</v>
      </c>
      <c r="B200" s="18">
        <f>counta('2016'!$B$174:$B$182)</f>
        <v>2</v>
      </c>
      <c r="C200" s="18">
        <f>counta('2017'!$B$175:$B$183)</f>
        <v>4</v>
      </c>
      <c r="D200" s="18">
        <f>counta('2018'!$B$176:$B$184)</f>
        <v>1</v>
      </c>
      <c r="E200" s="18">
        <f>counta('2019'!$B$179:$B$187)</f>
        <v>0</v>
      </c>
      <c r="F200" s="18">
        <f>counta('2020'!$B$174:$B$182)</f>
        <v>1</v>
      </c>
      <c r="G200" s="18">
        <f>counta('2021'!$A$174:$A$182)</f>
        <v>0</v>
      </c>
      <c r="H200" s="18">
        <f>counta('2022'!$A$174:$A$182)</f>
        <v>0</v>
      </c>
      <c r="I200" s="18">
        <f>counta('2023'!$A$174:$A$182)</f>
        <v>0</v>
      </c>
      <c r="J200" s="18">
        <f>counta('2024'!$A$174:$A$182)</f>
        <v>0</v>
      </c>
      <c r="K200" s="18">
        <f>counta('2025'!$A$174:$A$182)</f>
        <v>0</v>
      </c>
    </row>
    <row r="201">
      <c r="A201" s="4" t="s">
        <v>152</v>
      </c>
      <c r="B201" s="18">
        <f>COUNTIF('2016'!$A$174:$A$182, "sim")</f>
        <v>2</v>
      </c>
      <c r="C201" s="18">
        <f>COUNTIF('2017'!$A$174:$A$182, "sim")</f>
        <v>4</v>
      </c>
      <c r="D201" s="18">
        <f>COUNTIF('2018'!$A$174:$A$182, "sim")</f>
        <v>1</v>
      </c>
      <c r="E201" s="18">
        <f>COUNTIF('2019'!$A$178:$A$186, "sim")</f>
        <v>0</v>
      </c>
      <c r="F201" s="18">
        <f>COUNTIF('2020'!$A$174:$A$182, "sim")</f>
        <v>0</v>
      </c>
      <c r="G201" s="18">
        <f>COUNTIF('2021'!$A$174:$A$182, "sim")</f>
        <v>0</v>
      </c>
      <c r="H201" s="18">
        <f>COUNTIF('2022'!$A$174:$A$182, "sim")</f>
        <v>0</v>
      </c>
      <c r="I201" s="18">
        <f>COUNTIF('2023'!$A$174:$A$182, "sim")</f>
        <v>0</v>
      </c>
      <c r="J201" s="18">
        <f>COUNTIF('2024'!$A$174:$A$182, "sim")</f>
        <v>0</v>
      </c>
      <c r="K201" s="18">
        <f>COUNTIF('2025'!$A$174:$A$182, "sim")</f>
        <v>0</v>
      </c>
    </row>
    <row r="202">
      <c r="A202" s="4" t="s">
        <v>39</v>
      </c>
      <c r="B202" s="18">
        <f>countif('2016'!$D$174:$D$182, "nacional")</f>
        <v>1</v>
      </c>
      <c r="C202" s="18">
        <f>countif('2017'!$D$175:$D$183, "nacional")</f>
        <v>2</v>
      </c>
      <c r="D202" s="18">
        <f>countif('2018'!$D$176:$D$184, "nacional")</f>
        <v>1</v>
      </c>
      <c r="E202" s="18">
        <f>countif('2019'!$D$179:$D$187, "nacional")</f>
        <v>0</v>
      </c>
      <c r="F202" s="18">
        <f>countif('2020'!$D$174:$D$182, "nacional")</f>
        <v>1</v>
      </c>
      <c r="G202" s="18">
        <f>countif('2021'!$C$174:$C$182, "nacional")</f>
        <v>0</v>
      </c>
      <c r="H202" s="18">
        <f>countif('2022'!$C$174:$C$182, "nacional")</f>
        <v>0</v>
      </c>
      <c r="I202" s="18">
        <f>countif('2023'!$C$174:$C$182, "nacional")</f>
        <v>0</v>
      </c>
      <c r="J202" s="18">
        <f>countif('2024'!$C$174:$C$182, "nacional")</f>
        <v>0</v>
      </c>
      <c r="K202" s="18">
        <f>countif('2025'!$C$174:$C$182, "nacional")</f>
        <v>0</v>
      </c>
    </row>
    <row r="203">
      <c r="A203" s="4" t="s">
        <v>40</v>
      </c>
      <c r="B203" s="18">
        <f>countif('2016'!$D$174:$D$182,"internacional")</f>
        <v>1</v>
      </c>
      <c r="C203" s="18">
        <f>countif('2017'!$D$175:$D$183,"internacional")</f>
        <v>2</v>
      </c>
      <c r="D203" s="18">
        <f>countif('2018'!$D$176:$D$184,"internacional")</f>
        <v>0</v>
      </c>
      <c r="E203" s="18">
        <f>countif('2019'!$D$179:$D$187,"internacional")</f>
        <v>0</v>
      </c>
      <c r="F203" s="18">
        <f>countif('2020'!$D$174:$D$182,"internacional")</f>
        <v>0</v>
      </c>
      <c r="G203" s="18">
        <f>countif('2021'!$C$174:$C$182,"internacional")</f>
        <v>0</v>
      </c>
      <c r="H203" s="18">
        <f>countif('2022'!$C$174:$C$182,"internacional")</f>
        <v>0</v>
      </c>
      <c r="I203" s="18">
        <f>countif('2023'!$C$174:$C$182,"internacional")</f>
        <v>0</v>
      </c>
      <c r="J203" s="18">
        <f>countif('2024'!$C$174:$C$182,"internacional")</f>
        <v>0</v>
      </c>
      <c r="K203" s="18">
        <f>countif('2025'!$C$174:$C$182,"internacional")</f>
        <v>0</v>
      </c>
    </row>
    <row r="204">
      <c r="A204" s="4" t="s">
        <v>153</v>
      </c>
      <c r="B204" s="18" t="str">
        <f>AVERAGE('2016'!$H$174:$H$182)</f>
        <v>#DIV/0!</v>
      </c>
      <c r="C204" s="18" t="str">
        <f>AVERAGE('2017'!$H$174:$H$182)</f>
        <v>#DIV/0!</v>
      </c>
      <c r="D204" s="18" t="str">
        <f>AVERAGE('2018'!$H$174:$H$182)</f>
        <v>#DIV/0!</v>
      </c>
      <c r="E204" s="18" t="str">
        <f>AVERAGE('2019'!$H$178:$H$186)</f>
        <v>#DIV/0!</v>
      </c>
      <c r="F204" s="18" t="str">
        <f>AVERAGE('2020'!$H$174:$H$182)</f>
        <v>#DIV/0!</v>
      </c>
      <c r="G204" s="18" t="str">
        <f>AVERAGE('2021'!$H$174:$H$182)</f>
        <v>#DIV/0!</v>
      </c>
      <c r="H204" s="18" t="str">
        <f>AVERAGE('2022'!$H$174:$H$182)</f>
        <v>#DIV/0!</v>
      </c>
      <c r="I204" s="18" t="str">
        <f>AVERAGE('2023'!$H$174:$H$182)</f>
        <v>#DIV/0!</v>
      </c>
      <c r="J204" s="18" t="str">
        <f>AVERAGE('2024'!$H$174:$H$182)</f>
        <v>#DIV/0!</v>
      </c>
      <c r="K204" s="18" t="str">
        <f>AVERAGE('2025'!$H$174:$H$182)</f>
        <v>#DIV/0!</v>
      </c>
    </row>
    <row r="205">
      <c r="A205" s="4" t="s">
        <v>154</v>
      </c>
      <c r="B205" s="35">
        <f>SUM('2016'!$F$174:$F$182)</f>
        <v>1764919</v>
      </c>
      <c r="C205" s="35">
        <f>SUM('2017'!$F$174:$F$182)</f>
        <v>0</v>
      </c>
      <c r="D205" s="35">
        <f>SUM('2018'!$F$174:$F$182)</f>
        <v>239937.61</v>
      </c>
      <c r="E205" s="35">
        <f>SUM('2019'!$F$178:$F$186)</f>
        <v>0</v>
      </c>
      <c r="F205" s="35">
        <f>SUM('2020'!$F$174:$F$182)</f>
        <v>0</v>
      </c>
      <c r="G205" s="35">
        <f>SUM('2021'!$F$174:$F$182)</f>
        <v>0</v>
      </c>
      <c r="H205" s="35">
        <f>SUM('2022'!$F$174:$F$182)</f>
        <v>0</v>
      </c>
      <c r="I205" s="35">
        <f>SUM('2023'!$F$174:$F$182)</f>
        <v>0</v>
      </c>
      <c r="J205" s="35">
        <f>SUM('2024'!$F$174:$F$182)</f>
        <v>0</v>
      </c>
      <c r="K205" s="35">
        <f>SUM('2025'!$F$174:$F$182)</f>
        <v>0</v>
      </c>
    </row>
    <row r="206">
      <c r="A206" s="4" t="s">
        <v>155</v>
      </c>
      <c r="B206" s="35" t="str">
        <f t="shared" ref="B206:K206" si="75">B205/B204</f>
        <v>#DIV/0!</v>
      </c>
      <c r="C206" s="35" t="str">
        <f t="shared" si="75"/>
        <v>#DIV/0!</v>
      </c>
      <c r="D206" s="35" t="str">
        <f t="shared" si="75"/>
        <v>#DIV/0!</v>
      </c>
      <c r="E206" s="35" t="str">
        <f t="shared" si="75"/>
        <v>#DIV/0!</v>
      </c>
      <c r="F206" s="35" t="str">
        <f t="shared" si="75"/>
        <v>#DIV/0!</v>
      </c>
      <c r="G206" s="35" t="str">
        <f t="shared" si="75"/>
        <v>#DIV/0!</v>
      </c>
      <c r="H206" s="35" t="str">
        <f t="shared" si="75"/>
        <v>#DIV/0!</v>
      </c>
      <c r="I206" s="35" t="str">
        <f t="shared" si="75"/>
        <v>#DIV/0!</v>
      </c>
      <c r="J206" s="35" t="str">
        <f t="shared" si="75"/>
        <v>#DIV/0!</v>
      </c>
      <c r="K206" s="35" t="str">
        <f t="shared" si="75"/>
        <v>#DIV/0!</v>
      </c>
    </row>
    <row r="207">
      <c r="A207" s="4" t="s">
        <v>156</v>
      </c>
      <c r="B207" s="18">
        <f>countif('2016'!$G$174:$G$182,"animal studies")</f>
        <v>0</v>
      </c>
      <c r="C207" s="18">
        <f>countif('2017'!$G$175:$G$183,"animal studies")</f>
        <v>0</v>
      </c>
      <c r="D207" s="18">
        <f>countif('2018'!$G$176:$G$184,"animal studies")</f>
        <v>1</v>
      </c>
      <c r="E207" s="18">
        <f>countif('2019'!$G$179:$G$187,"animal studies")</f>
        <v>0</v>
      </c>
      <c r="F207" s="18">
        <f>countif('2020'!$G$174:$G$182,"animal studies")</f>
        <v>0</v>
      </c>
      <c r="G207" s="18">
        <f>countif('2021'!$F$174:$F$182,"animal studies")</f>
        <v>0</v>
      </c>
      <c r="H207" s="18">
        <f>countif('2022'!$F$174:$F$182,"animal studies")</f>
        <v>0</v>
      </c>
      <c r="I207" s="18">
        <f>countif('2023'!$F$174:$F$182,"animal studies")</f>
        <v>0</v>
      </c>
      <c r="J207" s="18">
        <f>countif('2024'!$F$174:$F$182,"animal studies")</f>
        <v>0</v>
      </c>
      <c r="K207" s="18">
        <f>countif('2025'!$F$174:$F$182,"animal studies")</f>
        <v>0</v>
      </c>
    </row>
    <row r="208">
      <c r="A208" s="4" t="s">
        <v>157</v>
      </c>
      <c r="B208" s="18">
        <f>countif('2016'!$G$174:$G$182,"clinical conditions (musculoskeletal and neurological)")</f>
        <v>0</v>
      </c>
      <c r="C208" s="18">
        <f>countif('2017'!$G$175:$G$183,"clinical conditions (musculoskeletal and neurological)")</f>
        <v>0</v>
      </c>
      <c r="D208" s="18">
        <f>countif('2018'!$G$176:$G$184,"clinical conditions (musculoskeletal and neurological)")</f>
        <v>0</v>
      </c>
      <c r="E208" s="18">
        <f>countif('2019'!$G$179:$G$187,"clinical conditions (musculoskeletal and neurological)")</f>
        <v>0</v>
      </c>
      <c r="F208" s="18">
        <f>countif('2020'!$G$174:$G$182,"clinical conditions (musculoskeletal and neurological)")</f>
        <v>0</v>
      </c>
      <c r="G208" s="18">
        <f>countif('2021'!$F$174:$F$182,"clinical conditions (musculoskeletal and neurological)")</f>
        <v>0</v>
      </c>
      <c r="H208" s="18">
        <f>countif('2022'!$F$174:$F$182,"clinical conditions (musculoskeletal and neurological)")</f>
        <v>0</v>
      </c>
      <c r="I208" s="18">
        <f>countif('2023'!$F$174:$F$182,"clinical conditions (musculoskeletal and neurological)")</f>
        <v>0</v>
      </c>
      <c r="J208" s="18">
        <f>countif('2024'!$F$174:$F$182,"clinical conditions (musculoskeletal and neurological)")</f>
        <v>0</v>
      </c>
      <c r="K208" s="18">
        <f>countif('2025'!$F$174:$F$182,"clinical conditions (musculoskeletal and neurological)")</f>
        <v>0</v>
      </c>
    </row>
    <row r="209">
      <c r="A209" s="4" t="s">
        <v>158</v>
      </c>
      <c r="B209" s="18">
        <f>countif('2016'!$G$174:$G$182,"life-span (aging, maturation, pregnancy and post-partum)")</f>
        <v>2</v>
      </c>
      <c r="C209" s="18">
        <f>countif('2017'!$G$175:$G$183,"life-span (aging, maturation, pregnancy and post-partum)")</f>
        <v>3</v>
      </c>
      <c r="D209" s="18">
        <f>countif('2018'!$G$176:$G$184,"life-span (aging, maturation, pregnancy and post-partum)")</f>
        <v>0</v>
      </c>
      <c r="E209" s="18">
        <f>countif('2019'!$G$179:$G$187,"life-span (aging, maturation, pregnancy and post-partum)")</f>
        <v>0</v>
      </c>
      <c r="F209" s="18">
        <f>countif('2020'!$G$174:$G$182,"life-span (aging, maturation, pregnancy and post-partum)")</f>
        <v>1</v>
      </c>
      <c r="G209" s="18">
        <f>countif('2021'!$F$174:$F$182,"life-span (aging, maturation, pregnancy and post-partum)")</f>
        <v>0</v>
      </c>
      <c r="H209" s="18">
        <f>countif('2022'!$F$174:$F$182,"life-span (aging, maturation, pregnancy and post-partum)")</f>
        <v>0</v>
      </c>
      <c r="I209" s="18">
        <f>countif('2023'!$F$174:$F$182,"life-span (aging, maturation, pregnancy and post-partum)")</f>
        <v>0</v>
      </c>
      <c r="J209" s="18">
        <f>countif('2024'!$F$174:$F$182,"life-span (aging, maturation, pregnancy and post-partum)")</f>
        <v>0</v>
      </c>
      <c r="K209" s="18">
        <f>countif('2025'!$F$174:$F$182,"life-span (aging, maturation, pregnancy and post-partum)")</f>
        <v>0</v>
      </c>
    </row>
    <row r="210">
      <c r="A210" s="4" t="s">
        <v>159</v>
      </c>
      <c r="B210" s="18">
        <f>countif('2016'!$G$174:$G$182,"occupational")</f>
        <v>0</v>
      </c>
      <c r="C210" s="18">
        <f>countif('2017'!$G$175:$G$183,"occupational")</f>
        <v>0</v>
      </c>
      <c r="D210" s="18">
        <f>countif('2018'!$G$176:$G$184,"occupational")</f>
        <v>0</v>
      </c>
      <c r="E210" s="18">
        <f>countif('2019'!$G$179:$G$187,"occupational")</f>
        <v>0</v>
      </c>
      <c r="F210" s="18">
        <f>countif('2020'!$G$174:$G$182,"occupational")</f>
        <v>0</v>
      </c>
      <c r="G210" s="18">
        <f>countif('2021'!$F$174:$F$182,"occupational")</f>
        <v>0</v>
      </c>
      <c r="H210" s="18">
        <f>countif('2022'!$F$174:$F$182,"occupational")</f>
        <v>0</v>
      </c>
      <c r="I210" s="18">
        <f>countif('2023'!$F$174:$F$182,"occupational")</f>
        <v>0</v>
      </c>
      <c r="J210" s="18">
        <f>countif('2024'!$F$174:$F$182,"occupational")</f>
        <v>0</v>
      </c>
      <c r="K210" s="18">
        <f>countif('2025'!$F$174:$F$182,"occupational")</f>
        <v>0</v>
      </c>
    </row>
    <row r="211">
      <c r="A211" s="4" t="s">
        <v>160</v>
      </c>
      <c r="B211" s="18">
        <f>countif('2016'!$G$174:$G$182,"sports")</f>
        <v>0</v>
      </c>
      <c r="C211" s="18">
        <f>countif('2017'!$G$175:$G$183,"sports")</f>
        <v>1</v>
      </c>
      <c r="D211" s="18">
        <f>countif('2018'!$G$176:$G$184,"sports")</f>
        <v>0</v>
      </c>
      <c r="E211" s="18">
        <f>countif('2019'!$G$179:$G$187,"sports")</f>
        <v>0</v>
      </c>
      <c r="F211" s="18">
        <f>countif('2020'!$G$174:$G$182,"sports")</f>
        <v>0</v>
      </c>
      <c r="G211" s="18">
        <f>countif('2021'!$F$174:$F$182,"sports")</f>
        <v>0</v>
      </c>
      <c r="H211" s="18">
        <f>countif('2022'!$F$174:$F$182,"sports")</f>
        <v>0</v>
      </c>
      <c r="I211" s="18">
        <f>countif('2023'!$F$174:$F$182,"sports")</f>
        <v>0</v>
      </c>
      <c r="J211" s="18">
        <f>countif('2024'!$F$174:$F$182,"sports")</f>
        <v>0</v>
      </c>
      <c r="K211" s="18">
        <f>countif('2025'!$F$174:$F$182,"sports")</f>
        <v>0</v>
      </c>
    </row>
    <row r="212">
      <c r="A212" s="4" t="s">
        <v>161</v>
      </c>
      <c r="B212" s="18">
        <f t="shared" ref="B212:K212" si="76">B201*100/B200</f>
        <v>100</v>
      </c>
      <c r="C212" s="18">
        <f t="shared" si="76"/>
        <v>100</v>
      </c>
      <c r="D212" s="18">
        <f t="shared" si="76"/>
        <v>100</v>
      </c>
      <c r="E212" s="18" t="str">
        <f t="shared" si="76"/>
        <v>#DIV/0!</v>
      </c>
      <c r="F212" s="18">
        <f t="shared" si="76"/>
        <v>0</v>
      </c>
      <c r="G212" s="18" t="str">
        <f t="shared" si="76"/>
        <v>#DIV/0!</v>
      </c>
      <c r="H212" s="18" t="str">
        <f t="shared" si="76"/>
        <v>#DIV/0!</v>
      </c>
      <c r="I212" s="18" t="str">
        <f t="shared" si="76"/>
        <v>#DIV/0!</v>
      </c>
      <c r="J212" s="18" t="str">
        <f t="shared" si="76"/>
        <v>#DIV/0!</v>
      </c>
      <c r="K212" s="18" t="str">
        <f t="shared" si="76"/>
        <v>#DIV/0!</v>
      </c>
    </row>
    <row r="213">
      <c r="A213" s="4" t="s">
        <v>44</v>
      </c>
      <c r="B213" s="18">
        <f t="shared" ref="B213:K213" si="77">B202*100/B$200</f>
        <v>50</v>
      </c>
      <c r="C213" s="18">
        <f t="shared" si="77"/>
        <v>50</v>
      </c>
      <c r="D213" s="18">
        <f t="shared" si="77"/>
        <v>100</v>
      </c>
      <c r="E213" s="18" t="str">
        <f t="shared" si="77"/>
        <v>#DIV/0!</v>
      </c>
      <c r="F213" s="18">
        <f t="shared" si="77"/>
        <v>100</v>
      </c>
      <c r="G213" s="18" t="str">
        <f t="shared" si="77"/>
        <v>#DIV/0!</v>
      </c>
      <c r="H213" s="18" t="str">
        <f t="shared" si="77"/>
        <v>#DIV/0!</v>
      </c>
      <c r="I213" s="18" t="str">
        <f t="shared" si="77"/>
        <v>#DIV/0!</v>
      </c>
      <c r="J213" s="18" t="str">
        <f t="shared" si="77"/>
        <v>#DIV/0!</v>
      </c>
      <c r="K213" s="18" t="str">
        <f t="shared" si="77"/>
        <v>#DIV/0!</v>
      </c>
    </row>
    <row r="214">
      <c r="A214" s="4" t="s">
        <v>45</v>
      </c>
      <c r="B214" s="18">
        <f t="shared" ref="B214:K214" si="78">B203*100/B$200</f>
        <v>50</v>
      </c>
      <c r="C214" s="18">
        <f t="shared" si="78"/>
        <v>50</v>
      </c>
      <c r="D214" s="18">
        <f t="shared" si="78"/>
        <v>0</v>
      </c>
      <c r="E214" s="18" t="str">
        <f t="shared" si="78"/>
        <v>#DIV/0!</v>
      </c>
      <c r="F214" s="18">
        <f t="shared" si="78"/>
        <v>0</v>
      </c>
      <c r="G214" s="18" t="str">
        <f t="shared" si="78"/>
        <v>#DIV/0!</v>
      </c>
      <c r="H214" s="18" t="str">
        <f t="shared" si="78"/>
        <v>#DIV/0!</v>
      </c>
      <c r="I214" s="18" t="str">
        <f t="shared" si="78"/>
        <v>#DIV/0!</v>
      </c>
      <c r="J214" s="18" t="str">
        <f t="shared" si="78"/>
        <v>#DIV/0!</v>
      </c>
      <c r="K214" s="18" t="str">
        <f t="shared" si="78"/>
        <v>#DIV/0!</v>
      </c>
    </row>
    <row r="215">
      <c r="A215" s="4" t="s">
        <v>162</v>
      </c>
      <c r="B215" s="18">
        <f t="shared" ref="B215:K215" si="79">B207*100/B$200</f>
        <v>0</v>
      </c>
      <c r="C215" s="18">
        <f t="shared" si="79"/>
        <v>0</v>
      </c>
      <c r="D215" s="18">
        <f t="shared" si="79"/>
        <v>100</v>
      </c>
      <c r="E215" s="18" t="str">
        <f t="shared" si="79"/>
        <v>#DIV/0!</v>
      </c>
      <c r="F215" s="18">
        <f t="shared" si="79"/>
        <v>0</v>
      </c>
      <c r="G215" s="18" t="str">
        <f t="shared" si="79"/>
        <v>#DIV/0!</v>
      </c>
      <c r="H215" s="18" t="str">
        <f t="shared" si="79"/>
        <v>#DIV/0!</v>
      </c>
      <c r="I215" s="18" t="str">
        <f t="shared" si="79"/>
        <v>#DIV/0!</v>
      </c>
      <c r="J215" s="18" t="str">
        <f t="shared" si="79"/>
        <v>#DIV/0!</v>
      </c>
      <c r="K215" s="18" t="str">
        <f t="shared" si="79"/>
        <v>#DIV/0!</v>
      </c>
    </row>
    <row r="216">
      <c r="A216" s="4" t="s">
        <v>163</v>
      </c>
      <c r="B216" s="18">
        <f t="shared" ref="B216:K216" si="80">B208*100/B$200</f>
        <v>0</v>
      </c>
      <c r="C216" s="18">
        <f t="shared" si="80"/>
        <v>0</v>
      </c>
      <c r="D216" s="18">
        <f t="shared" si="80"/>
        <v>0</v>
      </c>
      <c r="E216" s="18" t="str">
        <f t="shared" si="80"/>
        <v>#DIV/0!</v>
      </c>
      <c r="F216" s="18">
        <f t="shared" si="80"/>
        <v>0</v>
      </c>
      <c r="G216" s="18" t="str">
        <f t="shared" si="80"/>
        <v>#DIV/0!</v>
      </c>
      <c r="H216" s="18" t="str">
        <f t="shared" si="80"/>
        <v>#DIV/0!</v>
      </c>
      <c r="I216" s="18" t="str">
        <f t="shared" si="80"/>
        <v>#DIV/0!</v>
      </c>
      <c r="J216" s="18" t="str">
        <f t="shared" si="80"/>
        <v>#DIV/0!</v>
      </c>
      <c r="K216" s="18" t="str">
        <f t="shared" si="80"/>
        <v>#DIV/0!</v>
      </c>
    </row>
    <row r="217">
      <c r="A217" s="4" t="s">
        <v>164</v>
      </c>
      <c r="B217" s="18">
        <f t="shared" ref="B217:K217" si="81">B209*100/B$200</f>
        <v>100</v>
      </c>
      <c r="C217" s="18">
        <f t="shared" si="81"/>
        <v>75</v>
      </c>
      <c r="D217" s="18">
        <f t="shared" si="81"/>
        <v>0</v>
      </c>
      <c r="E217" s="18" t="str">
        <f t="shared" si="81"/>
        <v>#DIV/0!</v>
      </c>
      <c r="F217" s="18">
        <f t="shared" si="81"/>
        <v>100</v>
      </c>
      <c r="G217" s="18" t="str">
        <f t="shared" si="81"/>
        <v>#DIV/0!</v>
      </c>
      <c r="H217" s="18" t="str">
        <f t="shared" si="81"/>
        <v>#DIV/0!</v>
      </c>
      <c r="I217" s="18" t="str">
        <f t="shared" si="81"/>
        <v>#DIV/0!</v>
      </c>
      <c r="J217" s="18" t="str">
        <f t="shared" si="81"/>
        <v>#DIV/0!</v>
      </c>
      <c r="K217" s="18" t="str">
        <f t="shared" si="81"/>
        <v>#DIV/0!</v>
      </c>
    </row>
    <row r="218">
      <c r="A218" s="4" t="s">
        <v>165</v>
      </c>
      <c r="B218" s="18">
        <f t="shared" ref="B218:K218" si="82">B210*100/B$200</f>
        <v>0</v>
      </c>
      <c r="C218" s="18">
        <f t="shared" si="82"/>
        <v>0</v>
      </c>
      <c r="D218" s="18">
        <f t="shared" si="82"/>
        <v>0</v>
      </c>
      <c r="E218" s="18" t="str">
        <f t="shared" si="82"/>
        <v>#DIV/0!</v>
      </c>
      <c r="F218" s="18">
        <f t="shared" si="82"/>
        <v>0</v>
      </c>
      <c r="G218" s="18" t="str">
        <f t="shared" si="82"/>
        <v>#DIV/0!</v>
      </c>
      <c r="H218" s="18" t="str">
        <f t="shared" si="82"/>
        <v>#DIV/0!</v>
      </c>
      <c r="I218" s="18" t="str">
        <f t="shared" si="82"/>
        <v>#DIV/0!</v>
      </c>
      <c r="J218" s="18" t="str">
        <f t="shared" si="82"/>
        <v>#DIV/0!</v>
      </c>
      <c r="K218" s="18" t="str">
        <f t="shared" si="82"/>
        <v>#DIV/0!</v>
      </c>
    </row>
    <row r="219">
      <c r="A219" s="4" t="s">
        <v>166</v>
      </c>
      <c r="B219" s="18">
        <f t="shared" ref="B219:K219" si="83">B211*100/B$200</f>
        <v>0</v>
      </c>
      <c r="C219" s="18">
        <f t="shared" si="83"/>
        <v>25</v>
      </c>
      <c r="D219" s="18">
        <f t="shared" si="83"/>
        <v>0</v>
      </c>
      <c r="E219" s="18" t="str">
        <f t="shared" si="83"/>
        <v>#DIV/0!</v>
      </c>
      <c r="F219" s="18">
        <f t="shared" si="83"/>
        <v>0</v>
      </c>
      <c r="G219" s="18" t="str">
        <f t="shared" si="83"/>
        <v>#DIV/0!</v>
      </c>
      <c r="H219" s="18" t="str">
        <f t="shared" si="83"/>
        <v>#DIV/0!</v>
      </c>
      <c r="I219" s="18" t="str">
        <f t="shared" si="83"/>
        <v>#DIV/0!</v>
      </c>
      <c r="J219" s="18" t="str">
        <f t="shared" si="83"/>
        <v>#DIV/0!</v>
      </c>
      <c r="K219" s="18" t="str">
        <f t="shared" si="83"/>
        <v>#DIV/0!</v>
      </c>
    </row>
    <row r="221">
      <c r="A221" s="2" t="s">
        <v>167</v>
      </c>
      <c r="B221" s="3">
        <v>2016.0</v>
      </c>
      <c r="C221" s="3">
        <v>2017.0</v>
      </c>
      <c r="D221" s="3">
        <v>2018.0</v>
      </c>
      <c r="E221" s="3">
        <v>2019.0</v>
      </c>
      <c r="F221" s="3">
        <v>2020.0</v>
      </c>
      <c r="G221" s="3">
        <v>2021.0</v>
      </c>
      <c r="H221" s="3">
        <v>2022.0</v>
      </c>
      <c r="I221" s="3">
        <v>2023.0</v>
      </c>
      <c r="J221" s="3">
        <v>2024.0</v>
      </c>
      <c r="K221" s="3">
        <v>2025.0</v>
      </c>
    </row>
    <row r="222">
      <c r="A222" s="4" t="s">
        <v>2</v>
      </c>
      <c r="B222" s="18">
        <f>counta('2016'!$B$186:$B$193)</f>
        <v>0</v>
      </c>
      <c r="C222" s="18">
        <f>counta('2017'!$B$187:$B$194)</f>
        <v>0</v>
      </c>
      <c r="D222" s="18">
        <f>counta('2018'!$B$188:$B$195)</f>
        <v>1</v>
      </c>
      <c r="E222" s="18">
        <f>counta('2019'!$B$191:$B$198)</f>
        <v>2</v>
      </c>
      <c r="F222" s="18">
        <f>counta('2020'!$B$186:$B$193)</f>
        <v>0</v>
      </c>
      <c r="G222" s="18">
        <f>counta('2021'!$A$186:$A$193)</f>
        <v>1</v>
      </c>
      <c r="H222" s="18">
        <f>counta('2022'!$A$186:$A$193)</f>
        <v>0</v>
      </c>
      <c r="I222" s="18">
        <f>counta('2023'!$A$186:$A$193)</f>
        <v>0</v>
      </c>
      <c r="J222" s="18">
        <f>counta('2024'!$A$186:$A$193)</f>
        <v>0</v>
      </c>
      <c r="K222" s="18">
        <f>counta('2025'!$A$186:$A$193)</f>
        <v>0</v>
      </c>
    </row>
    <row r="223">
      <c r="A223" s="4" t="s">
        <v>152</v>
      </c>
      <c r="B223" s="18">
        <f>COUNTIF('2016'!$A$186:$A$193, "sim")</f>
        <v>0</v>
      </c>
      <c r="C223" s="18">
        <f>COUNTIF('2017'!$A$186:$A$193, "sim")</f>
        <v>0</v>
      </c>
      <c r="D223" s="18">
        <f>COUNTIF('2018'!$A$186:$A$193, "sim")</f>
        <v>0</v>
      </c>
      <c r="E223" s="18">
        <f>COUNTIF('2019'!$A$190:$A$197, "sim")</f>
        <v>2</v>
      </c>
      <c r="F223" s="18">
        <f>COUNTIF('2020'!$A$186:$A$193, "sim")</f>
        <v>0</v>
      </c>
      <c r="G223" s="18">
        <f>COUNTIF('2021'!$A$186:$A$193, "sim")</f>
        <v>1</v>
      </c>
      <c r="H223" s="18">
        <f>COUNTIF('2022'!$A$186:$A$193, "sim")</f>
        <v>0</v>
      </c>
      <c r="I223" s="18">
        <f>COUNTIF('2023'!$A$186:$A$193, "sim")</f>
        <v>0</v>
      </c>
      <c r="J223" s="18">
        <f>COUNTIF('2024'!$A$186:$A$193, "sim")</f>
        <v>0</v>
      </c>
      <c r="K223" s="18">
        <f>COUNTIF('2025'!$A$186:$A$193, "sim")</f>
        <v>0</v>
      </c>
    </row>
    <row r="224">
      <c r="A224" s="4" t="s">
        <v>39</v>
      </c>
      <c r="B224" s="18">
        <f>countif('2016'!$D$186:$D$193, "nacional")</f>
        <v>0</v>
      </c>
      <c r="C224" s="18">
        <f>countif('2017'!$D$187:$D$194, "nacional")</f>
        <v>0</v>
      </c>
      <c r="D224" s="18">
        <f>countif('2018'!$D$188:$D$195, "nacional")</f>
        <v>1</v>
      </c>
      <c r="E224" s="18">
        <f>countif('2019'!$D$191:$D$198, "nacional")</f>
        <v>2</v>
      </c>
      <c r="F224" s="18">
        <f>countif('2020'!$D$186:$D$193, "nacional")</f>
        <v>0</v>
      </c>
      <c r="G224" s="18">
        <f>countif('2021'!$C$186:$C$193, "nacional")</f>
        <v>0</v>
      </c>
      <c r="H224" s="18">
        <f>countif('2022'!$C$186:$C$193, "nacional")</f>
        <v>0</v>
      </c>
      <c r="I224" s="18">
        <f>countif('2023'!$C$186:$C$193, "nacional")</f>
        <v>0</v>
      </c>
      <c r="J224" s="18">
        <f>countif('2024'!$C$186:$C$193, "nacional")</f>
        <v>0</v>
      </c>
      <c r="K224" s="18">
        <f>countif('2025'!$C$186:$C$193, "nacional")</f>
        <v>0</v>
      </c>
    </row>
    <row r="225">
      <c r="A225" s="4" t="s">
        <v>40</v>
      </c>
      <c r="B225" s="18">
        <f>countif('2016'!$D$186:$D$193,"internacional")</f>
        <v>0</v>
      </c>
      <c r="C225" s="18">
        <f>countif('2017'!$D$187:$D$194,"internacional")</f>
        <v>0</v>
      </c>
      <c r="D225" s="18">
        <f>countif('2018'!$D$188:$D$195,"internacional")</f>
        <v>0</v>
      </c>
      <c r="E225" s="18">
        <f>countif('2019'!$D$191:$D$198,"internacional")</f>
        <v>0</v>
      </c>
      <c r="F225" s="18">
        <f>countif('2020'!$D$186:$D$193,"internacional")</f>
        <v>0</v>
      </c>
      <c r="G225" s="18">
        <f>countif('2021'!$C$186:$C$193,"internacional")</f>
        <v>0</v>
      </c>
      <c r="H225" s="18">
        <f>countif('2022'!$C$186:$C$193,"internacional")</f>
        <v>0</v>
      </c>
      <c r="I225" s="18">
        <f>countif('2023'!$C$186:$C$193,"internacional")</f>
        <v>0</v>
      </c>
      <c r="J225" s="18">
        <f>countif('2024'!$C$186:$C$193,"internacional")</f>
        <v>0</v>
      </c>
      <c r="K225" s="18">
        <f>countif('2025'!$C$186:$C$193,"internacional")</f>
        <v>0</v>
      </c>
    </row>
    <row r="226">
      <c r="A226" s="4" t="s">
        <v>153</v>
      </c>
      <c r="B226" s="18" t="str">
        <f>AVERAGE('2016'!$H$186:$H$193)</f>
        <v>#DIV/0!</v>
      </c>
      <c r="C226" s="18" t="str">
        <f>AVERAGE('2017'!$H$186:$H$193)</f>
        <v>#DIV/0!</v>
      </c>
      <c r="D226" s="18">
        <f>AVERAGE('2018'!$H$186:$H$193)</f>
        <v>1</v>
      </c>
      <c r="E226" s="18">
        <f>AVERAGE('2019'!$H$190:$H$197)</f>
        <v>1</v>
      </c>
      <c r="F226" s="18" t="str">
        <f>AVERAGE('2020'!$H$186:$H$193)</f>
        <v>#DIV/0!</v>
      </c>
      <c r="G226" s="36">
        <f>AVERAGE('2021'!$H$186:$H$193)</f>
        <v>44201</v>
      </c>
      <c r="H226" s="18" t="str">
        <f>AVERAGE('2022'!$H$186:$H$193)</f>
        <v>#DIV/0!</v>
      </c>
      <c r="I226" s="18" t="str">
        <f>AVERAGE('2023'!$H$186:$H$193)</f>
        <v>#DIV/0!</v>
      </c>
      <c r="J226" s="18" t="str">
        <f>AVERAGE('2024'!$H$186:$H$193)</f>
        <v>#DIV/0!</v>
      </c>
      <c r="K226" s="18" t="str">
        <f>AVERAGE('2025'!$H$186:$H$193)</f>
        <v>#DIV/0!</v>
      </c>
    </row>
    <row r="227">
      <c r="A227" s="4" t="s">
        <v>154</v>
      </c>
      <c r="B227" s="35">
        <f>SUM('2016'!$F$186:$F$193)</f>
        <v>0</v>
      </c>
      <c r="C227" s="35">
        <f>SUM('2017'!$F$186:$F$193)</f>
        <v>0</v>
      </c>
      <c r="D227" s="35">
        <f>SUM('2018'!$F$186:$F$193)</f>
        <v>0</v>
      </c>
      <c r="E227" s="35">
        <f>SUM('2019'!$F$190:$F$197)</f>
        <v>30000</v>
      </c>
      <c r="F227" s="35">
        <f>SUM('2020'!$F$186:$F$193)</f>
        <v>0</v>
      </c>
      <c r="G227" s="35">
        <f>SUM('2021'!$F$186:$F$193)</f>
        <v>0</v>
      </c>
      <c r="H227" s="35">
        <f>SUM('2022'!$F$186:$F$193)</f>
        <v>0</v>
      </c>
      <c r="I227" s="35">
        <f>SUM('2023'!$F$186:$F$193)</f>
        <v>0</v>
      </c>
      <c r="J227" s="35">
        <f>SUM('2024'!$F$186:$F$193)</f>
        <v>0</v>
      </c>
      <c r="K227" s="35">
        <f>SUM('2025'!$F$186:$F$193)</f>
        <v>0</v>
      </c>
    </row>
    <row r="228">
      <c r="A228" s="4" t="s">
        <v>155</v>
      </c>
      <c r="B228" s="35" t="str">
        <f t="shared" ref="B228:K228" si="84">B227/B226</f>
        <v>#DIV/0!</v>
      </c>
      <c r="C228" s="35" t="str">
        <f t="shared" si="84"/>
        <v>#DIV/0!</v>
      </c>
      <c r="D228" s="35">
        <f t="shared" si="84"/>
        <v>0</v>
      </c>
      <c r="E228" s="35">
        <f t="shared" si="84"/>
        <v>30000</v>
      </c>
      <c r="F228" s="35" t="str">
        <f t="shared" si="84"/>
        <v>#DIV/0!</v>
      </c>
      <c r="G228" s="35">
        <f t="shared" si="84"/>
        <v>0</v>
      </c>
      <c r="H228" s="35" t="str">
        <f t="shared" si="84"/>
        <v>#DIV/0!</v>
      </c>
      <c r="I228" s="35" t="str">
        <f t="shared" si="84"/>
        <v>#DIV/0!</v>
      </c>
      <c r="J228" s="35" t="str">
        <f t="shared" si="84"/>
        <v>#DIV/0!</v>
      </c>
      <c r="K228" s="35" t="str">
        <f t="shared" si="84"/>
        <v>#DIV/0!</v>
      </c>
    </row>
    <row r="229">
      <c r="A229" s="4" t="s">
        <v>156</v>
      </c>
      <c r="B229" s="18">
        <f>countif('2016'!$G$186:$G$193,"animal studies")</f>
        <v>0</v>
      </c>
      <c r="C229" s="18">
        <f>countif('2017'!$G$187:$G$194,"animal studies")</f>
        <v>0</v>
      </c>
      <c r="D229" s="18">
        <f>countif('2018'!$G$188:$G$195,"animal studies")</f>
        <v>0</v>
      </c>
      <c r="E229" s="18">
        <f>countif('2019'!$G$191:$G$198,"animal studies")</f>
        <v>0</v>
      </c>
      <c r="F229" s="18">
        <f>countif('2020'!$G$186:$G$193,"animal studies")</f>
        <v>0</v>
      </c>
      <c r="G229" s="18">
        <f>countif('2021'!$F$186:$F$193,"animal studies")</f>
        <v>0</v>
      </c>
      <c r="H229" s="18">
        <f>countif('2022'!$F$186:$F$193,"animal studies")</f>
        <v>0</v>
      </c>
      <c r="I229" s="18">
        <f>countif('2023'!$F$186:$F$193,"animal studies")</f>
        <v>0</v>
      </c>
      <c r="J229" s="18">
        <f>countif('2024'!$F$186:$F$193,"animal studies")</f>
        <v>0</v>
      </c>
      <c r="K229" s="18">
        <f>countif('2025'!$F$186:$F$193,"animal studies")</f>
        <v>0</v>
      </c>
    </row>
    <row r="230">
      <c r="A230" s="4" t="s">
        <v>157</v>
      </c>
      <c r="B230" s="18">
        <f>countif('2016'!$G$186:$G$193,"clinical conditions (musculoskeletal and neurological)")</f>
        <v>0</v>
      </c>
      <c r="C230" s="18">
        <f>countif('2017'!$G$187:$G$194,"clinical conditions (musculoskeletal and neurological)")</f>
        <v>0</v>
      </c>
      <c r="D230" s="18">
        <f>countif('2018'!$G$188:$G$195,"clinical conditions (musculoskeletal and neurological)")</f>
        <v>0</v>
      </c>
      <c r="E230" s="18">
        <f>countif('2019'!$G$191:$G$198,"clinical conditions (musculoskeletal and neurological)")</f>
        <v>1</v>
      </c>
      <c r="F230" s="18">
        <f>countif('2020'!$G$186:$G$193,"clinical conditions (musculoskeletal and neurological)")</f>
        <v>0</v>
      </c>
      <c r="G230" s="18">
        <f>countif('2021'!$F$186:$F$193,"clinical conditions (musculoskeletal and neurological)")</f>
        <v>0</v>
      </c>
      <c r="H230" s="18">
        <f>countif('2022'!$F$186:$F$193,"clinical conditions (musculoskeletal and neurological)")</f>
        <v>0</v>
      </c>
      <c r="I230" s="18">
        <f>countif('2023'!$F$186:$F$193,"clinical conditions (musculoskeletal and neurological)")</f>
        <v>0</v>
      </c>
      <c r="J230" s="18">
        <f>countif('2024'!$F$186:$F$193,"clinical conditions (musculoskeletal and neurological)")</f>
        <v>0</v>
      </c>
      <c r="K230" s="18">
        <f>countif('2025'!$F$186:$F$193,"clinical conditions (musculoskeletal and neurological)")</f>
        <v>0</v>
      </c>
    </row>
    <row r="231">
      <c r="A231" s="4" t="s">
        <v>158</v>
      </c>
      <c r="B231" s="18">
        <f>countif('2016'!$G$186:$G$193,"life-span (aging, maturation, pregnancy and post-partum)")</f>
        <v>0</v>
      </c>
      <c r="C231" s="18">
        <f>countif('2017'!$G$187:$G$194,"life-span (aging, maturation, pregnancy and post-partum)")</f>
        <v>0</v>
      </c>
      <c r="D231" s="18">
        <f>countif('2018'!$G$188:$G$195,"life-span (aging, maturation, pregnancy and post-partum)")</f>
        <v>0</v>
      </c>
      <c r="E231" s="18">
        <f>countif('2019'!$G$191:$G$198,"life-span (aging, maturation, pregnancy and post-partum)")</f>
        <v>0</v>
      </c>
      <c r="F231" s="18">
        <f>countif('2020'!$G$186:$G$193,"life-span (aging, maturation, pregnancy and post-partum)")</f>
        <v>0</v>
      </c>
      <c r="G231" s="18">
        <f>countif('2021'!$F$186:$F$193,"life-span (aging, maturation, pregnancy and post-partum)")</f>
        <v>0</v>
      </c>
      <c r="H231" s="18">
        <f>countif('2022'!$F$186:$F$193,"life-span (aging, maturation, pregnancy and post-partum)")</f>
        <v>0</v>
      </c>
      <c r="I231" s="18">
        <f>countif('2023'!$F$186:$F$193,"life-span (aging, maturation, pregnancy and post-partum)")</f>
        <v>0</v>
      </c>
      <c r="J231" s="18">
        <f>countif('2024'!$F$186:$F$193,"life-span (aging, maturation, pregnancy and post-partum)")</f>
        <v>0</v>
      </c>
      <c r="K231" s="18">
        <f>countif('2025'!$F$186:$F$193,"life-span (aging, maturation, pregnancy and post-partum)")</f>
        <v>0</v>
      </c>
    </row>
    <row r="232">
      <c r="A232" s="4" t="s">
        <v>159</v>
      </c>
      <c r="B232" s="18">
        <f>countif('2016'!$G$186:$G$193,"occupational")</f>
        <v>0</v>
      </c>
      <c r="C232" s="18">
        <f>countif('2017'!$G$187:$G$194,"occupational")</f>
        <v>0</v>
      </c>
      <c r="D232" s="18">
        <f>countif('2018'!$G$188:$G$195,"occupational")</f>
        <v>0</v>
      </c>
      <c r="E232" s="18">
        <f>countif('2019'!$G$191:$G$198,"occupational")</f>
        <v>0</v>
      </c>
      <c r="F232" s="18">
        <f>countif('2020'!$G$186:$G$193,"occupational")</f>
        <v>0</v>
      </c>
      <c r="G232" s="18">
        <f>countif('2021'!$F$186:$F$193,"occupational")</f>
        <v>0</v>
      </c>
      <c r="H232" s="18">
        <f>countif('2022'!$F$186:$F$193,"occupational")</f>
        <v>0</v>
      </c>
      <c r="I232" s="18">
        <f>countif('2023'!$F$186:$F$193,"occupational")</f>
        <v>0</v>
      </c>
      <c r="J232" s="18">
        <f>countif('2024'!$F$186:$F$193,"occupational")</f>
        <v>0</v>
      </c>
      <c r="K232" s="18">
        <f>countif('2025'!$F$186:$F$193,"occupational")</f>
        <v>0</v>
      </c>
    </row>
    <row r="233">
      <c r="A233" s="4" t="s">
        <v>160</v>
      </c>
      <c r="B233" s="18">
        <f>countif('2016'!$G$186:$G$193,"sports")</f>
        <v>0</v>
      </c>
      <c r="C233" s="18">
        <f>countif('2017'!$G$187:$G$194,"sports")</f>
        <v>0</v>
      </c>
      <c r="D233" s="18">
        <f>countif('2018'!$G$188:$G$195,"sports")</f>
        <v>1</v>
      </c>
      <c r="E233" s="18">
        <f>countif('2019'!$G$191:$G$198,"sports")</f>
        <v>1</v>
      </c>
      <c r="F233" s="18">
        <f>countif('2020'!$G$186:$G$193,"sports")</f>
        <v>0</v>
      </c>
      <c r="G233" s="18">
        <f>countif('2021'!$F$186:$F$193,"sports")</f>
        <v>0</v>
      </c>
      <c r="H233" s="18">
        <f>countif('2022'!$F$186:$F$193,"sports")</f>
        <v>0</v>
      </c>
      <c r="I233" s="18">
        <f>countif('2023'!$F$186:$F$193,"sports")</f>
        <v>0</v>
      </c>
      <c r="J233" s="18">
        <f>countif('2024'!$F$186:$F$193,"sports")</f>
        <v>0</v>
      </c>
      <c r="K233" s="18">
        <f>countif('2025'!$F$186:$F$193,"sports")</f>
        <v>0</v>
      </c>
    </row>
    <row r="234">
      <c r="A234" s="4" t="s">
        <v>44</v>
      </c>
      <c r="B234" s="18" t="str">
        <f t="shared" ref="B234:K234" si="85">B224*100/B$222</f>
        <v>#DIV/0!</v>
      </c>
      <c r="C234" s="18" t="str">
        <f t="shared" si="85"/>
        <v>#DIV/0!</v>
      </c>
      <c r="D234" s="18">
        <f t="shared" si="85"/>
        <v>100</v>
      </c>
      <c r="E234" s="18">
        <f t="shared" si="85"/>
        <v>100</v>
      </c>
      <c r="F234" s="18" t="str">
        <f t="shared" si="85"/>
        <v>#DIV/0!</v>
      </c>
      <c r="G234" s="18">
        <f t="shared" si="85"/>
        <v>0</v>
      </c>
      <c r="H234" s="18" t="str">
        <f t="shared" si="85"/>
        <v>#DIV/0!</v>
      </c>
      <c r="I234" s="18" t="str">
        <f t="shared" si="85"/>
        <v>#DIV/0!</v>
      </c>
      <c r="J234" s="18" t="str">
        <f t="shared" si="85"/>
        <v>#DIV/0!</v>
      </c>
      <c r="K234" s="18" t="str">
        <f t="shared" si="85"/>
        <v>#DIV/0!</v>
      </c>
    </row>
    <row r="235">
      <c r="A235" s="4" t="s">
        <v>45</v>
      </c>
      <c r="B235" s="18" t="str">
        <f t="shared" ref="B235:K235" si="86">B225*100/B$222</f>
        <v>#DIV/0!</v>
      </c>
      <c r="C235" s="18" t="str">
        <f t="shared" si="86"/>
        <v>#DIV/0!</v>
      </c>
      <c r="D235" s="18">
        <f t="shared" si="86"/>
        <v>0</v>
      </c>
      <c r="E235" s="18">
        <f t="shared" si="86"/>
        <v>0</v>
      </c>
      <c r="F235" s="18" t="str">
        <f t="shared" si="86"/>
        <v>#DIV/0!</v>
      </c>
      <c r="G235" s="18">
        <f t="shared" si="86"/>
        <v>0</v>
      </c>
      <c r="H235" s="18" t="str">
        <f t="shared" si="86"/>
        <v>#DIV/0!</v>
      </c>
      <c r="I235" s="18" t="str">
        <f t="shared" si="86"/>
        <v>#DIV/0!</v>
      </c>
      <c r="J235" s="18" t="str">
        <f t="shared" si="86"/>
        <v>#DIV/0!</v>
      </c>
      <c r="K235" s="18" t="str">
        <f t="shared" si="86"/>
        <v>#DIV/0!</v>
      </c>
    </row>
    <row r="236">
      <c r="A236" s="4" t="s">
        <v>162</v>
      </c>
      <c r="B236" s="18" t="str">
        <f t="shared" ref="B236:K236" si="87">B229*100/B$222</f>
        <v>#DIV/0!</v>
      </c>
      <c r="C236" s="18" t="str">
        <f t="shared" si="87"/>
        <v>#DIV/0!</v>
      </c>
      <c r="D236" s="18">
        <f t="shared" si="87"/>
        <v>0</v>
      </c>
      <c r="E236" s="18">
        <f t="shared" si="87"/>
        <v>0</v>
      </c>
      <c r="F236" s="18" t="str">
        <f t="shared" si="87"/>
        <v>#DIV/0!</v>
      </c>
      <c r="G236" s="18">
        <f t="shared" si="87"/>
        <v>0</v>
      </c>
      <c r="H236" s="18" t="str">
        <f t="shared" si="87"/>
        <v>#DIV/0!</v>
      </c>
      <c r="I236" s="18" t="str">
        <f t="shared" si="87"/>
        <v>#DIV/0!</v>
      </c>
      <c r="J236" s="18" t="str">
        <f t="shared" si="87"/>
        <v>#DIV/0!</v>
      </c>
      <c r="K236" s="18" t="str">
        <f t="shared" si="87"/>
        <v>#DIV/0!</v>
      </c>
    </row>
    <row r="237">
      <c r="A237" s="4" t="s">
        <v>163</v>
      </c>
      <c r="B237" s="18" t="str">
        <f t="shared" ref="B237:K237" si="88">B230*100/B$222</f>
        <v>#DIV/0!</v>
      </c>
      <c r="C237" s="18" t="str">
        <f t="shared" si="88"/>
        <v>#DIV/0!</v>
      </c>
      <c r="D237" s="18">
        <f t="shared" si="88"/>
        <v>0</v>
      </c>
      <c r="E237" s="18">
        <f t="shared" si="88"/>
        <v>50</v>
      </c>
      <c r="F237" s="18" t="str">
        <f t="shared" si="88"/>
        <v>#DIV/0!</v>
      </c>
      <c r="G237" s="18">
        <f t="shared" si="88"/>
        <v>0</v>
      </c>
      <c r="H237" s="18" t="str">
        <f t="shared" si="88"/>
        <v>#DIV/0!</v>
      </c>
      <c r="I237" s="18" t="str">
        <f t="shared" si="88"/>
        <v>#DIV/0!</v>
      </c>
      <c r="J237" s="18" t="str">
        <f t="shared" si="88"/>
        <v>#DIV/0!</v>
      </c>
      <c r="K237" s="18" t="str">
        <f t="shared" si="88"/>
        <v>#DIV/0!</v>
      </c>
    </row>
    <row r="238">
      <c r="A238" s="4" t="s">
        <v>164</v>
      </c>
      <c r="B238" s="18" t="str">
        <f t="shared" ref="B238:K238" si="89">B231*100/B$222</f>
        <v>#DIV/0!</v>
      </c>
      <c r="C238" s="18" t="str">
        <f t="shared" si="89"/>
        <v>#DIV/0!</v>
      </c>
      <c r="D238" s="18">
        <f t="shared" si="89"/>
        <v>0</v>
      </c>
      <c r="E238" s="18">
        <f t="shared" si="89"/>
        <v>0</v>
      </c>
      <c r="F238" s="18" t="str">
        <f t="shared" si="89"/>
        <v>#DIV/0!</v>
      </c>
      <c r="G238" s="18">
        <f t="shared" si="89"/>
        <v>0</v>
      </c>
      <c r="H238" s="18" t="str">
        <f t="shared" si="89"/>
        <v>#DIV/0!</v>
      </c>
      <c r="I238" s="18" t="str">
        <f t="shared" si="89"/>
        <v>#DIV/0!</v>
      </c>
      <c r="J238" s="18" t="str">
        <f t="shared" si="89"/>
        <v>#DIV/0!</v>
      </c>
      <c r="K238" s="18" t="str">
        <f t="shared" si="89"/>
        <v>#DIV/0!</v>
      </c>
    </row>
    <row r="239">
      <c r="A239" s="4" t="s">
        <v>165</v>
      </c>
      <c r="B239" s="18" t="str">
        <f t="shared" ref="B239:K239" si="90">B232*100/B$222</f>
        <v>#DIV/0!</v>
      </c>
      <c r="C239" s="18" t="str">
        <f t="shared" si="90"/>
        <v>#DIV/0!</v>
      </c>
      <c r="D239" s="18">
        <f t="shared" si="90"/>
        <v>0</v>
      </c>
      <c r="E239" s="18">
        <f t="shared" si="90"/>
        <v>0</v>
      </c>
      <c r="F239" s="18" t="str">
        <f t="shared" si="90"/>
        <v>#DIV/0!</v>
      </c>
      <c r="G239" s="18">
        <f t="shared" si="90"/>
        <v>0</v>
      </c>
      <c r="H239" s="18" t="str">
        <f t="shared" si="90"/>
        <v>#DIV/0!</v>
      </c>
      <c r="I239" s="18" t="str">
        <f t="shared" si="90"/>
        <v>#DIV/0!</v>
      </c>
      <c r="J239" s="18" t="str">
        <f t="shared" si="90"/>
        <v>#DIV/0!</v>
      </c>
      <c r="K239" s="18" t="str">
        <f t="shared" si="90"/>
        <v>#DIV/0!</v>
      </c>
    </row>
    <row r="240">
      <c r="A240" s="4" t="s">
        <v>166</v>
      </c>
      <c r="B240" s="18" t="str">
        <f t="shared" ref="B240:K240" si="91">B233*100/B$222</f>
        <v>#DIV/0!</v>
      </c>
      <c r="C240" s="18" t="str">
        <f t="shared" si="91"/>
        <v>#DIV/0!</v>
      </c>
      <c r="D240" s="18">
        <f t="shared" si="91"/>
        <v>100</v>
      </c>
      <c r="E240" s="18">
        <f t="shared" si="91"/>
        <v>50</v>
      </c>
      <c r="F240" s="18" t="str">
        <f t="shared" si="91"/>
        <v>#DIV/0!</v>
      </c>
      <c r="G240" s="18">
        <f t="shared" si="91"/>
        <v>0</v>
      </c>
      <c r="H240" s="18" t="str">
        <f t="shared" si="91"/>
        <v>#DIV/0!</v>
      </c>
      <c r="I240" s="18" t="str">
        <f t="shared" si="91"/>
        <v>#DIV/0!</v>
      </c>
      <c r="J240" s="18" t="str">
        <f t="shared" si="91"/>
        <v>#DIV/0!</v>
      </c>
      <c r="K240" s="18" t="str">
        <f t="shared" si="91"/>
        <v>#DIV/0!</v>
      </c>
    </row>
    <row r="242">
      <c r="A242" s="2" t="s">
        <v>168</v>
      </c>
      <c r="B242" s="3">
        <v>2016.0</v>
      </c>
      <c r="C242" s="3">
        <v>2017.0</v>
      </c>
      <c r="D242" s="3">
        <v>2018.0</v>
      </c>
      <c r="E242" s="3">
        <v>2019.0</v>
      </c>
      <c r="F242" s="3">
        <v>2020.0</v>
      </c>
      <c r="G242" s="3">
        <v>2021.0</v>
      </c>
      <c r="H242" s="3">
        <v>2022.0</v>
      </c>
      <c r="I242" s="3">
        <v>2023.0</v>
      </c>
      <c r="J242" s="3">
        <v>2024.0</v>
      </c>
      <c r="K242" s="3">
        <v>2025.0</v>
      </c>
    </row>
    <row r="243">
      <c r="A243" s="4" t="s">
        <v>2</v>
      </c>
      <c r="B243" s="18">
        <f>counta('2016'!$A$197:$A$200)</f>
        <v>0</v>
      </c>
      <c r="C243" s="18">
        <f>counta('2017'!$A$198:$A$201)</f>
        <v>0</v>
      </c>
      <c r="D243" s="18">
        <f>counta('2018'!$A$199:$A$202)</f>
        <v>1</v>
      </c>
      <c r="E243" s="18">
        <f>counta('2019'!$A$202:$A$205)</f>
        <v>0</v>
      </c>
      <c r="F243" s="18">
        <f>counta('2020'!$A$197:$A$200)</f>
        <v>0</v>
      </c>
      <c r="G243" s="18">
        <f>counta('2021'!$A$197:$A$200)</f>
        <v>0</v>
      </c>
      <c r="H243" s="18">
        <f>counta('2022'!$A$197:$A$200)</f>
        <v>0</v>
      </c>
      <c r="I243" s="18">
        <f>counta('2023'!$A$197:$A$200)</f>
        <v>0</v>
      </c>
      <c r="J243" s="18">
        <f>counta('2024'!$A$197:$A$200)</f>
        <v>0</v>
      </c>
      <c r="K243" s="18">
        <f>counta('2025'!$A$197:$A$200)</f>
        <v>0</v>
      </c>
    </row>
    <row r="245">
      <c r="A245" s="2" t="s">
        <v>169</v>
      </c>
      <c r="B245" s="3">
        <v>2016.0</v>
      </c>
      <c r="C245" s="3">
        <v>2017.0</v>
      </c>
      <c r="D245" s="3">
        <v>2018.0</v>
      </c>
      <c r="E245" s="3">
        <v>2019.0</v>
      </c>
      <c r="F245" s="3">
        <v>2020.0</v>
      </c>
      <c r="G245" s="3">
        <v>2021.0</v>
      </c>
      <c r="H245" s="3">
        <v>2022.0</v>
      </c>
      <c r="I245" s="3">
        <v>2023.0</v>
      </c>
      <c r="J245" s="3">
        <v>2024.0</v>
      </c>
      <c r="K245" s="3">
        <v>2025.0</v>
      </c>
    </row>
    <row r="246">
      <c r="A246" s="4" t="s">
        <v>2</v>
      </c>
      <c r="B246" s="18">
        <f>counta('2016'!$A$210:$A$225)</f>
        <v>0</v>
      </c>
      <c r="C246" s="18">
        <f>counta('2017'!$A$211:$A$226)</f>
        <v>0</v>
      </c>
      <c r="D246" s="18">
        <f>counta('2018'!$A$212:$A$227)</f>
        <v>0</v>
      </c>
      <c r="E246" s="18">
        <f>counta('2019'!$A$215:$A$230)</f>
        <v>0</v>
      </c>
      <c r="F246" s="18">
        <f>counta('2020'!$A$210:$A$225)</f>
        <v>0</v>
      </c>
      <c r="G246" s="18">
        <f>counta('2021'!$A$210:$A$225)</f>
        <v>0</v>
      </c>
      <c r="H246" s="18">
        <f>counta('2022'!$A$210:$A$225)</f>
        <v>0</v>
      </c>
      <c r="I246" s="18">
        <f>counta('2023'!$A$210:$A$225)</f>
        <v>0</v>
      </c>
      <c r="J246" s="18">
        <f>counta('2024'!$A$210:$A$225)</f>
        <v>0</v>
      </c>
      <c r="K246" s="18">
        <f>counta('2025'!$A$210:$A$225)</f>
        <v>0</v>
      </c>
    </row>
    <row r="247">
      <c r="A247" s="4" t="s">
        <v>39</v>
      </c>
      <c r="B247" s="18">
        <f>countif('2016'!$B$210:$B$225, "nacional")</f>
        <v>0</v>
      </c>
      <c r="C247" s="18">
        <f>countif('2017'!$B$211:$B$226, "nacional")</f>
        <v>0</v>
      </c>
      <c r="D247" s="18">
        <f>countif('2018'!$B$212:$B$227, "nacional")</f>
        <v>0</v>
      </c>
      <c r="E247" s="18">
        <f>countif('2019'!$B$215:$B$230, "nacional")</f>
        <v>0</v>
      </c>
      <c r="F247" s="18">
        <f>countif('2020'!$B$210:$B$225, "nacional")</f>
        <v>0</v>
      </c>
      <c r="G247" s="18">
        <f>countif('2021'!$B$210:$B$225, "nacional")</f>
        <v>0</v>
      </c>
      <c r="H247" s="18">
        <f>countif('2022'!$B$210:$B$225, "nacional")</f>
        <v>0</v>
      </c>
      <c r="I247" s="18">
        <f>countif('2023'!$B$210:$B$225, "nacional")</f>
        <v>0</v>
      </c>
      <c r="J247" s="18">
        <f>countif('2024'!$B$210:$B$225, "nacional")</f>
        <v>0</v>
      </c>
      <c r="K247" s="18">
        <f>countif('2025'!$B$210:$B$225, "nacional")</f>
        <v>0</v>
      </c>
    </row>
    <row r="248">
      <c r="A248" s="4" t="s">
        <v>40</v>
      </c>
      <c r="B248" s="18">
        <f>countif('2016'!$B$210:$B$225, "intrenacional")</f>
        <v>0</v>
      </c>
      <c r="C248" s="18">
        <f>countif('2017'!$B$211:$B$226, "intrenacional")</f>
        <v>0</v>
      </c>
      <c r="D248" s="18">
        <f>countif('2018'!$B$212:$B$227, "intrenacional")</f>
        <v>0</v>
      </c>
      <c r="E248" s="18">
        <f>countif('2019'!$B$215:$B$230, "intrenacional")</f>
        <v>0</v>
      </c>
      <c r="F248" s="18">
        <f>countif('2020'!$B$210:$B$225, "intrenacional")</f>
        <v>0</v>
      </c>
      <c r="G248" s="18">
        <f>countif('2021'!$B$210:$B$225, "intrenacional")</f>
        <v>0</v>
      </c>
      <c r="H248" s="18">
        <f>countif('2022'!$B$210:$B$225, "intrenacional")</f>
        <v>0</v>
      </c>
      <c r="I248" s="18">
        <f>countif('2023'!$B$210:$B$225, "intrenacional")</f>
        <v>0</v>
      </c>
      <c r="J248" s="18">
        <f>countif('2024'!$B$210:$B$225, "intrenacional")</f>
        <v>0</v>
      </c>
      <c r="K248" s="18">
        <f>countif('2025'!$B$210:$B$225, "intrenacional")</f>
        <v>0</v>
      </c>
    </row>
    <row r="249">
      <c r="A249" s="4" t="s">
        <v>44</v>
      </c>
      <c r="B249" s="18" t="str">
        <f t="shared" ref="B249:K249" si="92">B247*100/B$246</f>
        <v>#DIV/0!</v>
      </c>
      <c r="C249" s="18" t="str">
        <f t="shared" si="92"/>
        <v>#DIV/0!</v>
      </c>
      <c r="D249" s="18" t="str">
        <f t="shared" si="92"/>
        <v>#DIV/0!</v>
      </c>
      <c r="E249" s="18" t="str">
        <f t="shared" si="92"/>
        <v>#DIV/0!</v>
      </c>
      <c r="F249" s="18" t="str">
        <f t="shared" si="92"/>
        <v>#DIV/0!</v>
      </c>
      <c r="G249" s="18" t="str">
        <f t="shared" si="92"/>
        <v>#DIV/0!</v>
      </c>
      <c r="H249" s="18" t="str">
        <f t="shared" si="92"/>
        <v>#DIV/0!</v>
      </c>
      <c r="I249" s="18" t="str">
        <f t="shared" si="92"/>
        <v>#DIV/0!</v>
      </c>
      <c r="J249" s="18" t="str">
        <f t="shared" si="92"/>
        <v>#DIV/0!</v>
      </c>
      <c r="K249" s="18" t="str">
        <f t="shared" si="92"/>
        <v>#DIV/0!</v>
      </c>
    </row>
    <row r="250">
      <c r="A250" s="4" t="s">
        <v>45</v>
      </c>
      <c r="B250" s="18" t="str">
        <f t="shared" ref="B250:K250" si="93">B248*100/B$246</f>
        <v>#DIV/0!</v>
      </c>
      <c r="C250" s="18" t="str">
        <f t="shared" si="93"/>
        <v>#DIV/0!</v>
      </c>
      <c r="D250" s="18" t="str">
        <f t="shared" si="93"/>
        <v>#DIV/0!</v>
      </c>
      <c r="E250" s="18" t="str">
        <f t="shared" si="93"/>
        <v>#DIV/0!</v>
      </c>
      <c r="F250" s="18" t="str">
        <f t="shared" si="93"/>
        <v>#DIV/0!</v>
      </c>
      <c r="G250" s="18" t="str">
        <f t="shared" si="93"/>
        <v>#DIV/0!</v>
      </c>
      <c r="H250" s="18" t="str">
        <f t="shared" si="93"/>
        <v>#DIV/0!</v>
      </c>
      <c r="I250" s="18" t="str">
        <f t="shared" si="93"/>
        <v>#DIV/0!</v>
      </c>
      <c r="J250" s="18" t="str">
        <f t="shared" si="93"/>
        <v>#DIV/0!</v>
      </c>
      <c r="K250" s="18" t="str">
        <f t="shared" si="93"/>
        <v>#DIV/0!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7.71"/>
  </cols>
  <sheetData>
    <row r="1">
      <c r="A1" s="1" t="s">
        <v>170</v>
      </c>
    </row>
    <row r="2">
      <c r="A2" s="37" t="s">
        <v>171</v>
      </c>
      <c r="B2" s="38"/>
      <c r="C2" s="38"/>
      <c r="D2" s="38"/>
      <c r="E2" s="38"/>
    </row>
    <row r="3">
      <c r="A3" s="39" t="s">
        <v>172</v>
      </c>
      <c r="B3" s="40" t="s">
        <v>173</v>
      </c>
      <c r="C3" s="40" t="s">
        <v>174</v>
      </c>
      <c r="D3" s="40" t="s">
        <v>175</v>
      </c>
      <c r="E3" s="40" t="s">
        <v>176</v>
      </c>
      <c r="F3" s="58" t="s">
        <v>617</v>
      </c>
    </row>
    <row r="4">
      <c r="A4" s="133"/>
      <c r="B4" s="134"/>
      <c r="C4" s="134"/>
      <c r="D4" s="134"/>
      <c r="E4" s="51"/>
      <c r="F4" s="52"/>
    </row>
    <row r="5">
      <c r="A5" s="133"/>
      <c r="B5" s="136"/>
      <c r="C5" s="212"/>
      <c r="D5" s="212"/>
      <c r="E5" s="51"/>
      <c r="F5" s="52"/>
    </row>
    <row r="6">
      <c r="A6" s="137"/>
      <c r="B6" s="136"/>
      <c r="C6" s="134"/>
      <c r="D6" s="134"/>
      <c r="E6" s="68"/>
      <c r="F6" s="60"/>
    </row>
    <row r="7">
      <c r="A7" s="137"/>
      <c r="B7" s="136"/>
      <c r="C7" s="134"/>
      <c r="D7" s="134"/>
      <c r="E7" s="68"/>
      <c r="F7" s="52"/>
    </row>
    <row r="8">
      <c r="A8" s="137"/>
      <c r="B8" s="136"/>
      <c r="C8" s="134"/>
      <c r="D8" s="212"/>
      <c r="E8" s="68"/>
      <c r="F8" s="52"/>
    </row>
    <row r="9">
      <c r="A9" s="137"/>
      <c r="B9" s="136"/>
      <c r="C9" s="134"/>
      <c r="D9" s="134"/>
      <c r="E9" s="68"/>
      <c r="F9" s="52"/>
    </row>
    <row r="10">
      <c r="A10" s="137"/>
      <c r="B10" s="136"/>
      <c r="C10" s="134"/>
      <c r="D10" s="134"/>
      <c r="E10" s="68"/>
      <c r="F10" s="52"/>
    </row>
    <row r="11">
      <c r="A11" s="137"/>
      <c r="B11" s="136"/>
      <c r="C11" s="134"/>
      <c r="D11" s="134"/>
      <c r="E11" s="68"/>
      <c r="F11" s="52"/>
    </row>
    <row r="12">
      <c r="A12" s="133"/>
      <c r="B12" s="136"/>
      <c r="C12" s="134"/>
      <c r="D12" s="134"/>
      <c r="E12" s="68"/>
      <c r="F12" s="52"/>
    </row>
    <row r="13">
      <c r="A13" s="49"/>
      <c r="B13" s="51"/>
      <c r="C13" s="51"/>
      <c r="D13" s="51"/>
      <c r="E13" s="68"/>
      <c r="F13" s="52"/>
    </row>
    <row r="14">
      <c r="A14" s="49"/>
      <c r="B14" s="51"/>
      <c r="C14" s="51"/>
      <c r="D14" s="51"/>
      <c r="E14" s="68"/>
      <c r="F14" s="52"/>
    </row>
    <row r="15">
      <c r="A15" s="49"/>
      <c r="B15" s="51"/>
      <c r="C15" s="51"/>
      <c r="D15" s="51"/>
      <c r="E15" s="68"/>
      <c r="F15" s="52"/>
    </row>
    <row r="16">
      <c r="A16" s="49"/>
      <c r="B16" s="51"/>
      <c r="C16" s="51"/>
      <c r="D16" s="51"/>
      <c r="E16" s="68"/>
      <c r="F16" s="52"/>
    </row>
    <row r="17">
      <c r="A17" s="49"/>
      <c r="B17" s="51"/>
      <c r="C17" s="51"/>
      <c r="D17" s="51"/>
      <c r="E17" s="68"/>
      <c r="F17" s="52"/>
    </row>
    <row r="18">
      <c r="A18" s="49"/>
      <c r="B18" s="51"/>
      <c r="C18" s="51"/>
      <c r="D18" s="51"/>
      <c r="E18" s="68"/>
      <c r="F18" s="52"/>
    </row>
    <row r="19">
      <c r="A19" s="49"/>
      <c r="B19" s="51"/>
      <c r="C19" s="51"/>
      <c r="D19" s="51"/>
      <c r="E19" s="68"/>
      <c r="F19" s="52"/>
    </row>
    <row r="20">
      <c r="A20" s="49"/>
      <c r="B20" s="51"/>
      <c r="C20" s="51"/>
      <c r="D20" s="51"/>
      <c r="E20" s="68"/>
      <c r="F20" s="52"/>
    </row>
    <row r="21">
      <c r="A21" s="49"/>
      <c r="B21" s="51"/>
      <c r="C21" s="51"/>
      <c r="D21" s="51"/>
      <c r="E21" s="68"/>
      <c r="F21" s="52"/>
    </row>
    <row r="22">
      <c r="A22" s="49"/>
      <c r="B22" s="51"/>
      <c r="C22" s="51"/>
      <c r="D22" s="51"/>
      <c r="E22" s="68"/>
      <c r="F22" s="52"/>
    </row>
    <row r="23">
      <c r="A23" s="49"/>
      <c r="B23" s="51"/>
      <c r="C23" s="51"/>
      <c r="D23" s="51"/>
      <c r="E23" s="68"/>
      <c r="F23" s="52"/>
    </row>
    <row r="24">
      <c r="A24" s="49"/>
      <c r="B24" s="51"/>
      <c r="C24" s="51"/>
      <c r="D24" s="51"/>
      <c r="E24" s="68"/>
      <c r="F24" s="52"/>
    </row>
    <row r="25">
      <c r="A25" s="49"/>
      <c r="B25" s="51"/>
      <c r="C25" s="51"/>
      <c r="D25" s="51"/>
      <c r="E25" s="68"/>
      <c r="F25" s="52"/>
    </row>
    <row r="26">
      <c r="A26" s="49"/>
      <c r="B26" s="51"/>
      <c r="C26" s="51"/>
      <c r="D26" s="51"/>
      <c r="E26" s="68"/>
      <c r="F26" s="52"/>
    </row>
    <row r="27">
      <c r="A27" s="49"/>
      <c r="B27" s="51"/>
      <c r="C27" s="51"/>
      <c r="D27" s="51"/>
      <c r="E27" s="68"/>
      <c r="F27" s="52"/>
    </row>
    <row r="28">
      <c r="A28" s="49"/>
      <c r="B28" s="51"/>
      <c r="C28" s="51"/>
      <c r="D28" s="51"/>
      <c r="E28" s="68"/>
      <c r="F28" s="52"/>
    </row>
    <row r="29">
      <c r="A29" s="49"/>
      <c r="B29" s="51"/>
      <c r="C29" s="51"/>
      <c r="D29" s="51"/>
      <c r="E29" s="68"/>
      <c r="F29" s="52"/>
    </row>
    <row r="30">
      <c r="A30" s="49"/>
      <c r="B30" s="51"/>
      <c r="C30" s="51"/>
      <c r="D30" s="51"/>
      <c r="E30" s="68"/>
      <c r="F30" s="52"/>
    </row>
    <row r="31">
      <c r="A31" s="49"/>
      <c r="B31" s="51"/>
      <c r="C31" s="51"/>
      <c r="D31" s="51"/>
      <c r="E31" s="68"/>
      <c r="F31" s="52"/>
    </row>
    <row r="32">
      <c r="A32" s="49"/>
      <c r="B32" s="51"/>
      <c r="C32" s="51"/>
      <c r="D32" s="51"/>
      <c r="E32" s="68"/>
      <c r="F32" s="52"/>
    </row>
    <row r="33">
      <c r="A33" s="49"/>
      <c r="B33" s="51"/>
      <c r="C33" s="51"/>
      <c r="D33" s="53"/>
      <c r="E33" s="68"/>
      <c r="F33" s="52"/>
    </row>
    <row r="34">
      <c r="A34" s="54"/>
      <c r="B34" s="55"/>
      <c r="C34" s="55"/>
      <c r="D34" s="55"/>
      <c r="E34" s="71"/>
      <c r="F34" s="56"/>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c r="B58" s="52"/>
    </row>
    <row r="59">
      <c r="A59" s="49"/>
      <c r="B59" s="52"/>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697</v>
      </c>
      <c r="B97" s="38"/>
      <c r="C97" s="38"/>
    </row>
    <row r="98">
      <c r="A98" s="39" t="s">
        <v>172</v>
      </c>
      <c r="B98" s="40" t="s">
        <v>257</v>
      </c>
      <c r="C98" s="40" t="s">
        <v>258</v>
      </c>
      <c r="D98" s="41" t="s">
        <v>218</v>
      </c>
    </row>
    <row r="99">
      <c r="A99" s="49"/>
      <c r="B99" s="51"/>
      <c r="C99" s="51"/>
      <c r="D99" s="60"/>
    </row>
    <row r="100">
      <c r="A100" s="74"/>
      <c r="B100" s="68"/>
      <c r="C100" s="51"/>
      <c r="D100" s="52"/>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74"/>
      <c r="B126" s="68"/>
      <c r="C126" s="52"/>
    </row>
    <row r="127">
      <c r="A127" s="74"/>
      <c r="B127" s="68"/>
      <c r="C127" s="52"/>
    </row>
    <row r="128">
      <c r="A128" s="74"/>
      <c r="B128" s="68"/>
      <c r="C128" s="52"/>
    </row>
    <row r="129">
      <c r="A129" s="74"/>
      <c r="B129" s="68"/>
      <c r="C129" s="52"/>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74"/>
      <c r="B150" s="68"/>
      <c r="C150" s="87"/>
      <c r="D150" s="65"/>
      <c r="E150" s="65"/>
      <c r="F150" s="67"/>
      <c r="G150" s="52"/>
    </row>
    <row r="151">
      <c r="A151" s="74"/>
      <c r="B151" s="68"/>
      <c r="D151" s="67"/>
      <c r="E151" s="67"/>
      <c r="F151" s="67"/>
      <c r="G151" s="52"/>
    </row>
    <row r="152">
      <c r="A152" s="74"/>
      <c r="B152" s="68"/>
      <c r="D152" s="67"/>
      <c r="E152" s="67"/>
      <c r="F152" s="67"/>
      <c r="G152" s="52"/>
    </row>
    <row r="153">
      <c r="A153" s="74"/>
      <c r="B153" s="68"/>
      <c r="C153" s="67"/>
      <c r="D153" s="67"/>
      <c r="E153" s="67"/>
      <c r="F153" s="67"/>
      <c r="G153" s="52"/>
    </row>
    <row r="154">
      <c r="A154" s="74"/>
      <c r="B154" s="68"/>
      <c r="C154" s="67"/>
      <c r="D154" s="67"/>
      <c r="E154" s="67"/>
      <c r="F154" s="67"/>
      <c r="G154" s="52"/>
    </row>
    <row r="155">
      <c r="A155" s="74"/>
      <c r="B155" s="68"/>
      <c r="C155" s="67"/>
      <c r="D155" s="67"/>
      <c r="E155" s="67"/>
      <c r="F155" s="67"/>
      <c r="G155" s="52"/>
    </row>
    <row r="156">
      <c r="A156" s="74"/>
      <c r="B156" s="68"/>
      <c r="C156" s="67"/>
      <c r="D156" s="67"/>
      <c r="E156" s="67"/>
      <c r="F156" s="67"/>
      <c r="G156" s="52"/>
    </row>
    <row r="157">
      <c r="A157" s="74"/>
      <c r="B157" s="68"/>
      <c r="C157" s="67"/>
      <c r="D157" s="67"/>
      <c r="E157" s="67"/>
      <c r="F157" s="67"/>
      <c r="G157" s="52"/>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c r="B174" s="74"/>
      <c r="C174" s="68"/>
      <c r="D174" s="68"/>
      <c r="E174" s="68"/>
      <c r="F174" s="94"/>
      <c r="G174" s="52"/>
      <c r="H174" s="52"/>
    </row>
    <row r="175">
      <c r="A175" s="89"/>
      <c r="B175" s="74"/>
      <c r="C175" s="68"/>
      <c r="D175" s="68"/>
      <c r="E175" s="68"/>
      <c r="F175" s="94"/>
      <c r="G175" s="52"/>
      <c r="H175" s="52"/>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c r="B186" s="74"/>
      <c r="C186" s="68"/>
      <c r="D186" s="68"/>
      <c r="E186" s="68"/>
      <c r="F186" s="94"/>
      <c r="G186" s="52"/>
      <c r="H186" s="60"/>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D174:D182 D186:D193">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3.57"/>
  </cols>
  <sheetData>
    <row r="1">
      <c r="A1" s="1" t="s">
        <v>170</v>
      </c>
    </row>
    <row r="2">
      <c r="A2" s="37" t="s">
        <v>171</v>
      </c>
      <c r="B2" s="38"/>
      <c r="C2" s="38"/>
      <c r="D2" s="38"/>
      <c r="E2" s="38"/>
    </row>
    <row r="3">
      <c r="A3" s="39" t="s">
        <v>172</v>
      </c>
      <c r="B3" s="40" t="s">
        <v>173</v>
      </c>
      <c r="C3" s="40" t="s">
        <v>174</v>
      </c>
      <c r="D3" s="40" t="s">
        <v>175</v>
      </c>
      <c r="E3" s="40" t="s">
        <v>176</v>
      </c>
      <c r="F3" s="58" t="s">
        <v>617</v>
      </c>
    </row>
    <row r="4">
      <c r="A4" s="133"/>
      <c r="B4" s="134"/>
      <c r="C4" s="134"/>
      <c r="D4" s="134"/>
      <c r="E4" s="51"/>
      <c r="F4" s="52"/>
    </row>
    <row r="5">
      <c r="A5" s="133"/>
      <c r="B5" s="136"/>
      <c r="C5" s="212"/>
      <c r="D5" s="212"/>
      <c r="E5" s="51"/>
      <c r="F5" s="52"/>
    </row>
    <row r="6">
      <c r="A6" s="137"/>
      <c r="B6" s="136"/>
      <c r="C6" s="134"/>
      <c r="D6" s="134"/>
      <c r="E6" s="68"/>
      <c r="F6" s="60"/>
    </row>
    <row r="7">
      <c r="A7" s="137"/>
      <c r="B7" s="136"/>
      <c r="C7" s="134"/>
      <c r="D7" s="134"/>
      <c r="E7" s="68"/>
      <c r="F7" s="52"/>
    </row>
    <row r="8">
      <c r="A8" s="137"/>
      <c r="B8" s="136"/>
      <c r="C8" s="134"/>
      <c r="D8" s="212"/>
      <c r="E8" s="68"/>
      <c r="F8" s="52"/>
    </row>
    <row r="9">
      <c r="A9" s="137"/>
      <c r="B9" s="136"/>
      <c r="C9" s="134"/>
      <c r="D9" s="134"/>
      <c r="E9" s="68"/>
      <c r="F9" s="52"/>
    </row>
    <row r="10">
      <c r="A10" s="137"/>
      <c r="B10" s="136"/>
      <c r="C10" s="134"/>
      <c r="D10" s="134"/>
      <c r="E10" s="68"/>
      <c r="F10" s="52"/>
    </row>
    <row r="11">
      <c r="A11" s="137"/>
      <c r="B11" s="136"/>
      <c r="C11" s="134"/>
      <c r="D11" s="134"/>
      <c r="E11" s="68"/>
      <c r="F11" s="52"/>
    </row>
    <row r="12">
      <c r="A12" s="133"/>
      <c r="B12" s="136"/>
      <c r="C12" s="134"/>
      <c r="D12" s="134"/>
      <c r="E12" s="68"/>
      <c r="F12" s="52"/>
    </row>
    <row r="13">
      <c r="A13" s="49"/>
      <c r="B13" s="51"/>
      <c r="C13" s="51"/>
      <c r="D13" s="51"/>
      <c r="E13" s="68"/>
      <c r="F13" s="52"/>
    </row>
    <row r="14">
      <c r="A14" s="49"/>
      <c r="B14" s="51"/>
      <c r="C14" s="51"/>
      <c r="D14" s="51"/>
      <c r="E14" s="68"/>
      <c r="F14" s="52"/>
    </row>
    <row r="15">
      <c r="A15" s="49"/>
      <c r="B15" s="51"/>
      <c r="C15" s="51"/>
      <c r="D15" s="51"/>
      <c r="E15" s="68"/>
      <c r="F15" s="52"/>
    </row>
    <row r="16">
      <c r="A16" s="49"/>
      <c r="B16" s="51"/>
      <c r="C16" s="51"/>
      <c r="D16" s="51"/>
      <c r="E16" s="68"/>
      <c r="F16" s="52"/>
    </row>
    <row r="17">
      <c r="A17" s="49"/>
      <c r="B17" s="51"/>
      <c r="C17" s="51"/>
      <c r="D17" s="51"/>
      <c r="E17" s="68"/>
      <c r="F17" s="52"/>
    </row>
    <row r="18">
      <c r="A18" s="49"/>
      <c r="B18" s="51"/>
      <c r="C18" s="51"/>
      <c r="D18" s="51"/>
      <c r="E18" s="68"/>
      <c r="F18" s="52"/>
    </row>
    <row r="19">
      <c r="A19" s="49"/>
      <c r="B19" s="51"/>
      <c r="C19" s="51"/>
      <c r="D19" s="51"/>
      <c r="E19" s="68"/>
      <c r="F19" s="52"/>
    </row>
    <row r="20">
      <c r="A20" s="49"/>
      <c r="B20" s="51"/>
      <c r="C20" s="51"/>
      <c r="D20" s="51"/>
      <c r="E20" s="68"/>
      <c r="F20" s="52"/>
    </row>
    <row r="21">
      <c r="A21" s="49"/>
      <c r="B21" s="51"/>
      <c r="C21" s="51"/>
      <c r="D21" s="51"/>
      <c r="E21" s="68"/>
      <c r="F21" s="52"/>
    </row>
    <row r="22">
      <c r="A22" s="49"/>
      <c r="B22" s="51"/>
      <c r="C22" s="51"/>
      <c r="D22" s="51"/>
      <c r="E22" s="68"/>
      <c r="F22" s="52"/>
    </row>
    <row r="23">
      <c r="A23" s="49"/>
      <c r="B23" s="51"/>
      <c r="C23" s="51"/>
      <c r="D23" s="51"/>
      <c r="E23" s="68"/>
      <c r="F23" s="52"/>
    </row>
    <row r="24">
      <c r="A24" s="49"/>
      <c r="B24" s="51"/>
      <c r="C24" s="51"/>
      <c r="D24" s="51"/>
      <c r="E24" s="68"/>
      <c r="F24" s="52"/>
    </row>
    <row r="25">
      <c r="A25" s="49"/>
      <c r="B25" s="51"/>
      <c r="C25" s="51"/>
      <c r="D25" s="51"/>
      <c r="E25" s="68"/>
      <c r="F25" s="52"/>
    </row>
    <row r="26">
      <c r="A26" s="49"/>
      <c r="B26" s="51"/>
      <c r="C26" s="51"/>
      <c r="D26" s="51"/>
      <c r="E26" s="68"/>
      <c r="F26" s="52"/>
    </row>
    <row r="27">
      <c r="A27" s="49"/>
      <c r="B27" s="51"/>
      <c r="C27" s="51"/>
      <c r="D27" s="51"/>
      <c r="E27" s="68"/>
      <c r="F27" s="52"/>
    </row>
    <row r="28">
      <c r="A28" s="49"/>
      <c r="B28" s="51"/>
      <c r="C28" s="51"/>
      <c r="D28" s="51"/>
      <c r="E28" s="68"/>
      <c r="F28" s="52"/>
    </row>
    <row r="29">
      <c r="A29" s="49"/>
      <c r="B29" s="51"/>
      <c r="C29" s="51"/>
      <c r="D29" s="51"/>
      <c r="E29" s="68"/>
      <c r="F29" s="52"/>
    </row>
    <row r="30">
      <c r="A30" s="49"/>
      <c r="B30" s="51"/>
      <c r="C30" s="51"/>
      <c r="D30" s="51"/>
      <c r="E30" s="68"/>
      <c r="F30" s="52"/>
    </row>
    <row r="31">
      <c r="A31" s="49"/>
      <c r="B31" s="51"/>
      <c r="C31" s="51"/>
      <c r="D31" s="51"/>
      <c r="E31" s="68"/>
      <c r="F31" s="52"/>
    </row>
    <row r="32">
      <c r="A32" s="49"/>
      <c r="B32" s="51"/>
      <c r="C32" s="51"/>
      <c r="D32" s="51"/>
      <c r="E32" s="68"/>
      <c r="F32" s="52"/>
    </row>
    <row r="33">
      <c r="A33" s="49"/>
      <c r="B33" s="51"/>
      <c r="C33" s="51"/>
      <c r="D33" s="53"/>
      <c r="E33" s="68"/>
      <c r="F33" s="52"/>
    </row>
    <row r="34">
      <c r="A34" s="54"/>
      <c r="B34" s="55"/>
      <c r="C34" s="55"/>
      <c r="D34" s="55"/>
      <c r="E34" s="71"/>
      <c r="F34" s="56"/>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c r="B58" s="52"/>
    </row>
    <row r="59">
      <c r="A59" s="49"/>
      <c r="B59" s="52"/>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697</v>
      </c>
      <c r="B97" s="38"/>
      <c r="C97" s="38"/>
    </row>
    <row r="98">
      <c r="A98" s="39" t="s">
        <v>172</v>
      </c>
      <c r="B98" s="40" t="s">
        <v>257</v>
      </c>
      <c r="C98" s="40" t="s">
        <v>258</v>
      </c>
      <c r="D98" s="41" t="s">
        <v>218</v>
      </c>
    </row>
    <row r="99">
      <c r="A99" s="49"/>
      <c r="B99" s="51"/>
      <c r="C99" s="51"/>
      <c r="D99" s="60"/>
    </row>
    <row r="100">
      <c r="A100" s="74"/>
      <c r="B100" s="68"/>
      <c r="C100" s="51"/>
      <c r="D100" s="52"/>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74"/>
      <c r="B126" s="68"/>
      <c r="C126" s="52"/>
    </row>
    <row r="127">
      <c r="A127" s="74"/>
      <c r="B127" s="68"/>
      <c r="C127" s="52"/>
    </row>
    <row r="128">
      <c r="A128" s="74"/>
      <c r="B128" s="68"/>
      <c r="C128" s="52"/>
    </row>
    <row r="129">
      <c r="A129" s="74"/>
      <c r="B129" s="68"/>
      <c r="C129" s="52"/>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74"/>
      <c r="B150" s="68"/>
      <c r="C150" s="87"/>
      <c r="D150" s="65"/>
      <c r="E150" s="65"/>
      <c r="F150" s="67"/>
      <c r="G150" s="52"/>
    </row>
    <row r="151">
      <c r="A151" s="74"/>
      <c r="B151" s="68"/>
      <c r="D151" s="67"/>
      <c r="E151" s="67"/>
      <c r="F151" s="67"/>
      <c r="G151" s="52"/>
    </row>
    <row r="152">
      <c r="A152" s="74"/>
      <c r="B152" s="68"/>
      <c r="D152" s="67"/>
      <c r="E152" s="67"/>
      <c r="F152" s="67"/>
      <c r="G152" s="52"/>
    </row>
    <row r="153">
      <c r="A153" s="74"/>
      <c r="B153" s="68"/>
      <c r="C153" s="67"/>
      <c r="D153" s="67"/>
      <c r="E153" s="67"/>
      <c r="F153" s="67"/>
      <c r="G153" s="52"/>
    </row>
    <row r="154">
      <c r="A154" s="74"/>
      <c r="B154" s="68"/>
      <c r="C154" s="67"/>
      <c r="D154" s="67"/>
      <c r="E154" s="67"/>
      <c r="F154" s="67"/>
      <c r="G154" s="52"/>
    </row>
    <row r="155">
      <c r="A155" s="74"/>
      <c r="B155" s="68"/>
      <c r="C155" s="67"/>
      <c r="D155" s="67"/>
      <c r="E155" s="67"/>
      <c r="F155" s="67"/>
      <c r="G155" s="52"/>
    </row>
    <row r="156">
      <c r="A156" s="74"/>
      <c r="B156" s="68"/>
      <c r="C156" s="67"/>
      <c r="D156" s="67"/>
      <c r="E156" s="67"/>
      <c r="F156" s="67"/>
      <c r="G156" s="52"/>
    </row>
    <row r="157">
      <c r="A157" s="74"/>
      <c r="B157" s="68"/>
      <c r="C157" s="67"/>
      <c r="D157" s="67"/>
      <c r="E157" s="67"/>
      <c r="F157" s="67"/>
      <c r="G157" s="52"/>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c r="B174" s="74"/>
      <c r="C174" s="68"/>
      <c r="D174" s="68"/>
      <c r="E174" s="68"/>
      <c r="F174" s="94"/>
      <c r="G174" s="52"/>
      <c r="H174" s="52"/>
    </row>
    <row r="175">
      <c r="A175" s="89"/>
      <c r="B175" s="74"/>
      <c r="C175" s="68"/>
      <c r="D175" s="68"/>
      <c r="E175" s="68"/>
      <c r="F175" s="94"/>
      <c r="G175" s="52"/>
      <c r="H175" s="52"/>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c r="B186" s="74"/>
      <c r="C186" s="68"/>
      <c r="D186" s="68"/>
      <c r="E186" s="68"/>
      <c r="F186" s="94"/>
      <c r="G186" s="52"/>
      <c r="H186" s="60"/>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D174:D182 D186:D193">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3.86"/>
  </cols>
  <sheetData>
    <row r="1">
      <c r="A1" s="1" t="s">
        <v>170</v>
      </c>
    </row>
    <row r="2">
      <c r="A2" s="37" t="s">
        <v>171</v>
      </c>
      <c r="B2" s="38"/>
      <c r="C2" s="38"/>
      <c r="D2" s="38"/>
      <c r="E2" s="38"/>
    </row>
    <row r="3">
      <c r="A3" s="39" t="s">
        <v>172</v>
      </c>
      <c r="B3" s="40" t="s">
        <v>173</v>
      </c>
      <c r="C3" s="40" t="s">
        <v>174</v>
      </c>
      <c r="D3" s="40" t="s">
        <v>175</v>
      </c>
      <c r="E3" s="40" t="s">
        <v>176</v>
      </c>
      <c r="F3" s="58" t="s">
        <v>617</v>
      </c>
    </row>
    <row r="4">
      <c r="A4" s="133"/>
      <c r="B4" s="134"/>
      <c r="C4" s="134"/>
      <c r="D4" s="134"/>
      <c r="E4" s="51"/>
      <c r="F4" s="52"/>
    </row>
    <row r="5">
      <c r="A5" s="133"/>
      <c r="B5" s="136"/>
      <c r="C5" s="212"/>
      <c r="D5" s="212"/>
      <c r="E5" s="51"/>
      <c r="F5" s="52"/>
    </row>
    <row r="6">
      <c r="A6" s="137"/>
      <c r="B6" s="136"/>
      <c r="C6" s="134"/>
      <c r="D6" s="134"/>
      <c r="E6" s="68"/>
      <c r="F6" s="60"/>
    </row>
    <row r="7">
      <c r="A7" s="137"/>
      <c r="B7" s="136"/>
      <c r="C7" s="134"/>
      <c r="D7" s="134"/>
      <c r="E7" s="68"/>
      <c r="F7" s="52"/>
    </row>
    <row r="8">
      <c r="A8" s="137"/>
      <c r="B8" s="136"/>
      <c r="C8" s="134"/>
      <c r="D8" s="212"/>
      <c r="E8" s="68"/>
      <c r="F8" s="52"/>
    </row>
    <row r="9">
      <c r="A9" s="137"/>
      <c r="B9" s="136"/>
      <c r="C9" s="134"/>
      <c r="D9" s="134"/>
      <c r="E9" s="68"/>
      <c r="F9" s="52"/>
    </row>
    <row r="10">
      <c r="A10" s="137"/>
      <c r="B10" s="136"/>
      <c r="C10" s="134"/>
      <c r="D10" s="134"/>
      <c r="E10" s="68"/>
      <c r="F10" s="52"/>
    </row>
    <row r="11">
      <c r="A11" s="137"/>
      <c r="B11" s="136"/>
      <c r="C11" s="134"/>
      <c r="D11" s="134"/>
      <c r="E11" s="68"/>
      <c r="F11" s="52"/>
    </row>
    <row r="12">
      <c r="A12" s="133"/>
      <c r="B12" s="136"/>
      <c r="C12" s="134"/>
      <c r="D12" s="134"/>
      <c r="E12" s="68"/>
      <c r="F12" s="52"/>
    </row>
    <row r="13">
      <c r="A13" s="49"/>
      <c r="B13" s="51"/>
      <c r="C13" s="51"/>
      <c r="D13" s="51"/>
      <c r="E13" s="68"/>
      <c r="F13" s="52"/>
    </row>
    <row r="14">
      <c r="A14" s="49"/>
      <c r="B14" s="51"/>
      <c r="C14" s="51"/>
      <c r="D14" s="51"/>
      <c r="E14" s="68"/>
      <c r="F14" s="52"/>
    </row>
    <row r="15">
      <c r="A15" s="49"/>
      <c r="B15" s="51"/>
      <c r="C15" s="51"/>
      <c r="D15" s="51"/>
      <c r="E15" s="68"/>
      <c r="F15" s="52"/>
    </row>
    <row r="16">
      <c r="A16" s="49"/>
      <c r="B16" s="51"/>
      <c r="C16" s="51"/>
      <c r="D16" s="51"/>
      <c r="E16" s="68"/>
      <c r="F16" s="52"/>
    </row>
    <row r="17">
      <c r="A17" s="49"/>
      <c r="B17" s="51"/>
      <c r="C17" s="51"/>
      <c r="D17" s="51"/>
      <c r="E17" s="68"/>
      <c r="F17" s="52"/>
    </row>
    <row r="18">
      <c r="A18" s="49"/>
      <c r="B18" s="51"/>
      <c r="C18" s="51"/>
      <c r="D18" s="51"/>
      <c r="E18" s="68"/>
      <c r="F18" s="52"/>
    </row>
    <row r="19">
      <c r="A19" s="49"/>
      <c r="B19" s="51"/>
      <c r="C19" s="51"/>
      <c r="D19" s="51"/>
      <c r="E19" s="68"/>
      <c r="F19" s="52"/>
    </row>
    <row r="20">
      <c r="A20" s="49"/>
      <c r="B20" s="51"/>
      <c r="C20" s="51"/>
      <c r="D20" s="51"/>
      <c r="E20" s="68"/>
      <c r="F20" s="52"/>
    </row>
    <row r="21">
      <c r="A21" s="49"/>
      <c r="B21" s="51"/>
      <c r="C21" s="51"/>
      <c r="D21" s="51"/>
      <c r="E21" s="68"/>
      <c r="F21" s="52"/>
    </row>
    <row r="22">
      <c r="A22" s="49"/>
      <c r="B22" s="51"/>
      <c r="C22" s="51"/>
      <c r="D22" s="51"/>
      <c r="E22" s="68"/>
      <c r="F22" s="52"/>
    </row>
    <row r="23">
      <c r="A23" s="49"/>
      <c r="B23" s="51"/>
      <c r="C23" s="51"/>
      <c r="D23" s="51"/>
      <c r="E23" s="68"/>
      <c r="F23" s="52"/>
    </row>
    <row r="24">
      <c r="A24" s="49"/>
      <c r="B24" s="51"/>
      <c r="C24" s="51"/>
      <c r="D24" s="51"/>
      <c r="E24" s="68"/>
      <c r="F24" s="52"/>
    </row>
    <row r="25">
      <c r="A25" s="49"/>
      <c r="B25" s="51"/>
      <c r="C25" s="51"/>
      <c r="D25" s="51"/>
      <c r="E25" s="68"/>
      <c r="F25" s="52"/>
    </row>
    <row r="26">
      <c r="A26" s="49"/>
      <c r="B26" s="51"/>
      <c r="C26" s="51"/>
      <c r="D26" s="51"/>
      <c r="E26" s="68"/>
      <c r="F26" s="52"/>
    </row>
    <row r="27">
      <c r="A27" s="49"/>
      <c r="B27" s="51"/>
      <c r="C27" s="51"/>
      <c r="D27" s="51"/>
      <c r="E27" s="68"/>
      <c r="F27" s="52"/>
    </row>
    <row r="28">
      <c r="A28" s="49"/>
      <c r="B28" s="51"/>
      <c r="C28" s="51"/>
      <c r="D28" s="51"/>
      <c r="E28" s="68"/>
      <c r="F28" s="52"/>
    </row>
    <row r="29">
      <c r="A29" s="49"/>
      <c r="B29" s="51"/>
      <c r="C29" s="51"/>
      <c r="D29" s="51"/>
      <c r="E29" s="68"/>
      <c r="F29" s="52"/>
    </row>
    <row r="30">
      <c r="A30" s="49"/>
      <c r="B30" s="51"/>
      <c r="C30" s="51"/>
      <c r="D30" s="51"/>
      <c r="E30" s="68"/>
      <c r="F30" s="52"/>
    </row>
    <row r="31">
      <c r="A31" s="49"/>
      <c r="B31" s="51"/>
      <c r="C31" s="51"/>
      <c r="D31" s="51"/>
      <c r="E31" s="68"/>
      <c r="F31" s="52"/>
    </row>
    <row r="32">
      <c r="A32" s="49"/>
      <c r="B32" s="51"/>
      <c r="C32" s="51"/>
      <c r="D32" s="51"/>
      <c r="E32" s="68"/>
      <c r="F32" s="52"/>
    </row>
    <row r="33">
      <c r="A33" s="49"/>
      <c r="B33" s="51"/>
      <c r="C33" s="51"/>
      <c r="D33" s="53"/>
      <c r="E33" s="68"/>
      <c r="F33" s="52"/>
    </row>
    <row r="34">
      <c r="A34" s="54"/>
      <c r="B34" s="55"/>
      <c r="C34" s="55"/>
      <c r="D34" s="55"/>
      <c r="E34" s="71"/>
      <c r="F34" s="56"/>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c r="B58" s="52"/>
    </row>
    <row r="59">
      <c r="A59" s="49"/>
      <c r="B59" s="52"/>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256</v>
      </c>
      <c r="B97" s="38"/>
      <c r="C97" s="38"/>
    </row>
    <row r="98">
      <c r="A98" s="39" t="s">
        <v>172</v>
      </c>
      <c r="B98" s="40" t="s">
        <v>257</v>
      </c>
      <c r="C98" s="40" t="s">
        <v>258</v>
      </c>
      <c r="D98" s="41" t="s">
        <v>218</v>
      </c>
    </row>
    <row r="99">
      <c r="A99" s="49"/>
      <c r="B99" s="51"/>
      <c r="C99" s="51"/>
      <c r="D99" s="60"/>
    </row>
    <row r="100">
      <c r="A100" s="74"/>
      <c r="B100" s="68"/>
      <c r="C100" s="51"/>
      <c r="D100" s="52"/>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74"/>
      <c r="B126" s="68"/>
      <c r="C126" s="52"/>
    </row>
    <row r="127">
      <c r="A127" s="74"/>
      <c r="B127" s="68"/>
      <c r="C127" s="52"/>
    </row>
    <row r="128">
      <c r="A128" s="74"/>
      <c r="B128" s="68"/>
      <c r="C128" s="52"/>
    </row>
    <row r="129">
      <c r="A129" s="74"/>
      <c r="B129" s="68"/>
      <c r="C129" s="52"/>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74"/>
      <c r="B150" s="68"/>
      <c r="C150" s="87"/>
      <c r="D150" s="65"/>
      <c r="E150" s="65"/>
      <c r="F150" s="67"/>
      <c r="G150" s="52"/>
    </row>
    <row r="151">
      <c r="A151" s="74"/>
      <c r="B151" s="68"/>
      <c r="D151" s="67"/>
      <c r="E151" s="67"/>
      <c r="F151" s="67"/>
      <c r="G151" s="52"/>
    </row>
    <row r="152">
      <c r="A152" s="74"/>
      <c r="B152" s="68"/>
      <c r="D152" s="67"/>
      <c r="E152" s="67"/>
      <c r="F152" s="67"/>
      <c r="G152" s="52"/>
    </row>
    <row r="153">
      <c r="A153" s="74"/>
      <c r="B153" s="68"/>
      <c r="C153" s="67"/>
      <c r="D153" s="67"/>
      <c r="E153" s="67"/>
      <c r="F153" s="67"/>
      <c r="G153" s="52"/>
    </row>
    <row r="154">
      <c r="A154" s="74"/>
      <c r="B154" s="68"/>
      <c r="C154" s="67"/>
      <c r="D154" s="67"/>
      <c r="E154" s="67"/>
      <c r="F154" s="67"/>
      <c r="G154" s="52"/>
    </row>
    <row r="155">
      <c r="A155" s="74"/>
      <c r="B155" s="68"/>
      <c r="C155" s="67"/>
      <c r="D155" s="67"/>
      <c r="E155" s="67"/>
      <c r="F155" s="67"/>
      <c r="G155" s="52"/>
    </row>
    <row r="156">
      <c r="A156" s="74"/>
      <c r="B156" s="68"/>
      <c r="C156" s="67"/>
      <c r="D156" s="67"/>
      <c r="E156" s="67"/>
      <c r="F156" s="67"/>
      <c r="G156" s="52"/>
    </row>
    <row r="157">
      <c r="A157" s="74"/>
      <c r="B157" s="68"/>
      <c r="C157" s="67"/>
      <c r="D157" s="67"/>
      <c r="E157" s="67"/>
      <c r="F157" s="67"/>
      <c r="G157" s="52"/>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c r="B174" s="74"/>
      <c r="C174" s="68"/>
      <c r="D174" s="68"/>
      <c r="E174" s="68"/>
      <c r="F174" s="94"/>
      <c r="G174" s="52"/>
      <c r="H174" s="52"/>
    </row>
    <row r="175">
      <c r="A175" s="89"/>
      <c r="B175" s="74"/>
      <c r="C175" s="68"/>
      <c r="D175" s="68"/>
      <c r="E175" s="68"/>
      <c r="F175" s="94"/>
      <c r="G175" s="52"/>
      <c r="H175" s="52"/>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c r="B186" s="74"/>
      <c r="C186" s="68"/>
      <c r="D186" s="68"/>
      <c r="E186" s="68"/>
      <c r="F186" s="94"/>
      <c r="G186" s="52"/>
      <c r="H186" s="60"/>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C99:C114">
      <formula1>Folha_auxiliar!$B$4:$B$6</formula1>
    </dataValidation>
    <dataValidation type="list" allowBlank="1" sqref="D174:D182 D186:D193">
      <formula1>Folha_auxiliar!$D$4:$D$5</formula1>
    </dataValidation>
    <dataValidation type="list" allowBlank="1" sqref="E4:E34">
      <formula1>Folha_auxiliar!$A$14:$A$25</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14"/>
    <col customWidth="1" min="2" max="2" width="35.14"/>
    <col customWidth="1" min="3" max="3" width="38.86"/>
  </cols>
  <sheetData>
    <row r="1">
      <c r="A1" s="28" t="s">
        <v>170</v>
      </c>
      <c r="B1" s="28" t="s">
        <v>713</v>
      </c>
      <c r="C1" s="28" t="s">
        <v>714</v>
      </c>
      <c r="D1" s="28" t="s">
        <v>715</v>
      </c>
    </row>
    <row r="2">
      <c r="A2" s="87" t="s">
        <v>716</v>
      </c>
      <c r="B2" s="87" t="s">
        <v>717</v>
      </c>
      <c r="C2" s="87" t="s">
        <v>292</v>
      </c>
      <c r="D2" s="166" t="s">
        <v>718</v>
      </c>
    </row>
    <row r="3">
      <c r="A3" s="87" t="s">
        <v>719</v>
      </c>
      <c r="B3" s="87" t="s">
        <v>258</v>
      </c>
      <c r="C3" s="87" t="s">
        <v>297</v>
      </c>
      <c r="D3" s="87" t="s">
        <v>720</v>
      </c>
    </row>
    <row r="4">
      <c r="A4" s="87" t="s">
        <v>721</v>
      </c>
      <c r="B4" s="87" t="s">
        <v>427</v>
      </c>
      <c r="C4" s="87" t="s">
        <v>459</v>
      </c>
      <c r="D4" s="87" t="s">
        <v>224</v>
      </c>
    </row>
    <row r="5">
      <c r="A5" s="87" t="s">
        <v>722</v>
      </c>
      <c r="B5" s="87" t="s">
        <v>261</v>
      </c>
      <c r="C5" s="87" t="s">
        <v>302</v>
      </c>
      <c r="D5" s="87" t="s">
        <v>221</v>
      </c>
    </row>
    <row r="6">
      <c r="A6" s="87" t="s">
        <v>537</v>
      </c>
      <c r="B6" s="87" t="s">
        <v>430</v>
      </c>
      <c r="C6" s="87" t="s">
        <v>450</v>
      </c>
    </row>
    <row r="7">
      <c r="A7" s="87" t="s">
        <v>250</v>
      </c>
      <c r="B7" s="87" t="s">
        <v>482</v>
      </c>
      <c r="C7" s="87" t="s">
        <v>454</v>
      </c>
      <c r="D7" s="213" t="s">
        <v>723</v>
      </c>
    </row>
    <row r="8">
      <c r="A8" s="87" t="s">
        <v>417</v>
      </c>
      <c r="B8" s="28"/>
      <c r="C8" s="87" t="s">
        <v>724</v>
      </c>
      <c r="D8" s="214" t="s">
        <v>502</v>
      </c>
    </row>
    <row r="9">
      <c r="A9" s="87" t="s">
        <v>244</v>
      </c>
      <c r="B9" s="28" t="s">
        <v>725</v>
      </c>
      <c r="D9" s="214" t="s">
        <v>615</v>
      </c>
    </row>
    <row r="10">
      <c r="A10" s="87" t="s">
        <v>412</v>
      </c>
      <c r="B10" s="87" t="s">
        <v>271</v>
      </c>
      <c r="D10" s="214" t="s">
        <v>321</v>
      </c>
    </row>
    <row r="11">
      <c r="A11" s="87" t="s">
        <v>240</v>
      </c>
      <c r="B11" s="87" t="s">
        <v>726</v>
      </c>
      <c r="C11" s="28" t="s">
        <v>727</v>
      </c>
      <c r="D11" s="87" t="s">
        <v>728</v>
      </c>
    </row>
    <row r="12">
      <c r="B12" s="87" t="s">
        <v>273</v>
      </c>
      <c r="C12" s="87" t="s">
        <v>295</v>
      </c>
      <c r="D12" s="87" t="s">
        <v>468</v>
      </c>
    </row>
    <row r="13">
      <c r="A13" s="215" t="s">
        <v>729</v>
      </c>
      <c r="B13" s="87" t="s">
        <v>276</v>
      </c>
      <c r="C13" s="87" t="s">
        <v>301</v>
      </c>
      <c r="D13" s="216"/>
    </row>
    <row r="14">
      <c r="A14" s="217" t="s">
        <v>185</v>
      </c>
      <c r="B14" s="87" t="s">
        <v>730</v>
      </c>
      <c r="D14" s="28" t="s">
        <v>731</v>
      </c>
    </row>
    <row r="15">
      <c r="A15" s="217" t="s">
        <v>339</v>
      </c>
      <c r="B15" s="87" t="s">
        <v>732</v>
      </c>
      <c r="C15" s="28" t="s">
        <v>733</v>
      </c>
      <c r="D15" s="87" t="s">
        <v>407</v>
      </c>
    </row>
    <row r="16">
      <c r="A16" s="217" t="s">
        <v>342</v>
      </c>
      <c r="C16" s="87" t="s">
        <v>452</v>
      </c>
      <c r="D16" s="87" t="s">
        <v>236</v>
      </c>
    </row>
    <row r="17">
      <c r="A17" s="217" t="s">
        <v>197</v>
      </c>
      <c r="B17" s="28" t="s">
        <v>734</v>
      </c>
      <c r="C17" s="87" t="s">
        <v>457</v>
      </c>
      <c r="D17" s="87" t="s">
        <v>735</v>
      </c>
    </row>
    <row r="18">
      <c r="A18" s="217" t="s">
        <v>346</v>
      </c>
      <c r="B18" s="87" t="s">
        <v>224</v>
      </c>
      <c r="C18" s="87" t="s">
        <v>736</v>
      </c>
    </row>
    <row r="19">
      <c r="A19" s="166" t="s">
        <v>376</v>
      </c>
      <c r="B19" s="87" t="s">
        <v>221</v>
      </c>
      <c r="C19" s="87" t="s">
        <v>643</v>
      </c>
      <c r="D19" s="28" t="s">
        <v>737</v>
      </c>
    </row>
    <row r="20">
      <c r="A20" s="87" t="s">
        <v>194</v>
      </c>
      <c r="C20" s="87" t="s">
        <v>604</v>
      </c>
      <c r="D20" s="87" t="s">
        <v>317</v>
      </c>
    </row>
    <row r="21">
      <c r="A21" s="217" t="s">
        <v>211</v>
      </c>
      <c r="B21" s="87"/>
      <c r="C21" s="87" t="s">
        <v>456</v>
      </c>
      <c r="D21" s="87" t="s">
        <v>662</v>
      </c>
    </row>
    <row r="22">
      <c r="A22" s="87" t="s">
        <v>182</v>
      </c>
      <c r="B22" s="87"/>
    </row>
    <row r="23">
      <c r="A23" s="87" t="s">
        <v>205</v>
      </c>
      <c r="B23" s="28" t="s">
        <v>738</v>
      </c>
      <c r="C23" s="28" t="s">
        <v>739</v>
      </c>
    </row>
    <row r="24">
      <c r="A24" s="217" t="s">
        <v>179</v>
      </c>
      <c r="B24" s="87" t="s">
        <v>489</v>
      </c>
      <c r="C24" s="87" t="s">
        <v>452</v>
      </c>
    </row>
    <row r="25">
      <c r="A25" s="217" t="s">
        <v>354</v>
      </c>
      <c r="B25" s="87" t="s">
        <v>740</v>
      </c>
      <c r="C25" s="87" t="s">
        <v>299</v>
      </c>
    </row>
    <row r="26">
      <c r="B26" s="87" t="s">
        <v>440</v>
      </c>
      <c r="C26" s="87" t="s">
        <v>457</v>
      </c>
    </row>
    <row r="27">
      <c r="A27" s="28" t="s">
        <v>741</v>
      </c>
      <c r="B27" s="87" t="s">
        <v>444</v>
      </c>
      <c r="C27" s="87" t="s">
        <v>736</v>
      </c>
    </row>
    <row r="28">
      <c r="A28" s="87" t="s">
        <v>742</v>
      </c>
      <c r="B28" s="87" t="s">
        <v>436</v>
      </c>
      <c r="C28" s="87" t="s">
        <v>643</v>
      </c>
    </row>
    <row r="29">
      <c r="A29" s="87" t="s">
        <v>743</v>
      </c>
      <c r="C29" s="87" t="s">
        <v>601</v>
      </c>
    </row>
    <row r="30">
      <c r="A30" s="87" t="s">
        <v>744</v>
      </c>
      <c r="B30" s="28" t="s">
        <v>745</v>
      </c>
      <c r="C30" s="218" t="s">
        <v>604</v>
      </c>
    </row>
    <row r="31">
      <c r="A31" s="87" t="s">
        <v>746</v>
      </c>
      <c r="B31" s="87" t="s">
        <v>640</v>
      </c>
      <c r="C31" s="87" t="s">
        <v>456</v>
      </c>
    </row>
    <row r="32">
      <c r="A32" s="87" t="s">
        <v>747</v>
      </c>
      <c r="B32" s="87" t="s">
        <v>748</v>
      </c>
      <c r="C32" s="87"/>
    </row>
    <row r="33">
      <c r="B33" s="87" t="s">
        <v>749</v>
      </c>
      <c r="C33" s="28" t="s">
        <v>750</v>
      </c>
    </row>
    <row r="34">
      <c r="B34" s="87" t="s">
        <v>446</v>
      </c>
      <c r="C34" s="87" t="s">
        <v>751</v>
      </c>
    </row>
    <row r="35">
      <c r="C35" s="87" t="s">
        <v>294</v>
      </c>
    </row>
    <row r="36">
      <c r="C36" s="87" t="s">
        <v>299</v>
      </c>
    </row>
    <row r="37">
      <c r="C37" s="87" t="s">
        <v>752</v>
      </c>
    </row>
    <row r="38">
      <c r="C38" s="87" t="s">
        <v>585</v>
      </c>
    </row>
    <row r="39">
      <c r="C39" s="218" t="s">
        <v>643</v>
      </c>
    </row>
    <row r="40">
      <c r="C40" s="218" t="s">
        <v>604</v>
      </c>
    </row>
    <row r="41">
      <c r="C41" s="87" t="s">
        <v>456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86"/>
    <col customWidth="1" min="2" max="2" width="42.86"/>
    <col customWidth="1" min="3" max="5" width="32.86"/>
    <col customWidth="1" min="6" max="6" width="33.71"/>
    <col customWidth="1" min="8" max="8" width="33.71"/>
  </cols>
  <sheetData>
    <row r="1">
      <c r="A1" s="1" t="s">
        <v>170</v>
      </c>
    </row>
    <row r="2">
      <c r="A2" s="37" t="s">
        <v>171</v>
      </c>
      <c r="B2" s="38"/>
      <c r="C2" s="38"/>
      <c r="D2" s="38"/>
      <c r="E2" s="38"/>
    </row>
    <row r="3">
      <c r="A3" s="39" t="s">
        <v>172</v>
      </c>
      <c r="B3" s="40" t="s">
        <v>173</v>
      </c>
      <c r="C3" s="40" t="s">
        <v>174</v>
      </c>
      <c r="D3" s="40" t="s">
        <v>175</v>
      </c>
      <c r="E3" s="41" t="s">
        <v>176</v>
      </c>
    </row>
    <row r="4">
      <c r="A4" s="42" t="s">
        <v>177</v>
      </c>
      <c r="B4" s="43" t="s">
        <v>178</v>
      </c>
      <c r="C4" s="44">
        <v>2.0</v>
      </c>
      <c r="D4" s="44">
        <v>2.664</v>
      </c>
      <c r="E4" s="45" t="s">
        <v>179</v>
      </c>
    </row>
    <row r="5">
      <c r="A5" s="46" t="s">
        <v>180</v>
      </c>
      <c r="B5" s="43" t="s">
        <v>181</v>
      </c>
      <c r="C5" s="44">
        <v>3.0</v>
      </c>
      <c r="D5" s="44">
        <v>2.581</v>
      </c>
      <c r="E5" s="47" t="s">
        <v>182</v>
      </c>
    </row>
    <row r="6">
      <c r="A6" s="46" t="s">
        <v>183</v>
      </c>
      <c r="B6" s="43" t="s">
        <v>184</v>
      </c>
      <c r="C6" s="44">
        <v>2.0</v>
      </c>
      <c r="D6" s="44">
        <v>1.841</v>
      </c>
      <c r="E6" s="47" t="s">
        <v>185</v>
      </c>
    </row>
    <row r="7">
      <c r="A7" s="46" t="s">
        <v>186</v>
      </c>
      <c r="B7" s="43" t="s">
        <v>187</v>
      </c>
      <c r="C7" s="44">
        <v>4.0</v>
      </c>
      <c r="D7" s="44">
        <v>0.914</v>
      </c>
      <c r="E7" s="47" t="s">
        <v>179</v>
      </c>
    </row>
    <row r="8">
      <c r="A8" s="46" t="s">
        <v>188</v>
      </c>
      <c r="B8" s="43" t="s">
        <v>189</v>
      </c>
      <c r="C8" s="44">
        <v>3.0</v>
      </c>
      <c r="D8" s="44">
        <v>1.053</v>
      </c>
      <c r="E8" s="47" t="s">
        <v>185</v>
      </c>
    </row>
    <row r="9">
      <c r="A9" s="46" t="s">
        <v>190</v>
      </c>
      <c r="B9" s="43" t="s">
        <v>191</v>
      </c>
      <c r="C9" s="44">
        <v>3.0</v>
      </c>
      <c r="D9" s="44">
        <v>1.215</v>
      </c>
      <c r="E9" s="47" t="s">
        <v>185</v>
      </c>
    </row>
    <row r="10">
      <c r="A10" s="46" t="s">
        <v>192</v>
      </c>
      <c r="B10" s="43" t="s">
        <v>193</v>
      </c>
      <c r="C10" s="44">
        <v>1.0</v>
      </c>
      <c r="D10" s="44">
        <v>1.866</v>
      </c>
      <c r="E10" s="47" t="s">
        <v>194</v>
      </c>
    </row>
    <row r="11">
      <c r="A11" s="46" t="s">
        <v>195</v>
      </c>
      <c r="B11" s="43" t="s">
        <v>196</v>
      </c>
      <c r="C11" s="44">
        <v>4.0</v>
      </c>
      <c r="D11" s="44">
        <v>0.929</v>
      </c>
      <c r="E11" s="47" t="s">
        <v>197</v>
      </c>
    </row>
    <row r="12">
      <c r="A12" s="46" t="s">
        <v>198</v>
      </c>
      <c r="B12" s="43" t="s">
        <v>199</v>
      </c>
      <c r="C12" s="44">
        <v>2.0</v>
      </c>
      <c r="D12" s="44">
        <v>2.13</v>
      </c>
      <c r="E12" s="47" t="s">
        <v>185</v>
      </c>
    </row>
    <row r="13">
      <c r="A13" s="46" t="s">
        <v>200</v>
      </c>
      <c r="B13" s="43" t="s">
        <v>201</v>
      </c>
      <c r="C13" s="44">
        <v>1.0</v>
      </c>
      <c r="D13" s="44">
        <v>2.347</v>
      </c>
      <c r="E13" s="47" t="s">
        <v>185</v>
      </c>
    </row>
    <row r="14">
      <c r="A14" s="46" t="s">
        <v>202</v>
      </c>
      <c r="B14" s="43" t="s">
        <v>199</v>
      </c>
      <c r="C14" s="44">
        <v>2.0</v>
      </c>
      <c r="D14" s="44">
        <v>2.13</v>
      </c>
      <c r="E14" s="47" t="s">
        <v>185</v>
      </c>
    </row>
    <row r="15">
      <c r="A15" s="46" t="s">
        <v>203</v>
      </c>
      <c r="B15" s="43" t="s">
        <v>204</v>
      </c>
      <c r="C15" s="44">
        <v>2.0</v>
      </c>
      <c r="D15" s="44">
        <v>1.739</v>
      </c>
      <c r="E15" s="47" t="s">
        <v>205</v>
      </c>
    </row>
    <row r="16">
      <c r="A16" s="46" t="s">
        <v>206</v>
      </c>
      <c r="B16" s="43" t="s">
        <v>207</v>
      </c>
      <c r="C16" s="44">
        <v>2.0</v>
      </c>
      <c r="D16" s="44">
        <v>2.023</v>
      </c>
      <c r="E16" s="47" t="s">
        <v>185</v>
      </c>
    </row>
    <row r="17">
      <c r="A17" s="46" t="s">
        <v>208</v>
      </c>
      <c r="B17" s="43" t="s">
        <v>201</v>
      </c>
      <c r="C17" s="44">
        <v>1.0</v>
      </c>
      <c r="D17" s="44">
        <v>2.347</v>
      </c>
      <c r="E17" s="47" t="s">
        <v>185</v>
      </c>
    </row>
    <row r="18">
      <c r="A18" s="46" t="s">
        <v>209</v>
      </c>
      <c r="B18" s="43" t="s">
        <v>210</v>
      </c>
      <c r="C18" s="44">
        <v>1.0</v>
      </c>
      <c r="D18" s="44">
        <v>2.806</v>
      </c>
      <c r="E18" s="47" t="s">
        <v>211</v>
      </c>
    </row>
    <row r="19">
      <c r="A19" s="46" t="s">
        <v>212</v>
      </c>
      <c r="B19" s="48" t="s">
        <v>213</v>
      </c>
      <c r="C19" s="44">
        <v>3.0</v>
      </c>
      <c r="D19" s="44">
        <v>2.624</v>
      </c>
      <c r="E19" s="47" t="s">
        <v>197</v>
      </c>
    </row>
    <row r="20">
      <c r="A20" s="49" t="s">
        <v>214</v>
      </c>
      <c r="B20" s="50" t="s">
        <v>215</v>
      </c>
      <c r="C20" s="51"/>
      <c r="D20" s="51"/>
      <c r="E20" s="52"/>
    </row>
    <row r="21">
      <c r="A21" s="49"/>
      <c r="B21" s="51"/>
      <c r="C21" s="51"/>
      <c r="D21" s="51"/>
      <c r="E21" s="52"/>
    </row>
    <row r="22">
      <c r="A22" s="49"/>
      <c r="B22" s="51"/>
      <c r="C22" s="51"/>
      <c r="D22" s="51"/>
      <c r="E22" s="52"/>
    </row>
    <row r="23">
      <c r="A23" s="49"/>
      <c r="B23" s="51"/>
      <c r="C23" s="51"/>
      <c r="D23" s="51"/>
      <c r="E23" s="52"/>
    </row>
    <row r="24">
      <c r="A24" s="49"/>
      <c r="B24" s="51"/>
      <c r="C24" s="51"/>
      <c r="D24" s="51"/>
      <c r="E24" s="52"/>
    </row>
    <row r="25">
      <c r="A25" s="49"/>
      <c r="B25" s="51"/>
      <c r="C25" s="51"/>
      <c r="D25" s="51"/>
      <c r="E25" s="52"/>
    </row>
    <row r="26">
      <c r="A26" s="49"/>
      <c r="B26" s="51"/>
      <c r="C26" s="51"/>
      <c r="D26" s="51"/>
      <c r="E26" s="52"/>
    </row>
    <row r="27">
      <c r="A27" s="49"/>
      <c r="B27" s="51"/>
      <c r="C27" s="51"/>
      <c r="D27" s="51"/>
      <c r="E27" s="52"/>
    </row>
    <row r="28">
      <c r="A28" s="49"/>
      <c r="B28" s="51"/>
      <c r="C28" s="51"/>
      <c r="D28" s="51"/>
      <c r="E28" s="52"/>
    </row>
    <row r="29">
      <c r="A29" s="49"/>
      <c r="B29" s="51"/>
      <c r="C29" s="51"/>
      <c r="D29" s="51"/>
      <c r="E29" s="52"/>
    </row>
    <row r="30">
      <c r="A30" s="49"/>
      <c r="B30" s="51"/>
      <c r="C30" s="51"/>
      <c r="D30" s="51"/>
      <c r="E30" s="52"/>
    </row>
    <row r="31">
      <c r="A31" s="49"/>
      <c r="B31" s="51"/>
      <c r="C31" s="51"/>
      <c r="D31" s="51"/>
      <c r="E31" s="52"/>
    </row>
    <row r="32">
      <c r="A32" s="49"/>
      <c r="B32" s="51"/>
      <c r="C32" s="51"/>
      <c r="D32" s="51"/>
      <c r="E32" s="52"/>
    </row>
    <row r="33">
      <c r="A33" s="49"/>
      <c r="B33" s="51"/>
      <c r="C33" s="51"/>
      <c r="D33" s="53"/>
      <c r="E33" s="52"/>
    </row>
    <row r="34">
      <c r="A34" s="54"/>
      <c r="B34" s="55"/>
      <c r="C34" s="55"/>
      <c r="D34" s="55"/>
      <c r="E34" s="56"/>
    </row>
    <row r="35">
      <c r="A35" s="28"/>
      <c r="B35" s="28"/>
    </row>
    <row r="36">
      <c r="A36" s="37" t="s">
        <v>216</v>
      </c>
      <c r="B36" s="28"/>
    </row>
    <row r="37">
      <c r="A37" s="39" t="s">
        <v>172</v>
      </c>
      <c r="B37" s="57" t="s">
        <v>217</v>
      </c>
      <c r="C37" s="58" t="s">
        <v>218</v>
      </c>
    </row>
    <row r="38">
      <c r="A38" s="42" t="s">
        <v>219</v>
      </c>
      <c r="B38" s="59" t="s">
        <v>220</v>
      </c>
      <c r="C38" s="60" t="s">
        <v>221</v>
      </c>
    </row>
    <row r="39">
      <c r="A39" s="46" t="s">
        <v>222</v>
      </c>
      <c r="B39" s="59" t="s">
        <v>223</v>
      </c>
      <c r="C39" s="60" t="s">
        <v>224</v>
      </c>
    </row>
    <row r="40">
      <c r="A40" s="46" t="s">
        <v>225</v>
      </c>
      <c r="B40" s="59" t="s">
        <v>226</v>
      </c>
      <c r="C40" s="60" t="s">
        <v>221</v>
      </c>
    </row>
    <row r="41">
      <c r="A41" s="46" t="s">
        <v>227</v>
      </c>
      <c r="B41" s="59" t="s">
        <v>223</v>
      </c>
      <c r="C41" s="60" t="s">
        <v>224</v>
      </c>
    </row>
    <row r="42">
      <c r="A42" s="46" t="s">
        <v>228</v>
      </c>
      <c r="B42" s="59" t="s">
        <v>223</v>
      </c>
      <c r="C42" s="60" t="s">
        <v>224</v>
      </c>
    </row>
    <row r="43">
      <c r="A43" s="46" t="s">
        <v>229</v>
      </c>
      <c r="B43" s="59" t="s">
        <v>223</v>
      </c>
      <c r="C43" s="60" t="s">
        <v>224</v>
      </c>
    </row>
    <row r="44">
      <c r="A44" s="46" t="s">
        <v>230</v>
      </c>
      <c r="B44" s="59" t="s">
        <v>223</v>
      </c>
      <c r="C44" s="60" t="s">
        <v>224</v>
      </c>
    </row>
    <row r="45">
      <c r="A45" s="46" t="s">
        <v>231</v>
      </c>
      <c r="B45" s="59" t="s">
        <v>223</v>
      </c>
      <c r="C45" s="60" t="s">
        <v>224</v>
      </c>
    </row>
    <row r="46">
      <c r="A46" s="46" t="s">
        <v>232</v>
      </c>
      <c r="B46" s="61" t="s">
        <v>223</v>
      </c>
      <c r="C46" s="62" t="s">
        <v>224</v>
      </c>
    </row>
    <row r="47">
      <c r="A47" s="28"/>
      <c r="B47" s="28"/>
    </row>
    <row r="48">
      <c r="A48" s="37" t="s">
        <v>233</v>
      </c>
      <c r="B48" s="28"/>
    </row>
    <row r="49">
      <c r="A49" s="63" t="s">
        <v>172</v>
      </c>
      <c r="B49" s="64" t="s">
        <v>234</v>
      </c>
      <c r="C49" s="40" t="s">
        <v>217</v>
      </c>
      <c r="D49" s="58" t="s">
        <v>218</v>
      </c>
    </row>
    <row r="50">
      <c r="A50" s="42" t="s">
        <v>235</v>
      </c>
      <c r="B50" s="65" t="s">
        <v>236</v>
      </c>
      <c r="C50" s="51" t="s">
        <v>223</v>
      </c>
      <c r="D50" s="60" t="s">
        <v>224</v>
      </c>
    </row>
    <row r="51">
      <c r="A51" s="46" t="s">
        <v>237</v>
      </c>
      <c r="B51" s="65" t="s">
        <v>236</v>
      </c>
      <c r="C51" s="51" t="s">
        <v>223</v>
      </c>
      <c r="D51" s="60" t="s">
        <v>224</v>
      </c>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2" t="s">
        <v>240</v>
      </c>
      <c r="B58" s="45" t="s">
        <v>241</v>
      </c>
    </row>
    <row r="59">
      <c r="A59" s="46" t="s">
        <v>240</v>
      </c>
      <c r="B59" s="47" t="s">
        <v>242</v>
      </c>
    </row>
    <row r="60">
      <c r="A60" s="46" t="s">
        <v>240</v>
      </c>
      <c r="B60" s="73" t="s">
        <v>243</v>
      </c>
    </row>
    <row r="61">
      <c r="A61" s="46" t="s">
        <v>244</v>
      </c>
      <c r="B61" s="45" t="s">
        <v>245</v>
      </c>
    </row>
    <row r="62">
      <c r="A62" s="46" t="s">
        <v>244</v>
      </c>
      <c r="B62" s="47" t="s">
        <v>246</v>
      </c>
    </row>
    <row r="63">
      <c r="A63" s="46" t="s">
        <v>244</v>
      </c>
      <c r="B63" s="47" t="s">
        <v>247</v>
      </c>
    </row>
    <row r="64">
      <c r="A64" s="46" t="s">
        <v>244</v>
      </c>
      <c r="B64" s="47" t="s">
        <v>248</v>
      </c>
    </row>
    <row r="65">
      <c r="A65" s="46" t="s">
        <v>244</v>
      </c>
      <c r="B65" s="47" t="s">
        <v>249</v>
      </c>
    </row>
    <row r="66">
      <c r="A66" s="49" t="s">
        <v>250</v>
      </c>
      <c r="B66" s="60" t="s">
        <v>251</v>
      </c>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256</v>
      </c>
      <c r="B97" s="38"/>
      <c r="C97" s="38"/>
    </row>
    <row r="98">
      <c r="A98" s="39" t="s">
        <v>172</v>
      </c>
      <c r="B98" s="40" t="s">
        <v>257</v>
      </c>
      <c r="C98" s="40" t="s">
        <v>258</v>
      </c>
      <c r="D98" s="41" t="s">
        <v>218</v>
      </c>
    </row>
    <row r="99">
      <c r="A99" s="42" t="s">
        <v>259</v>
      </c>
      <c r="B99" s="42" t="s">
        <v>260</v>
      </c>
      <c r="C99" s="42" t="s">
        <v>261</v>
      </c>
      <c r="D99" s="45" t="s">
        <v>224</v>
      </c>
    </row>
    <row r="100">
      <c r="A100" s="46" t="s">
        <v>262</v>
      </c>
      <c r="B100" s="42" t="s">
        <v>260</v>
      </c>
      <c r="C100" s="42" t="s">
        <v>261</v>
      </c>
      <c r="D100" s="47" t="s">
        <v>224</v>
      </c>
    </row>
    <row r="101">
      <c r="A101" s="76" t="s">
        <v>263</v>
      </c>
      <c r="B101" s="42" t="s">
        <v>264</v>
      </c>
      <c r="C101" s="42" t="s">
        <v>261</v>
      </c>
      <c r="D101" s="47" t="s">
        <v>224</v>
      </c>
    </row>
    <row r="102">
      <c r="A102" s="76" t="s">
        <v>265</v>
      </c>
      <c r="B102" s="42" t="s">
        <v>266</v>
      </c>
      <c r="C102" s="42" t="s">
        <v>261</v>
      </c>
      <c r="D102" s="47" t="s">
        <v>221</v>
      </c>
    </row>
    <row r="103">
      <c r="A103" s="76" t="s">
        <v>267</v>
      </c>
      <c r="B103" s="42" t="s">
        <v>268</v>
      </c>
      <c r="C103" s="42" t="s">
        <v>261</v>
      </c>
      <c r="D103" s="47" t="s">
        <v>221</v>
      </c>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42" t="s">
        <v>260</v>
      </c>
      <c r="B118" s="42" t="s">
        <v>273</v>
      </c>
      <c r="C118" s="77">
        <v>16.0</v>
      </c>
      <c r="D118" s="45" t="s">
        <v>224</v>
      </c>
    </row>
    <row r="119">
      <c r="A119" s="49" t="s">
        <v>274</v>
      </c>
      <c r="B119" s="51" t="s">
        <v>273</v>
      </c>
      <c r="C119" s="51">
        <v>24.0</v>
      </c>
      <c r="D119" s="60" t="s">
        <v>221</v>
      </c>
    </row>
    <row r="120">
      <c r="A120" s="49" t="s">
        <v>275</v>
      </c>
      <c r="B120" s="51" t="s">
        <v>276</v>
      </c>
      <c r="C120" s="51">
        <v>1.0</v>
      </c>
      <c r="D120" s="60" t="s">
        <v>224</v>
      </c>
    </row>
    <row r="121">
      <c r="A121" s="74"/>
      <c r="B121" s="68"/>
      <c r="C121" s="68"/>
      <c r="D121" s="52"/>
    </row>
    <row r="122">
      <c r="A122" s="75"/>
      <c r="B122" s="71"/>
      <c r="C122" s="71"/>
      <c r="D122" s="56"/>
    </row>
    <row r="124">
      <c r="A124" s="37" t="s">
        <v>277</v>
      </c>
    </row>
    <row r="125">
      <c r="A125" s="72" t="s">
        <v>278</v>
      </c>
      <c r="B125" s="40" t="s">
        <v>279</v>
      </c>
      <c r="C125" s="41" t="s">
        <v>280</v>
      </c>
    </row>
    <row r="126">
      <c r="A126" s="74"/>
      <c r="B126" s="68"/>
      <c r="C126" s="52"/>
    </row>
    <row r="127">
      <c r="A127" s="74"/>
      <c r="B127" s="68"/>
      <c r="C127" s="52"/>
    </row>
    <row r="128">
      <c r="A128" s="74"/>
      <c r="B128" s="68"/>
      <c r="C128" s="52"/>
    </row>
    <row r="129">
      <c r="A129" s="74"/>
      <c r="B129" s="68"/>
      <c r="C129" s="52"/>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42" t="s">
        <v>292</v>
      </c>
      <c r="B150" s="42" t="s">
        <v>293</v>
      </c>
      <c r="C150" s="87"/>
      <c r="D150" s="65"/>
      <c r="E150" s="65"/>
      <c r="F150" s="65" t="s">
        <v>294</v>
      </c>
      <c r="G150" s="60" t="s">
        <v>295</v>
      </c>
    </row>
    <row r="151">
      <c r="A151" s="46" t="s">
        <v>292</v>
      </c>
      <c r="B151" s="87" t="s">
        <v>296</v>
      </c>
      <c r="D151" s="67"/>
      <c r="E151" s="67"/>
      <c r="F151" s="65" t="s">
        <v>294</v>
      </c>
      <c r="G151" s="60" t="s">
        <v>295</v>
      </c>
    </row>
    <row r="152">
      <c r="A152" s="46" t="s">
        <v>297</v>
      </c>
      <c r="B152" s="42" t="s">
        <v>298</v>
      </c>
      <c r="D152" s="67"/>
      <c r="E152" s="65" t="s">
        <v>299</v>
      </c>
      <c r="F152" s="65"/>
      <c r="G152" s="60"/>
    </row>
    <row r="153">
      <c r="A153" s="49" t="s">
        <v>292</v>
      </c>
      <c r="B153" s="51" t="s">
        <v>300</v>
      </c>
      <c r="C153" s="67"/>
      <c r="D153" s="67"/>
      <c r="E153" s="67"/>
      <c r="F153" s="65" t="s">
        <v>294</v>
      </c>
      <c r="G153" s="60" t="s">
        <v>301</v>
      </c>
    </row>
    <row r="154">
      <c r="A154" s="49" t="s">
        <v>302</v>
      </c>
      <c r="B154" s="51" t="s">
        <v>303</v>
      </c>
      <c r="C154" s="67"/>
      <c r="D154" s="67"/>
      <c r="E154" s="67"/>
      <c r="F154" s="67"/>
      <c r="G154" s="60" t="s">
        <v>295</v>
      </c>
      <c r="H154" s="87" t="s">
        <v>304</v>
      </c>
    </row>
    <row r="155">
      <c r="A155" s="49" t="s">
        <v>302</v>
      </c>
      <c r="B155" s="51" t="s">
        <v>305</v>
      </c>
      <c r="C155" s="67"/>
      <c r="D155" s="67"/>
      <c r="E155" s="67"/>
      <c r="F155" s="67"/>
      <c r="G155" s="60" t="s">
        <v>295</v>
      </c>
      <c r="H155" s="87" t="s">
        <v>306</v>
      </c>
    </row>
    <row r="156">
      <c r="A156" s="74"/>
      <c r="B156" s="68"/>
      <c r="C156" s="67"/>
      <c r="D156" s="67"/>
      <c r="E156" s="67"/>
      <c r="F156" s="67"/>
      <c r="G156" s="52"/>
    </row>
    <row r="157">
      <c r="A157" s="74"/>
      <c r="B157" s="68"/>
      <c r="C157" s="67"/>
      <c r="D157" s="67"/>
      <c r="E157" s="67"/>
      <c r="F157" s="67"/>
      <c r="G157" s="52"/>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40" t="s">
        <v>310</v>
      </c>
      <c r="C173" s="40" t="s">
        <v>311</v>
      </c>
      <c r="D173" s="40" t="s">
        <v>312</v>
      </c>
      <c r="E173" s="40" t="s">
        <v>313</v>
      </c>
      <c r="F173" s="40" t="s">
        <v>314</v>
      </c>
      <c r="G173" s="40" t="s">
        <v>315</v>
      </c>
      <c r="H173" s="41" t="s">
        <v>316</v>
      </c>
    </row>
    <row r="174">
      <c r="A174" s="89" t="s">
        <v>317</v>
      </c>
      <c r="B174" s="90" t="s">
        <v>318</v>
      </c>
      <c r="C174" s="90" t="s">
        <v>319</v>
      </c>
      <c r="D174" s="90" t="s">
        <v>224</v>
      </c>
      <c r="E174" s="90" t="s">
        <v>320</v>
      </c>
      <c r="F174" s="91">
        <v>1175205.0</v>
      </c>
      <c r="G174" s="90" t="s">
        <v>321</v>
      </c>
      <c r="H174" s="60"/>
    </row>
    <row r="175">
      <c r="A175" s="89" t="s">
        <v>317</v>
      </c>
      <c r="B175" s="90" t="s">
        <v>322</v>
      </c>
      <c r="C175" s="92" t="s">
        <v>323</v>
      </c>
      <c r="D175" s="90" t="s">
        <v>221</v>
      </c>
      <c r="E175" s="90" t="s">
        <v>324</v>
      </c>
      <c r="F175" s="93">
        <v>589714.0</v>
      </c>
      <c r="G175" s="90" t="s">
        <v>321</v>
      </c>
      <c r="H175" s="60"/>
    </row>
    <row r="176">
      <c r="A176" s="74"/>
      <c r="B176" s="68"/>
      <c r="C176" s="68"/>
      <c r="D176" s="68"/>
      <c r="E176" s="68"/>
      <c r="F176" s="94"/>
      <c r="G176" s="68"/>
      <c r="H176" s="52"/>
    </row>
    <row r="177">
      <c r="A177" s="74"/>
      <c r="B177" s="68"/>
      <c r="C177" s="68"/>
      <c r="D177" s="68"/>
      <c r="E177" s="68"/>
      <c r="F177" s="94"/>
      <c r="G177" s="68"/>
      <c r="H177" s="52"/>
    </row>
    <row r="178">
      <c r="A178" s="74"/>
      <c r="B178" s="68"/>
      <c r="C178" s="68"/>
      <c r="D178" s="68"/>
      <c r="E178" s="68"/>
      <c r="F178" s="94"/>
      <c r="G178" s="68"/>
      <c r="H178" s="52"/>
    </row>
    <row r="179">
      <c r="A179" s="74"/>
      <c r="B179" s="68"/>
      <c r="C179" s="68"/>
      <c r="D179" s="68"/>
      <c r="E179" s="68"/>
      <c r="F179" s="94"/>
      <c r="G179" s="68"/>
      <c r="H179" s="52"/>
    </row>
    <row r="180">
      <c r="A180" s="74"/>
      <c r="B180" s="68"/>
      <c r="C180" s="68"/>
      <c r="D180" s="68"/>
      <c r="E180" s="68"/>
      <c r="F180" s="94"/>
      <c r="G180" s="68"/>
      <c r="H180" s="52"/>
    </row>
    <row r="181">
      <c r="A181" s="74"/>
      <c r="B181" s="68"/>
      <c r="C181" s="68"/>
      <c r="D181" s="68"/>
      <c r="E181" s="68"/>
      <c r="F181" s="94"/>
      <c r="G181" s="68"/>
      <c r="H181" s="52"/>
    </row>
    <row r="182">
      <c r="A182" s="75"/>
      <c r="B182" s="71"/>
      <c r="C182" s="71"/>
      <c r="D182" s="71"/>
      <c r="E182" s="71"/>
      <c r="F182" s="95"/>
      <c r="G182" s="71"/>
      <c r="H182" s="56"/>
    </row>
    <row r="184">
      <c r="A184" s="96" t="s">
        <v>325</v>
      </c>
    </row>
    <row r="185">
      <c r="A185" s="39" t="s">
        <v>309</v>
      </c>
      <c r="B185" s="40" t="s">
        <v>310</v>
      </c>
      <c r="C185" s="40" t="s">
        <v>326</v>
      </c>
      <c r="D185" s="40" t="s">
        <v>312</v>
      </c>
      <c r="E185" s="40" t="s">
        <v>313</v>
      </c>
      <c r="F185" s="40" t="s">
        <v>327</v>
      </c>
      <c r="G185" s="97" t="s">
        <v>328</v>
      </c>
      <c r="H185" s="41" t="s">
        <v>316</v>
      </c>
    </row>
    <row r="186">
      <c r="A186" s="89"/>
      <c r="B186" s="68"/>
      <c r="C186" s="68"/>
      <c r="D186" s="68"/>
      <c r="E186" s="68"/>
      <c r="F186" s="94"/>
      <c r="G186" s="68"/>
      <c r="H186" s="52"/>
    </row>
    <row r="187">
      <c r="A187" s="89"/>
      <c r="B187" s="68"/>
      <c r="C187" s="68"/>
      <c r="D187" s="68"/>
      <c r="E187" s="68"/>
      <c r="F187" s="94"/>
      <c r="G187" s="68"/>
      <c r="H187" s="52"/>
    </row>
    <row r="188">
      <c r="A188" s="74"/>
      <c r="B188" s="68"/>
      <c r="C188" s="68"/>
      <c r="D188" s="68"/>
      <c r="E188" s="68"/>
      <c r="F188" s="94"/>
      <c r="G188" s="68"/>
      <c r="H188" s="52"/>
    </row>
    <row r="189">
      <c r="A189" s="74"/>
      <c r="B189" s="68"/>
      <c r="C189" s="68"/>
      <c r="D189" s="68"/>
      <c r="E189" s="68"/>
      <c r="F189" s="94"/>
      <c r="G189" s="68"/>
      <c r="H189" s="52"/>
    </row>
    <row r="190">
      <c r="A190" s="74"/>
      <c r="B190" s="68"/>
      <c r="C190" s="68"/>
      <c r="D190" s="68"/>
      <c r="E190" s="68"/>
      <c r="F190" s="94"/>
      <c r="G190" s="68"/>
      <c r="H190" s="52"/>
    </row>
    <row r="191">
      <c r="A191" s="74"/>
      <c r="B191" s="68"/>
      <c r="C191" s="68"/>
      <c r="D191" s="68"/>
      <c r="E191" s="68"/>
      <c r="F191" s="94"/>
      <c r="G191" s="68"/>
      <c r="H191" s="52"/>
    </row>
    <row r="192">
      <c r="A192" s="74"/>
      <c r="B192" s="68"/>
      <c r="C192" s="68"/>
      <c r="D192" s="68"/>
      <c r="E192" s="68"/>
      <c r="F192" s="94"/>
      <c r="G192" s="68"/>
      <c r="H192" s="52"/>
    </row>
    <row r="193">
      <c r="A193" s="75"/>
      <c r="B193" s="71"/>
      <c r="C193" s="71"/>
      <c r="D193" s="71"/>
      <c r="E193" s="71"/>
      <c r="F193" s="95"/>
      <c r="G193" s="71"/>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C100:C114">
      <formula1>Folha_auxiliar!$B$4:$B$6</formula1>
    </dataValidation>
    <dataValidation type="list" allowBlank="1" sqref="D174:D182 D186:D193">
      <formula1>Folha_auxiliar!$D$4:$D$5</formula1>
    </dataValidation>
    <dataValidation type="list" allowBlank="1" sqref="E4:E34">
      <formula1>Folha_auxiliar!$A$14:$A$25</formula1>
    </dataValidation>
    <dataValidation type="list" allowBlank="1" sqref="C99">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 customWidth="1" min="2" max="2" width="42.43"/>
    <col customWidth="1" min="3" max="3" width="51.43"/>
    <col customWidth="1" min="4" max="4" width="27.0"/>
    <col customWidth="1" min="5" max="5" width="32.86"/>
    <col customWidth="1" min="6" max="6" width="60.43"/>
  </cols>
  <sheetData>
    <row r="1">
      <c r="A1" s="106" t="s">
        <v>334</v>
      </c>
      <c r="B1" s="107" t="s">
        <v>172</v>
      </c>
      <c r="C1" s="108" t="s">
        <v>173</v>
      </c>
      <c r="D1" s="108" t="s">
        <v>174</v>
      </c>
      <c r="E1" s="108" t="s">
        <v>175</v>
      </c>
      <c r="F1" s="109" t="s">
        <v>176</v>
      </c>
    </row>
    <row r="2">
      <c r="A2" s="110">
        <v>2016.0</v>
      </c>
      <c r="B2" s="111" t="s">
        <v>177</v>
      </c>
      <c r="C2" s="112" t="s">
        <v>178</v>
      </c>
      <c r="D2" s="113">
        <v>2.0</v>
      </c>
      <c r="E2" s="113">
        <v>2.664</v>
      </c>
      <c r="F2" s="114" t="s">
        <v>179</v>
      </c>
    </row>
    <row r="3">
      <c r="A3" s="115">
        <v>2016.0</v>
      </c>
      <c r="B3" s="116" t="s">
        <v>180</v>
      </c>
      <c r="C3" s="117" t="s">
        <v>181</v>
      </c>
      <c r="D3" s="118">
        <v>3.0</v>
      </c>
      <c r="E3" s="118">
        <v>2.581</v>
      </c>
      <c r="F3" s="119" t="s">
        <v>182</v>
      </c>
    </row>
    <row r="4">
      <c r="A4" s="110">
        <v>2016.0</v>
      </c>
      <c r="B4" s="120" t="s">
        <v>183</v>
      </c>
      <c r="C4" s="112" t="s">
        <v>184</v>
      </c>
      <c r="D4" s="113">
        <v>2.0</v>
      </c>
      <c r="E4" s="113">
        <v>1.841</v>
      </c>
      <c r="F4" s="121" t="s">
        <v>185</v>
      </c>
    </row>
    <row r="5">
      <c r="A5" s="115">
        <v>2016.0</v>
      </c>
      <c r="B5" s="116" t="s">
        <v>186</v>
      </c>
      <c r="C5" s="117" t="s">
        <v>187</v>
      </c>
      <c r="D5" s="118">
        <v>4.0</v>
      </c>
      <c r="E5" s="118">
        <v>0.914</v>
      </c>
      <c r="F5" s="119" t="s">
        <v>179</v>
      </c>
    </row>
    <row r="6">
      <c r="A6" s="110">
        <v>2016.0</v>
      </c>
      <c r="B6" s="120" t="s">
        <v>188</v>
      </c>
      <c r="C6" s="112" t="s">
        <v>189</v>
      </c>
      <c r="D6" s="113">
        <v>3.0</v>
      </c>
      <c r="E6" s="113">
        <v>1.053</v>
      </c>
      <c r="F6" s="121" t="s">
        <v>185</v>
      </c>
    </row>
    <row r="7">
      <c r="A7" s="115">
        <v>2016.0</v>
      </c>
      <c r="B7" s="116" t="s">
        <v>190</v>
      </c>
      <c r="C7" s="117" t="s">
        <v>191</v>
      </c>
      <c r="D7" s="118">
        <v>3.0</v>
      </c>
      <c r="E7" s="118">
        <v>1.215</v>
      </c>
      <c r="F7" s="119" t="s">
        <v>185</v>
      </c>
    </row>
    <row r="8">
      <c r="A8" s="110">
        <v>2016.0</v>
      </c>
      <c r="B8" s="120" t="s">
        <v>192</v>
      </c>
      <c r="C8" s="112" t="s">
        <v>193</v>
      </c>
      <c r="D8" s="113">
        <v>1.0</v>
      </c>
      <c r="E8" s="113">
        <v>1.866</v>
      </c>
      <c r="F8" s="121" t="s">
        <v>194</v>
      </c>
    </row>
    <row r="9">
      <c r="A9" s="115">
        <v>2016.0</v>
      </c>
      <c r="B9" s="116" t="s">
        <v>195</v>
      </c>
      <c r="C9" s="117" t="s">
        <v>196</v>
      </c>
      <c r="D9" s="118">
        <v>4.0</v>
      </c>
      <c r="E9" s="118">
        <v>0.929</v>
      </c>
      <c r="F9" s="119" t="s">
        <v>197</v>
      </c>
    </row>
    <row r="10">
      <c r="A10" s="110">
        <v>2016.0</v>
      </c>
      <c r="B10" s="120" t="s">
        <v>198</v>
      </c>
      <c r="C10" s="112" t="s">
        <v>199</v>
      </c>
      <c r="D10" s="113">
        <v>2.0</v>
      </c>
      <c r="E10" s="113">
        <v>2.13</v>
      </c>
      <c r="F10" s="121" t="s">
        <v>185</v>
      </c>
    </row>
    <row r="11">
      <c r="A11" s="115">
        <v>2016.0</v>
      </c>
      <c r="B11" s="116" t="s">
        <v>200</v>
      </c>
      <c r="C11" s="117" t="s">
        <v>201</v>
      </c>
      <c r="D11" s="118">
        <v>1.0</v>
      </c>
      <c r="E11" s="118">
        <v>2.347</v>
      </c>
      <c r="F11" s="119" t="s">
        <v>185</v>
      </c>
    </row>
    <row r="12">
      <c r="A12" s="110">
        <v>2016.0</v>
      </c>
      <c r="B12" s="120" t="s">
        <v>202</v>
      </c>
      <c r="C12" s="112" t="s">
        <v>199</v>
      </c>
      <c r="D12" s="113">
        <v>2.0</v>
      </c>
      <c r="E12" s="113">
        <v>2.13</v>
      </c>
      <c r="F12" s="121" t="s">
        <v>185</v>
      </c>
    </row>
    <row r="13">
      <c r="A13" s="115">
        <v>2016.0</v>
      </c>
      <c r="B13" s="116" t="s">
        <v>203</v>
      </c>
      <c r="C13" s="117" t="s">
        <v>204</v>
      </c>
      <c r="D13" s="118">
        <v>2.0</v>
      </c>
      <c r="E13" s="118">
        <v>1.739</v>
      </c>
      <c r="F13" s="119" t="s">
        <v>205</v>
      </c>
    </row>
    <row r="14">
      <c r="A14" s="110">
        <v>2016.0</v>
      </c>
      <c r="B14" s="120" t="s">
        <v>206</v>
      </c>
      <c r="C14" s="112" t="s">
        <v>207</v>
      </c>
      <c r="D14" s="113">
        <v>2.0</v>
      </c>
      <c r="E14" s="113">
        <v>2.023</v>
      </c>
      <c r="F14" s="121" t="s">
        <v>185</v>
      </c>
    </row>
    <row r="15">
      <c r="A15" s="115">
        <v>2016.0</v>
      </c>
      <c r="B15" s="116" t="s">
        <v>208</v>
      </c>
      <c r="C15" s="117" t="s">
        <v>201</v>
      </c>
      <c r="D15" s="118">
        <v>1.0</v>
      </c>
      <c r="E15" s="118">
        <v>2.347</v>
      </c>
      <c r="F15" s="119" t="s">
        <v>185</v>
      </c>
    </row>
    <row r="16">
      <c r="A16" s="110">
        <v>2016.0</v>
      </c>
      <c r="B16" s="120" t="s">
        <v>209</v>
      </c>
      <c r="C16" s="112" t="s">
        <v>210</v>
      </c>
      <c r="D16" s="113">
        <v>1.0</v>
      </c>
      <c r="E16" s="113">
        <v>2.806</v>
      </c>
      <c r="F16" s="121" t="s">
        <v>211</v>
      </c>
    </row>
    <row r="17">
      <c r="A17" s="115">
        <v>2016.0</v>
      </c>
      <c r="B17" s="116" t="s">
        <v>212</v>
      </c>
      <c r="C17" s="122" t="s">
        <v>213</v>
      </c>
      <c r="D17" s="118">
        <v>3.0</v>
      </c>
      <c r="E17" s="118">
        <v>2.624</v>
      </c>
      <c r="F17" s="119" t="s">
        <v>197</v>
      </c>
    </row>
    <row r="18">
      <c r="A18" s="110">
        <v>2016.0</v>
      </c>
      <c r="B18" s="123" t="s">
        <v>214</v>
      </c>
      <c r="C18" s="124" t="s">
        <v>215</v>
      </c>
      <c r="D18" s="125"/>
      <c r="E18" s="125"/>
      <c r="F18" s="126"/>
    </row>
    <row r="19">
      <c r="A19" s="127">
        <v>2017.0</v>
      </c>
      <c r="B19" s="128" t="s">
        <v>335</v>
      </c>
      <c r="C19" s="117" t="s">
        <v>336</v>
      </c>
      <c r="D19" s="117">
        <v>1.0</v>
      </c>
      <c r="E19" s="117">
        <v>2.694</v>
      </c>
      <c r="F19" s="129" t="s">
        <v>185</v>
      </c>
    </row>
    <row r="20">
      <c r="A20" s="130">
        <v>2017.0</v>
      </c>
      <c r="B20" s="120" t="s">
        <v>337</v>
      </c>
      <c r="C20" s="112" t="s">
        <v>338</v>
      </c>
      <c r="D20" s="131"/>
      <c r="E20" s="131"/>
      <c r="F20" s="121" t="s">
        <v>339</v>
      </c>
    </row>
    <row r="21">
      <c r="A21" s="127">
        <v>2017.0</v>
      </c>
      <c r="B21" s="116" t="s">
        <v>340</v>
      </c>
      <c r="C21" s="117" t="s">
        <v>341</v>
      </c>
      <c r="D21" s="117">
        <v>1.0</v>
      </c>
      <c r="E21" s="117">
        <v>2.479</v>
      </c>
      <c r="F21" s="119" t="s">
        <v>342</v>
      </c>
    </row>
    <row r="22">
      <c r="A22" s="130">
        <v>2017.0</v>
      </c>
      <c r="B22" s="120" t="s">
        <v>343</v>
      </c>
      <c r="C22" s="112" t="s">
        <v>196</v>
      </c>
      <c r="D22" s="112">
        <v>4.0</v>
      </c>
      <c r="E22" s="112">
        <v>1.105</v>
      </c>
      <c r="F22" s="121" t="s">
        <v>197</v>
      </c>
    </row>
    <row r="23">
      <c r="A23" s="127">
        <v>2017.0</v>
      </c>
      <c r="B23" s="116" t="s">
        <v>344</v>
      </c>
      <c r="C23" s="117" t="s">
        <v>345</v>
      </c>
      <c r="D23" s="117">
        <v>4.0</v>
      </c>
      <c r="E23" s="132"/>
      <c r="F23" s="119" t="s">
        <v>346</v>
      </c>
    </row>
    <row r="24">
      <c r="A24" s="130">
        <v>2017.0</v>
      </c>
      <c r="B24" s="120" t="s">
        <v>347</v>
      </c>
      <c r="C24" s="112" t="s">
        <v>348</v>
      </c>
      <c r="D24" s="112">
        <v>1.0</v>
      </c>
      <c r="E24" s="112">
        <v>7.074</v>
      </c>
      <c r="F24" s="121" t="s">
        <v>185</v>
      </c>
    </row>
    <row r="25">
      <c r="A25" s="127">
        <v>2017.0</v>
      </c>
      <c r="B25" s="116" t="s">
        <v>349</v>
      </c>
      <c r="C25" s="117" t="s">
        <v>350</v>
      </c>
      <c r="D25" s="117">
        <v>2.0</v>
      </c>
      <c r="E25" s="117">
        <v>2.038</v>
      </c>
      <c r="F25" s="119" t="s">
        <v>185</v>
      </c>
    </row>
    <row r="26">
      <c r="A26" s="130">
        <v>2017.0</v>
      </c>
      <c r="B26" s="120" t="s">
        <v>351</v>
      </c>
      <c r="C26" s="112" t="s">
        <v>352</v>
      </c>
      <c r="D26" s="112">
        <v>1.0</v>
      </c>
      <c r="E26" s="112">
        <v>3.231</v>
      </c>
      <c r="F26" s="121" t="s">
        <v>179</v>
      </c>
    </row>
    <row r="27">
      <c r="A27" s="127">
        <v>2017.0</v>
      </c>
      <c r="B27" s="116" t="s">
        <v>353</v>
      </c>
      <c r="C27" s="117" t="s">
        <v>193</v>
      </c>
      <c r="D27" s="117">
        <v>2.0</v>
      </c>
      <c r="E27" s="117">
        <v>2.435</v>
      </c>
      <c r="F27" s="119" t="s">
        <v>354</v>
      </c>
    </row>
    <row r="28">
      <c r="A28" s="130">
        <v>2017.0</v>
      </c>
      <c r="B28" s="120" t="s">
        <v>355</v>
      </c>
      <c r="C28" s="112" t="s">
        <v>356</v>
      </c>
      <c r="D28" s="112">
        <v>1.0</v>
      </c>
      <c r="E28" s="112">
        <v>3.859</v>
      </c>
      <c r="F28" s="121" t="s">
        <v>211</v>
      </c>
    </row>
    <row r="29">
      <c r="A29" s="127">
        <v>2017.0</v>
      </c>
      <c r="B29" s="128" t="s">
        <v>357</v>
      </c>
      <c r="C29" s="117" t="s">
        <v>201</v>
      </c>
      <c r="D29" s="118">
        <v>2.0</v>
      </c>
      <c r="E29" s="118">
        <v>2.273</v>
      </c>
      <c r="F29" s="129" t="s">
        <v>185</v>
      </c>
    </row>
    <row r="30">
      <c r="A30" s="25">
        <v>2018.0</v>
      </c>
      <c r="B30" s="133" t="s">
        <v>358</v>
      </c>
      <c r="C30" s="134" t="s">
        <v>359</v>
      </c>
      <c r="D30" s="134">
        <v>1.0</v>
      </c>
      <c r="E30" s="135">
        <v>4.011</v>
      </c>
      <c r="F30" s="60" t="s">
        <v>211</v>
      </c>
    </row>
    <row r="31">
      <c r="A31" s="25">
        <v>2018.0</v>
      </c>
      <c r="B31" s="133" t="s">
        <v>360</v>
      </c>
      <c r="C31" s="136" t="s">
        <v>361</v>
      </c>
      <c r="D31" s="134">
        <v>2.0</v>
      </c>
      <c r="E31" s="135">
        <v>2.0</v>
      </c>
      <c r="F31" s="60" t="s">
        <v>185</v>
      </c>
    </row>
    <row r="32">
      <c r="A32" s="25">
        <v>2018.0</v>
      </c>
      <c r="B32" s="137" t="s">
        <v>362</v>
      </c>
      <c r="C32" s="136" t="s">
        <v>199</v>
      </c>
      <c r="D32" s="134">
        <v>1.0</v>
      </c>
      <c r="E32" s="135">
        <v>3.055</v>
      </c>
      <c r="F32" s="138" t="s">
        <v>185</v>
      </c>
    </row>
    <row r="33">
      <c r="A33" s="25">
        <v>2018.0</v>
      </c>
      <c r="B33" s="137" t="s">
        <v>363</v>
      </c>
      <c r="C33" s="136" t="s">
        <v>364</v>
      </c>
      <c r="D33" s="134">
        <v>1.0</v>
      </c>
      <c r="E33" s="135">
        <v>3.017</v>
      </c>
      <c r="F33" s="138" t="s">
        <v>185</v>
      </c>
    </row>
    <row r="34">
      <c r="A34" s="25">
        <v>2018.0</v>
      </c>
      <c r="B34" s="137" t="s">
        <v>365</v>
      </c>
      <c r="C34" s="136" t="s">
        <v>366</v>
      </c>
      <c r="D34" s="134">
        <v>1.0</v>
      </c>
      <c r="E34" s="135">
        <v>2.811</v>
      </c>
      <c r="F34" s="138" t="s">
        <v>185</v>
      </c>
    </row>
    <row r="35">
      <c r="A35" s="25">
        <v>2018.0</v>
      </c>
      <c r="B35" s="137" t="s">
        <v>367</v>
      </c>
      <c r="C35" s="136" t="s">
        <v>368</v>
      </c>
      <c r="D35" s="134">
        <v>2.0</v>
      </c>
      <c r="E35" s="135">
        <v>2.376</v>
      </c>
      <c r="F35" s="138" t="s">
        <v>211</v>
      </c>
    </row>
    <row r="36">
      <c r="A36" s="25">
        <v>2018.0</v>
      </c>
      <c r="B36" s="137" t="s">
        <v>369</v>
      </c>
      <c r="C36" s="136" t="s">
        <v>364</v>
      </c>
      <c r="D36" s="134">
        <v>1.0</v>
      </c>
      <c r="E36" s="135">
        <v>3.017</v>
      </c>
      <c r="F36" s="138" t="s">
        <v>185</v>
      </c>
    </row>
    <row r="37">
      <c r="A37" s="25">
        <v>2018.0</v>
      </c>
      <c r="B37" s="137" t="s">
        <v>370</v>
      </c>
      <c r="C37" s="136" t="s">
        <v>371</v>
      </c>
      <c r="D37" s="134">
        <v>1.0</v>
      </c>
      <c r="E37" s="135">
        <v>3.14</v>
      </c>
      <c r="F37" s="138" t="s">
        <v>185</v>
      </c>
    </row>
    <row r="38">
      <c r="A38" s="25">
        <v>2018.0</v>
      </c>
      <c r="B38" s="133" t="s">
        <v>372</v>
      </c>
      <c r="C38" s="136" t="s">
        <v>373</v>
      </c>
      <c r="D38" s="134">
        <v>2.0</v>
      </c>
      <c r="E38" s="135">
        <v>1.718</v>
      </c>
      <c r="F38" s="138" t="s">
        <v>211</v>
      </c>
    </row>
    <row r="39">
      <c r="A39" s="25">
        <v>2018.0</v>
      </c>
      <c r="B39" s="49" t="s">
        <v>374</v>
      </c>
      <c r="C39" s="50" t="s">
        <v>375</v>
      </c>
      <c r="D39" s="50">
        <v>2.0</v>
      </c>
      <c r="E39" s="139">
        <v>2.488</v>
      </c>
      <c r="F39" s="138" t="s">
        <v>376</v>
      </c>
    </row>
    <row r="40">
      <c r="A40" s="25">
        <v>2018.0</v>
      </c>
      <c r="B40" s="49" t="s">
        <v>377</v>
      </c>
      <c r="C40" s="50" t="s">
        <v>378</v>
      </c>
      <c r="D40" s="50">
        <v>1.0</v>
      </c>
      <c r="E40" s="139">
        <v>2.738</v>
      </c>
      <c r="F40" s="138" t="s">
        <v>346</v>
      </c>
    </row>
    <row r="41">
      <c r="A41" s="25">
        <v>2018.0</v>
      </c>
      <c r="B41" s="49" t="s">
        <v>379</v>
      </c>
      <c r="C41" s="50" t="s">
        <v>199</v>
      </c>
      <c r="D41" s="50">
        <v>1.0</v>
      </c>
      <c r="E41" s="139">
        <v>3.055</v>
      </c>
      <c r="F41" s="138" t="s">
        <v>185</v>
      </c>
    </row>
    <row r="42">
      <c r="A42" s="25">
        <v>2018.0</v>
      </c>
      <c r="B42" s="49" t="s">
        <v>380</v>
      </c>
      <c r="C42" s="50" t="s">
        <v>199</v>
      </c>
      <c r="D42" s="50">
        <v>1.0</v>
      </c>
      <c r="E42" s="139">
        <v>3.055</v>
      </c>
      <c r="F42" s="138" t="s">
        <v>185</v>
      </c>
    </row>
    <row r="43">
      <c r="A43" s="25">
        <v>2018.0</v>
      </c>
      <c r="B43" s="49" t="s">
        <v>381</v>
      </c>
      <c r="C43" s="50" t="s">
        <v>178</v>
      </c>
      <c r="D43" s="50">
        <v>2.0</v>
      </c>
      <c r="E43" s="139">
        <v>2.576</v>
      </c>
      <c r="F43" s="138" t="s">
        <v>179</v>
      </c>
    </row>
    <row r="44">
      <c r="A44" s="25">
        <v>2018.0</v>
      </c>
      <c r="B44" s="49" t="s">
        <v>382</v>
      </c>
      <c r="C44" s="50" t="s">
        <v>383</v>
      </c>
      <c r="D44" s="50">
        <v>1.0</v>
      </c>
      <c r="E44" s="139">
        <v>3.631</v>
      </c>
      <c r="F44" s="138" t="s">
        <v>185</v>
      </c>
    </row>
    <row r="45">
      <c r="A45" s="25">
        <v>2018.0</v>
      </c>
      <c r="B45" s="49" t="s">
        <v>384</v>
      </c>
      <c r="C45" s="50" t="s">
        <v>181</v>
      </c>
      <c r="D45" s="50">
        <v>3.0</v>
      </c>
      <c r="E45" s="139">
        <v>2.585</v>
      </c>
      <c r="F45" s="138" t="s">
        <v>182</v>
      </c>
    </row>
    <row r="46">
      <c r="A46" s="25">
        <v>2018.0</v>
      </c>
      <c r="B46" s="49" t="s">
        <v>385</v>
      </c>
      <c r="C46" s="140" t="s">
        <v>386</v>
      </c>
      <c r="D46" s="50">
        <v>4.0</v>
      </c>
      <c r="E46" s="50" t="s">
        <v>387</v>
      </c>
      <c r="F46" s="60" t="s">
        <v>211</v>
      </c>
    </row>
    <row r="47">
      <c r="A47" s="25">
        <v>2018.0</v>
      </c>
      <c r="B47" s="49" t="s">
        <v>388</v>
      </c>
      <c r="C47" s="50" t="s">
        <v>389</v>
      </c>
      <c r="D47" s="50">
        <v>1.0</v>
      </c>
      <c r="E47" s="50" t="s">
        <v>390</v>
      </c>
      <c r="F47" s="60" t="s">
        <v>211</v>
      </c>
    </row>
    <row r="48">
      <c r="A48" s="25">
        <v>2018.0</v>
      </c>
      <c r="B48" s="49" t="s">
        <v>391</v>
      </c>
      <c r="C48" s="50" t="s">
        <v>392</v>
      </c>
      <c r="D48" s="50">
        <v>1.0</v>
      </c>
      <c r="E48" s="50" t="s">
        <v>393</v>
      </c>
      <c r="F48" s="60" t="s">
        <v>211</v>
      </c>
    </row>
    <row r="49">
      <c r="A49" s="25">
        <v>2018.0</v>
      </c>
      <c r="B49" s="87" t="s">
        <v>394</v>
      </c>
      <c r="C49" s="136" t="s">
        <v>199</v>
      </c>
      <c r="D49" s="50">
        <v>1.0</v>
      </c>
      <c r="E49" s="135">
        <v>3.055</v>
      </c>
      <c r="F49" s="60" t="s">
        <v>185</v>
      </c>
    </row>
    <row r="50">
      <c r="A50" s="141"/>
    </row>
    <row r="51">
      <c r="A51" s="141"/>
    </row>
    <row r="52">
      <c r="A52" s="141"/>
    </row>
    <row r="53">
      <c r="A53" s="141"/>
    </row>
    <row r="54">
      <c r="A54" s="141"/>
    </row>
    <row r="55">
      <c r="A55" s="141"/>
    </row>
    <row r="56">
      <c r="A56" s="141"/>
    </row>
    <row r="57">
      <c r="A57" s="141"/>
    </row>
    <row r="58">
      <c r="A58" s="141"/>
    </row>
    <row r="59">
      <c r="A59" s="141"/>
    </row>
    <row r="60">
      <c r="A60" s="141"/>
    </row>
    <row r="61">
      <c r="A61" s="141"/>
    </row>
    <row r="62">
      <c r="A62" s="141"/>
    </row>
    <row r="63">
      <c r="A63" s="141"/>
    </row>
    <row r="64">
      <c r="A64" s="141"/>
    </row>
    <row r="65">
      <c r="A65" s="141"/>
    </row>
    <row r="66">
      <c r="A66" s="141"/>
    </row>
    <row r="67">
      <c r="A67" s="141"/>
    </row>
    <row r="68">
      <c r="A68" s="141"/>
    </row>
    <row r="69">
      <c r="A69" s="141"/>
    </row>
    <row r="70">
      <c r="A70" s="141"/>
    </row>
    <row r="71">
      <c r="A71" s="141"/>
    </row>
    <row r="72">
      <c r="A72" s="141"/>
    </row>
    <row r="73">
      <c r="A73" s="141"/>
    </row>
    <row r="74">
      <c r="A74" s="141"/>
    </row>
    <row r="75">
      <c r="A75" s="141"/>
    </row>
    <row r="76">
      <c r="A76" s="141"/>
    </row>
    <row r="77">
      <c r="A77" s="141"/>
    </row>
    <row r="78">
      <c r="A78" s="141"/>
    </row>
    <row r="79">
      <c r="A79" s="141"/>
    </row>
    <row r="80">
      <c r="A80" s="141"/>
    </row>
    <row r="81">
      <c r="A81" s="141"/>
    </row>
    <row r="82">
      <c r="A82" s="141"/>
    </row>
    <row r="83">
      <c r="A83" s="141"/>
    </row>
    <row r="84">
      <c r="A84" s="141"/>
    </row>
    <row r="85">
      <c r="A85" s="141"/>
    </row>
    <row r="86">
      <c r="A86" s="141"/>
    </row>
    <row r="87">
      <c r="A87" s="141"/>
    </row>
    <row r="88">
      <c r="A88" s="141"/>
    </row>
    <row r="89">
      <c r="A89" s="141"/>
    </row>
    <row r="90">
      <c r="A90" s="141"/>
    </row>
    <row r="91">
      <c r="A91" s="141"/>
    </row>
    <row r="92">
      <c r="A92" s="141"/>
    </row>
    <row r="93">
      <c r="A93" s="141"/>
    </row>
    <row r="94">
      <c r="A94" s="141"/>
    </row>
    <row r="95">
      <c r="A95" s="141"/>
    </row>
    <row r="96">
      <c r="A96" s="141"/>
    </row>
    <row r="97">
      <c r="A97" s="141"/>
    </row>
    <row r="98">
      <c r="A98" s="141"/>
    </row>
    <row r="99">
      <c r="A99" s="141"/>
    </row>
    <row r="100">
      <c r="A100" s="141"/>
    </row>
    <row r="101">
      <c r="A101" s="141"/>
    </row>
    <row r="102">
      <c r="A102" s="141"/>
    </row>
    <row r="103">
      <c r="A103" s="141"/>
    </row>
    <row r="104">
      <c r="A104" s="141"/>
    </row>
    <row r="105">
      <c r="A105" s="141"/>
    </row>
    <row r="106">
      <c r="A106" s="141"/>
    </row>
    <row r="107">
      <c r="A107" s="141"/>
    </row>
    <row r="108">
      <c r="A108" s="141"/>
    </row>
    <row r="109">
      <c r="A109" s="141"/>
    </row>
    <row r="110">
      <c r="A110" s="141"/>
    </row>
    <row r="111">
      <c r="A111" s="141"/>
    </row>
    <row r="112">
      <c r="A112" s="141"/>
    </row>
    <row r="113">
      <c r="A113" s="141"/>
    </row>
    <row r="114">
      <c r="A114" s="141"/>
    </row>
    <row r="115">
      <c r="A115" s="141"/>
    </row>
    <row r="116">
      <c r="A116" s="141"/>
    </row>
    <row r="117">
      <c r="A117" s="141"/>
    </row>
    <row r="118">
      <c r="A118" s="141"/>
    </row>
    <row r="119">
      <c r="A119" s="141"/>
    </row>
    <row r="120">
      <c r="A120" s="141"/>
    </row>
    <row r="121">
      <c r="A121" s="141"/>
    </row>
    <row r="122">
      <c r="A122" s="141"/>
    </row>
    <row r="123">
      <c r="A123" s="141"/>
    </row>
    <row r="124">
      <c r="A124" s="141"/>
    </row>
    <row r="125">
      <c r="A125" s="141"/>
    </row>
    <row r="126">
      <c r="A126" s="141"/>
    </row>
    <row r="127">
      <c r="A127" s="141"/>
    </row>
    <row r="128">
      <c r="A128" s="141"/>
    </row>
    <row r="129">
      <c r="A129" s="141"/>
    </row>
    <row r="130">
      <c r="A130" s="141"/>
    </row>
    <row r="131">
      <c r="A131" s="141"/>
    </row>
    <row r="132">
      <c r="A132" s="141"/>
    </row>
    <row r="133">
      <c r="A133" s="141"/>
    </row>
    <row r="134">
      <c r="A134" s="141"/>
    </row>
    <row r="135">
      <c r="A135" s="141"/>
    </row>
    <row r="136">
      <c r="A136" s="141"/>
    </row>
    <row r="137">
      <c r="A137" s="141"/>
    </row>
    <row r="138">
      <c r="A138" s="141"/>
    </row>
    <row r="139">
      <c r="A139" s="141"/>
    </row>
    <row r="140">
      <c r="A140" s="141"/>
    </row>
    <row r="141">
      <c r="A141" s="141"/>
    </row>
    <row r="142">
      <c r="A142" s="141"/>
    </row>
    <row r="143">
      <c r="A143" s="141"/>
    </row>
    <row r="144">
      <c r="A144" s="141"/>
    </row>
    <row r="145">
      <c r="A145" s="141"/>
    </row>
    <row r="146">
      <c r="A146" s="141"/>
    </row>
    <row r="147">
      <c r="A147" s="141"/>
    </row>
    <row r="148">
      <c r="A148" s="141"/>
    </row>
    <row r="149">
      <c r="A149" s="141"/>
    </row>
    <row r="150">
      <c r="A150" s="141"/>
    </row>
    <row r="151">
      <c r="A151" s="141"/>
    </row>
    <row r="152">
      <c r="A152" s="141"/>
    </row>
    <row r="153">
      <c r="A153" s="141"/>
    </row>
    <row r="154">
      <c r="A154" s="141"/>
    </row>
    <row r="155">
      <c r="A155" s="141"/>
    </row>
    <row r="156">
      <c r="A156" s="141"/>
    </row>
    <row r="157">
      <c r="A157" s="141"/>
    </row>
    <row r="158">
      <c r="A158" s="141"/>
    </row>
    <row r="159">
      <c r="A159" s="141"/>
    </row>
    <row r="160">
      <c r="A160" s="141"/>
    </row>
    <row r="161">
      <c r="A161" s="141"/>
    </row>
    <row r="162">
      <c r="A162" s="141"/>
    </row>
    <row r="163">
      <c r="A163" s="141"/>
    </row>
    <row r="164">
      <c r="A164" s="141"/>
    </row>
    <row r="165">
      <c r="A165" s="141"/>
    </row>
    <row r="166">
      <c r="A166" s="141"/>
    </row>
    <row r="167">
      <c r="A167" s="141"/>
    </row>
    <row r="168">
      <c r="A168" s="141"/>
    </row>
    <row r="169">
      <c r="A169" s="141"/>
    </row>
    <row r="170">
      <c r="A170" s="141"/>
    </row>
    <row r="171">
      <c r="A171" s="141"/>
    </row>
    <row r="172">
      <c r="A172" s="141"/>
    </row>
    <row r="173">
      <c r="A173" s="141"/>
    </row>
    <row r="174">
      <c r="A174" s="141"/>
    </row>
    <row r="175">
      <c r="A175" s="141"/>
    </row>
    <row r="176">
      <c r="A176" s="141"/>
    </row>
    <row r="177">
      <c r="A177" s="141"/>
    </row>
    <row r="178">
      <c r="A178" s="141"/>
    </row>
    <row r="179">
      <c r="A179" s="141"/>
    </row>
    <row r="180">
      <c r="A180" s="141"/>
    </row>
    <row r="181">
      <c r="A181" s="141"/>
    </row>
    <row r="182">
      <c r="A182" s="141"/>
    </row>
    <row r="183">
      <c r="A183" s="141"/>
    </row>
    <row r="184">
      <c r="A184" s="141"/>
    </row>
    <row r="185">
      <c r="A185" s="141"/>
    </row>
    <row r="186">
      <c r="A186" s="141"/>
    </row>
    <row r="187">
      <c r="A187" s="141"/>
    </row>
    <row r="188">
      <c r="A188" s="141"/>
    </row>
    <row r="189">
      <c r="A189" s="141"/>
    </row>
    <row r="190">
      <c r="A190" s="141"/>
    </row>
    <row r="191">
      <c r="A191" s="141"/>
    </row>
    <row r="192">
      <c r="A192" s="141"/>
    </row>
    <row r="193">
      <c r="A193" s="141"/>
    </row>
    <row r="194">
      <c r="A194" s="141"/>
    </row>
    <row r="195">
      <c r="A195" s="141"/>
    </row>
    <row r="196">
      <c r="A196" s="141"/>
    </row>
    <row r="197">
      <c r="A197" s="141"/>
    </row>
    <row r="198">
      <c r="A198" s="141"/>
    </row>
    <row r="199">
      <c r="A199" s="141"/>
    </row>
    <row r="200">
      <c r="A200" s="141"/>
    </row>
    <row r="201">
      <c r="A201" s="141"/>
    </row>
    <row r="202">
      <c r="A202" s="141"/>
    </row>
    <row r="203">
      <c r="A203" s="141"/>
    </row>
    <row r="204">
      <c r="A204" s="141"/>
    </row>
    <row r="205">
      <c r="A205" s="141"/>
    </row>
    <row r="206">
      <c r="A206" s="141"/>
    </row>
    <row r="207">
      <c r="A207" s="141"/>
    </row>
    <row r="208">
      <c r="A208" s="141"/>
    </row>
    <row r="209">
      <c r="A209" s="141"/>
    </row>
    <row r="210">
      <c r="A210" s="141"/>
    </row>
    <row r="211">
      <c r="A211" s="141"/>
    </row>
    <row r="212">
      <c r="A212" s="141"/>
    </row>
    <row r="213">
      <c r="A213" s="141"/>
    </row>
    <row r="214">
      <c r="A214" s="141"/>
    </row>
    <row r="215">
      <c r="A215" s="141"/>
    </row>
    <row r="216">
      <c r="A216" s="141"/>
    </row>
    <row r="217">
      <c r="A217" s="141"/>
    </row>
    <row r="218">
      <c r="A218" s="141"/>
    </row>
    <row r="219">
      <c r="A219" s="141"/>
    </row>
    <row r="220">
      <c r="A220" s="141"/>
    </row>
    <row r="221">
      <c r="A221" s="141"/>
    </row>
    <row r="222">
      <c r="A222" s="141"/>
    </row>
    <row r="223">
      <c r="A223" s="141"/>
    </row>
    <row r="224">
      <c r="A224" s="141"/>
    </row>
    <row r="225">
      <c r="A225" s="141"/>
    </row>
    <row r="226">
      <c r="A226" s="141"/>
    </row>
    <row r="227">
      <c r="A227" s="141"/>
    </row>
    <row r="228">
      <c r="A228" s="141"/>
    </row>
    <row r="229">
      <c r="A229" s="141"/>
    </row>
    <row r="230">
      <c r="A230" s="141"/>
    </row>
    <row r="231">
      <c r="A231" s="141"/>
    </row>
    <row r="232">
      <c r="A232" s="141"/>
    </row>
    <row r="233">
      <c r="A233" s="141"/>
    </row>
    <row r="234">
      <c r="A234" s="141"/>
    </row>
    <row r="235">
      <c r="A235" s="141"/>
    </row>
    <row r="236">
      <c r="A236" s="141"/>
    </row>
    <row r="237">
      <c r="A237" s="141"/>
    </row>
    <row r="238">
      <c r="A238" s="141"/>
    </row>
    <row r="239">
      <c r="A239" s="141"/>
    </row>
    <row r="240">
      <c r="A240" s="141"/>
    </row>
    <row r="241">
      <c r="A241" s="141"/>
    </row>
    <row r="242">
      <c r="A242" s="141"/>
    </row>
    <row r="243">
      <c r="A243" s="141"/>
    </row>
    <row r="244">
      <c r="A244" s="141"/>
    </row>
    <row r="245">
      <c r="A245" s="141"/>
    </row>
    <row r="246">
      <c r="A246" s="141"/>
    </row>
    <row r="247">
      <c r="A247" s="141"/>
    </row>
    <row r="248">
      <c r="A248" s="141"/>
    </row>
    <row r="249">
      <c r="A249" s="141"/>
    </row>
    <row r="250">
      <c r="A250" s="141"/>
    </row>
    <row r="251">
      <c r="A251" s="141"/>
    </row>
    <row r="252">
      <c r="A252" s="141"/>
    </row>
    <row r="253">
      <c r="A253" s="141"/>
    </row>
    <row r="254">
      <c r="A254" s="141"/>
    </row>
    <row r="255">
      <c r="A255" s="141"/>
    </row>
    <row r="256">
      <c r="A256" s="141"/>
    </row>
    <row r="257">
      <c r="A257" s="141"/>
    </row>
    <row r="258">
      <c r="A258" s="141"/>
    </row>
    <row r="259">
      <c r="A259" s="141"/>
    </row>
    <row r="260">
      <c r="A260" s="141"/>
    </row>
    <row r="261">
      <c r="A261" s="141"/>
    </row>
    <row r="262">
      <c r="A262" s="141"/>
    </row>
    <row r="263">
      <c r="A263" s="141"/>
    </row>
    <row r="264">
      <c r="A264" s="141"/>
    </row>
    <row r="265">
      <c r="A265" s="141"/>
    </row>
    <row r="266">
      <c r="A266" s="141"/>
    </row>
    <row r="267">
      <c r="A267" s="141"/>
    </row>
    <row r="268">
      <c r="A268" s="141"/>
    </row>
    <row r="269">
      <c r="A269" s="141"/>
    </row>
    <row r="270">
      <c r="A270" s="141"/>
    </row>
    <row r="271">
      <c r="A271" s="141"/>
    </row>
    <row r="272">
      <c r="A272" s="141"/>
    </row>
    <row r="273">
      <c r="A273" s="141"/>
    </row>
    <row r="274">
      <c r="A274" s="141"/>
    </row>
    <row r="275">
      <c r="A275" s="141"/>
    </row>
    <row r="276">
      <c r="A276" s="141"/>
    </row>
    <row r="277">
      <c r="A277" s="141"/>
    </row>
    <row r="278">
      <c r="A278" s="141"/>
    </row>
    <row r="279">
      <c r="A279" s="141"/>
    </row>
    <row r="280">
      <c r="A280" s="141"/>
    </row>
    <row r="281">
      <c r="A281" s="141"/>
    </row>
    <row r="282">
      <c r="A282" s="141"/>
    </row>
    <row r="283">
      <c r="A283" s="141"/>
    </row>
    <row r="284">
      <c r="A284" s="141"/>
    </row>
    <row r="285">
      <c r="A285" s="141"/>
    </row>
    <row r="286">
      <c r="A286" s="141"/>
    </row>
    <row r="287">
      <c r="A287" s="141"/>
    </row>
    <row r="288">
      <c r="A288" s="141"/>
    </row>
    <row r="289">
      <c r="A289" s="141"/>
    </row>
    <row r="290">
      <c r="A290" s="141"/>
    </row>
    <row r="291">
      <c r="A291" s="141"/>
    </row>
    <row r="292">
      <c r="A292" s="141"/>
    </row>
    <row r="293">
      <c r="A293" s="141"/>
    </row>
    <row r="294">
      <c r="A294" s="141"/>
    </row>
    <row r="295">
      <c r="A295" s="141"/>
    </row>
    <row r="296">
      <c r="A296" s="141"/>
    </row>
    <row r="297">
      <c r="A297" s="141"/>
    </row>
    <row r="298">
      <c r="A298" s="141"/>
    </row>
    <row r="299">
      <c r="A299" s="141"/>
    </row>
    <row r="300">
      <c r="A300" s="141"/>
    </row>
    <row r="301">
      <c r="A301" s="141"/>
    </row>
    <row r="302">
      <c r="A302" s="141"/>
    </row>
    <row r="303">
      <c r="A303" s="141"/>
    </row>
    <row r="304">
      <c r="A304" s="141"/>
    </row>
    <row r="305">
      <c r="A305" s="141"/>
    </row>
    <row r="306">
      <c r="A306" s="141"/>
    </row>
    <row r="307">
      <c r="A307" s="141"/>
    </row>
    <row r="308">
      <c r="A308" s="141"/>
    </row>
    <row r="309">
      <c r="A309" s="141"/>
    </row>
    <row r="310">
      <c r="A310" s="141"/>
    </row>
    <row r="311">
      <c r="A311" s="141"/>
    </row>
    <row r="312">
      <c r="A312" s="141"/>
    </row>
    <row r="313">
      <c r="A313" s="141"/>
    </row>
    <row r="314">
      <c r="A314" s="141"/>
    </row>
    <row r="315">
      <c r="A315" s="141"/>
    </row>
    <row r="316">
      <c r="A316" s="141"/>
    </row>
    <row r="317">
      <c r="A317" s="141"/>
    </row>
    <row r="318">
      <c r="A318" s="141"/>
    </row>
    <row r="319">
      <c r="A319" s="141"/>
    </row>
    <row r="320">
      <c r="A320" s="141"/>
    </row>
    <row r="321">
      <c r="A321" s="141"/>
    </row>
    <row r="322">
      <c r="A322" s="141"/>
    </row>
    <row r="323">
      <c r="A323" s="141"/>
    </row>
    <row r="324">
      <c r="A324" s="141"/>
    </row>
    <row r="325">
      <c r="A325" s="141"/>
    </row>
    <row r="326">
      <c r="A326" s="141"/>
    </row>
    <row r="327">
      <c r="A327" s="141"/>
    </row>
    <row r="328">
      <c r="A328" s="141"/>
    </row>
    <row r="329">
      <c r="A329" s="141"/>
    </row>
    <row r="330">
      <c r="A330" s="141"/>
    </row>
    <row r="331">
      <c r="A331" s="141"/>
    </row>
    <row r="332">
      <c r="A332" s="141"/>
    </row>
    <row r="333">
      <c r="A333" s="141"/>
    </row>
    <row r="334">
      <c r="A334" s="141"/>
    </row>
    <row r="335">
      <c r="A335" s="141"/>
    </row>
    <row r="336">
      <c r="A336" s="141"/>
    </row>
    <row r="337">
      <c r="A337" s="141"/>
    </row>
    <row r="338">
      <c r="A338" s="141"/>
    </row>
    <row r="339">
      <c r="A339" s="141"/>
    </row>
    <row r="340">
      <c r="A340" s="141"/>
    </row>
    <row r="341">
      <c r="A341" s="141"/>
    </row>
    <row r="342">
      <c r="A342" s="141"/>
    </row>
    <row r="343">
      <c r="A343" s="141"/>
    </row>
    <row r="344">
      <c r="A344" s="141"/>
    </row>
    <row r="345">
      <c r="A345" s="141"/>
    </row>
    <row r="346">
      <c r="A346" s="141"/>
    </row>
    <row r="347">
      <c r="A347" s="141"/>
    </row>
    <row r="348">
      <c r="A348" s="141"/>
    </row>
    <row r="349">
      <c r="A349" s="141"/>
    </row>
    <row r="350">
      <c r="A350" s="141"/>
    </row>
    <row r="351">
      <c r="A351" s="141"/>
    </row>
    <row r="352">
      <c r="A352" s="141"/>
    </row>
    <row r="353">
      <c r="A353" s="141"/>
    </row>
    <row r="354">
      <c r="A354" s="141"/>
    </row>
    <row r="355">
      <c r="A355" s="141"/>
    </row>
    <row r="356">
      <c r="A356" s="141"/>
    </row>
    <row r="357">
      <c r="A357" s="141"/>
    </row>
    <row r="358">
      <c r="A358" s="141"/>
    </row>
    <row r="359">
      <c r="A359" s="141"/>
    </row>
    <row r="360">
      <c r="A360" s="141"/>
    </row>
    <row r="361">
      <c r="A361" s="141"/>
    </row>
    <row r="362">
      <c r="A362" s="141"/>
    </row>
    <row r="363">
      <c r="A363" s="141"/>
    </row>
    <row r="364">
      <c r="A364" s="141"/>
    </row>
    <row r="365">
      <c r="A365" s="141"/>
    </row>
    <row r="366">
      <c r="A366" s="141"/>
    </row>
    <row r="367">
      <c r="A367" s="141"/>
    </row>
    <row r="368">
      <c r="A368" s="141"/>
    </row>
    <row r="369">
      <c r="A369" s="141"/>
    </row>
    <row r="370">
      <c r="A370" s="141"/>
    </row>
    <row r="371">
      <c r="A371" s="141"/>
    </row>
    <row r="372">
      <c r="A372" s="141"/>
    </row>
    <row r="373">
      <c r="A373" s="141"/>
    </row>
    <row r="374">
      <c r="A374" s="141"/>
    </row>
    <row r="375">
      <c r="A375" s="141"/>
    </row>
    <row r="376">
      <c r="A376" s="141"/>
    </row>
    <row r="377">
      <c r="A377" s="141"/>
    </row>
    <row r="378">
      <c r="A378" s="141"/>
    </row>
    <row r="379">
      <c r="A379" s="141"/>
    </row>
    <row r="380">
      <c r="A380" s="141"/>
    </row>
    <row r="381">
      <c r="A381" s="141"/>
    </row>
    <row r="382">
      <c r="A382" s="141"/>
    </row>
    <row r="383">
      <c r="A383" s="141"/>
    </row>
    <row r="384">
      <c r="A384" s="141"/>
    </row>
    <row r="385">
      <c r="A385" s="141"/>
    </row>
    <row r="386">
      <c r="A386" s="141"/>
    </row>
    <row r="387">
      <c r="A387" s="141"/>
    </row>
    <row r="388">
      <c r="A388" s="141"/>
    </row>
    <row r="389">
      <c r="A389" s="141"/>
    </row>
    <row r="390">
      <c r="A390" s="141"/>
    </row>
    <row r="391">
      <c r="A391" s="141"/>
    </row>
    <row r="392">
      <c r="A392" s="141"/>
    </row>
    <row r="393">
      <c r="A393" s="141"/>
    </row>
    <row r="394">
      <c r="A394" s="141"/>
    </row>
    <row r="395">
      <c r="A395" s="141"/>
    </row>
    <row r="396">
      <c r="A396" s="141"/>
    </row>
    <row r="397">
      <c r="A397" s="141"/>
    </row>
    <row r="398">
      <c r="A398" s="141"/>
    </row>
    <row r="399">
      <c r="A399" s="141"/>
    </row>
    <row r="400">
      <c r="A400" s="141"/>
    </row>
    <row r="401">
      <c r="A401" s="141"/>
    </row>
    <row r="402">
      <c r="A402" s="141"/>
    </row>
    <row r="403">
      <c r="A403" s="141"/>
    </row>
    <row r="404">
      <c r="A404" s="141"/>
    </row>
    <row r="405">
      <c r="A405" s="141"/>
    </row>
    <row r="406">
      <c r="A406" s="141"/>
    </row>
    <row r="407">
      <c r="A407" s="141"/>
    </row>
    <row r="408">
      <c r="A408" s="141"/>
    </row>
    <row r="409">
      <c r="A409" s="141"/>
    </row>
    <row r="410">
      <c r="A410" s="141"/>
    </row>
    <row r="411">
      <c r="A411" s="141"/>
    </row>
    <row r="412">
      <c r="A412" s="141"/>
    </row>
    <row r="413">
      <c r="A413" s="141"/>
    </row>
    <row r="414">
      <c r="A414" s="141"/>
    </row>
    <row r="415">
      <c r="A415" s="141"/>
    </row>
    <row r="416">
      <c r="A416" s="141"/>
    </row>
    <row r="417">
      <c r="A417" s="141"/>
    </row>
    <row r="418">
      <c r="A418" s="141"/>
    </row>
    <row r="419">
      <c r="A419" s="141"/>
    </row>
    <row r="420">
      <c r="A420" s="141"/>
    </row>
    <row r="421">
      <c r="A421" s="141"/>
    </row>
    <row r="422">
      <c r="A422" s="141"/>
    </row>
    <row r="423">
      <c r="A423" s="141"/>
    </row>
    <row r="424">
      <c r="A424" s="141"/>
    </row>
    <row r="425">
      <c r="A425" s="141"/>
    </row>
    <row r="426">
      <c r="A426" s="141"/>
    </row>
    <row r="427">
      <c r="A427" s="141"/>
    </row>
    <row r="428">
      <c r="A428" s="141"/>
    </row>
    <row r="429">
      <c r="A429" s="141"/>
    </row>
    <row r="430">
      <c r="A430" s="141"/>
    </row>
    <row r="431">
      <c r="A431" s="141"/>
    </row>
    <row r="432">
      <c r="A432" s="141"/>
    </row>
    <row r="433">
      <c r="A433" s="141"/>
    </row>
    <row r="434">
      <c r="A434" s="141"/>
    </row>
    <row r="435">
      <c r="A435" s="141"/>
    </row>
    <row r="436">
      <c r="A436" s="141"/>
    </row>
    <row r="437">
      <c r="A437" s="141"/>
    </row>
    <row r="438">
      <c r="A438" s="141"/>
    </row>
    <row r="439">
      <c r="A439" s="141"/>
    </row>
    <row r="440">
      <c r="A440" s="141"/>
    </row>
    <row r="441">
      <c r="A441" s="141"/>
    </row>
    <row r="442">
      <c r="A442" s="141"/>
    </row>
    <row r="443">
      <c r="A443" s="141"/>
    </row>
    <row r="444">
      <c r="A444" s="141"/>
    </row>
    <row r="445">
      <c r="A445" s="141"/>
    </row>
    <row r="446">
      <c r="A446" s="141"/>
    </row>
    <row r="447">
      <c r="A447" s="141"/>
    </row>
    <row r="448">
      <c r="A448" s="141"/>
    </row>
    <row r="449">
      <c r="A449" s="141"/>
    </row>
    <row r="450">
      <c r="A450" s="141"/>
    </row>
    <row r="451">
      <c r="A451" s="141"/>
    </row>
    <row r="452">
      <c r="A452" s="141"/>
    </row>
    <row r="453">
      <c r="A453" s="141"/>
    </row>
    <row r="454">
      <c r="A454" s="141"/>
    </row>
    <row r="455">
      <c r="A455" s="141"/>
    </row>
    <row r="456">
      <c r="A456" s="141"/>
    </row>
    <row r="457">
      <c r="A457" s="141"/>
    </row>
    <row r="458">
      <c r="A458" s="141"/>
    </row>
    <row r="459">
      <c r="A459" s="141"/>
    </row>
    <row r="460">
      <c r="A460" s="141"/>
    </row>
    <row r="461">
      <c r="A461" s="141"/>
    </row>
    <row r="462">
      <c r="A462" s="141"/>
    </row>
    <row r="463">
      <c r="A463" s="141"/>
    </row>
    <row r="464">
      <c r="A464" s="141"/>
    </row>
    <row r="465">
      <c r="A465" s="141"/>
    </row>
    <row r="466">
      <c r="A466" s="141"/>
    </row>
    <row r="467">
      <c r="A467" s="141"/>
    </row>
    <row r="468">
      <c r="A468" s="141"/>
    </row>
    <row r="469">
      <c r="A469" s="141"/>
    </row>
    <row r="470">
      <c r="A470" s="141"/>
    </row>
    <row r="471">
      <c r="A471" s="141"/>
    </row>
    <row r="472">
      <c r="A472" s="141"/>
    </row>
    <row r="473">
      <c r="A473" s="141"/>
    </row>
    <row r="474">
      <c r="A474" s="141"/>
    </row>
    <row r="475">
      <c r="A475" s="141"/>
    </row>
    <row r="476">
      <c r="A476" s="141"/>
    </row>
    <row r="477">
      <c r="A477" s="141"/>
    </row>
    <row r="478">
      <c r="A478" s="141"/>
    </row>
    <row r="479">
      <c r="A479" s="141"/>
    </row>
    <row r="480">
      <c r="A480" s="141"/>
    </row>
    <row r="481">
      <c r="A481" s="141"/>
    </row>
    <row r="482">
      <c r="A482" s="141"/>
    </row>
    <row r="483">
      <c r="A483" s="141"/>
    </row>
    <row r="484">
      <c r="A484" s="141"/>
    </row>
    <row r="485">
      <c r="A485" s="141"/>
    </row>
    <row r="486">
      <c r="A486" s="141"/>
    </row>
    <row r="487">
      <c r="A487" s="141"/>
    </row>
    <row r="488">
      <c r="A488" s="141"/>
    </row>
    <row r="489">
      <c r="A489" s="141"/>
    </row>
    <row r="490">
      <c r="A490" s="141"/>
    </row>
    <row r="491">
      <c r="A491" s="141"/>
    </row>
    <row r="492">
      <c r="A492" s="141"/>
    </row>
    <row r="493">
      <c r="A493" s="141"/>
    </row>
    <row r="494">
      <c r="A494" s="141"/>
    </row>
    <row r="495">
      <c r="A495" s="141"/>
    </row>
    <row r="496">
      <c r="A496" s="141"/>
    </row>
    <row r="497">
      <c r="A497" s="141"/>
    </row>
    <row r="498">
      <c r="A498" s="141"/>
    </row>
    <row r="499">
      <c r="A499" s="141"/>
    </row>
    <row r="500">
      <c r="A500" s="141"/>
    </row>
    <row r="501">
      <c r="A501" s="141"/>
    </row>
    <row r="502">
      <c r="A502" s="141"/>
    </row>
    <row r="503">
      <c r="A503" s="141"/>
    </row>
    <row r="504">
      <c r="A504" s="141"/>
    </row>
    <row r="505">
      <c r="A505" s="141"/>
    </row>
    <row r="506">
      <c r="A506" s="141"/>
    </row>
    <row r="507">
      <c r="A507" s="141"/>
    </row>
    <row r="508">
      <c r="A508" s="141"/>
    </row>
    <row r="509">
      <c r="A509" s="141"/>
    </row>
    <row r="510">
      <c r="A510" s="141"/>
    </row>
    <row r="511">
      <c r="A511" s="141"/>
    </row>
    <row r="512">
      <c r="A512" s="141"/>
    </row>
    <row r="513">
      <c r="A513" s="141"/>
    </row>
    <row r="514">
      <c r="A514" s="141"/>
    </row>
    <row r="515">
      <c r="A515" s="141"/>
    </row>
    <row r="516">
      <c r="A516" s="141"/>
    </row>
    <row r="517">
      <c r="A517" s="141"/>
    </row>
    <row r="518">
      <c r="A518" s="141"/>
    </row>
    <row r="519">
      <c r="A519" s="141"/>
    </row>
    <row r="520">
      <c r="A520" s="141"/>
    </row>
    <row r="521">
      <c r="A521" s="141"/>
    </row>
    <row r="522">
      <c r="A522" s="141"/>
    </row>
    <row r="523">
      <c r="A523" s="141"/>
    </row>
    <row r="524">
      <c r="A524" s="141"/>
    </row>
    <row r="525">
      <c r="A525" s="141"/>
    </row>
    <row r="526">
      <c r="A526" s="141"/>
    </row>
    <row r="527">
      <c r="A527" s="141"/>
    </row>
    <row r="528">
      <c r="A528" s="141"/>
    </row>
    <row r="529">
      <c r="A529" s="141"/>
    </row>
    <row r="530">
      <c r="A530" s="141"/>
    </row>
    <row r="531">
      <c r="A531" s="141"/>
    </row>
    <row r="532">
      <c r="A532" s="141"/>
    </row>
    <row r="533">
      <c r="A533" s="141"/>
    </row>
    <row r="534">
      <c r="A534" s="141"/>
    </row>
    <row r="535">
      <c r="A535" s="141"/>
    </row>
    <row r="536">
      <c r="A536" s="141"/>
    </row>
    <row r="537">
      <c r="A537" s="141"/>
    </row>
    <row r="538">
      <c r="A538" s="141"/>
    </row>
    <row r="539">
      <c r="A539" s="141"/>
    </row>
    <row r="540">
      <c r="A540" s="141"/>
    </row>
    <row r="541">
      <c r="A541" s="141"/>
    </row>
    <row r="542">
      <c r="A542" s="141"/>
    </row>
    <row r="543">
      <c r="A543" s="141"/>
    </row>
    <row r="544">
      <c r="A544" s="141"/>
    </row>
    <row r="545">
      <c r="A545" s="141"/>
    </row>
    <row r="546">
      <c r="A546" s="141"/>
    </row>
    <row r="547">
      <c r="A547" s="141"/>
    </row>
    <row r="548">
      <c r="A548" s="141"/>
    </row>
    <row r="549">
      <c r="A549" s="141"/>
    </row>
    <row r="550">
      <c r="A550" s="141"/>
    </row>
    <row r="551">
      <c r="A551" s="141"/>
    </row>
    <row r="552">
      <c r="A552" s="141"/>
    </row>
    <row r="553">
      <c r="A553" s="141"/>
    </row>
    <row r="554">
      <c r="A554" s="141"/>
    </row>
    <row r="555">
      <c r="A555" s="141"/>
    </row>
    <row r="556">
      <c r="A556" s="141"/>
    </row>
    <row r="557">
      <c r="A557" s="141"/>
    </row>
    <row r="558">
      <c r="A558" s="141"/>
    </row>
    <row r="559">
      <c r="A559" s="141"/>
    </row>
    <row r="560">
      <c r="A560" s="141"/>
    </row>
    <row r="561">
      <c r="A561" s="141"/>
    </row>
    <row r="562">
      <c r="A562" s="141"/>
    </row>
    <row r="563">
      <c r="A563" s="141"/>
    </row>
    <row r="564">
      <c r="A564" s="141"/>
    </row>
    <row r="565">
      <c r="A565" s="141"/>
    </row>
    <row r="566">
      <c r="A566" s="141"/>
    </row>
    <row r="567">
      <c r="A567" s="141"/>
    </row>
    <row r="568">
      <c r="A568" s="141"/>
    </row>
    <row r="569">
      <c r="A569" s="141"/>
    </row>
    <row r="570">
      <c r="A570" s="141"/>
    </row>
    <row r="571">
      <c r="A571" s="141"/>
    </row>
    <row r="572">
      <c r="A572" s="141"/>
    </row>
    <row r="573">
      <c r="A573" s="141"/>
    </row>
    <row r="574">
      <c r="A574" s="141"/>
    </row>
    <row r="575">
      <c r="A575" s="141"/>
    </row>
    <row r="576">
      <c r="A576" s="141"/>
    </row>
    <row r="577">
      <c r="A577" s="141"/>
    </row>
    <row r="578">
      <c r="A578" s="141"/>
    </row>
    <row r="579">
      <c r="A579" s="141"/>
    </row>
    <row r="580">
      <c r="A580" s="141"/>
    </row>
    <row r="581">
      <c r="A581" s="141"/>
    </row>
    <row r="582">
      <c r="A582" s="141"/>
    </row>
    <row r="583">
      <c r="A583" s="141"/>
    </row>
    <row r="584">
      <c r="A584" s="141"/>
    </row>
    <row r="585">
      <c r="A585" s="141"/>
    </row>
    <row r="586">
      <c r="A586" s="141"/>
    </row>
    <row r="587">
      <c r="A587" s="141"/>
    </row>
    <row r="588">
      <c r="A588" s="141"/>
    </row>
    <row r="589">
      <c r="A589" s="141"/>
    </row>
    <row r="590">
      <c r="A590" s="141"/>
    </row>
    <row r="591">
      <c r="A591" s="141"/>
    </row>
    <row r="592">
      <c r="A592" s="141"/>
    </row>
    <row r="593">
      <c r="A593" s="141"/>
    </row>
    <row r="594">
      <c r="A594" s="141"/>
    </row>
    <row r="595">
      <c r="A595" s="141"/>
    </row>
    <row r="596">
      <c r="A596" s="141"/>
    </row>
    <row r="597">
      <c r="A597" s="141"/>
    </row>
    <row r="598">
      <c r="A598" s="141"/>
    </row>
    <row r="599">
      <c r="A599" s="141"/>
    </row>
    <row r="600">
      <c r="A600" s="141"/>
    </row>
    <row r="601">
      <c r="A601" s="141"/>
    </row>
    <row r="602">
      <c r="A602" s="141"/>
    </row>
    <row r="603">
      <c r="A603" s="141"/>
    </row>
    <row r="604">
      <c r="A604" s="141"/>
    </row>
    <row r="605">
      <c r="A605" s="141"/>
    </row>
    <row r="606">
      <c r="A606" s="141"/>
    </row>
    <row r="607">
      <c r="A607" s="141"/>
    </row>
    <row r="608">
      <c r="A608" s="141"/>
    </row>
    <row r="609">
      <c r="A609" s="141"/>
    </row>
    <row r="610">
      <c r="A610" s="141"/>
    </row>
    <row r="611">
      <c r="A611" s="141"/>
    </row>
    <row r="612">
      <c r="A612" s="141"/>
    </row>
    <row r="613">
      <c r="A613" s="141"/>
    </row>
    <row r="614">
      <c r="A614" s="141"/>
    </row>
    <row r="615">
      <c r="A615" s="141"/>
    </row>
    <row r="616">
      <c r="A616" s="141"/>
    </row>
    <row r="617">
      <c r="A617" s="141"/>
    </row>
    <row r="618">
      <c r="A618" s="141"/>
    </row>
    <row r="619">
      <c r="A619" s="141"/>
    </row>
    <row r="620">
      <c r="A620" s="141"/>
    </row>
    <row r="621">
      <c r="A621" s="141"/>
    </row>
    <row r="622">
      <c r="A622" s="141"/>
    </row>
    <row r="623">
      <c r="A623" s="141"/>
    </row>
    <row r="624">
      <c r="A624" s="141"/>
    </row>
    <row r="625">
      <c r="A625" s="141"/>
    </row>
    <row r="626">
      <c r="A626" s="141"/>
    </row>
    <row r="627">
      <c r="A627" s="141"/>
    </row>
    <row r="628">
      <c r="A628" s="141"/>
    </row>
    <row r="629">
      <c r="A629" s="141"/>
    </row>
    <row r="630">
      <c r="A630" s="141"/>
    </row>
    <row r="631">
      <c r="A631" s="141"/>
    </row>
    <row r="632">
      <c r="A632" s="141"/>
    </row>
    <row r="633">
      <c r="A633" s="141"/>
    </row>
    <row r="634">
      <c r="A634" s="141"/>
    </row>
    <row r="635">
      <c r="A635" s="141"/>
    </row>
    <row r="636">
      <c r="A636" s="141"/>
    </row>
    <row r="637">
      <c r="A637" s="141"/>
    </row>
    <row r="638">
      <c r="A638" s="141"/>
    </row>
    <row r="639">
      <c r="A639" s="141"/>
    </row>
    <row r="640">
      <c r="A640" s="141"/>
    </row>
    <row r="641">
      <c r="A641" s="141"/>
    </row>
    <row r="642">
      <c r="A642" s="141"/>
    </row>
    <row r="643">
      <c r="A643" s="141"/>
    </row>
    <row r="644">
      <c r="A644" s="141"/>
    </row>
    <row r="645">
      <c r="A645" s="141"/>
    </row>
    <row r="646">
      <c r="A646" s="141"/>
    </row>
    <row r="647">
      <c r="A647" s="141"/>
    </row>
    <row r="648">
      <c r="A648" s="141"/>
    </row>
    <row r="649">
      <c r="A649" s="141"/>
    </row>
    <row r="650">
      <c r="A650" s="141"/>
    </row>
    <row r="651">
      <c r="A651" s="141"/>
    </row>
    <row r="652">
      <c r="A652" s="141"/>
    </row>
    <row r="653">
      <c r="A653" s="141"/>
    </row>
    <row r="654">
      <c r="A654" s="141"/>
    </row>
    <row r="655">
      <c r="A655" s="141"/>
    </row>
    <row r="656">
      <c r="A656" s="141"/>
    </row>
    <row r="657">
      <c r="A657" s="141"/>
    </row>
    <row r="658">
      <c r="A658" s="141"/>
    </row>
    <row r="659">
      <c r="A659" s="141"/>
    </row>
    <row r="660">
      <c r="A660" s="141"/>
    </row>
    <row r="661">
      <c r="A661" s="141"/>
    </row>
    <row r="662">
      <c r="A662" s="141"/>
    </row>
    <row r="663">
      <c r="A663" s="141"/>
    </row>
    <row r="664">
      <c r="A664" s="141"/>
    </row>
    <row r="665">
      <c r="A665" s="141"/>
    </row>
    <row r="666">
      <c r="A666" s="141"/>
    </row>
    <row r="667">
      <c r="A667" s="141"/>
    </row>
    <row r="668">
      <c r="A668" s="141"/>
    </row>
    <row r="669">
      <c r="A669" s="141"/>
    </row>
    <row r="670">
      <c r="A670" s="141"/>
    </row>
    <row r="671">
      <c r="A671" s="141"/>
    </row>
    <row r="672">
      <c r="A672" s="141"/>
    </row>
    <row r="673">
      <c r="A673" s="141"/>
    </row>
    <row r="674">
      <c r="A674" s="141"/>
    </row>
    <row r="675">
      <c r="A675" s="141"/>
    </row>
    <row r="676">
      <c r="A676" s="141"/>
    </row>
    <row r="677">
      <c r="A677" s="141"/>
    </row>
    <row r="678">
      <c r="A678" s="141"/>
    </row>
    <row r="679">
      <c r="A679" s="141"/>
    </row>
    <row r="680">
      <c r="A680" s="141"/>
    </row>
    <row r="681">
      <c r="A681" s="141"/>
    </row>
    <row r="682">
      <c r="A682" s="141"/>
    </row>
    <row r="683">
      <c r="A683" s="141"/>
    </row>
    <row r="684">
      <c r="A684" s="141"/>
    </row>
    <row r="685">
      <c r="A685" s="141"/>
    </row>
    <row r="686">
      <c r="A686" s="141"/>
    </row>
    <row r="687">
      <c r="A687" s="141"/>
    </row>
    <row r="688">
      <c r="A688" s="141"/>
    </row>
    <row r="689">
      <c r="A689" s="141"/>
    </row>
    <row r="690">
      <c r="A690" s="141"/>
    </row>
    <row r="691">
      <c r="A691" s="141"/>
    </row>
    <row r="692">
      <c r="A692" s="141"/>
    </row>
    <row r="693">
      <c r="A693" s="141"/>
    </row>
    <row r="694">
      <c r="A694" s="141"/>
    </row>
    <row r="695">
      <c r="A695" s="141"/>
    </row>
    <row r="696">
      <c r="A696" s="141"/>
    </row>
    <row r="697">
      <c r="A697" s="141"/>
    </row>
    <row r="698">
      <c r="A698" s="141"/>
    </row>
    <row r="699">
      <c r="A699" s="141"/>
    </row>
    <row r="700">
      <c r="A700" s="141"/>
    </row>
    <row r="701">
      <c r="A701" s="141"/>
    </row>
    <row r="702">
      <c r="A702" s="141"/>
    </row>
    <row r="703">
      <c r="A703" s="141"/>
    </row>
    <row r="704">
      <c r="A704" s="141"/>
    </row>
    <row r="705">
      <c r="A705" s="141"/>
    </row>
    <row r="706">
      <c r="A706" s="141"/>
    </row>
    <row r="707">
      <c r="A707" s="141"/>
    </row>
    <row r="708">
      <c r="A708" s="141"/>
    </row>
    <row r="709">
      <c r="A709" s="141"/>
    </row>
    <row r="710">
      <c r="A710" s="141"/>
    </row>
    <row r="711">
      <c r="A711" s="141"/>
    </row>
    <row r="712">
      <c r="A712" s="141"/>
    </row>
    <row r="713">
      <c r="A713" s="141"/>
    </row>
    <row r="714">
      <c r="A714" s="141"/>
    </row>
    <row r="715">
      <c r="A715" s="141"/>
    </row>
    <row r="716">
      <c r="A716" s="141"/>
    </row>
    <row r="717">
      <c r="A717" s="141"/>
    </row>
    <row r="718">
      <c r="A718" s="141"/>
    </row>
    <row r="719">
      <c r="A719" s="141"/>
    </row>
    <row r="720">
      <c r="A720" s="141"/>
    </row>
    <row r="721">
      <c r="A721" s="141"/>
    </row>
    <row r="722">
      <c r="A722" s="141"/>
    </row>
    <row r="723">
      <c r="A723" s="141"/>
    </row>
    <row r="724">
      <c r="A724" s="141"/>
    </row>
    <row r="725">
      <c r="A725" s="141"/>
    </row>
    <row r="726">
      <c r="A726" s="141"/>
    </row>
    <row r="727">
      <c r="A727" s="141"/>
    </row>
    <row r="728">
      <c r="A728" s="141"/>
    </row>
    <row r="729">
      <c r="A729" s="141"/>
    </row>
    <row r="730">
      <c r="A730" s="141"/>
    </row>
    <row r="731">
      <c r="A731" s="141"/>
    </row>
    <row r="732">
      <c r="A732" s="141"/>
    </row>
    <row r="733">
      <c r="A733" s="141"/>
    </row>
    <row r="734">
      <c r="A734" s="141"/>
    </row>
    <row r="735">
      <c r="A735" s="141"/>
    </row>
    <row r="736">
      <c r="A736" s="141"/>
    </row>
    <row r="737">
      <c r="A737" s="141"/>
    </row>
    <row r="738">
      <c r="A738" s="141"/>
    </row>
    <row r="739">
      <c r="A739" s="141"/>
    </row>
    <row r="740">
      <c r="A740" s="141"/>
    </row>
    <row r="741">
      <c r="A741" s="141"/>
    </row>
    <row r="742">
      <c r="A742" s="141"/>
    </row>
    <row r="743">
      <c r="A743" s="141"/>
    </row>
    <row r="744">
      <c r="A744" s="141"/>
    </row>
    <row r="745">
      <c r="A745" s="141"/>
    </row>
    <row r="746">
      <c r="A746" s="141"/>
    </row>
    <row r="747">
      <c r="A747" s="141"/>
    </row>
    <row r="748">
      <c r="A748" s="141"/>
    </row>
    <row r="749">
      <c r="A749" s="141"/>
    </row>
    <row r="750">
      <c r="A750" s="141"/>
    </row>
    <row r="751">
      <c r="A751" s="141"/>
    </row>
    <row r="752">
      <c r="A752" s="141"/>
    </row>
    <row r="753">
      <c r="A753" s="141"/>
    </row>
    <row r="754">
      <c r="A754" s="141"/>
    </row>
    <row r="755">
      <c r="A755" s="141"/>
    </row>
    <row r="756">
      <c r="A756" s="141"/>
    </row>
    <row r="757">
      <c r="A757" s="141"/>
    </row>
    <row r="758">
      <c r="A758" s="141"/>
    </row>
    <row r="759">
      <c r="A759" s="141"/>
    </row>
    <row r="760">
      <c r="A760" s="141"/>
    </row>
    <row r="761">
      <c r="A761" s="141"/>
    </row>
    <row r="762">
      <c r="A762" s="141"/>
    </row>
    <row r="763">
      <c r="A763" s="141"/>
    </row>
    <row r="764">
      <c r="A764" s="141"/>
    </row>
    <row r="765">
      <c r="A765" s="141"/>
    </row>
    <row r="766">
      <c r="A766" s="141"/>
    </row>
    <row r="767">
      <c r="A767" s="141"/>
    </row>
    <row r="768">
      <c r="A768" s="141"/>
    </row>
    <row r="769">
      <c r="A769" s="141"/>
    </row>
    <row r="770">
      <c r="A770" s="141"/>
    </row>
    <row r="771">
      <c r="A771" s="141"/>
    </row>
    <row r="772">
      <c r="A772" s="141"/>
    </row>
    <row r="773">
      <c r="A773" s="141"/>
    </row>
    <row r="774">
      <c r="A774" s="141"/>
    </row>
    <row r="775">
      <c r="A775" s="141"/>
    </row>
    <row r="776">
      <c r="A776" s="141"/>
    </row>
    <row r="777">
      <c r="A777" s="141"/>
    </row>
    <row r="778">
      <c r="A778" s="141"/>
    </row>
    <row r="779">
      <c r="A779" s="141"/>
    </row>
    <row r="780">
      <c r="A780" s="141"/>
    </row>
    <row r="781">
      <c r="A781" s="141"/>
    </row>
    <row r="782">
      <c r="A782" s="141"/>
    </row>
    <row r="783">
      <c r="A783" s="141"/>
    </row>
    <row r="784">
      <c r="A784" s="141"/>
    </row>
    <row r="785">
      <c r="A785" s="141"/>
    </row>
    <row r="786">
      <c r="A786" s="141"/>
    </row>
    <row r="787">
      <c r="A787" s="141"/>
    </row>
    <row r="788">
      <c r="A788" s="141"/>
    </row>
    <row r="789">
      <c r="A789" s="141"/>
    </row>
    <row r="790">
      <c r="A790" s="141"/>
    </row>
    <row r="791">
      <c r="A791" s="141"/>
    </row>
    <row r="792">
      <c r="A792" s="141"/>
    </row>
    <row r="793">
      <c r="A793" s="141"/>
    </row>
    <row r="794">
      <c r="A794" s="141"/>
    </row>
    <row r="795">
      <c r="A795" s="141"/>
    </row>
    <row r="796">
      <c r="A796" s="141"/>
    </row>
    <row r="797">
      <c r="A797" s="141"/>
    </row>
    <row r="798">
      <c r="A798" s="141"/>
    </row>
    <row r="799">
      <c r="A799" s="141"/>
    </row>
    <row r="800">
      <c r="A800" s="141"/>
    </row>
    <row r="801">
      <c r="A801" s="141"/>
    </row>
    <row r="802">
      <c r="A802" s="141"/>
    </row>
    <row r="803">
      <c r="A803" s="141"/>
    </row>
    <row r="804">
      <c r="A804" s="141"/>
    </row>
    <row r="805">
      <c r="A805" s="141"/>
    </row>
    <row r="806">
      <c r="A806" s="141"/>
    </row>
    <row r="807">
      <c r="A807" s="141"/>
    </row>
    <row r="808">
      <c r="A808" s="141"/>
    </row>
    <row r="809">
      <c r="A809" s="141"/>
    </row>
    <row r="810">
      <c r="A810" s="141"/>
    </row>
    <row r="811">
      <c r="A811" s="141"/>
    </row>
    <row r="812">
      <c r="A812" s="141"/>
    </row>
    <row r="813">
      <c r="A813" s="141"/>
    </row>
    <row r="814">
      <c r="A814" s="141"/>
    </row>
    <row r="815">
      <c r="A815" s="141"/>
    </row>
    <row r="816">
      <c r="A816" s="141"/>
    </row>
    <row r="817">
      <c r="A817" s="141"/>
    </row>
    <row r="818">
      <c r="A818" s="141"/>
    </row>
    <row r="819">
      <c r="A819" s="141"/>
    </row>
    <row r="820">
      <c r="A820" s="141"/>
    </row>
    <row r="821">
      <c r="A821" s="141"/>
    </row>
    <row r="822">
      <c r="A822" s="141"/>
    </row>
    <row r="823">
      <c r="A823" s="141"/>
    </row>
    <row r="824">
      <c r="A824" s="141"/>
    </row>
    <row r="825">
      <c r="A825" s="141"/>
    </row>
    <row r="826">
      <c r="A826" s="141"/>
    </row>
    <row r="827">
      <c r="A827" s="141"/>
    </row>
    <row r="828">
      <c r="A828" s="141"/>
    </row>
    <row r="829">
      <c r="A829" s="141"/>
    </row>
    <row r="830">
      <c r="A830" s="141"/>
    </row>
    <row r="831">
      <c r="A831" s="141"/>
    </row>
    <row r="832">
      <c r="A832" s="141"/>
    </row>
    <row r="833">
      <c r="A833" s="141"/>
    </row>
    <row r="834">
      <c r="A834" s="141"/>
    </row>
    <row r="835">
      <c r="A835" s="141"/>
    </row>
    <row r="836">
      <c r="A836" s="141"/>
    </row>
    <row r="837">
      <c r="A837" s="141"/>
    </row>
    <row r="838">
      <c r="A838" s="141"/>
    </row>
    <row r="839">
      <c r="A839" s="141"/>
    </row>
    <row r="840">
      <c r="A840" s="141"/>
    </row>
    <row r="841">
      <c r="A841" s="141"/>
    </row>
    <row r="842">
      <c r="A842" s="141"/>
    </row>
    <row r="843">
      <c r="A843" s="141"/>
    </row>
    <row r="844">
      <c r="A844" s="141"/>
    </row>
    <row r="845">
      <c r="A845" s="141"/>
    </row>
    <row r="846">
      <c r="A846" s="141"/>
    </row>
    <row r="847">
      <c r="A847" s="141"/>
    </row>
    <row r="848">
      <c r="A848" s="141"/>
    </row>
    <row r="849">
      <c r="A849" s="141"/>
    </row>
    <row r="850">
      <c r="A850" s="141"/>
    </row>
    <row r="851">
      <c r="A851" s="141"/>
    </row>
    <row r="852">
      <c r="A852" s="141"/>
    </row>
    <row r="853">
      <c r="A853" s="141"/>
    </row>
    <row r="854">
      <c r="A854" s="141"/>
    </row>
    <row r="855">
      <c r="A855" s="141"/>
    </row>
    <row r="856">
      <c r="A856" s="141"/>
    </row>
    <row r="857">
      <c r="A857" s="141"/>
    </row>
    <row r="858">
      <c r="A858" s="141"/>
    </row>
    <row r="859">
      <c r="A859" s="141"/>
    </row>
    <row r="860">
      <c r="A860" s="141"/>
    </row>
    <row r="861">
      <c r="A861" s="141"/>
    </row>
    <row r="862">
      <c r="A862" s="141"/>
    </row>
    <row r="863">
      <c r="A863" s="141"/>
    </row>
    <row r="864">
      <c r="A864" s="141"/>
    </row>
    <row r="865">
      <c r="A865" s="141"/>
    </row>
    <row r="866">
      <c r="A866" s="141"/>
    </row>
    <row r="867">
      <c r="A867" s="141"/>
    </row>
    <row r="868">
      <c r="A868" s="141"/>
    </row>
    <row r="869">
      <c r="A869" s="141"/>
    </row>
    <row r="870">
      <c r="A870" s="141"/>
    </row>
    <row r="871">
      <c r="A871" s="141"/>
    </row>
    <row r="872">
      <c r="A872" s="141"/>
    </row>
    <row r="873">
      <c r="A873" s="141"/>
    </row>
    <row r="874">
      <c r="A874" s="141"/>
    </row>
    <row r="875">
      <c r="A875" s="141"/>
    </row>
    <row r="876">
      <c r="A876" s="141"/>
    </row>
    <row r="877">
      <c r="A877" s="141"/>
    </row>
    <row r="878">
      <c r="A878" s="141"/>
    </row>
    <row r="879">
      <c r="A879" s="141"/>
    </row>
    <row r="880">
      <c r="A880" s="141"/>
    </row>
    <row r="881">
      <c r="A881" s="141"/>
    </row>
    <row r="882">
      <c r="A882" s="141"/>
    </row>
    <row r="883">
      <c r="A883" s="141"/>
    </row>
    <row r="884">
      <c r="A884" s="141"/>
    </row>
    <row r="885">
      <c r="A885" s="141"/>
    </row>
    <row r="886">
      <c r="A886" s="141"/>
    </row>
    <row r="887">
      <c r="A887" s="141"/>
    </row>
    <row r="888">
      <c r="A888" s="141"/>
    </row>
    <row r="889">
      <c r="A889" s="141"/>
    </row>
    <row r="890">
      <c r="A890" s="141"/>
    </row>
    <row r="891">
      <c r="A891" s="141"/>
    </row>
    <row r="892">
      <c r="A892" s="141"/>
    </row>
    <row r="893">
      <c r="A893" s="141"/>
    </row>
    <row r="894">
      <c r="A894" s="141"/>
    </row>
    <row r="895">
      <c r="A895" s="141"/>
    </row>
    <row r="896">
      <c r="A896" s="141"/>
    </row>
    <row r="897">
      <c r="A897" s="141"/>
    </row>
    <row r="898">
      <c r="A898" s="141"/>
    </row>
    <row r="899">
      <c r="A899" s="141"/>
    </row>
    <row r="900">
      <c r="A900" s="141"/>
    </row>
    <row r="901">
      <c r="A901" s="141"/>
    </row>
    <row r="902">
      <c r="A902" s="141"/>
    </row>
    <row r="903">
      <c r="A903" s="141"/>
    </row>
    <row r="904">
      <c r="A904" s="141"/>
    </row>
    <row r="905">
      <c r="A905" s="141"/>
    </row>
    <row r="906">
      <c r="A906" s="141"/>
    </row>
    <row r="907">
      <c r="A907" s="141"/>
    </row>
    <row r="908">
      <c r="A908" s="141"/>
    </row>
    <row r="909">
      <c r="A909" s="141"/>
    </row>
    <row r="910">
      <c r="A910" s="141"/>
    </row>
    <row r="911">
      <c r="A911" s="141"/>
    </row>
    <row r="912">
      <c r="A912" s="141"/>
    </row>
    <row r="913">
      <c r="A913" s="141"/>
    </row>
    <row r="914">
      <c r="A914" s="141"/>
    </row>
    <row r="915">
      <c r="A915" s="141"/>
    </row>
    <row r="916">
      <c r="A916" s="141"/>
    </row>
    <row r="917">
      <c r="A917" s="141"/>
    </row>
    <row r="918">
      <c r="A918" s="141"/>
    </row>
    <row r="919">
      <c r="A919" s="141"/>
    </row>
    <row r="920">
      <c r="A920" s="141"/>
    </row>
    <row r="921">
      <c r="A921" s="141"/>
    </row>
    <row r="922">
      <c r="A922" s="141"/>
    </row>
    <row r="923">
      <c r="A923" s="141"/>
    </row>
    <row r="924">
      <c r="A924" s="141"/>
    </row>
    <row r="925">
      <c r="A925" s="141"/>
    </row>
    <row r="926">
      <c r="A926" s="141"/>
    </row>
    <row r="927">
      <c r="A927" s="141"/>
    </row>
    <row r="928">
      <c r="A928" s="141"/>
    </row>
    <row r="929">
      <c r="A929" s="141"/>
    </row>
    <row r="930">
      <c r="A930" s="141"/>
    </row>
    <row r="931">
      <c r="A931" s="141"/>
    </row>
    <row r="932">
      <c r="A932" s="141"/>
    </row>
    <row r="933">
      <c r="A933" s="141"/>
    </row>
    <row r="934">
      <c r="A934" s="141"/>
    </row>
    <row r="935">
      <c r="A935" s="141"/>
    </row>
    <row r="936">
      <c r="A936" s="141"/>
    </row>
    <row r="937">
      <c r="A937" s="141"/>
    </row>
    <row r="938">
      <c r="A938" s="141"/>
    </row>
    <row r="939">
      <c r="A939" s="141"/>
    </row>
    <row r="940">
      <c r="A940" s="141"/>
    </row>
    <row r="941">
      <c r="A941" s="141"/>
    </row>
    <row r="942">
      <c r="A942" s="141"/>
    </row>
    <row r="943">
      <c r="A943" s="141"/>
    </row>
    <row r="944">
      <c r="A944" s="141"/>
    </row>
    <row r="945">
      <c r="A945" s="141"/>
    </row>
    <row r="946">
      <c r="A946" s="141"/>
    </row>
    <row r="947">
      <c r="A947" s="141"/>
    </row>
    <row r="948">
      <c r="A948" s="141"/>
    </row>
    <row r="949">
      <c r="A949" s="141"/>
    </row>
    <row r="950">
      <c r="A950" s="141"/>
    </row>
    <row r="951">
      <c r="A951" s="141"/>
    </row>
    <row r="952">
      <c r="A952" s="141"/>
    </row>
    <row r="953">
      <c r="A953" s="141"/>
    </row>
    <row r="954">
      <c r="A954" s="141"/>
    </row>
    <row r="955">
      <c r="A955" s="141"/>
    </row>
    <row r="956">
      <c r="A956" s="141"/>
    </row>
    <row r="957">
      <c r="A957" s="141"/>
    </row>
    <row r="958">
      <c r="A958" s="141"/>
    </row>
    <row r="959">
      <c r="A959" s="141"/>
    </row>
    <row r="960">
      <c r="A960" s="141"/>
    </row>
    <row r="961">
      <c r="A961" s="141"/>
    </row>
    <row r="962">
      <c r="A962" s="141"/>
    </row>
    <row r="963">
      <c r="A963" s="141"/>
    </row>
    <row r="964">
      <c r="A964" s="141"/>
    </row>
    <row r="965">
      <c r="A965" s="141"/>
    </row>
    <row r="966">
      <c r="A966" s="141"/>
    </row>
    <row r="967">
      <c r="A967" s="141"/>
    </row>
    <row r="968">
      <c r="A968" s="141"/>
    </row>
    <row r="969">
      <c r="A969" s="141"/>
    </row>
    <row r="970">
      <c r="A970" s="141"/>
    </row>
    <row r="971">
      <c r="A971" s="141"/>
    </row>
    <row r="972">
      <c r="A972" s="141"/>
    </row>
    <row r="973">
      <c r="A973" s="141"/>
    </row>
    <row r="974">
      <c r="A974" s="141"/>
    </row>
    <row r="975">
      <c r="A975" s="141"/>
    </row>
    <row r="976">
      <c r="A976" s="141"/>
    </row>
    <row r="977">
      <c r="A977" s="141"/>
    </row>
    <row r="978">
      <c r="A978" s="141"/>
    </row>
    <row r="979">
      <c r="A979" s="141"/>
    </row>
    <row r="980">
      <c r="A980" s="141"/>
    </row>
    <row r="981">
      <c r="A981" s="141"/>
    </row>
    <row r="982">
      <c r="A982" s="141"/>
    </row>
    <row r="983">
      <c r="A983" s="141"/>
    </row>
    <row r="984">
      <c r="A984" s="141"/>
    </row>
    <row r="985">
      <c r="A985" s="141"/>
    </row>
    <row r="986">
      <c r="A986" s="141"/>
    </row>
    <row r="987">
      <c r="A987" s="141"/>
    </row>
    <row r="988">
      <c r="A988" s="141"/>
    </row>
    <row r="989">
      <c r="A989" s="141"/>
    </row>
    <row r="990">
      <c r="A990" s="141"/>
    </row>
    <row r="991">
      <c r="A991" s="141"/>
    </row>
    <row r="992">
      <c r="A992" s="141"/>
    </row>
    <row r="993">
      <c r="A993" s="141"/>
    </row>
    <row r="994">
      <c r="A994" s="141"/>
    </row>
    <row r="995">
      <c r="A995" s="141"/>
    </row>
    <row r="996">
      <c r="A996" s="141"/>
    </row>
    <row r="997">
      <c r="A997" s="141"/>
    </row>
    <row r="998">
      <c r="A998" s="141"/>
    </row>
    <row r="999">
      <c r="A999" s="141"/>
    </row>
    <row r="1000">
      <c r="A1000" s="141"/>
    </row>
  </sheetData>
  <autoFilter ref="$A$1:$F$49"/>
  <dataValidations>
    <dataValidation type="list" allowBlank="1" sqref="F2:F49">
      <formula1>Folha_auxiliar!$A$14:$A$25</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38.14"/>
    <col customWidth="1" min="8" max="8" width="48.71"/>
  </cols>
  <sheetData>
    <row r="1">
      <c r="A1" s="1" t="s">
        <v>170</v>
      </c>
    </row>
    <row r="2">
      <c r="A2" s="37" t="s">
        <v>171</v>
      </c>
      <c r="B2" s="38"/>
      <c r="C2" s="38"/>
      <c r="D2" s="38"/>
      <c r="E2" s="38"/>
    </row>
    <row r="3">
      <c r="A3" s="39" t="s">
        <v>172</v>
      </c>
      <c r="B3" s="40" t="s">
        <v>173</v>
      </c>
      <c r="C3" s="40" t="s">
        <v>174</v>
      </c>
      <c r="D3" s="40" t="s">
        <v>175</v>
      </c>
      <c r="E3" s="41" t="s">
        <v>176</v>
      </c>
    </row>
    <row r="4">
      <c r="A4" s="42" t="s">
        <v>335</v>
      </c>
      <c r="B4" s="43" t="s">
        <v>336</v>
      </c>
      <c r="C4" s="43">
        <v>1.0</v>
      </c>
      <c r="D4" s="43">
        <v>2.694</v>
      </c>
      <c r="E4" s="45" t="s">
        <v>185</v>
      </c>
    </row>
    <row r="5">
      <c r="A5" s="46" t="s">
        <v>337</v>
      </c>
      <c r="B5" s="43" t="s">
        <v>338</v>
      </c>
      <c r="C5" s="142"/>
      <c r="D5" s="142"/>
      <c r="E5" s="47" t="s">
        <v>339</v>
      </c>
    </row>
    <row r="6">
      <c r="A6" s="46" t="s">
        <v>340</v>
      </c>
      <c r="B6" s="43" t="s">
        <v>341</v>
      </c>
      <c r="C6" s="43">
        <v>1.0</v>
      </c>
      <c r="D6" s="43">
        <v>2.479</v>
      </c>
      <c r="E6" s="47" t="s">
        <v>342</v>
      </c>
    </row>
    <row r="7">
      <c r="A7" s="46" t="s">
        <v>343</v>
      </c>
      <c r="B7" s="43" t="s">
        <v>196</v>
      </c>
      <c r="C7" s="43">
        <v>4.0</v>
      </c>
      <c r="D7" s="43">
        <v>1.105</v>
      </c>
      <c r="E7" s="47" t="s">
        <v>197</v>
      </c>
    </row>
    <row r="8">
      <c r="A8" s="46" t="s">
        <v>344</v>
      </c>
      <c r="B8" s="43" t="s">
        <v>345</v>
      </c>
      <c r="C8" s="43">
        <v>4.0</v>
      </c>
      <c r="D8" s="142"/>
      <c r="E8" s="47" t="s">
        <v>346</v>
      </c>
    </row>
    <row r="9">
      <c r="A9" s="46" t="s">
        <v>347</v>
      </c>
      <c r="B9" s="43" t="s">
        <v>348</v>
      </c>
      <c r="C9" s="43">
        <v>1.0</v>
      </c>
      <c r="D9" s="43">
        <v>7.074</v>
      </c>
      <c r="E9" s="47" t="s">
        <v>185</v>
      </c>
    </row>
    <row r="10">
      <c r="A10" s="46" t="s">
        <v>349</v>
      </c>
      <c r="B10" s="43" t="s">
        <v>350</v>
      </c>
      <c r="C10" s="43">
        <v>2.0</v>
      </c>
      <c r="D10" s="43">
        <v>2.038</v>
      </c>
      <c r="E10" s="47" t="s">
        <v>185</v>
      </c>
    </row>
    <row r="11">
      <c r="A11" s="46" t="s">
        <v>351</v>
      </c>
      <c r="B11" s="43" t="s">
        <v>352</v>
      </c>
      <c r="C11" s="43">
        <v>1.0</v>
      </c>
      <c r="D11" s="43">
        <v>3.231</v>
      </c>
      <c r="E11" s="47" t="s">
        <v>179</v>
      </c>
    </row>
    <row r="12">
      <c r="A12" s="46" t="s">
        <v>353</v>
      </c>
      <c r="B12" s="43" t="s">
        <v>193</v>
      </c>
      <c r="C12" s="43">
        <v>2.0</v>
      </c>
      <c r="D12" s="43">
        <v>2.435</v>
      </c>
      <c r="E12" s="47" t="s">
        <v>354</v>
      </c>
    </row>
    <row r="13">
      <c r="A13" s="46" t="s">
        <v>355</v>
      </c>
      <c r="B13" s="43" t="s">
        <v>356</v>
      </c>
      <c r="C13" s="43">
        <v>1.0</v>
      </c>
      <c r="D13" s="43">
        <v>3.859</v>
      </c>
      <c r="E13" s="47" t="s">
        <v>211</v>
      </c>
    </row>
    <row r="14">
      <c r="A14" s="42" t="s">
        <v>357</v>
      </c>
      <c r="B14" s="43" t="s">
        <v>201</v>
      </c>
      <c r="C14" s="44">
        <v>2.0</v>
      </c>
      <c r="D14" s="44">
        <v>2.273</v>
      </c>
      <c r="E14" s="45" t="s">
        <v>185</v>
      </c>
    </row>
    <row r="15">
      <c r="A15" s="49"/>
      <c r="B15" s="51"/>
      <c r="C15" s="51"/>
      <c r="D15" s="51"/>
      <c r="E15" s="52"/>
    </row>
    <row r="16">
      <c r="A16" s="49"/>
      <c r="B16" s="51"/>
      <c r="C16" s="51"/>
      <c r="D16" s="51"/>
      <c r="E16" s="52"/>
    </row>
    <row r="17">
      <c r="A17" s="49"/>
      <c r="B17" s="51"/>
      <c r="C17" s="51"/>
      <c r="D17" s="51"/>
      <c r="E17" s="52"/>
    </row>
    <row r="18">
      <c r="A18" s="49"/>
      <c r="B18" s="51"/>
      <c r="C18" s="51"/>
      <c r="D18" s="51"/>
      <c r="E18" s="52"/>
    </row>
    <row r="19">
      <c r="A19" s="49"/>
      <c r="B19" s="51"/>
      <c r="C19" s="51"/>
      <c r="D19" s="51"/>
      <c r="E19" s="52"/>
    </row>
    <row r="20">
      <c r="A20" s="49"/>
      <c r="B20" s="51"/>
      <c r="C20" s="51"/>
      <c r="D20" s="51"/>
      <c r="E20" s="52"/>
    </row>
    <row r="21">
      <c r="A21" s="49"/>
      <c r="B21" s="51"/>
      <c r="C21" s="51"/>
      <c r="D21" s="51"/>
      <c r="E21" s="52"/>
    </row>
    <row r="22">
      <c r="A22" s="49"/>
      <c r="B22" s="51"/>
      <c r="C22" s="51"/>
      <c r="D22" s="51"/>
      <c r="E22" s="52"/>
    </row>
    <row r="23">
      <c r="A23" s="49"/>
      <c r="B23" s="51"/>
      <c r="C23" s="51"/>
      <c r="D23" s="51"/>
      <c r="E23" s="52"/>
    </row>
    <row r="24">
      <c r="A24" s="49"/>
      <c r="B24" s="51"/>
      <c r="C24" s="51"/>
      <c r="D24" s="51"/>
      <c r="E24" s="52"/>
    </row>
    <row r="25">
      <c r="A25" s="49"/>
      <c r="B25" s="51"/>
      <c r="C25" s="51"/>
      <c r="D25" s="51"/>
      <c r="E25" s="52"/>
    </row>
    <row r="26">
      <c r="A26" s="49"/>
      <c r="B26" s="51"/>
      <c r="C26" s="51"/>
      <c r="D26" s="51"/>
      <c r="E26" s="52"/>
    </row>
    <row r="27">
      <c r="A27" s="49"/>
      <c r="B27" s="51"/>
      <c r="C27" s="51"/>
      <c r="D27" s="51"/>
      <c r="E27" s="52"/>
    </row>
    <row r="28">
      <c r="A28" s="49"/>
      <c r="B28" s="51"/>
      <c r="C28" s="51"/>
      <c r="D28" s="51"/>
      <c r="E28" s="52"/>
    </row>
    <row r="29">
      <c r="A29" s="49"/>
      <c r="B29" s="51"/>
      <c r="C29" s="51"/>
      <c r="D29" s="51"/>
      <c r="E29" s="52"/>
    </row>
    <row r="30">
      <c r="A30" s="49"/>
      <c r="B30" s="51"/>
      <c r="C30" s="51"/>
      <c r="D30" s="51"/>
      <c r="E30" s="52"/>
    </row>
    <row r="31">
      <c r="A31" s="49"/>
      <c r="B31" s="51"/>
      <c r="C31" s="51"/>
      <c r="D31" s="51"/>
      <c r="E31" s="52"/>
    </row>
    <row r="32">
      <c r="A32" s="49"/>
      <c r="B32" s="51"/>
      <c r="C32" s="51"/>
      <c r="D32" s="51"/>
      <c r="E32" s="52"/>
    </row>
    <row r="33">
      <c r="A33" s="49"/>
      <c r="B33" s="51"/>
      <c r="C33" s="51"/>
      <c r="D33" s="53"/>
      <c r="E33" s="52"/>
    </row>
    <row r="34">
      <c r="A34" s="54"/>
      <c r="B34" s="55"/>
      <c r="C34" s="55"/>
      <c r="D34" s="55"/>
      <c r="E34" s="56"/>
    </row>
    <row r="35">
      <c r="A35" s="28"/>
      <c r="B35" s="28"/>
    </row>
    <row r="36">
      <c r="A36" s="37" t="s">
        <v>216</v>
      </c>
      <c r="B36" s="28"/>
    </row>
    <row r="37">
      <c r="A37" s="39" t="s">
        <v>172</v>
      </c>
      <c r="B37" s="57" t="s">
        <v>217</v>
      </c>
      <c r="C37" s="58" t="s">
        <v>218</v>
      </c>
    </row>
    <row r="38">
      <c r="A38" s="42" t="s">
        <v>395</v>
      </c>
      <c r="B38" s="143" t="s">
        <v>226</v>
      </c>
      <c r="C38" s="60" t="s">
        <v>221</v>
      </c>
    </row>
    <row r="39">
      <c r="A39" s="46" t="s">
        <v>396</v>
      </c>
      <c r="B39" s="143" t="s">
        <v>397</v>
      </c>
      <c r="C39" s="60" t="s">
        <v>224</v>
      </c>
    </row>
    <row r="40">
      <c r="A40" s="46" t="s">
        <v>398</v>
      </c>
      <c r="B40" s="143" t="s">
        <v>397</v>
      </c>
      <c r="C40" s="60" t="s">
        <v>224</v>
      </c>
    </row>
    <row r="41">
      <c r="A41" s="46" t="s">
        <v>399</v>
      </c>
      <c r="B41" s="143" t="s">
        <v>400</v>
      </c>
      <c r="C41" s="60" t="s">
        <v>224</v>
      </c>
    </row>
    <row r="42">
      <c r="A42" s="46" t="s">
        <v>401</v>
      </c>
      <c r="B42" s="143" t="s">
        <v>400</v>
      </c>
      <c r="C42" s="60" t="s">
        <v>224</v>
      </c>
    </row>
    <row r="43">
      <c r="A43" s="46" t="s">
        <v>402</v>
      </c>
      <c r="B43" s="143" t="s">
        <v>400</v>
      </c>
      <c r="C43" s="60" t="s">
        <v>224</v>
      </c>
    </row>
    <row r="44">
      <c r="A44" s="46" t="s">
        <v>403</v>
      </c>
      <c r="B44" s="143" t="s">
        <v>400</v>
      </c>
      <c r="C44" s="60" t="s">
        <v>224</v>
      </c>
    </row>
    <row r="45">
      <c r="A45" s="46" t="s">
        <v>404</v>
      </c>
      <c r="B45" s="143" t="s">
        <v>397</v>
      </c>
      <c r="C45" s="60" t="s">
        <v>224</v>
      </c>
    </row>
    <row r="46">
      <c r="A46" s="46" t="s">
        <v>405</v>
      </c>
      <c r="B46" s="144" t="s">
        <v>397</v>
      </c>
      <c r="C46" s="62" t="s">
        <v>224</v>
      </c>
    </row>
    <row r="47">
      <c r="A47" s="28"/>
      <c r="B47" s="28"/>
    </row>
    <row r="48">
      <c r="A48" s="37" t="s">
        <v>233</v>
      </c>
      <c r="B48" s="28"/>
    </row>
    <row r="49">
      <c r="A49" s="63" t="s">
        <v>172</v>
      </c>
      <c r="B49" s="64" t="s">
        <v>234</v>
      </c>
      <c r="C49" s="40" t="s">
        <v>217</v>
      </c>
      <c r="D49" s="58" t="s">
        <v>218</v>
      </c>
    </row>
    <row r="50">
      <c r="A50" s="42" t="s">
        <v>406</v>
      </c>
      <c r="B50" s="65" t="s">
        <v>407</v>
      </c>
      <c r="C50" s="51" t="s">
        <v>397</v>
      </c>
      <c r="D50" s="60" t="s">
        <v>224</v>
      </c>
    </row>
    <row r="51">
      <c r="A51" s="46" t="s">
        <v>408</v>
      </c>
      <c r="B51" s="65" t="s">
        <v>407</v>
      </c>
      <c r="C51" s="51" t="s">
        <v>397</v>
      </c>
      <c r="D51" s="60" t="s">
        <v>224</v>
      </c>
    </row>
    <row r="52">
      <c r="A52" s="46" t="s">
        <v>409</v>
      </c>
      <c r="B52" s="65" t="s">
        <v>236</v>
      </c>
      <c r="C52" s="51" t="s">
        <v>397</v>
      </c>
      <c r="D52" s="60" t="s">
        <v>224</v>
      </c>
    </row>
    <row r="53">
      <c r="A53" s="66"/>
      <c r="B53" s="67"/>
      <c r="C53" s="68"/>
      <c r="D53" s="60"/>
    </row>
    <row r="54">
      <c r="A54" s="69"/>
      <c r="B54" s="70"/>
      <c r="C54" s="71"/>
      <c r="D54" s="62"/>
    </row>
    <row r="55">
      <c r="A55" s="28"/>
      <c r="B55" s="28"/>
    </row>
    <row r="56">
      <c r="A56" s="37" t="s">
        <v>238</v>
      </c>
    </row>
    <row r="57">
      <c r="A57" s="72" t="s">
        <v>239</v>
      </c>
      <c r="B57" s="41" t="s">
        <v>172</v>
      </c>
    </row>
    <row r="58">
      <c r="A58" s="42" t="s">
        <v>240</v>
      </c>
      <c r="B58" s="45" t="s">
        <v>410</v>
      </c>
    </row>
    <row r="59">
      <c r="A59" s="46" t="s">
        <v>240</v>
      </c>
      <c r="B59" s="47" t="s">
        <v>411</v>
      </c>
    </row>
    <row r="60">
      <c r="A60" s="46" t="s">
        <v>412</v>
      </c>
      <c r="B60" s="47" t="s">
        <v>413</v>
      </c>
    </row>
    <row r="61">
      <c r="A61" s="46" t="s">
        <v>240</v>
      </c>
      <c r="B61" s="47" t="s">
        <v>414</v>
      </c>
    </row>
    <row r="62">
      <c r="A62" s="46" t="s">
        <v>240</v>
      </c>
      <c r="B62" s="47" t="s">
        <v>415</v>
      </c>
    </row>
    <row r="63">
      <c r="A63" s="46" t="s">
        <v>240</v>
      </c>
      <c r="B63" s="47" t="s">
        <v>416</v>
      </c>
    </row>
    <row r="64">
      <c r="A64" s="46" t="s">
        <v>417</v>
      </c>
      <c r="B64" s="47" t="s">
        <v>418</v>
      </c>
    </row>
    <row r="65">
      <c r="A65" s="46" t="s">
        <v>417</v>
      </c>
      <c r="B65" s="76" t="s">
        <v>419</v>
      </c>
    </row>
    <row r="66">
      <c r="A66" s="46" t="s">
        <v>417</v>
      </c>
      <c r="B66" s="45" t="s">
        <v>420</v>
      </c>
    </row>
    <row r="67">
      <c r="A67" s="46" t="s">
        <v>417</v>
      </c>
      <c r="B67" s="76" t="s">
        <v>421</v>
      </c>
    </row>
    <row r="68">
      <c r="A68" s="46" t="s">
        <v>250</v>
      </c>
      <c r="B68" s="145" t="s">
        <v>422</v>
      </c>
    </row>
    <row r="69">
      <c r="A69" s="46" t="s">
        <v>250</v>
      </c>
      <c r="B69" s="73" t="s">
        <v>423</v>
      </c>
    </row>
    <row r="70">
      <c r="A70" s="49" t="s">
        <v>250</v>
      </c>
      <c r="B70" s="138" t="s">
        <v>424</v>
      </c>
    </row>
    <row r="71">
      <c r="A71" s="49" t="s">
        <v>250</v>
      </c>
      <c r="B71" s="60" t="s">
        <v>425</v>
      </c>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256</v>
      </c>
      <c r="B97" s="38"/>
      <c r="C97" s="38"/>
    </row>
    <row r="98">
      <c r="A98" s="39" t="s">
        <v>172</v>
      </c>
      <c r="B98" s="40" t="s">
        <v>257</v>
      </c>
      <c r="C98" s="40" t="s">
        <v>258</v>
      </c>
      <c r="D98" s="41" t="s">
        <v>218</v>
      </c>
    </row>
    <row r="99">
      <c r="A99" s="42" t="s">
        <v>418</v>
      </c>
      <c r="B99" s="42" t="s">
        <v>426</v>
      </c>
      <c r="C99" s="42" t="s">
        <v>427</v>
      </c>
      <c r="D99" s="45" t="s">
        <v>224</v>
      </c>
    </row>
    <row r="100">
      <c r="A100" s="46" t="s">
        <v>419</v>
      </c>
      <c r="B100" s="42" t="s">
        <v>426</v>
      </c>
      <c r="C100" s="42" t="s">
        <v>427</v>
      </c>
      <c r="D100" s="47" t="s">
        <v>224</v>
      </c>
    </row>
    <row r="101">
      <c r="A101" s="46" t="s">
        <v>420</v>
      </c>
      <c r="B101" s="42" t="s">
        <v>426</v>
      </c>
      <c r="C101" s="42" t="s">
        <v>427</v>
      </c>
      <c r="D101" s="47" t="s">
        <v>224</v>
      </c>
    </row>
    <row r="102">
      <c r="A102" s="76" t="s">
        <v>421</v>
      </c>
      <c r="B102" s="42" t="s">
        <v>426</v>
      </c>
      <c r="C102" s="42" t="s">
        <v>427</v>
      </c>
      <c r="D102" s="47" t="s">
        <v>224</v>
      </c>
    </row>
    <row r="103">
      <c r="A103" s="145" t="s">
        <v>422</v>
      </c>
      <c r="B103" s="42" t="s">
        <v>428</v>
      </c>
      <c r="C103" s="42" t="s">
        <v>427</v>
      </c>
      <c r="D103" s="47" t="s">
        <v>221</v>
      </c>
    </row>
    <row r="104">
      <c r="A104" s="73" t="s">
        <v>423</v>
      </c>
      <c r="B104" s="42" t="s">
        <v>428</v>
      </c>
      <c r="C104" s="42" t="s">
        <v>427</v>
      </c>
      <c r="D104" s="47" t="s">
        <v>221</v>
      </c>
    </row>
    <row r="105">
      <c r="A105" s="49" t="s">
        <v>425</v>
      </c>
      <c r="B105" s="51" t="s">
        <v>429</v>
      </c>
      <c r="C105" s="51" t="s">
        <v>430</v>
      </c>
      <c r="D105" s="60" t="s">
        <v>221</v>
      </c>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49" t="s">
        <v>431</v>
      </c>
      <c r="B118" s="51" t="s">
        <v>273</v>
      </c>
      <c r="C118" s="51">
        <v>24.0</v>
      </c>
      <c r="D118" s="60" t="s">
        <v>221</v>
      </c>
    </row>
    <row r="119">
      <c r="A119" s="49" t="s">
        <v>432</v>
      </c>
      <c r="B119" s="51" t="s">
        <v>273</v>
      </c>
      <c r="C119" s="51">
        <v>36.0</v>
      </c>
      <c r="D119" s="60" t="s">
        <v>221</v>
      </c>
    </row>
    <row r="120">
      <c r="A120" s="49" t="s">
        <v>433</v>
      </c>
      <c r="B120" s="51" t="s">
        <v>276</v>
      </c>
      <c r="C120" s="51">
        <v>2.0</v>
      </c>
      <c r="D120" s="60" t="s">
        <v>224</v>
      </c>
    </row>
    <row r="121">
      <c r="A121" s="49" t="s">
        <v>434</v>
      </c>
      <c r="B121" s="51" t="s">
        <v>276</v>
      </c>
      <c r="C121" s="51">
        <v>2.0</v>
      </c>
      <c r="D121" s="60" t="s">
        <v>221</v>
      </c>
    </row>
    <row r="122">
      <c r="A122" s="49" t="s">
        <v>275</v>
      </c>
      <c r="B122" s="51" t="s">
        <v>276</v>
      </c>
      <c r="C122" s="51">
        <v>1.0</v>
      </c>
      <c r="D122" s="60" t="s">
        <v>224</v>
      </c>
    </row>
    <row r="123">
      <c r="A123" s="54" t="s">
        <v>435</v>
      </c>
      <c r="B123" s="55" t="s">
        <v>276</v>
      </c>
      <c r="C123" s="55">
        <v>1.0</v>
      </c>
      <c r="D123" s="62" t="s">
        <v>224</v>
      </c>
    </row>
    <row r="125">
      <c r="A125" s="37" t="s">
        <v>277</v>
      </c>
    </row>
    <row r="126">
      <c r="A126" s="72" t="s">
        <v>278</v>
      </c>
      <c r="B126" s="40" t="s">
        <v>279</v>
      </c>
      <c r="C126" s="41" t="s">
        <v>280</v>
      </c>
    </row>
    <row r="127">
      <c r="A127" s="42" t="s">
        <v>436</v>
      </c>
      <c r="B127" s="45" t="s">
        <v>426</v>
      </c>
      <c r="C127" s="60" t="s">
        <v>437</v>
      </c>
    </row>
    <row r="128">
      <c r="A128" s="46" t="s">
        <v>436</v>
      </c>
      <c r="B128" s="47" t="s">
        <v>426</v>
      </c>
      <c r="C128" s="60" t="s">
        <v>438</v>
      </c>
    </row>
    <row r="129">
      <c r="A129" s="46" t="s">
        <v>436</v>
      </c>
      <c r="B129" s="47" t="s">
        <v>426</v>
      </c>
      <c r="C129" s="60" t="s">
        <v>439</v>
      </c>
    </row>
    <row r="130">
      <c r="A130" s="46" t="s">
        <v>440</v>
      </c>
      <c r="B130" s="47" t="s">
        <v>201</v>
      </c>
      <c r="C130" s="60" t="s">
        <v>441</v>
      </c>
    </row>
    <row r="131">
      <c r="A131" s="49" t="s">
        <v>440</v>
      </c>
      <c r="B131" s="51" t="s">
        <v>442</v>
      </c>
      <c r="C131" s="60" t="s">
        <v>438</v>
      </c>
    </row>
    <row r="132">
      <c r="A132" s="49" t="s">
        <v>440</v>
      </c>
      <c r="B132" s="51" t="s">
        <v>443</v>
      </c>
      <c r="C132" s="60" t="s">
        <v>438</v>
      </c>
    </row>
    <row r="133">
      <c r="A133" s="49" t="s">
        <v>444</v>
      </c>
      <c r="B133" s="51" t="s">
        <v>445</v>
      </c>
      <c r="C133" s="60" t="s">
        <v>438</v>
      </c>
    </row>
    <row r="134">
      <c r="A134" s="74"/>
      <c r="B134" s="68"/>
      <c r="C134" s="52"/>
    </row>
    <row r="135">
      <c r="A135" s="75"/>
      <c r="B135" s="71"/>
      <c r="C135" s="56"/>
    </row>
    <row r="137">
      <c r="A137" s="37" t="s">
        <v>281</v>
      </c>
    </row>
    <row r="138">
      <c r="A138" s="72" t="s">
        <v>278</v>
      </c>
      <c r="B138" s="41" t="s">
        <v>282</v>
      </c>
    </row>
    <row r="139">
      <c r="A139" s="42" t="s">
        <v>446</v>
      </c>
      <c r="B139" s="45" t="s">
        <v>447</v>
      </c>
    </row>
    <row r="140">
      <c r="A140" s="74"/>
      <c r="B140" s="52"/>
    </row>
    <row r="141">
      <c r="A141" s="74"/>
      <c r="B141" s="52"/>
    </row>
    <row r="142">
      <c r="A142" s="74"/>
      <c r="B142" s="52"/>
    </row>
    <row r="143">
      <c r="A143" s="74"/>
      <c r="B143" s="52"/>
    </row>
    <row r="144">
      <c r="A144" s="74"/>
      <c r="B144" s="52"/>
    </row>
    <row r="145">
      <c r="A145" s="74"/>
      <c r="B145" s="52"/>
    </row>
    <row r="146">
      <c r="A146" s="74"/>
      <c r="B146" s="52"/>
    </row>
    <row r="147">
      <c r="A147" s="75"/>
      <c r="B147" s="56"/>
    </row>
    <row r="149">
      <c r="A149" s="1" t="s">
        <v>283</v>
      </c>
      <c r="C149" s="78" t="s">
        <v>284</v>
      </c>
      <c r="D149" s="79"/>
      <c r="E149" s="80"/>
    </row>
    <row r="150">
      <c r="A150" s="81" t="s">
        <v>285</v>
      </c>
      <c r="B150" s="82" t="s">
        <v>286</v>
      </c>
      <c r="C150" s="83" t="s">
        <v>287</v>
      </c>
      <c r="D150" s="84" t="s">
        <v>288</v>
      </c>
      <c r="E150" s="84" t="s">
        <v>289</v>
      </c>
      <c r="F150" s="85" t="s">
        <v>290</v>
      </c>
      <c r="G150" s="86" t="s">
        <v>291</v>
      </c>
    </row>
    <row r="151">
      <c r="A151" s="42" t="s">
        <v>292</v>
      </c>
      <c r="B151" s="42" t="s">
        <v>448</v>
      </c>
      <c r="C151" s="87"/>
      <c r="D151" s="65"/>
      <c r="E151" s="65"/>
      <c r="F151" s="65" t="s">
        <v>294</v>
      </c>
      <c r="G151" s="60" t="s">
        <v>295</v>
      </c>
    </row>
    <row r="152">
      <c r="A152" s="46" t="s">
        <v>292</v>
      </c>
      <c r="B152" s="42" t="s">
        <v>449</v>
      </c>
      <c r="D152" s="67"/>
      <c r="E152" s="67"/>
      <c r="F152" s="65" t="s">
        <v>294</v>
      </c>
      <c r="G152" s="60" t="s">
        <v>295</v>
      </c>
    </row>
    <row r="153">
      <c r="A153" s="49" t="s">
        <v>450</v>
      </c>
      <c r="B153" s="146" t="s">
        <v>451</v>
      </c>
      <c r="D153" s="65" t="s">
        <v>452</v>
      </c>
      <c r="E153" s="67"/>
      <c r="F153" s="67"/>
      <c r="G153" s="60" t="s">
        <v>295</v>
      </c>
    </row>
    <row r="154">
      <c r="A154" s="49" t="s">
        <v>450</v>
      </c>
      <c r="B154" s="146" t="s">
        <v>453</v>
      </c>
      <c r="C154" s="67"/>
      <c r="D154" s="65" t="s">
        <v>452</v>
      </c>
      <c r="E154" s="67"/>
      <c r="F154" s="67"/>
      <c r="G154" s="60" t="s">
        <v>295</v>
      </c>
    </row>
    <row r="155">
      <c r="A155" s="49" t="s">
        <v>454</v>
      </c>
      <c r="B155" s="147" t="s">
        <v>455</v>
      </c>
      <c r="C155" s="67"/>
      <c r="D155" s="65" t="s">
        <v>456</v>
      </c>
      <c r="E155" s="65" t="s">
        <v>457</v>
      </c>
      <c r="F155" s="67"/>
      <c r="G155" s="52"/>
    </row>
    <row r="156">
      <c r="A156" s="49" t="s">
        <v>302</v>
      </c>
      <c r="B156" s="51" t="s">
        <v>458</v>
      </c>
      <c r="C156" s="67"/>
      <c r="D156" s="67"/>
      <c r="E156" s="67"/>
      <c r="F156" s="67"/>
      <c r="G156" s="60" t="s">
        <v>295</v>
      </c>
    </row>
    <row r="157">
      <c r="A157" s="49" t="s">
        <v>459</v>
      </c>
      <c r="B157" s="51" t="s">
        <v>460</v>
      </c>
      <c r="C157" s="67"/>
      <c r="D157" s="67"/>
      <c r="E157" s="67"/>
      <c r="F157" s="67"/>
      <c r="G157" s="60" t="s">
        <v>295</v>
      </c>
    </row>
    <row r="158">
      <c r="A158" s="49" t="s">
        <v>459</v>
      </c>
      <c r="B158" s="51" t="s">
        <v>461</v>
      </c>
      <c r="C158" s="67"/>
      <c r="D158" s="67"/>
      <c r="E158" s="67"/>
      <c r="F158" s="67"/>
      <c r="G158" s="60" t="s">
        <v>295</v>
      </c>
      <c r="H158" s="87" t="s">
        <v>462</v>
      </c>
    </row>
    <row r="159">
      <c r="A159" s="49"/>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4"/>
      <c r="B169" s="68"/>
      <c r="C169" s="67"/>
      <c r="D169" s="67"/>
      <c r="E169" s="67"/>
      <c r="F169" s="67"/>
      <c r="G169" s="52"/>
    </row>
    <row r="170">
      <c r="A170" s="75"/>
      <c r="B170" s="71"/>
      <c r="C170" s="70"/>
      <c r="D170" s="70"/>
      <c r="E170" s="70"/>
      <c r="F170" s="70"/>
      <c r="G170" s="56"/>
    </row>
    <row r="172">
      <c r="A172" s="1" t="s">
        <v>307</v>
      </c>
    </row>
    <row r="173" ht="24.75" customHeight="1">
      <c r="A173" s="88" t="s">
        <v>308</v>
      </c>
      <c r="B173" s="38"/>
      <c r="C173" s="38"/>
      <c r="D173" s="38"/>
      <c r="E173" s="38"/>
    </row>
    <row r="174">
      <c r="A174" s="39" t="s">
        <v>309</v>
      </c>
      <c r="B174" s="39" t="s">
        <v>310</v>
      </c>
      <c r="C174" s="40" t="s">
        <v>326</v>
      </c>
      <c r="D174" s="40" t="s">
        <v>312</v>
      </c>
      <c r="E174" s="40" t="s">
        <v>313</v>
      </c>
      <c r="F174" s="40" t="s">
        <v>463</v>
      </c>
      <c r="G174" s="41" t="s">
        <v>315</v>
      </c>
      <c r="H174" s="41" t="s">
        <v>316</v>
      </c>
    </row>
    <row r="175">
      <c r="A175" s="89" t="s">
        <v>317</v>
      </c>
      <c r="B175" s="42" t="s">
        <v>464</v>
      </c>
      <c r="C175" s="148"/>
      <c r="D175" s="42" t="s">
        <v>221</v>
      </c>
      <c r="E175" s="42" t="s">
        <v>465</v>
      </c>
      <c r="F175" s="94"/>
      <c r="G175" s="60" t="s">
        <v>321</v>
      </c>
      <c r="H175" s="52"/>
    </row>
    <row r="176">
      <c r="A176" s="89" t="s">
        <v>317</v>
      </c>
      <c r="B176" s="46" t="s">
        <v>318</v>
      </c>
      <c r="C176" s="42" t="s">
        <v>319</v>
      </c>
      <c r="D176" s="42" t="s">
        <v>224</v>
      </c>
      <c r="E176" s="42" t="s">
        <v>320</v>
      </c>
      <c r="F176" s="94"/>
      <c r="G176" s="60" t="s">
        <v>321</v>
      </c>
      <c r="H176" s="52"/>
    </row>
    <row r="177">
      <c r="A177" s="49" t="s">
        <v>317</v>
      </c>
      <c r="B177" s="46" t="s">
        <v>322</v>
      </c>
      <c r="C177" s="149" t="s">
        <v>323</v>
      </c>
      <c r="D177" s="42" t="s">
        <v>221</v>
      </c>
      <c r="E177" s="42" t="s">
        <v>324</v>
      </c>
      <c r="F177" s="94"/>
      <c r="G177" s="60" t="s">
        <v>321</v>
      </c>
      <c r="H177" s="52"/>
    </row>
    <row r="178">
      <c r="A178" s="49" t="s">
        <v>317</v>
      </c>
      <c r="B178" s="150" t="s">
        <v>466</v>
      </c>
      <c r="C178" s="149" t="s">
        <v>467</v>
      </c>
      <c r="D178" s="42" t="s">
        <v>224</v>
      </c>
      <c r="E178" s="42" t="s">
        <v>320</v>
      </c>
      <c r="F178" s="94"/>
      <c r="G178" s="60" t="s">
        <v>468</v>
      </c>
      <c r="H178" s="52"/>
    </row>
    <row r="179">
      <c r="A179" s="49"/>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4"/>
      <c r="B182" s="74"/>
      <c r="C182" s="68"/>
      <c r="D182" s="68"/>
      <c r="E182" s="68"/>
      <c r="F182" s="94"/>
      <c r="G182" s="52"/>
      <c r="H182" s="52"/>
    </row>
    <row r="183">
      <c r="A183" s="75"/>
      <c r="B183" s="75"/>
      <c r="C183" s="71"/>
      <c r="D183" s="71"/>
      <c r="E183" s="71"/>
      <c r="F183" s="95"/>
      <c r="G183" s="56"/>
      <c r="H183" s="56"/>
    </row>
    <row r="185">
      <c r="A185" s="96" t="s">
        <v>325</v>
      </c>
    </row>
    <row r="186">
      <c r="A186" s="39" t="s">
        <v>309</v>
      </c>
      <c r="B186" s="39" t="s">
        <v>310</v>
      </c>
      <c r="C186" s="40" t="s">
        <v>326</v>
      </c>
      <c r="D186" s="40" t="s">
        <v>312</v>
      </c>
      <c r="E186" s="40" t="s">
        <v>313</v>
      </c>
      <c r="F186" s="40" t="s">
        <v>327</v>
      </c>
      <c r="G186" s="151" t="s">
        <v>328</v>
      </c>
      <c r="H186" s="41" t="s">
        <v>316</v>
      </c>
    </row>
    <row r="187">
      <c r="A187" s="89"/>
      <c r="B187" s="74"/>
      <c r="C187" s="68"/>
      <c r="D187" s="68"/>
      <c r="E187" s="68"/>
      <c r="F187" s="94"/>
      <c r="G187" s="52"/>
      <c r="H187" s="52"/>
    </row>
    <row r="188">
      <c r="A188" s="89"/>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4"/>
      <c r="B193" s="74"/>
      <c r="C193" s="68"/>
      <c r="D193" s="68"/>
      <c r="E193" s="68"/>
      <c r="F193" s="94"/>
      <c r="G193" s="52"/>
      <c r="H193" s="52"/>
    </row>
    <row r="194">
      <c r="A194" s="75"/>
      <c r="B194" s="75"/>
      <c r="C194" s="71"/>
      <c r="D194" s="71"/>
      <c r="E194" s="71"/>
      <c r="F194" s="95"/>
      <c r="G194" s="56"/>
      <c r="H194" s="56"/>
    </row>
    <row r="196">
      <c r="A196" s="88" t="s">
        <v>329</v>
      </c>
    </row>
    <row r="197">
      <c r="A197" s="98" t="s">
        <v>330</v>
      </c>
    </row>
    <row r="198">
      <c r="A198" s="99"/>
    </row>
    <row r="199">
      <c r="A199" s="100"/>
    </row>
    <row r="200">
      <c r="A200" s="101"/>
    </row>
    <row r="201">
      <c r="A201" s="102"/>
    </row>
    <row r="203">
      <c r="A203" s="103" t="s">
        <v>331</v>
      </c>
    </row>
    <row r="204">
      <c r="A204" s="104"/>
    </row>
    <row r="205">
      <c r="A205" s="99"/>
    </row>
    <row r="206">
      <c r="A206" s="105"/>
    </row>
    <row r="207">
      <c r="A207" s="102"/>
    </row>
    <row r="209">
      <c r="A209" s="103" t="s">
        <v>332</v>
      </c>
    </row>
    <row r="210">
      <c r="A210" s="39" t="s">
        <v>333</v>
      </c>
      <c r="B210" s="41" t="s">
        <v>218</v>
      </c>
    </row>
    <row r="211">
      <c r="A211" s="74"/>
      <c r="B211" s="60"/>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4"/>
      <c r="B225" s="52"/>
    </row>
    <row r="226">
      <c r="A226" s="75"/>
      <c r="B226" s="56"/>
    </row>
  </sheetData>
  <mergeCells count="1">
    <mergeCell ref="C149:E149"/>
  </mergeCells>
  <dataValidations>
    <dataValidation type="list" allowBlank="1" sqref="D151:D170">
      <formula1>Folha_auxiliar!$C$16:$C$21</formula1>
    </dataValidation>
    <dataValidation type="list" allowBlank="1" sqref="A175:A183 A187:A194">
      <formula1>Folha_auxiliar!$D$20:$D$21</formula1>
    </dataValidation>
    <dataValidation type="list" allowBlank="1" sqref="C38:C46 D50:D54 D99:D114 D118:D123 B211:B226">
      <formula1>Folha_auxiliar!$B$18:$B$19</formula1>
    </dataValidation>
    <dataValidation type="list" allowBlank="1" sqref="G175:G183 G187:G194">
      <formula1>Folha_auxiliar!$D$8:$D$12</formula1>
    </dataValidation>
    <dataValidation type="list" allowBlank="1" sqref="B50:B54">
      <formula1>Folha_auxiliar!$D$15:$D$17</formula1>
    </dataValidation>
    <dataValidation type="list" allowBlank="1" sqref="D175:D183 D187:D194">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7:A135">
      <formula1>Folha_auxiliar!$B$24:$B$28</formula1>
    </dataValidation>
    <dataValidation type="list" allowBlank="1" sqref="A58:A87">
      <formula1>Folha_auxiliar!$A$6:$A$12</formula1>
    </dataValidation>
    <dataValidation type="list" allowBlank="1" sqref="A151:A170">
      <formula1>Folha_auxiliar!$C$2:$C$9</formula1>
    </dataValidation>
    <dataValidation type="list" allowBlank="1" sqref="B91:B94">
      <formula1>Folha_auxiliar!$A$28:$A$32</formula1>
    </dataValidation>
    <dataValidation type="list" allowBlank="1" sqref="A139:A147">
      <formula1>Folha_auxiliar!$B$31:$B$34</formula1>
    </dataValidation>
    <dataValidation type="list" allowBlank="1" sqref="E151:E170">
      <formula1>Folha_auxiliar!$C$24:$C$31</formula1>
    </dataValidation>
    <dataValidation type="list" allowBlank="1" sqref="G151:G170">
      <formula1>Folha_auxiliar!$C$12:$C$13</formula1>
    </dataValidation>
    <dataValidation type="list" allowBlank="1" sqref="F151:F170">
      <formula1>Folha_auxiliar!$C$34:$C$41</formula1>
    </dataValidation>
    <dataValidation type="list" allowBlank="1" sqref="B118:B123">
      <formula1>Folha_auxiliar!$B$11:$B$15</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29"/>
    <col customWidth="1" min="2" max="2" width="32.14"/>
    <col customWidth="1" min="3" max="5" width="32.86"/>
    <col customWidth="1" min="6" max="6" width="42.43"/>
    <col customWidth="1" min="8" max="8" width="42.71"/>
  </cols>
  <sheetData>
    <row r="1">
      <c r="A1" s="1" t="s">
        <v>170</v>
      </c>
    </row>
    <row r="2">
      <c r="A2" s="37" t="s">
        <v>171</v>
      </c>
      <c r="B2" s="38"/>
      <c r="C2" s="38"/>
      <c r="D2" s="38"/>
      <c r="E2" s="38"/>
    </row>
    <row r="3">
      <c r="A3" s="39" t="s">
        <v>172</v>
      </c>
      <c r="B3" s="40" t="s">
        <v>173</v>
      </c>
      <c r="C3" s="40" t="s">
        <v>174</v>
      </c>
      <c r="D3" s="40" t="s">
        <v>175</v>
      </c>
      <c r="E3" s="41" t="s">
        <v>176</v>
      </c>
    </row>
    <row r="4">
      <c r="A4" s="133" t="s">
        <v>358</v>
      </c>
      <c r="B4" s="134" t="s">
        <v>359</v>
      </c>
      <c r="C4" s="134">
        <v>1.0</v>
      </c>
      <c r="D4" s="135">
        <v>4.011</v>
      </c>
      <c r="E4" s="60" t="s">
        <v>211</v>
      </c>
    </row>
    <row r="5">
      <c r="A5" s="133" t="s">
        <v>360</v>
      </c>
      <c r="B5" s="136" t="s">
        <v>361</v>
      </c>
      <c r="C5" s="134">
        <v>2.0</v>
      </c>
      <c r="D5" s="135">
        <v>2.0</v>
      </c>
      <c r="E5" s="60" t="s">
        <v>185</v>
      </c>
    </row>
    <row r="6">
      <c r="A6" s="137" t="s">
        <v>362</v>
      </c>
      <c r="B6" s="136" t="s">
        <v>199</v>
      </c>
      <c r="C6" s="134">
        <v>1.0</v>
      </c>
      <c r="D6" s="135">
        <v>3.055</v>
      </c>
      <c r="E6" s="138" t="s">
        <v>185</v>
      </c>
    </row>
    <row r="7">
      <c r="A7" s="137" t="s">
        <v>363</v>
      </c>
      <c r="B7" s="136" t="s">
        <v>364</v>
      </c>
      <c r="C7" s="134">
        <v>1.0</v>
      </c>
      <c r="D7" s="135">
        <v>3.017</v>
      </c>
      <c r="E7" s="138" t="s">
        <v>185</v>
      </c>
    </row>
    <row r="8">
      <c r="A8" s="137" t="s">
        <v>365</v>
      </c>
      <c r="B8" s="136" t="s">
        <v>366</v>
      </c>
      <c r="C8" s="134">
        <v>1.0</v>
      </c>
      <c r="D8" s="135">
        <v>2.811</v>
      </c>
      <c r="E8" s="138" t="s">
        <v>185</v>
      </c>
    </row>
    <row r="9">
      <c r="A9" s="137" t="s">
        <v>367</v>
      </c>
      <c r="B9" s="136" t="s">
        <v>368</v>
      </c>
      <c r="C9" s="134">
        <v>2.0</v>
      </c>
      <c r="D9" s="135">
        <v>2.376</v>
      </c>
      <c r="E9" s="138" t="s">
        <v>211</v>
      </c>
    </row>
    <row r="10">
      <c r="A10" s="137" t="s">
        <v>369</v>
      </c>
      <c r="B10" s="136" t="s">
        <v>364</v>
      </c>
      <c r="C10" s="134">
        <v>1.0</v>
      </c>
      <c r="D10" s="135">
        <v>3.017</v>
      </c>
      <c r="E10" s="138" t="s">
        <v>185</v>
      </c>
    </row>
    <row r="11">
      <c r="A11" s="137" t="s">
        <v>370</v>
      </c>
      <c r="B11" s="136" t="s">
        <v>371</v>
      </c>
      <c r="C11" s="134">
        <v>1.0</v>
      </c>
      <c r="D11" s="135">
        <v>3.14</v>
      </c>
      <c r="E11" s="138" t="s">
        <v>185</v>
      </c>
    </row>
    <row r="12">
      <c r="A12" s="133" t="s">
        <v>372</v>
      </c>
      <c r="B12" s="136" t="s">
        <v>373</v>
      </c>
      <c r="C12" s="134">
        <v>2.0</v>
      </c>
      <c r="D12" s="135">
        <v>1.718</v>
      </c>
      <c r="E12" s="138" t="s">
        <v>211</v>
      </c>
    </row>
    <row r="13">
      <c r="A13" s="49" t="s">
        <v>374</v>
      </c>
      <c r="B13" s="50" t="s">
        <v>375</v>
      </c>
      <c r="C13" s="50">
        <v>2.0</v>
      </c>
      <c r="D13" s="139">
        <v>2.488</v>
      </c>
      <c r="E13" s="138" t="s">
        <v>376</v>
      </c>
    </row>
    <row r="14">
      <c r="A14" s="49" t="s">
        <v>377</v>
      </c>
      <c r="B14" s="50" t="s">
        <v>378</v>
      </c>
      <c r="C14" s="50">
        <v>1.0</v>
      </c>
      <c r="D14" s="139">
        <v>2.738</v>
      </c>
      <c r="E14" s="138" t="s">
        <v>346</v>
      </c>
    </row>
    <row r="15">
      <c r="A15" s="49" t="s">
        <v>379</v>
      </c>
      <c r="B15" s="50" t="s">
        <v>199</v>
      </c>
      <c r="C15" s="50">
        <v>1.0</v>
      </c>
      <c r="D15" s="139">
        <v>3.055</v>
      </c>
      <c r="E15" s="138" t="s">
        <v>185</v>
      </c>
    </row>
    <row r="16">
      <c r="A16" s="49" t="s">
        <v>380</v>
      </c>
      <c r="B16" s="50" t="s">
        <v>199</v>
      </c>
      <c r="C16" s="50">
        <v>1.0</v>
      </c>
      <c r="D16" s="139">
        <v>3.055</v>
      </c>
      <c r="E16" s="138" t="s">
        <v>185</v>
      </c>
    </row>
    <row r="17">
      <c r="A17" s="49" t="s">
        <v>381</v>
      </c>
      <c r="B17" s="50" t="s">
        <v>178</v>
      </c>
      <c r="C17" s="50">
        <v>2.0</v>
      </c>
      <c r="D17" s="139">
        <v>2.576</v>
      </c>
      <c r="E17" s="138" t="s">
        <v>179</v>
      </c>
    </row>
    <row r="18">
      <c r="A18" s="49" t="s">
        <v>382</v>
      </c>
      <c r="B18" s="50" t="s">
        <v>383</v>
      </c>
      <c r="C18" s="50">
        <v>1.0</v>
      </c>
      <c r="D18" s="139">
        <v>3.631</v>
      </c>
      <c r="E18" s="138" t="s">
        <v>185</v>
      </c>
    </row>
    <row r="19">
      <c r="A19" s="49" t="s">
        <v>384</v>
      </c>
      <c r="B19" s="50" t="s">
        <v>181</v>
      </c>
      <c r="C19" s="50">
        <v>3.0</v>
      </c>
      <c r="D19" s="139">
        <v>2.585</v>
      </c>
      <c r="E19" s="138" t="s">
        <v>182</v>
      </c>
    </row>
    <row r="20">
      <c r="A20" s="49" t="s">
        <v>385</v>
      </c>
      <c r="B20" s="140" t="s">
        <v>386</v>
      </c>
      <c r="C20" s="50">
        <v>4.0</v>
      </c>
      <c r="D20" s="50" t="s">
        <v>387</v>
      </c>
      <c r="E20" s="60" t="s">
        <v>211</v>
      </c>
    </row>
    <row r="21">
      <c r="A21" s="49" t="s">
        <v>388</v>
      </c>
      <c r="B21" s="50" t="s">
        <v>389</v>
      </c>
      <c r="C21" s="50">
        <v>1.0</v>
      </c>
      <c r="D21" s="50" t="s">
        <v>390</v>
      </c>
      <c r="E21" s="60" t="s">
        <v>211</v>
      </c>
    </row>
    <row r="22">
      <c r="A22" s="49" t="s">
        <v>391</v>
      </c>
      <c r="B22" s="50" t="s">
        <v>392</v>
      </c>
      <c r="C22" s="50">
        <v>1.0</v>
      </c>
      <c r="D22" s="50" t="s">
        <v>393</v>
      </c>
      <c r="E22" s="60" t="s">
        <v>211</v>
      </c>
    </row>
    <row r="23">
      <c r="A23" s="87" t="s">
        <v>394</v>
      </c>
      <c r="B23" s="136" t="s">
        <v>199</v>
      </c>
      <c r="C23" s="50">
        <v>1.0</v>
      </c>
      <c r="D23" s="135">
        <v>3.055</v>
      </c>
      <c r="E23" s="60" t="s">
        <v>185</v>
      </c>
    </row>
    <row r="24">
      <c r="A24" s="49"/>
      <c r="B24" s="50"/>
      <c r="C24" s="50"/>
      <c r="D24" s="50"/>
      <c r="E24" s="52"/>
    </row>
    <row r="25">
      <c r="A25" s="49"/>
      <c r="B25" s="50"/>
      <c r="C25" s="50"/>
      <c r="D25" s="50"/>
      <c r="E25" s="52"/>
    </row>
    <row r="26">
      <c r="A26" s="49"/>
      <c r="B26" s="50"/>
      <c r="C26" s="50"/>
      <c r="D26" s="50"/>
      <c r="E26" s="52"/>
    </row>
    <row r="27">
      <c r="A27" s="49"/>
      <c r="B27" s="50"/>
      <c r="C27" s="50"/>
      <c r="D27" s="50"/>
      <c r="E27" s="52"/>
    </row>
    <row r="28">
      <c r="A28" s="49"/>
      <c r="B28" s="50"/>
      <c r="C28" s="50"/>
      <c r="D28" s="50"/>
      <c r="E28" s="52"/>
    </row>
    <row r="29">
      <c r="A29" s="49"/>
      <c r="B29" s="50"/>
      <c r="C29" s="50"/>
      <c r="D29" s="50"/>
      <c r="E29" s="52"/>
    </row>
    <row r="30">
      <c r="A30" s="49"/>
      <c r="B30" s="50"/>
      <c r="C30" s="50"/>
      <c r="D30" s="50"/>
      <c r="E30" s="52"/>
    </row>
    <row r="31">
      <c r="A31" s="49"/>
      <c r="B31" s="50"/>
      <c r="C31" s="50"/>
      <c r="D31" s="50"/>
      <c r="E31" s="52"/>
    </row>
    <row r="32">
      <c r="A32" s="49"/>
      <c r="B32" s="50"/>
      <c r="C32" s="50"/>
      <c r="D32" s="50"/>
      <c r="E32" s="52"/>
    </row>
    <row r="33">
      <c r="A33" s="49"/>
      <c r="B33" s="50"/>
      <c r="C33" s="50"/>
      <c r="D33" s="50"/>
      <c r="E33" s="52"/>
    </row>
    <row r="34">
      <c r="A34" s="49"/>
      <c r="B34" s="50"/>
      <c r="C34" s="50"/>
      <c r="D34" s="152"/>
      <c r="E34" s="52"/>
    </row>
    <row r="35">
      <c r="A35" s="54"/>
      <c r="B35" s="153"/>
      <c r="C35" s="153"/>
      <c r="D35" s="153"/>
      <c r="E35" s="56"/>
    </row>
    <row r="36">
      <c r="A36" s="28"/>
      <c r="B36" s="28"/>
    </row>
    <row r="37">
      <c r="A37" s="37" t="s">
        <v>216</v>
      </c>
      <c r="B37" s="28"/>
    </row>
    <row r="38">
      <c r="A38" s="39" t="s">
        <v>172</v>
      </c>
      <c r="B38" s="57" t="s">
        <v>217</v>
      </c>
      <c r="C38" s="58" t="s">
        <v>218</v>
      </c>
    </row>
    <row r="39">
      <c r="A39" s="49" t="s">
        <v>469</v>
      </c>
      <c r="B39" s="143" t="s">
        <v>470</v>
      </c>
      <c r="C39" s="60" t="s">
        <v>221</v>
      </c>
    </row>
    <row r="40">
      <c r="A40" s="49" t="s">
        <v>471</v>
      </c>
      <c r="B40" s="143" t="s">
        <v>470</v>
      </c>
      <c r="C40" s="60" t="s">
        <v>221</v>
      </c>
    </row>
    <row r="41">
      <c r="A41" s="49" t="s">
        <v>472</v>
      </c>
      <c r="B41" s="143" t="s">
        <v>470</v>
      </c>
      <c r="C41" s="60" t="s">
        <v>221</v>
      </c>
    </row>
    <row r="42">
      <c r="A42" s="154"/>
      <c r="B42" s="59"/>
      <c r="C42" s="60"/>
    </row>
    <row r="43">
      <c r="A43" s="154"/>
      <c r="B43" s="59"/>
      <c r="C43" s="60"/>
    </row>
    <row r="44">
      <c r="A44" s="154"/>
      <c r="B44" s="59"/>
      <c r="C44" s="60"/>
    </row>
    <row r="45">
      <c r="A45" s="154"/>
      <c r="B45" s="59"/>
      <c r="C45" s="60"/>
    </row>
    <row r="46">
      <c r="A46" s="154"/>
      <c r="B46" s="59"/>
      <c r="C46" s="60"/>
    </row>
    <row r="47">
      <c r="A47" s="155"/>
      <c r="B47" s="61"/>
      <c r="C47" s="62"/>
    </row>
    <row r="48">
      <c r="A48" s="28"/>
      <c r="B48" s="28"/>
    </row>
    <row r="49">
      <c r="A49" s="37" t="s">
        <v>233</v>
      </c>
      <c r="B49" s="28"/>
    </row>
    <row r="50">
      <c r="A50" s="63" t="s">
        <v>172</v>
      </c>
      <c r="B50" s="64" t="s">
        <v>234</v>
      </c>
      <c r="C50" s="40" t="s">
        <v>217</v>
      </c>
      <c r="D50" s="58" t="s">
        <v>218</v>
      </c>
    </row>
    <row r="51">
      <c r="A51" s="156" t="s">
        <v>473</v>
      </c>
      <c r="B51" s="157" t="s">
        <v>236</v>
      </c>
      <c r="C51" s="146" t="s">
        <v>470</v>
      </c>
      <c r="D51" s="60" t="s">
        <v>221</v>
      </c>
    </row>
    <row r="52">
      <c r="A52" s="66"/>
      <c r="B52" s="67"/>
      <c r="C52" s="68"/>
      <c r="D52" s="60"/>
    </row>
    <row r="53">
      <c r="A53" s="66"/>
      <c r="B53" s="67"/>
      <c r="C53" s="68"/>
      <c r="D53" s="60"/>
    </row>
    <row r="54">
      <c r="A54" s="66"/>
      <c r="B54" s="67"/>
      <c r="C54" s="68"/>
      <c r="D54" s="60"/>
    </row>
    <row r="55">
      <c r="A55" s="69"/>
      <c r="B55" s="70"/>
      <c r="C55" s="71"/>
      <c r="D55" s="62"/>
    </row>
    <row r="56">
      <c r="A56" s="28"/>
      <c r="B56" s="28"/>
    </row>
    <row r="57">
      <c r="A57" s="37" t="s">
        <v>238</v>
      </c>
    </row>
    <row r="58">
      <c r="A58" s="72" t="s">
        <v>239</v>
      </c>
      <c r="B58" s="41" t="s">
        <v>172</v>
      </c>
    </row>
    <row r="59">
      <c r="A59" s="49" t="s">
        <v>240</v>
      </c>
      <c r="B59" s="138" t="s">
        <v>474</v>
      </c>
    </row>
    <row r="60">
      <c r="A60" s="49" t="s">
        <v>240</v>
      </c>
      <c r="B60" s="138" t="s">
        <v>475</v>
      </c>
    </row>
    <row r="61">
      <c r="A61" s="49" t="s">
        <v>250</v>
      </c>
      <c r="B61" s="138" t="s">
        <v>476</v>
      </c>
    </row>
    <row r="62">
      <c r="A62" s="49" t="s">
        <v>250</v>
      </c>
      <c r="B62" s="138" t="s">
        <v>477</v>
      </c>
    </row>
    <row r="63">
      <c r="A63" s="49" t="s">
        <v>250</v>
      </c>
      <c r="B63" s="138" t="s">
        <v>478</v>
      </c>
    </row>
    <row r="64">
      <c r="A64" s="49" t="s">
        <v>240</v>
      </c>
      <c r="B64" s="138" t="s">
        <v>479</v>
      </c>
    </row>
    <row r="65">
      <c r="A65" s="49"/>
      <c r="B65" s="60"/>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49"/>
      <c r="B86" s="52"/>
    </row>
    <row r="87">
      <c r="A87" s="74"/>
      <c r="B87" s="52"/>
    </row>
    <row r="88">
      <c r="A88" s="75"/>
      <c r="B88" s="56"/>
    </row>
    <row r="90">
      <c r="A90" s="37" t="s">
        <v>252</v>
      </c>
    </row>
    <row r="91">
      <c r="A91" s="39" t="s">
        <v>253</v>
      </c>
      <c r="B91" s="41" t="s">
        <v>254</v>
      </c>
    </row>
    <row r="92">
      <c r="A92" s="74"/>
      <c r="B92" s="52"/>
    </row>
    <row r="93">
      <c r="A93" s="74"/>
      <c r="B93" s="52"/>
    </row>
    <row r="94">
      <c r="A94" s="74"/>
      <c r="B94" s="52"/>
    </row>
    <row r="95">
      <c r="A95" s="75"/>
      <c r="B95" s="56"/>
    </row>
    <row r="97">
      <c r="A97" s="1" t="s">
        <v>255</v>
      </c>
    </row>
    <row r="98">
      <c r="A98" s="37" t="s">
        <v>256</v>
      </c>
      <c r="B98" s="38"/>
      <c r="C98" s="38"/>
    </row>
    <row r="99">
      <c r="A99" s="39" t="s">
        <v>172</v>
      </c>
      <c r="B99" s="40" t="s">
        <v>257</v>
      </c>
      <c r="C99" s="40" t="s">
        <v>258</v>
      </c>
      <c r="D99" s="41" t="s">
        <v>218</v>
      </c>
    </row>
    <row r="100">
      <c r="A100" s="51" t="s">
        <v>476</v>
      </c>
      <c r="B100" s="51" t="s">
        <v>480</v>
      </c>
      <c r="C100" s="51" t="s">
        <v>430</v>
      </c>
      <c r="D100" s="60" t="s">
        <v>221</v>
      </c>
    </row>
    <row r="101">
      <c r="A101" s="158" t="s">
        <v>477</v>
      </c>
      <c r="B101" s="146" t="s">
        <v>481</v>
      </c>
      <c r="C101" s="51" t="s">
        <v>482</v>
      </c>
      <c r="D101" s="60" t="s">
        <v>221</v>
      </c>
    </row>
    <row r="102">
      <c r="A102" s="158" t="s">
        <v>478</v>
      </c>
      <c r="B102" s="51" t="s">
        <v>483</v>
      </c>
      <c r="C102" s="51" t="s">
        <v>430</v>
      </c>
      <c r="D102" s="60" t="s">
        <v>221</v>
      </c>
    </row>
    <row r="103">
      <c r="A103" s="159" t="s">
        <v>484</v>
      </c>
      <c r="B103" s="160" t="s">
        <v>485</v>
      </c>
      <c r="C103" s="51" t="s">
        <v>430</v>
      </c>
      <c r="D103" s="60" t="s">
        <v>221</v>
      </c>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4"/>
      <c r="B114" s="68"/>
      <c r="C114" s="68"/>
      <c r="D114" s="52"/>
    </row>
    <row r="115">
      <c r="A115" s="75"/>
      <c r="B115" s="71"/>
      <c r="C115" s="71"/>
      <c r="D115" s="56"/>
    </row>
    <row r="117">
      <c r="A117" s="37" t="s">
        <v>269</v>
      </c>
      <c r="B117" s="38"/>
    </row>
    <row r="118">
      <c r="A118" s="39" t="s">
        <v>270</v>
      </c>
      <c r="B118" s="40" t="s">
        <v>271</v>
      </c>
      <c r="C118" s="40" t="s">
        <v>272</v>
      </c>
      <c r="D118" s="41" t="s">
        <v>218</v>
      </c>
    </row>
    <row r="119">
      <c r="A119" s="49" t="s">
        <v>486</v>
      </c>
      <c r="B119" s="51" t="s">
        <v>273</v>
      </c>
      <c r="C119" s="51">
        <v>24.0</v>
      </c>
      <c r="D119" s="60" t="s">
        <v>221</v>
      </c>
    </row>
    <row r="120">
      <c r="A120" s="49" t="s">
        <v>487</v>
      </c>
      <c r="B120" s="51" t="s">
        <v>273</v>
      </c>
      <c r="C120" s="51">
        <v>24.0</v>
      </c>
      <c r="D120" s="60" t="s">
        <v>221</v>
      </c>
    </row>
    <row r="121">
      <c r="A121" s="49" t="s">
        <v>432</v>
      </c>
      <c r="B121" s="51" t="s">
        <v>273</v>
      </c>
      <c r="C121" s="51">
        <v>36.0</v>
      </c>
      <c r="D121" s="60" t="s">
        <v>221</v>
      </c>
    </row>
    <row r="122">
      <c r="A122" s="49" t="s">
        <v>435</v>
      </c>
      <c r="B122" s="51" t="s">
        <v>276</v>
      </c>
      <c r="C122" s="51">
        <v>1.0</v>
      </c>
      <c r="D122" s="60" t="s">
        <v>224</v>
      </c>
    </row>
    <row r="123">
      <c r="A123" s="49" t="s">
        <v>433</v>
      </c>
      <c r="B123" s="51" t="s">
        <v>276</v>
      </c>
      <c r="C123" s="51">
        <v>2.0</v>
      </c>
      <c r="D123" s="60" t="s">
        <v>224</v>
      </c>
    </row>
    <row r="124">
      <c r="A124" s="54" t="s">
        <v>434</v>
      </c>
      <c r="B124" s="55" t="s">
        <v>276</v>
      </c>
      <c r="C124" s="55">
        <v>2.0</v>
      </c>
      <c r="D124" s="62" t="s">
        <v>221</v>
      </c>
    </row>
    <row r="126">
      <c r="A126" s="37" t="s">
        <v>277</v>
      </c>
    </row>
    <row r="127">
      <c r="A127" s="72" t="s">
        <v>278</v>
      </c>
      <c r="B127" s="40" t="s">
        <v>279</v>
      </c>
      <c r="C127" s="41" t="s">
        <v>280</v>
      </c>
    </row>
    <row r="128">
      <c r="A128" s="158" t="s">
        <v>440</v>
      </c>
      <c r="B128" s="146" t="s">
        <v>201</v>
      </c>
      <c r="C128" s="138" t="s">
        <v>488</v>
      </c>
    </row>
    <row r="129">
      <c r="A129" s="49" t="s">
        <v>489</v>
      </c>
      <c r="B129" s="51" t="s">
        <v>490</v>
      </c>
      <c r="C129" s="60" t="s">
        <v>491</v>
      </c>
    </row>
    <row r="130">
      <c r="A130" s="49" t="s">
        <v>489</v>
      </c>
      <c r="B130" s="51" t="s">
        <v>492</v>
      </c>
      <c r="C130" s="60" t="s">
        <v>491</v>
      </c>
    </row>
    <row r="131">
      <c r="A131" s="74"/>
      <c r="B131" s="68"/>
      <c r="C131" s="52"/>
    </row>
    <row r="132">
      <c r="A132" s="74"/>
      <c r="B132" s="68"/>
      <c r="C132" s="52"/>
    </row>
    <row r="133">
      <c r="A133" s="74"/>
      <c r="B133" s="68"/>
      <c r="C133" s="52"/>
    </row>
    <row r="134">
      <c r="A134" s="74"/>
      <c r="B134" s="68"/>
      <c r="C134" s="52"/>
    </row>
    <row r="135">
      <c r="A135" s="74"/>
      <c r="B135" s="68"/>
      <c r="C135" s="52"/>
    </row>
    <row r="136">
      <c r="A136" s="75"/>
      <c r="B136" s="71"/>
      <c r="C136" s="56"/>
    </row>
    <row r="138">
      <c r="A138" s="37" t="s">
        <v>281</v>
      </c>
    </row>
    <row r="139">
      <c r="A139" s="72" t="s">
        <v>278</v>
      </c>
      <c r="B139" s="41" t="s">
        <v>282</v>
      </c>
    </row>
    <row r="140">
      <c r="A140" s="74"/>
      <c r="B140" s="52"/>
    </row>
    <row r="141">
      <c r="A141" s="74"/>
      <c r="B141" s="52"/>
    </row>
    <row r="142">
      <c r="A142" s="74"/>
      <c r="B142" s="52"/>
    </row>
    <row r="143">
      <c r="A143" s="74"/>
      <c r="B143" s="52"/>
    </row>
    <row r="144">
      <c r="A144" s="74"/>
      <c r="B144" s="52"/>
    </row>
    <row r="145">
      <c r="A145" s="74"/>
      <c r="B145" s="52"/>
    </row>
    <row r="146">
      <c r="A146" s="74"/>
      <c r="B146" s="52"/>
    </row>
    <row r="147">
      <c r="A147" s="74"/>
      <c r="B147" s="52"/>
    </row>
    <row r="148">
      <c r="A148" s="75"/>
      <c r="B148" s="56"/>
    </row>
    <row r="150">
      <c r="A150" s="1" t="s">
        <v>283</v>
      </c>
      <c r="C150" s="78" t="s">
        <v>284</v>
      </c>
      <c r="D150" s="79"/>
      <c r="E150" s="80"/>
    </row>
    <row r="151">
      <c r="A151" s="81" t="s">
        <v>285</v>
      </c>
      <c r="B151" s="82" t="s">
        <v>286</v>
      </c>
      <c r="C151" s="83" t="s">
        <v>287</v>
      </c>
      <c r="D151" s="84" t="s">
        <v>288</v>
      </c>
      <c r="E151" s="84" t="s">
        <v>289</v>
      </c>
      <c r="F151" s="85" t="s">
        <v>290</v>
      </c>
      <c r="G151" s="86" t="s">
        <v>291</v>
      </c>
    </row>
    <row r="152">
      <c r="A152" s="49" t="s">
        <v>302</v>
      </c>
      <c r="B152" s="161" t="s">
        <v>493</v>
      </c>
      <c r="C152" s="87"/>
      <c r="D152" s="65"/>
      <c r="E152" s="65"/>
      <c r="F152" s="67"/>
      <c r="G152" s="52"/>
    </row>
    <row r="153">
      <c r="A153" s="49" t="s">
        <v>302</v>
      </c>
      <c r="B153" s="68"/>
      <c r="D153" s="67"/>
      <c r="E153" s="67"/>
      <c r="F153" s="67"/>
      <c r="G153" s="52"/>
    </row>
    <row r="154">
      <c r="A154" s="49" t="s">
        <v>302</v>
      </c>
      <c r="B154" s="51" t="s">
        <v>494</v>
      </c>
      <c r="C154" s="87" t="s">
        <v>495</v>
      </c>
      <c r="D154" s="67"/>
      <c r="E154" s="65" t="s">
        <v>457</v>
      </c>
      <c r="F154" s="67"/>
      <c r="G154" s="60" t="s">
        <v>295</v>
      </c>
      <c r="H154" s="87" t="s">
        <v>496</v>
      </c>
    </row>
    <row r="155">
      <c r="A155" s="49" t="s">
        <v>302</v>
      </c>
      <c r="B155" s="51" t="s">
        <v>460</v>
      </c>
      <c r="C155" s="67"/>
      <c r="D155" s="67"/>
      <c r="E155" s="67"/>
      <c r="F155" s="67"/>
      <c r="G155" s="60" t="s">
        <v>295</v>
      </c>
    </row>
    <row r="156">
      <c r="A156" s="49" t="s">
        <v>302</v>
      </c>
      <c r="B156" s="51" t="s">
        <v>303</v>
      </c>
      <c r="C156" s="67"/>
      <c r="D156" s="67"/>
      <c r="E156" s="67"/>
      <c r="F156" s="67"/>
      <c r="G156" s="60" t="s">
        <v>295</v>
      </c>
      <c r="H156" s="87" t="s">
        <v>497</v>
      </c>
    </row>
    <row r="157">
      <c r="A157" s="49" t="s">
        <v>459</v>
      </c>
      <c r="B157" s="51" t="s">
        <v>498</v>
      </c>
      <c r="C157" s="67"/>
      <c r="D157" s="67"/>
      <c r="E157" s="67"/>
      <c r="F157" s="67"/>
      <c r="G157" s="60" t="s">
        <v>295</v>
      </c>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4"/>
      <c r="B169" s="68"/>
      <c r="C169" s="67"/>
      <c r="D169" s="67"/>
      <c r="E169" s="67"/>
      <c r="F169" s="67"/>
      <c r="G169" s="52"/>
    </row>
    <row r="170">
      <c r="A170" s="74"/>
      <c r="B170" s="68"/>
      <c r="C170" s="67"/>
      <c r="D170" s="67"/>
      <c r="E170" s="67"/>
      <c r="F170" s="67"/>
      <c r="G170" s="52"/>
    </row>
    <row r="171">
      <c r="A171" s="75"/>
      <c r="B171" s="71"/>
      <c r="C171" s="70"/>
      <c r="D171" s="70"/>
      <c r="E171" s="70"/>
      <c r="F171" s="70"/>
      <c r="G171" s="56"/>
    </row>
    <row r="173">
      <c r="A173" s="1" t="s">
        <v>307</v>
      </c>
    </row>
    <row r="174" ht="24.75" customHeight="1">
      <c r="A174" s="88" t="s">
        <v>308</v>
      </c>
      <c r="B174" s="38"/>
      <c r="C174" s="38"/>
      <c r="D174" s="38"/>
      <c r="E174" s="38"/>
    </row>
    <row r="175">
      <c r="A175" s="39" t="s">
        <v>309</v>
      </c>
      <c r="B175" s="39" t="s">
        <v>310</v>
      </c>
      <c r="C175" s="40" t="s">
        <v>326</v>
      </c>
      <c r="D175" s="40" t="s">
        <v>312</v>
      </c>
      <c r="E175" s="40" t="s">
        <v>313</v>
      </c>
      <c r="F175" s="40" t="s">
        <v>463</v>
      </c>
      <c r="G175" s="41" t="s">
        <v>315</v>
      </c>
      <c r="H175" s="41" t="s">
        <v>316</v>
      </c>
    </row>
    <row r="176">
      <c r="A176" s="89" t="s">
        <v>317</v>
      </c>
      <c r="B176" s="158" t="s">
        <v>499</v>
      </c>
      <c r="C176" s="146" t="s">
        <v>500</v>
      </c>
      <c r="D176" s="146" t="s">
        <v>224</v>
      </c>
      <c r="E176" s="146" t="s">
        <v>501</v>
      </c>
      <c r="F176" s="162">
        <v>239937.61</v>
      </c>
      <c r="G176" s="138" t="s">
        <v>502</v>
      </c>
      <c r="H176" s="52"/>
    </row>
    <row r="177">
      <c r="A177" s="89"/>
      <c r="B177" s="74"/>
      <c r="C177" s="68"/>
      <c r="D177" s="68"/>
      <c r="E177" s="68"/>
      <c r="F177" s="94"/>
      <c r="G177" s="52"/>
      <c r="H177" s="52"/>
    </row>
    <row r="178">
      <c r="A178" s="49"/>
      <c r="B178" s="74"/>
      <c r="C178" s="68"/>
      <c r="D178" s="68"/>
      <c r="E178" s="68"/>
      <c r="F178" s="94"/>
      <c r="G178" s="52"/>
      <c r="H178" s="52"/>
    </row>
    <row r="179">
      <c r="A179" s="49"/>
      <c r="B179" s="74"/>
      <c r="C179" s="68"/>
      <c r="D179" s="68"/>
      <c r="E179" s="68"/>
      <c r="F179" s="94"/>
      <c r="G179" s="52"/>
      <c r="H179" s="52"/>
    </row>
    <row r="180">
      <c r="A180" s="49"/>
      <c r="B180" s="74"/>
      <c r="C180" s="68"/>
      <c r="D180" s="68"/>
      <c r="E180" s="68"/>
      <c r="F180" s="94"/>
      <c r="G180" s="52"/>
      <c r="H180" s="52"/>
    </row>
    <row r="181">
      <c r="A181" s="74"/>
      <c r="B181" s="74"/>
      <c r="C181" s="68"/>
      <c r="D181" s="68"/>
      <c r="E181" s="68"/>
      <c r="F181" s="94"/>
      <c r="G181" s="52"/>
      <c r="H181" s="52"/>
    </row>
    <row r="182">
      <c r="A182" s="74"/>
      <c r="B182" s="74"/>
      <c r="C182" s="68"/>
      <c r="D182" s="68"/>
      <c r="E182" s="68"/>
      <c r="F182" s="94"/>
      <c r="G182" s="52"/>
      <c r="H182" s="52"/>
    </row>
    <row r="183">
      <c r="A183" s="74"/>
      <c r="B183" s="74"/>
      <c r="C183" s="68"/>
      <c r="D183" s="68"/>
      <c r="E183" s="68"/>
      <c r="F183" s="94"/>
      <c r="G183" s="52"/>
      <c r="H183" s="52"/>
    </row>
    <row r="184">
      <c r="A184" s="75"/>
      <c r="B184" s="75"/>
      <c r="C184" s="71"/>
      <c r="D184" s="71"/>
      <c r="E184" s="71"/>
      <c r="F184" s="95"/>
      <c r="G184" s="56"/>
      <c r="H184" s="56"/>
    </row>
    <row r="186">
      <c r="A186" s="96" t="s">
        <v>325</v>
      </c>
    </row>
    <row r="187">
      <c r="A187" s="39" t="s">
        <v>309</v>
      </c>
      <c r="B187" s="39" t="s">
        <v>310</v>
      </c>
      <c r="C187" s="40" t="s">
        <v>326</v>
      </c>
      <c r="D187" s="40" t="s">
        <v>312</v>
      </c>
      <c r="E187" s="40" t="s">
        <v>313</v>
      </c>
      <c r="F187" s="40" t="s">
        <v>463</v>
      </c>
      <c r="G187" s="151" t="s">
        <v>328</v>
      </c>
      <c r="H187" s="41" t="s">
        <v>316</v>
      </c>
    </row>
    <row r="188">
      <c r="A188" s="89"/>
      <c r="B188" s="158" t="s">
        <v>503</v>
      </c>
      <c r="C188" s="68"/>
      <c r="D188" s="146" t="s">
        <v>224</v>
      </c>
      <c r="E188" s="146" t="s">
        <v>504</v>
      </c>
      <c r="F188" s="94"/>
      <c r="G188" s="138" t="s">
        <v>468</v>
      </c>
      <c r="H188" s="60">
        <v>1.0</v>
      </c>
    </row>
    <row r="189">
      <c r="A189" s="89"/>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4"/>
      <c r="B193" s="74"/>
      <c r="C193" s="68"/>
      <c r="D193" s="68"/>
      <c r="E193" s="68"/>
      <c r="F193" s="94"/>
      <c r="G193" s="52"/>
      <c r="H193" s="52"/>
    </row>
    <row r="194">
      <c r="A194" s="74"/>
      <c r="B194" s="74"/>
      <c r="C194" s="68"/>
      <c r="D194" s="68"/>
      <c r="E194" s="68"/>
      <c r="F194" s="94"/>
      <c r="G194" s="52"/>
      <c r="H194" s="52"/>
    </row>
    <row r="195">
      <c r="A195" s="75"/>
      <c r="B195" s="75"/>
      <c r="C195" s="71"/>
      <c r="D195" s="71"/>
      <c r="E195" s="71"/>
      <c r="F195" s="95"/>
      <c r="G195" s="56"/>
      <c r="H195" s="56"/>
    </row>
    <row r="197">
      <c r="A197" s="88" t="s">
        <v>329</v>
      </c>
    </row>
    <row r="198">
      <c r="A198" s="98" t="s">
        <v>330</v>
      </c>
    </row>
    <row r="199">
      <c r="A199" s="163" t="s">
        <v>505</v>
      </c>
    </row>
    <row r="200">
      <c r="A200" s="100"/>
    </row>
    <row r="201">
      <c r="A201" s="101"/>
    </row>
    <row r="202">
      <c r="A202" s="102"/>
    </row>
    <row r="204">
      <c r="A204" s="103" t="s">
        <v>331</v>
      </c>
    </row>
    <row r="205">
      <c r="A205" s="104"/>
    </row>
    <row r="206">
      <c r="A206" s="99"/>
    </row>
    <row r="207">
      <c r="A207" s="105"/>
    </row>
    <row r="208">
      <c r="A208" s="102"/>
    </row>
    <row r="210">
      <c r="A210" s="103" t="s">
        <v>332</v>
      </c>
    </row>
    <row r="211">
      <c r="A211" s="39" t="s">
        <v>333</v>
      </c>
      <c r="B211" s="41" t="s">
        <v>218</v>
      </c>
    </row>
    <row r="212">
      <c r="A212" s="74"/>
      <c r="B212" s="60"/>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4"/>
      <c r="B225" s="52"/>
    </row>
    <row r="226">
      <c r="A226" s="74"/>
      <c r="B226" s="52"/>
    </row>
    <row r="227">
      <c r="A227" s="75"/>
      <c r="B227" s="56"/>
    </row>
  </sheetData>
  <mergeCells count="1">
    <mergeCell ref="C150:E150"/>
  </mergeCells>
  <dataValidations>
    <dataValidation type="list" allowBlank="1" sqref="D152:D171">
      <formula1>Folha_auxiliar!$C$16:$C$21</formula1>
    </dataValidation>
    <dataValidation type="list" allowBlank="1" sqref="A176:A184 A188:A195">
      <formula1>Folha_auxiliar!$D$20:$D$21</formula1>
    </dataValidation>
    <dataValidation type="list" allowBlank="1" sqref="C39:C47 D51:D55 D100:D115 D119:D124 B212:B227">
      <formula1>Folha_auxiliar!$B$18:$B$19</formula1>
    </dataValidation>
    <dataValidation type="list" allowBlank="1" sqref="G176:G184 G188:G195">
      <formula1>Folha_auxiliar!$D$8:$D$12</formula1>
    </dataValidation>
    <dataValidation type="list" allowBlank="1" sqref="B51:B55">
      <formula1>Folha_auxiliar!$D$15:$D$17</formula1>
    </dataValidation>
    <dataValidation type="list" allowBlank="1" sqref="D176:D184 D188:D195">
      <formula1>Folha_auxiliar!$D$4:$D$5</formula1>
    </dataValidation>
    <dataValidation type="list" allowBlank="1" sqref="E4:E35">
      <formula1>Folha_auxiliar!$A$14:$A$25</formula1>
    </dataValidation>
    <dataValidation type="list" allowBlank="1" sqref="C100:C115">
      <formula1>Folha_auxiliar!$B$4:$B$7</formula1>
    </dataValidation>
    <dataValidation type="list" allowBlank="1" sqref="A128:A136">
      <formula1>Folha_auxiliar!$B$24:$B$28</formula1>
    </dataValidation>
    <dataValidation type="list" allowBlank="1" sqref="A59:A88">
      <formula1>Folha_auxiliar!$A$6:$A$12</formula1>
    </dataValidation>
    <dataValidation type="list" allowBlank="1" sqref="A152:A171">
      <formula1>Folha_auxiliar!$C$2:$C$9</formula1>
    </dataValidation>
    <dataValidation type="list" allowBlank="1" sqref="B92:B95">
      <formula1>Folha_auxiliar!$A$28:$A$32</formula1>
    </dataValidation>
    <dataValidation type="list" allowBlank="1" sqref="A140:A148">
      <formula1>Folha_auxiliar!$B$31:$B$34</formula1>
    </dataValidation>
    <dataValidation type="list" allowBlank="1" sqref="E152:E171">
      <formula1>Folha_auxiliar!$C$24:$C$31</formula1>
    </dataValidation>
    <dataValidation type="list" allowBlank="1" sqref="G152:G171">
      <formula1>Folha_auxiliar!$C$12:$C$13</formula1>
    </dataValidation>
    <dataValidation type="list" allowBlank="1" sqref="F152:F171">
      <formula1>Folha_auxiliar!$C$34:$C$41</formula1>
    </dataValidation>
    <dataValidation type="list" allowBlank="1" sqref="B119:B124">
      <formula1>Folha_auxiliar!$B$11:$B$15</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1.86"/>
    <col customWidth="1" min="8" max="8" width="31.57"/>
  </cols>
  <sheetData>
    <row r="1">
      <c r="A1" s="1" t="s">
        <v>170</v>
      </c>
    </row>
    <row r="2">
      <c r="A2" s="37" t="s">
        <v>171</v>
      </c>
      <c r="B2" s="38"/>
      <c r="C2" s="38"/>
      <c r="D2" s="38"/>
      <c r="E2" s="38"/>
    </row>
    <row r="3">
      <c r="A3" s="39" t="s">
        <v>172</v>
      </c>
      <c r="B3" s="40" t="s">
        <v>173</v>
      </c>
      <c r="C3" s="40" t="s">
        <v>174</v>
      </c>
      <c r="D3" s="40" t="s">
        <v>175</v>
      </c>
      <c r="E3" s="41" t="s">
        <v>176</v>
      </c>
    </row>
    <row r="4">
      <c r="A4" s="164" t="s">
        <v>506</v>
      </c>
      <c r="B4" s="134" t="s">
        <v>507</v>
      </c>
      <c r="C4" s="134">
        <v>2.0</v>
      </c>
      <c r="D4" s="134">
        <v>3.591</v>
      </c>
      <c r="E4" s="60" t="s">
        <v>185</v>
      </c>
    </row>
    <row r="5">
      <c r="A5" s="137" t="s">
        <v>508</v>
      </c>
      <c r="B5" s="136" t="s">
        <v>509</v>
      </c>
      <c r="C5" s="134">
        <v>3.0</v>
      </c>
      <c r="D5" s="134">
        <v>1.295</v>
      </c>
      <c r="E5" s="60" t="s">
        <v>185</v>
      </c>
    </row>
    <row r="6">
      <c r="A6" s="137" t="s">
        <v>510</v>
      </c>
      <c r="B6" s="136" t="s">
        <v>511</v>
      </c>
      <c r="C6" s="134">
        <v>2.0</v>
      </c>
      <c r="D6" s="134" t="s">
        <v>512</v>
      </c>
      <c r="E6" s="60" t="s">
        <v>211</v>
      </c>
    </row>
    <row r="7">
      <c r="A7" s="137" t="s">
        <v>513</v>
      </c>
      <c r="B7" s="136" t="s">
        <v>514</v>
      </c>
      <c r="C7" s="134">
        <v>2.0</v>
      </c>
      <c r="D7" s="134" t="s">
        <v>515</v>
      </c>
      <c r="E7" s="60" t="s">
        <v>185</v>
      </c>
    </row>
    <row r="8">
      <c r="A8" s="137" t="s">
        <v>516</v>
      </c>
      <c r="B8" s="136" t="s">
        <v>366</v>
      </c>
      <c r="C8" s="134">
        <v>1.0</v>
      </c>
      <c r="D8" s="134" t="s">
        <v>517</v>
      </c>
      <c r="E8" s="60" t="s">
        <v>185</v>
      </c>
    </row>
    <row r="9">
      <c r="A9" s="137" t="s">
        <v>518</v>
      </c>
      <c r="B9" s="136" t="s">
        <v>519</v>
      </c>
      <c r="C9" s="134">
        <v>1.0</v>
      </c>
      <c r="D9" s="134" t="s">
        <v>520</v>
      </c>
      <c r="E9" s="60" t="s">
        <v>185</v>
      </c>
    </row>
    <row r="10">
      <c r="A10" s="137"/>
      <c r="B10" s="136"/>
      <c r="C10" s="134"/>
      <c r="D10" s="134"/>
      <c r="E10" s="52"/>
    </row>
    <row r="11">
      <c r="A11" s="133"/>
      <c r="B11" s="136"/>
      <c r="C11" s="134"/>
      <c r="D11" s="134"/>
      <c r="E11" s="52"/>
    </row>
    <row r="12">
      <c r="A12" s="49"/>
      <c r="B12" s="51"/>
      <c r="C12" s="51"/>
      <c r="D12" s="51"/>
      <c r="E12" s="52"/>
    </row>
    <row r="13">
      <c r="A13" s="49"/>
      <c r="B13" s="51"/>
      <c r="C13" s="51"/>
      <c r="D13" s="51"/>
      <c r="E13" s="52"/>
    </row>
    <row r="14">
      <c r="A14" s="49"/>
      <c r="B14" s="51"/>
      <c r="C14" s="51"/>
      <c r="D14" s="51"/>
      <c r="E14" s="52"/>
    </row>
    <row r="15">
      <c r="A15" s="49"/>
      <c r="B15" s="51"/>
      <c r="C15" s="51"/>
      <c r="D15" s="51"/>
      <c r="E15" s="52"/>
    </row>
    <row r="16">
      <c r="A16" s="49"/>
      <c r="B16" s="51"/>
      <c r="C16" s="51"/>
      <c r="D16" s="51"/>
      <c r="E16" s="52"/>
    </row>
    <row r="17">
      <c r="A17" s="49"/>
      <c r="B17" s="51"/>
      <c r="C17" s="51"/>
      <c r="D17" s="51"/>
      <c r="E17" s="52"/>
    </row>
    <row r="18">
      <c r="A18" s="49"/>
      <c r="B18" s="51"/>
      <c r="C18" s="51"/>
      <c r="D18" s="51"/>
      <c r="E18" s="52"/>
    </row>
    <row r="19">
      <c r="A19" s="49"/>
      <c r="B19" s="51"/>
      <c r="C19" s="51"/>
      <c r="D19" s="51"/>
      <c r="E19" s="52"/>
    </row>
    <row r="20">
      <c r="A20" s="49"/>
      <c r="B20" s="51"/>
      <c r="C20" s="51"/>
      <c r="D20" s="51"/>
      <c r="E20" s="52"/>
    </row>
    <row r="21">
      <c r="A21" s="49"/>
      <c r="B21" s="51"/>
      <c r="C21" s="51"/>
      <c r="D21" s="51"/>
      <c r="E21" s="52"/>
    </row>
    <row r="22">
      <c r="A22" s="49"/>
      <c r="B22" s="51"/>
      <c r="C22" s="51"/>
      <c r="D22" s="51"/>
      <c r="E22" s="52"/>
    </row>
    <row r="23">
      <c r="A23" s="49"/>
      <c r="B23" s="51"/>
      <c r="C23" s="51"/>
      <c r="D23" s="51"/>
      <c r="E23" s="52"/>
    </row>
    <row r="24">
      <c r="A24" s="49"/>
      <c r="B24" s="51"/>
      <c r="C24" s="51"/>
      <c r="D24" s="51"/>
      <c r="E24" s="52"/>
    </row>
    <row r="25">
      <c r="A25" s="49"/>
      <c r="B25" s="51"/>
      <c r="C25" s="51"/>
      <c r="D25" s="51"/>
      <c r="E25" s="52"/>
    </row>
    <row r="26">
      <c r="A26" s="49"/>
      <c r="B26" s="51"/>
      <c r="C26" s="51"/>
      <c r="D26" s="51"/>
      <c r="E26" s="52"/>
    </row>
    <row r="27">
      <c r="A27" s="49"/>
      <c r="B27" s="51"/>
      <c r="C27" s="51"/>
      <c r="D27" s="51"/>
      <c r="E27" s="52"/>
    </row>
    <row r="28">
      <c r="A28" s="49"/>
      <c r="B28" s="51"/>
      <c r="C28" s="51"/>
      <c r="D28" s="51"/>
      <c r="E28" s="52"/>
    </row>
    <row r="29">
      <c r="A29" s="49"/>
      <c r="B29" s="51"/>
      <c r="C29" s="51"/>
      <c r="D29" s="51"/>
      <c r="E29" s="52"/>
    </row>
    <row r="30">
      <c r="A30" s="49"/>
      <c r="B30" s="51"/>
      <c r="C30" s="51"/>
      <c r="D30" s="51"/>
      <c r="E30" s="52"/>
    </row>
    <row r="31">
      <c r="A31" s="49"/>
      <c r="B31" s="51"/>
      <c r="C31" s="51"/>
      <c r="D31" s="51"/>
      <c r="E31" s="52"/>
    </row>
    <row r="32">
      <c r="A32" s="49"/>
      <c r="B32" s="51"/>
      <c r="C32" s="51"/>
      <c r="D32" s="53"/>
      <c r="E32" s="52"/>
    </row>
    <row r="33">
      <c r="A33" s="54"/>
      <c r="B33" s="55"/>
      <c r="C33" s="55"/>
      <c r="D33" s="55"/>
      <c r="E33" s="56"/>
    </row>
    <row r="34">
      <c r="A34" s="28"/>
      <c r="B34" s="28"/>
    </row>
    <row r="35">
      <c r="A35" s="37" t="s">
        <v>216</v>
      </c>
      <c r="B35" s="28"/>
    </row>
    <row r="36">
      <c r="A36" s="39" t="s">
        <v>172</v>
      </c>
      <c r="B36" s="57" t="s">
        <v>217</v>
      </c>
      <c r="C36" s="58" t="s">
        <v>218</v>
      </c>
    </row>
    <row r="37">
      <c r="A37" s="49" t="s">
        <v>521</v>
      </c>
      <c r="B37" s="143" t="s">
        <v>470</v>
      </c>
      <c r="C37" s="60" t="s">
        <v>221</v>
      </c>
    </row>
    <row r="38">
      <c r="A38" s="49" t="s">
        <v>522</v>
      </c>
      <c r="B38" s="143" t="s">
        <v>470</v>
      </c>
      <c r="C38" s="60" t="s">
        <v>221</v>
      </c>
    </row>
    <row r="39">
      <c r="A39" s="49" t="s">
        <v>523</v>
      </c>
      <c r="B39" s="143" t="s">
        <v>470</v>
      </c>
      <c r="C39" s="60" t="s">
        <v>221</v>
      </c>
    </row>
    <row r="40">
      <c r="A40" s="49" t="s">
        <v>524</v>
      </c>
      <c r="B40" s="143" t="s">
        <v>470</v>
      </c>
      <c r="C40" s="60" t="s">
        <v>221</v>
      </c>
    </row>
    <row r="41">
      <c r="A41" s="49" t="s">
        <v>525</v>
      </c>
      <c r="B41" s="143" t="s">
        <v>470</v>
      </c>
      <c r="C41" s="60" t="s">
        <v>221</v>
      </c>
    </row>
    <row r="42">
      <c r="A42" s="49" t="s">
        <v>526</v>
      </c>
      <c r="B42" s="143" t="s">
        <v>470</v>
      </c>
      <c r="C42" s="60" t="s">
        <v>221</v>
      </c>
    </row>
    <row r="43">
      <c r="A43" s="165" t="s">
        <v>527</v>
      </c>
      <c r="B43" s="166" t="s">
        <v>528</v>
      </c>
      <c r="C43" s="60" t="s">
        <v>224</v>
      </c>
    </row>
    <row r="44">
      <c r="A44" s="87" t="s">
        <v>529</v>
      </c>
      <c r="B44" s="166" t="s">
        <v>528</v>
      </c>
      <c r="C44" s="60" t="s">
        <v>224</v>
      </c>
    </row>
    <row r="45">
      <c r="A45" s="87" t="s">
        <v>530</v>
      </c>
      <c r="B45" s="166" t="s">
        <v>528</v>
      </c>
      <c r="C45" s="62" t="s">
        <v>224</v>
      </c>
    </row>
    <row r="46">
      <c r="A46" s="87" t="s">
        <v>531</v>
      </c>
      <c r="B46" s="166" t="s">
        <v>528</v>
      </c>
      <c r="C46" s="62" t="s">
        <v>224</v>
      </c>
    </row>
    <row r="47">
      <c r="A47" s="37" t="s">
        <v>233</v>
      </c>
      <c r="B47" s="28"/>
    </row>
    <row r="48">
      <c r="A48" s="63" t="s">
        <v>172</v>
      </c>
      <c r="B48" s="64" t="s">
        <v>234</v>
      </c>
      <c r="C48" s="40" t="s">
        <v>217</v>
      </c>
      <c r="D48" s="58" t="s">
        <v>218</v>
      </c>
    </row>
    <row r="49">
      <c r="A49" s="156" t="s">
        <v>532</v>
      </c>
      <c r="B49" s="157" t="s">
        <v>236</v>
      </c>
      <c r="C49" s="146" t="s">
        <v>470</v>
      </c>
      <c r="D49" s="60" t="s">
        <v>221</v>
      </c>
    </row>
    <row r="50">
      <c r="A50" s="156" t="s">
        <v>533</v>
      </c>
      <c r="B50" s="65" t="s">
        <v>407</v>
      </c>
      <c r="C50" s="51" t="s">
        <v>223</v>
      </c>
      <c r="D50" s="60" t="s">
        <v>224</v>
      </c>
    </row>
    <row r="51">
      <c r="A51" s="167" t="s">
        <v>534</v>
      </c>
      <c r="B51" s="65" t="s">
        <v>236</v>
      </c>
      <c r="C51" s="166" t="s">
        <v>528</v>
      </c>
      <c r="D51" s="60" t="s">
        <v>224</v>
      </c>
    </row>
    <row r="52">
      <c r="A52" s="66"/>
      <c r="B52" s="67"/>
      <c r="C52" s="68"/>
      <c r="D52" s="60"/>
    </row>
    <row r="53">
      <c r="A53" s="69"/>
      <c r="B53" s="70"/>
      <c r="C53" s="71"/>
      <c r="D53" s="62"/>
    </row>
    <row r="54">
      <c r="A54" s="28"/>
      <c r="B54" s="28"/>
    </row>
    <row r="55">
      <c r="A55" s="37" t="s">
        <v>238</v>
      </c>
    </row>
    <row r="56">
      <c r="A56" s="72" t="s">
        <v>239</v>
      </c>
      <c r="B56" s="41" t="s">
        <v>172</v>
      </c>
    </row>
    <row r="57">
      <c r="A57" s="49" t="s">
        <v>240</v>
      </c>
      <c r="B57" s="49" t="s">
        <v>535</v>
      </c>
    </row>
    <row r="58">
      <c r="A58" s="49" t="s">
        <v>250</v>
      </c>
      <c r="B58" s="60" t="s">
        <v>536</v>
      </c>
    </row>
    <row r="59">
      <c r="A59" s="49" t="s">
        <v>537</v>
      </c>
      <c r="B59" s="60" t="s">
        <v>538</v>
      </c>
    </row>
    <row r="60">
      <c r="A60" s="49" t="s">
        <v>244</v>
      </c>
      <c r="B60" s="168" t="s">
        <v>539</v>
      </c>
    </row>
    <row r="61">
      <c r="A61" s="49" t="s">
        <v>244</v>
      </c>
      <c r="B61" s="169" t="s">
        <v>540</v>
      </c>
    </row>
    <row r="62">
      <c r="A62" s="49" t="s">
        <v>244</v>
      </c>
      <c r="B62" s="168" t="s">
        <v>541</v>
      </c>
    </row>
    <row r="63">
      <c r="A63" s="49" t="s">
        <v>250</v>
      </c>
      <c r="B63" s="168" t="s">
        <v>542</v>
      </c>
    </row>
    <row r="64">
      <c r="A64" s="49" t="s">
        <v>250</v>
      </c>
      <c r="B64" s="170" t="s">
        <v>543</v>
      </c>
    </row>
    <row r="65">
      <c r="A65" s="49" t="s">
        <v>250</v>
      </c>
      <c r="B65" s="60" t="s">
        <v>544</v>
      </c>
    </row>
    <row r="66">
      <c r="A66" s="49" t="s">
        <v>250</v>
      </c>
      <c r="B66" s="60" t="s">
        <v>545</v>
      </c>
    </row>
    <row r="67">
      <c r="A67" s="49" t="s">
        <v>412</v>
      </c>
      <c r="B67" s="60" t="s">
        <v>546</v>
      </c>
    </row>
    <row r="68">
      <c r="A68" s="49" t="s">
        <v>240</v>
      </c>
      <c r="B68" s="49" t="s">
        <v>535</v>
      </c>
    </row>
    <row r="69">
      <c r="A69" s="49" t="s">
        <v>240</v>
      </c>
      <c r="B69" s="171" t="s">
        <v>547</v>
      </c>
    </row>
    <row r="70">
      <c r="A70" s="49" t="s">
        <v>240</v>
      </c>
      <c r="B70" s="167" t="s">
        <v>548</v>
      </c>
    </row>
    <row r="71">
      <c r="A71" s="49" t="s">
        <v>250</v>
      </c>
      <c r="B71" s="172" t="s">
        <v>549</v>
      </c>
    </row>
    <row r="72">
      <c r="A72" s="49" t="s">
        <v>250</v>
      </c>
      <c r="B72" s="138" t="s">
        <v>550</v>
      </c>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74"/>
      <c r="B85" s="52"/>
    </row>
    <row r="86">
      <c r="A86" s="75"/>
      <c r="B86" s="56"/>
    </row>
    <row r="88">
      <c r="A88" s="37" t="s">
        <v>252</v>
      </c>
    </row>
    <row r="89">
      <c r="A89" s="39" t="s">
        <v>253</v>
      </c>
      <c r="B89" s="41" t="s">
        <v>254</v>
      </c>
    </row>
    <row r="90">
      <c r="A90" s="74"/>
      <c r="B90" s="52"/>
    </row>
    <row r="91">
      <c r="A91" s="74"/>
      <c r="B91" s="52"/>
    </row>
    <row r="92">
      <c r="A92" s="74"/>
      <c r="B92" s="52"/>
    </row>
    <row r="93">
      <c r="A93" s="75"/>
      <c r="B93" s="56"/>
    </row>
    <row r="95">
      <c r="A95" s="1" t="s">
        <v>255</v>
      </c>
    </row>
    <row r="96">
      <c r="A96" s="37" t="s">
        <v>551</v>
      </c>
      <c r="B96" s="38"/>
      <c r="C96" s="38"/>
    </row>
    <row r="97">
      <c r="A97" s="39" t="s">
        <v>172</v>
      </c>
      <c r="B97" s="40" t="s">
        <v>552</v>
      </c>
      <c r="C97" s="40" t="s">
        <v>258</v>
      </c>
      <c r="D97" s="41" t="s">
        <v>218</v>
      </c>
    </row>
    <row r="98" ht="17.25" customHeight="1">
      <c r="A98" s="49" t="s">
        <v>553</v>
      </c>
      <c r="B98" s="51" t="s">
        <v>554</v>
      </c>
      <c r="C98" s="51" t="s">
        <v>430</v>
      </c>
      <c r="D98" s="60" t="s">
        <v>221</v>
      </c>
    </row>
    <row r="99">
      <c r="A99" s="49" t="s">
        <v>538</v>
      </c>
      <c r="B99" s="51" t="s">
        <v>555</v>
      </c>
      <c r="C99" s="51" t="s">
        <v>427</v>
      </c>
      <c r="D99" s="60" t="s">
        <v>224</v>
      </c>
      <c r="E99" s="87" t="s">
        <v>556</v>
      </c>
    </row>
    <row r="100">
      <c r="A100" s="173" t="s">
        <v>540</v>
      </c>
      <c r="B100" s="51" t="s">
        <v>557</v>
      </c>
      <c r="C100" s="51" t="s">
        <v>430</v>
      </c>
      <c r="D100" s="60" t="s">
        <v>221</v>
      </c>
    </row>
    <row r="101">
      <c r="A101" s="49" t="s">
        <v>544</v>
      </c>
      <c r="B101" s="51" t="s">
        <v>558</v>
      </c>
      <c r="C101" s="51" t="s">
        <v>430</v>
      </c>
      <c r="D101" s="60" t="s">
        <v>221</v>
      </c>
    </row>
    <row r="102">
      <c r="A102" s="49" t="s">
        <v>545</v>
      </c>
      <c r="B102" s="51" t="s">
        <v>558</v>
      </c>
      <c r="C102" s="51" t="s">
        <v>427</v>
      </c>
      <c r="D102" s="60" t="s">
        <v>221</v>
      </c>
    </row>
    <row r="103">
      <c r="A103" s="174" t="s">
        <v>559</v>
      </c>
      <c r="B103" s="68"/>
      <c r="C103" s="51" t="s">
        <v>430</v>
      </c>
      <c r="D103" s="60" t="s">
        <v>221</v>
      </c>
      <c r="E103" s="175" t="s">
        <v>560</v>
      </c>
    </row>
    <row r="104">
      <c r="A104" s="172" t="s">
        <v>549</v>
      </c>
      <c r="B104" s="165" t="s">
        <v>561</v>
      </c>
      <c r="C104" s="51" t="s">
        <v>430</v>
      </c>
      <c r="D104" s="60" t="s">
        <v>221</v>
      </c>
    </row>
    <row r="105">
      <c r="A105" s="168" t="s">
        <v>539</v>
      </c>
      <c r="B105" s="68"/>
      <c r="C105" s="51" t="s">
        <v>427</v>
      </c>
      <c r="D105" s="60" t="s">
        <v>221</v>
      </c>
    </row>
    <row r="106">
      <c r="A106" s="168" t="s">
        <v>541</v>
      </c>
      <c r="B106" s="68"/>
      <c r="C106" s="51" t="s">
        <v>430</v>
      </c>
      <c r="D106" s="60" t="s">
        <v>221</v>
      </c>
    </row>
    <row r="107">
      <c r="A107" s="168" t="s">
        <v>542</v>
      </c>
      <c r="B107" s="68"/>
      <c r="C107" s="51" t="s">
        <v>427</v>
      </c>
      <c r="D107" s="60" t="s">
        <v>221</v>
      </c>
    </row>
    <row r="108">
      <c r="A108" s="138" t="s">
        <v>550</v>
      </c>
      <c r="B108" s="68"/>
      <c r="C108" s="51" t="s">
        <v>482</v>
      </c>
      <c r="D108" s="60" t="s">
        <v>221</v>
      </c>
    </row>
    <row r="109">
      <c r="A109" s="49" t="s">
        <v>562</v>
      </c>
      <c r="B109" s="51" t="s">
        <v>563</v>
      </c>
      <c r="C109" s="51" t="s">
        <v>261</v>
      </c>
      <c r="D109" s="60" t="s">
        <v>224</v>
      </c>
    </row>
    <row r="110">
      <c r="A110" s="49" t="s">
        <v>564</v>
      </c>
      <c r="B110" s="51" t="s">
        <v>565</v>
      </c>
      <c r="C110" s="51" t="s">
        <v>430</v>
      </c>
      <c r="D110" s="60" t="s">
        <v>221</v>
      </c>
    </row>
    <row r="111">
      <c r="A111" s="74"/>
      <c r="B111" s="68"/>
      <c r="C111" s="68"/>
      <c r="D111" s="52"/>
    </row>
    <row r="112">
      <c r="A112" s="74"/>
      <c r="B112" s="68"/>
      <c r="C112" s="68"/>
      <c r="D112" s="52"/>
    </row>
    <row r="113">
      <c r="A113" s="75"/>
      <c r="B113" s="71"/>
      <c r="C113" s="71"/>
      <c r="D113" s="56"/>
    </row>
    <row r="115">
      <c r="A115" s="37" t="s">
        <v>269</v>
      </c>
      <c r="B115" s="38"/>
    </row>
    <row r="116">
      <c r="A116" s="39" t="s">
        <v>270</v>
      </c>
      <c r="B116" s="40" t="s">
        <v>271</v>
      </c>
      <c r="C116" s="40" t="s">
        <v>272</v>
      </c>
      <c r="D116" s="41" t="s">
        <v>218</v>
      </c>
    </row>
    <row r="117">
      <c r="A117" s="49" t="s">
        <v>566</v>
      </c>
      <c r="B117" s="51" t="s">
        <v>273</v>
      </c>
      <c r="C117" s="51">
        <v>24.0</v>
      </c>
      <c r="D117" s="60" t="s">
        <v>221</v>
      </c>
    </row>
    <row r="118">
      <c r="A118" s="49" t="s">
        <v>487</v>
      </c>
      <c r="B118" s="51" t="s">
        <v>273</v>
      </c>
      <c r="C118" s="51">
        <v>24.0</v>
      </c>
      <c r="D118" s="60" t="s">
        <v>221</v>
      </c>
    </row>
    <row r="119">
      <c r="A119" s="49" t="s">
        <v>433</v>
      </c>
      <c r="B119" s="51" t="s">
        <v>276</v>
      </c>
      <c r="C119" s="51">
        <v>2.0</v>
      </c>
      <c r="D119" s="60" t="s">
        <v>224</v>
      </c>
    </row>
    <row r="120">
      <c r="A120" s="49" t="s">
        <v>434</v>
      </c>
      <c r="B120" s="51" t="s">
        <v>276</v>
      </c>
      <c r="C120" s="51">
        <v>2.0</v>
      </c>
      <c r="D120" s="60" t="s">
        <v>221</v>
      </c>
    </row>
    <row r="121">
      <c r="A121" s="49" t="s">
        <v>275</v>
      </c>
      <c r="B121" s="51" t="s">
        <v>276</v>
      </c>
      <c r="C121" s="51">
        <v>1.0</v>
      </c>
      <c r="D121" s="60" t="s">
        <v>224</v>
      </c>
    </row>
    <row r="122">
      <c r="A122" s="54" t="s">
        <v>567</v>
      </c>
      <c r="B122" s="55" t="s">
        <v>276</v>
      </c>
      <c r="C122" s="55">
        <v>1.0</v>
      </c>
      <c r="D122" s="62" t="s">
        <v>224</v>
      </c>
    </row>
    <row r="124">
      <c r="A124" s="37" t="s">
        <v>277</v>
      </c>
    </row>
    <row r="125">
      <c r="A125" s="72" t="s">
        <v>278</v>
      </c>
      <c r="B125" s="40" t="s">
        <v>279</v>
      </c>
      <c r="C125" s="41" t="s">
        <v>280</v>
      </c>
    </row>
    <row r="126">
      <c r="A126" s="49" t="s">
        <v>440</v>
      </c>
      <c r="B126" s="51" t="s">
        <v>189</v>
      </c>
      <c r="C126" s="60" t="s">
        <v>568</v>
      </c>
    </row>
    <row r="127">
      <c r="A127" s="49" t="s">
        <v>440</v>
      </c>
      <c r="B127" s="51" t="s">
        <v>442</v>
      </c>
      <c r="C127" s="60" t="s">
        <v>491</v>
      </c>
    </row>
    <row r="128">
      <c r="A128" s="49" t="s">
        <v>444</v>
      </c>
      <c r="B128" s="51" t="s">
        <v>569</v>
      </c>
      <c r="C128" s="60" t="s">
        <v>491</v>
      </c>
    </row>
    <row r="129">
      <c r="A129" s="49" t="s">
        <v>436</v>
      </c>
      <c r="B129" s="51" t="s">
        <v>555</v>
      </c>
      <c r="C129" s="60" t="s">
        <v>491</v>
      </c>
    </row>
    <row r="130">
      <c r="A130" s="49" t="s">
        <v>436</v>
      </c>
      <c r="B130" s="166" t="s">
        <v>555</v>
      </c>
      <c r="C130" s="60" t="s">
        <v>570</v>
      </c>
    </row>
    <row r="131">
      <c r="A131" s="49" t="s">
        <v>440</v>
      </c>
      <c r="B131" s="51" t="s">
        <v>571</v>
      </c>
      <c r="C131" s="60" t="s">
        <v>491</v>
      </c>
    </row>
    <row r="132">
      <c r="A132" s="49" t="s">
        <v>440</v>
      </c>
      <c r="B132" s="51" t="s">
        <v>572</v>
      </c>
      <c r="C132" s="60" t="s">
        <v>491</v>
      </c>
      <c r="D132" s="87" t="s">
        <v>573</v>
      </c>
    </row>
    <row r="133">
      <c r="A133" s="49" t="s">
        <v>440</v>
      </c>
      <c r="B133" s="51" t="s">
        <v>574</v>
      </c>
      <c r="C133" s="60" t="s">
        <v>575</v>
      </c>
    </row>
    <row r="134">
      <c r="A134" s="54"/>
      <c r="B134" s="71"/>
      <c r="C134" s="56"/>
    </row>
    <row r="136">
      <c r="A136" s="37" t="s">
        <v>281</v>
      </c>
    </row>
    <row r="137">
      <c r="A137" s="72" t="s">
        <v>278</v>
      </c>
      <c r="B137" s="41" t="s">
        <v>282</v>
      </c>
    </row>
    <row r="138">
      <c r="A138" s="49" t="s">
        <v>446</v>
      </c>
      <c r="B138" s="60" t="s">
        <v>576</v>
      </c>
    </row>
    <row r="139">
      <c r="A139" s="49" t="s">
        <v>446</v>
      </c>
      <c r="B139" s="171" t="s">
        <v>577</v>
      </c>
    </row>
    <row r="140">
      <c r="A140" s="49" t="s">
        <v>446</v>
      </c>
      <c r="B140" s="60" t="s">
        <v>578</v>
      </c>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49" t="s">
        <v>450</v>
      </c>
      <c r="B150" s="51" t="s">
        <v>579</v>
      </c>
      <c r="C150" s="87"/>
      <c r="D150" s="65" t="s">
        <v>452</v>
      </c>
      <c r="E150" s="65"/>
      <c r="F150" s="67"/>
      <c r="G150" s="60" t="s">
        <v>295</v>
      </c>
    </row>
    <row r="151">
      <c r="A151" s="49" t="s">
        <v>302</v>
      </c>
      <c r="B151" s="165" t="s">
        <v>580</v>
      </c>
      <c r="D151" s="67"/>
      <c r="E151" s="67"/>
      <c r="F151" s="67"/>
      <c r="G151" s="60" t="s">
        <v>295</v>
      </c>
    </row>
    <row r="152">
      <c r="A152" s="49" t="s">
        <v>302</v>
      </c>
      <c r="B152" s="165" t="s">
        <v>581</v>
      </c>
      <c r="D152" s="67"/>
      <c r="E152" s="67"/>
      <c r="F152" s="67"/>
      <c r="G152" s="60" t="s">
        <v>295</v>
      </c>
    </row>
    <row r="153">
      <c r="A153" s="49" t="s">
        <v>459</v>
      </c>
      <c r="B153" s="176" t="s">
        <v>582</v>
      </c>
      <c r="C153" s="67"/>
      <c r="D153" s="67"/>
      <c r="E153" s="67"/>
      <c r="F153" s="67"/>
      <c r="G153" s="60" t="s">
        <v>295</v>
      </c>
    </row>
    <row r="154">
      <c r="A154" s="49" t="s">
        <v>459</v>
      </c>
      <c r="B154" s="176" t="s">
        <v>583</v>
      </c>
      <c r="C154" s="67"/>
      <c r="D154" s="67"/>
      <c r="E154" s="67"/>
      <c r="F154" s="67"/>
      <c r="G154" s="60" t="s">
        <v>295</v>
      </c>
    </row>
    <row r="155">
      <c r="A155" s="49" t="s">
        <v>292</v>
      </c>
      <c r="B155" s="171" t="s">
        <v>584</v>
      </c>
      <c r="C155" s="67"/>
      <c r="D155" s="67"/>
      <c r="E155" s="67"/>
      <c r="F155" s="65" t="s">
        <v>585</v>
      </c>
      <c r="G155" s="60" t="s">
        <v>301</v>
      </c>
    </row>
    <row r="156">
      <c r="A156" s="49" t="s">
        <v>454</v>
      </c>
      <c r="B156" s="51" t="s">
        <v>586</v>
      </c>
      <c r="C156" s="65" t="s">
        <v>587</v>
      </c>
      <c r="D156" s="65"/>
      <c r="E156" s="65" t="s">
        <v>452</v>
      </c>
      <c r="F156" s="65" t="s">
        <v>294</v>
      </c>
      <c r="G156" s="60" t="s">
        <v>295</v>
      </c>
    </row>
    <row r="157" ht="14.25" customHeight="1">
      <c r="A157" s="49" t="s">
        <v>297</v>
      </c>
      <c r="B157" s="51" t="s">
        <v>588</v>
      </c>
      <c r="C157" s="65" t="s">
        <v>495</v>
      </c>
      <c r="D157" s="67"/>
      <c r="E157" s="65" t="s">
        <v>457</v>
      </c>
      <c r="F157" s="65" t="s">
        <v>589</v>
      </c>
      <c r="G157" s="60" t="s">
        <v>295</v>
      </c>
    </row>
    <row r="158">
      <c r="A158" s="49" t="s">
        <v>297</v>
      </c>
      <c r="B158" s="51" t="s">
        <v>590</v>
      </c>
      <c r="C158" s="65" t="s">
        <v>591</v>
      </c>
      <c r="D158" s="67"/>
      <c r="E158" s="65" t="s">
        <v>457</v>
      </c>
      <c r="F158" s="67"/>
      <c r="G158" s="60" t="s">
        <v>295</v>
      </c>
    </row>
    <row r="159">
      <c r="A159" s="49" t="s">
        <v>302</v>
      </c>
      <c r="B159" s="51" t="s">
        <v>592</v>
      </c>
      <c r="C159" s="67"/>
      <c r="D159" s="67"/>
      <c r="E159" s="67"/>
      <c r="F159" s="67"/>
      <c r="G159" s="52"/>
    </row>
    <row r="160">
      <c r="A160" s="49" t="s">
        <v>302</v>
      </c>
      <c r="B160" s="51" t="s">
        <v>593</v>
      </c>
      <c r="C160" s="67"/>
      <c r="D160" s="67"/>
      <c r="E160" s="67"/>
      <c r="F160" s="67"/>
      <c r="G160" s="52"/>
    </row>
    <row r="161">
      <c r="A161" s="49" t="s">
        <v>459</v>
      </c>
      <c r="B161" s="51" t="s">
        <v>594</v>
      </c>
      <c r="C161" s="67"/>
      <c r="D161" s="67"/>
      <c r="E161" s="67"/>
      <c r="F161" s="67"/>
      <c r="G161" s="52"/>
    </row>
    <row r="162">
      <c r="A162" s="49" t="s">
        <v>459</v>
      </c>
      <c r="B162" s="51" t="s">
        <v>595</v>
      </c>
      <c r="C162" s="67"/>
      <c r="D162" s="67"/>
      <c r="E162" s="65"/>
      <c r="F162" s="67"/>
      <c r="G162" s="60" t="s">
        <v>295</v>
      </c>
    </row>
    <row r="163">
      <c r="A163" s="49" t="s">
        <v>459</v>
      </c>
      <c r="B163" s="51" t="s">
        <v>596</v>
      </c>
      <c r="C163" s="67"/>
      <c r="D163" s="67"/>
      <c r="E163" s="65"/>
      <c r="F163" s="67"/>
      <c r="G163" s="60" t="s">
        <v>295</v>
      </c>
    </row>
    <row r="164">
      <c r="A164" s="49" t="s">
        <v>297</v>
      </c>
      <c r="B164" s="51" t="s">
        <v>597</v>
      </c>
      <c r="C164" s="165" t="s">
        <v>598</v>
      </c>
      <c r="D164" s="67"/>
      <c r="E164" s="65" t="s">
        <v>457</v>
      </c>
      <c r="F164" s="67"/>
      <c r="G164" s="60" t="s">
        <v>295</v>
      </c>
    </row>
    <row r="165">
      <c r="A165" s="49" t="s">
        <v>454</v>
      </c>
      <c r="B165" s="51" t="s">
        <v>599</v>
      </c>
      <c r="C165" s="67"/>
      <c r="D165" s="67"/>
      <c r="E165" s="65" t="s">
        <v>457</v>
      </c>
      <c r="F165" s="67"/>
      <c r="G165" s="60" t="s">
        <v>295</v>
      </c>
    </row>
    <row r="166">
      <c r="A166" s="49" t="s">
        <v>297</v>
      </c>
      <c r="B166" s="51" t="s">
        <v>600</v>
      </c>
      <c r="C166" s="67"/>
      <c r="D166" s="67"/>
      <c r="E166" s="65" t="s">
        <v>601</v>
      </c>
      <c r="F166" s="67"/>
      <c r="G166" s="60" t="s">
        <v>295</v>
      </c>
    </row>
    <row r="167">
      <c r="A167" s="49" t="s">
        <v>297</v>
      </c>
      <c r="B167" s="51" t="s">
        <v>602</v>
      </c>
      <c r="C167" s="165"/>
      <c r="D167" s="67"/>
      <c r="E167" s="65" t="s">
        <v>601</v>
      </c>
      <c r="F167" s="67"/>
      <c r="G167" s="60" t="s">
        <v>295</v>
      </c>
    </row>
    <row r="168">
      <c r="A168" s="49" t="s">
        <v>450</v>
      </c>
      <c r="B168" s="51" t="s">
        <v>603</v>
      </c>
      <c r="C168" s="67"/>
      <c r="D168" s="65" t="s">
        <v>604</v>
      </c>
      <c r="E168" s="65"/>
      <c r="F168" s="67"/>
      <c r="G168" s="60" t="s">
        <v>295</v>
      </c>
    </row>
    <row r="169">
      <c r="A169" s="49" t="s">
        <v>450</v>
      </c>
      <c r="B169" s="51" t="s">
        <v>605</v>
      </c>
      <c r="C169" s="67"/>
      <c r="D169" s="65" t="s">
        <v>604</v>
      </c>
      <c r="E169" s="65"/>
      <c r="F169" s="67"/>
      <c r="G169" s="60" t="s">
        <v>295</v>
      </c>
    </row>
    <row r="170">
      <c r="A170" s="49" t="s">
        <v>450</v>
      </c>
      <c r="B170" s="51" t="s">
        <v>606</v>
      </c>
      <c r="C170" s="67"/>
      <c r="D170" s="65" t="s">
        <v>604</v>
      </c>
      <c r="E170" s="65"/>
      <c r="F170" s="67"/>
      <c r="G170" s="60" t="s">
        <v>295</v>
      </c>
    </row>
    <row r="171">
      <c r="A171" s="49" t="s">
        <v>450</v>
      </c>
      <c r="B171" s="51" t="s">
        <v>607</v>
      </c>
      <c r="C171" s="67"/>
      <c r="D171" s="65" t="s">
        <v>604</v>
      </c>
      <c r="E171" s="65"/>
      <c r="F171" s="67"/>
      <c r="G171" s="60" t="s">
        <v>295</v>
      </c>
    </row>
    <row r="172">
      <c r="A172" s="49" t="s">
        <v>450</v>
      </c>
      <c r="B172" s="51" t="s">
        <v>608</v>
      </c>
      <c r="C172" s="67"/>
      <c r="D172" s="65" t="s">
        <v>604</v>
      </c>
      <c r="E172" s="65"/>
      <c r="F172" s="67"/>
      <c r="G172" s="60" t="s">
        <v>295</v>
      </c>
    </row>
    <row r="173">
      <c r="A173" s="49" t="s">
        <v>450</v>
      </c>
      <c r="B173" s="51" t="s">
        <v>609</v>
      </c>
      <c r="C173" s="67"/>
      <c r="D173" s="65" t="s">
        <v>604</v>
      </c>
      <c r="E173" s="65"/>
      <c r="F173" s="67"/>
      <c r="G173" s="60" t="s">
        <v>295</v>
      </c>
    </row>
    <row r="176">
      <c r="A176" s="1" t="s">
        <v>307</v>
      </c>
    </row>
    <row r="177" ht="24.75" customHeight="1">
      <c r="A177" s="88" t="s">
        <v>308</v>
      </c>
      <c r="B177" s="38"/>
      <c r="C177" s="38"/>
      <c r="D177" s="38"/>
      <c r="E177" s="38"/>
    </row>
    <row r="178">
      <c r="A178" s="39" t="s">
        <v>309</v>
      </c>
      <c r="B178" s="39" t="s">
        <v>310</v>
      </c>
      <c r="C178" s="40" t="s">
        <v>326</v>
      </c>
      <c r="D178" s="40" t="s">
        <v>312</v>
      </c>
      <c r="E178" s="40" t="s">
        <v>313</v>
      </c>
      <c r="F178" s="40" t="s">
        <v>463</v>
      </c>
      <c r="G178" s="41" t="s">
        <v>315</v>
      </c>
      <c r="H178" s="41" t="s">
        <v>316</v>
      </c>
    </row>
    <row r="179">
      <c r="A179" s="89"/>
      <c r="B179" s="158"/>
      <c r="C179" s="146"/>
      <c r="D179" s="146"/>
      <c r="E179" s="146"/>
      <c r="F179" s="162"/>
      <c r="G179" s="60"/>
      <c r="H179" s="52"/>
    </row>
    <row r="180">
      <c r="A180" s="89"/>
      <c r="B180" s="74"/>
      <c r="C180" s="68"/>
      <c r="D180" s="68"/>
      <c r="E180" s="68"/>
      <c r="F180" s="94"/>
      <c r="G180" s="52"/>
      <c r="H180" s="52"/>
    </row>
    <row r="181">
      <c r="A181" s="49"/>
      <c r="B181" s="74"/>
      <c r="C181" s="68"/>
      <c r="D181" s="68"/>
      <c r="E181" s="68"/>
      <c r="F181" s="94"/>
      <c r="G181" s="52"/>
      <c r="H181" s="52"/>
    </row>
    <row r="182">
      <c r="A182" s="49"/>
      <c r="B182" s="74"/>
      <c r="C182" s="68"/>
      <c r="D182" s="68"/>
      <c r="E182" s="68"/>
      <c r="F182" s="94"/>
      <c r="G182" s="52"/>
      <c r="H182" s="52"/>
    </row>
    <row r="183">
      <c r="A183" s="49"/>
      <c r="B183" s="74"/>
      <c r="C183" s="68"/>
      <c r="D183" s="68"/>
      <c r="E183" s="68"/>
      <c r="F183" s="94"/>
      <c r="G183" s="52"/>
      <c r="H183" s="52"/>
    </row>
    <row r="184">
      <c r="A184" s="74"/>
      <c r="B184" s="74"/>
      <c r="C184" s="68"/>
      <c r="D184" s="68"/>
      <c r="E184" s="68"/>
      <c r="F184" s="94"/>
      <c r="G184" s="52"/>
      <c r="H184" s="52"/>
    </row>
    <row r="185">
      <c r="A185" s="74"/>
      <c r="B185" s="74"/>
      <c r="C185" s="68"/>
      <c r="D185" s="68"/>
      <c r="E185" s="68"/>
      <c r="F185" s="94"/>
      <c r="G185" s="52"/>
      <c r="H185" s="52"/>
    </row>
    <row r="186">
      <c r="A186" s="74"/>
      <c r="B186" s="74"/>
      <c r="C186" s="68"/>
      <c r="D186" s="68"/>
      <c r="E186" s="68"/>
      <c r="F186" s="94"/>
      <c r="G186" s="52"/>
      <c r="H186" s="52"/>
    </row>
    <row r="187">
      <c r="A187" s="75"/>
      <c r="B187" s="75"/>
      <c r="C187" s="71"/>
      <c r="D187" s="71"/>
      <c r="E187" s="71"/>
      <c r="F187" s="95"/>
      <c r="G187" s="56"/>
      <c r="H187" s="56"/>
    </row>
    <row r="189">
      <c r="A189" s="96" t="s">
        <v>610</v>
      </c>
    </row>
    <row r="190">
      <c r="A190" s="39" t="s">
        <v>309</v>
      </c>
      <c r="B190" s="39" t="s">
        <v>310</v>
      </c>
      <c r="C190" s="40" t="s">
        <v>326</v>
      </c>
      <c r="D190" s="40" t="s">
        <v>312</v>
      </c>
      <c r="E190" s="40" t="s">
        <v>313</v>
      </c>
      <c r="F190" s="40" t="s">
        <v>463</v>
      </c>
      <c r="G190" s="151" t="s">
        <v>328</v>
      </c>
      <c r="H190" s="41" t="s">
        <v>316</v>
      </c>
    </row>
    <row r="191">
      <c r="A191" s="89" t="s">
        <v>317</v>
      </c>
      <c r="B191" s="49" t="s">
        <v>611</v>
      </c>
      <c r="C191" s="51" t="s">
        <v>612</v>
      </c>
      <c r="D191" s="146" t="s">
        <v>224</v>
      </c>
      <c r="E191" s="146" t="s">
        <v>504</v>
      </c>
      <c r="F191" s="177">
        <v>20000.0</v>
      </c>
      <c r="G191" s="60" t="s">
        <v>468</v>
      </c>
      <c r="H191" s="60">
        <v>1.0</v>
      </c>
    </row>
    <row r="192">
      <c r="A192" s="89" t="s">
        <v>317</v>
      </c>
      <c r="B192" s="49" t="s">
        <v>613</v>
      </c>
      <c r="C192" s="51" t="s">
        <v>614</v>
      </c>
      <c r="D192" s="51" t="s">
        <v>224</v>
      </c>
      <c r="E192" s="146" t="s">
        <v>504</v>
      </c>
      <c r="F192" s="162">
        <v>10000.0</v>
      </c>
      <c r="G192" s="60" t="s">
        <v>615</v>
      </c>
      <c r="H192" s="52"/>
    </row>
    <row r="193">
      <c r="A193" s="74"/>
      <c r="B193" s="74"/>
      <c r="C193" s="68"/>
      <c r="D193" s="68"/>
      <c r="E193" s="68"/>
      <c r="F193" s="94"/>
      <c r="G193" s="52"/>
      <c r="H193" s="52"/>
    </row>
    <row r="194">
      <c r="A194" s="74"/>
      <c r="B194" s="74"/>
      <c r="C194" s="68"/>
      <c r="D194" s="68"/>
      <c r="E194" s="68"/>
      <c r="F194" s="94"/>
      <c r="G194" s="52"/>
      <c r="H194" s="52"/>
    </row>
    <row r="195">
      <c r="A195" s="74"/>
      <c r="B195" s="74"/>
      <c r="C195" s="68"/>
      <c r="D195" s="68"/>
      <c r="E195" s="68"/>
      <c r="F195" s="94"/>
      <c r="G195" s="52"/>
      <c r="H195" s="52"/>
    </row>
    <row r="196">
      <c r="A196" s="74"/>
      <c r="B196" s="74"/>
      <c r="C196" s="68"/>
      <c r="D196" s="68"/>
      <c r="E196" s="68"/>
      <c r="F196" s="94"/>
      <c r="G196" s="52"/>
      <c r="H196" s="52"/>
    </row>
    <row r="197">
      <c r="A197" s="74"/>
      <c r="B197" s="74"/>
      <c r="C197" s="68"/>
      <c r="D197" s="68"/>
      <c r="E197" s="68"/>
      <c r="F197" s="94"/>
      <c r="G197" s="52"/>
      <c r="H197" s="52"/>
    </row>
    <row r="198">
      <c r="A198" s="75"/>
      <c r="B198" s="75"/>
      <c r="C198" s="71"/>
      <c r="D198" s="71"/>
      <c r="E198" s="71"/>
      <c r="F198" s="95"/>
      <c r="G198" s="56"/>
      <c r="H198" s="56"/>
    </row>
    <row r="200">
      <c r="A200" s="88" t="s">
        <v>329</v>
      </c>
    </row>
    <row r="201">
      <c r="A201" s="98" t="s">
        <v>330</v>
      </c>
    </row>
    <row r="202">
      <c r="A202" s="99"/>
    </row>
    <row r="203">
      <c r="A203" s="100"/>
    </row>
    <row r="204">
      <c r="A204" s="101"/>
    </row>
    <row r="205">
      <c r="A205" s="102"/>
    </row>
    <row r="207">
      <c r="A207" s="103" t="s">
        <v>616</v>
      </c>
    </row>
    <row r="208">
      <c r="A208" s="104"/>
    </row>
    <row r="209">
      <c r="A209" s="99"/>
    </row>
    <row r="210">
      <c r="A210" s="105"/>
    </row>
    <row r="211">
      <c r="A211" s="102"/>
    </row>
    <row r="213">
      <c r="A213" s="103" t="s">
        <v>332</v>
      </c>
    </row>
    <row r="214">
      <c r="A214" s="39" t="s">
        <v>333</v>
      </c>
      <c r="B214" s="41" t="s">
        <v>218</v>
      </c>
    </row>
    <row r="215">
      <c r="A215" s="74"/>
      <c r="B215" s="60"/>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4"/>
      <c r="B225" s="52"/>
    </row>
    <row r="226">
      <c r="A226" s="74"/>
      <c r="B226" s="52"/>
    </row>
    <row r="227">
      <c r="A227" s="74"/>
      <c r="B227" s="52"/>
    </row>
    <row r="228">
      <c r="A228" s="74"/>
      <c r="B228" s="52"/>
    </row>
    <row r="229">
      <c r="A229" s="74"/>
      <c r="B229" s="52"/>
    </row>
    <row r="230">
      <c r="A230" s="75"/>
      <c r="B230" s="56"/>
    </row>
  </sheetData>
  <mergeCells count="1">
    <mergeCell ref="C148:E148"/>
  </mergeCells>
  <dataValidations>
    <dataValidation type="list" allowBlank="1" sqref="D150:D173">
      <formula1>Folha_auxiliar!$C$16:$C$21</formula1>
    </dataValidation>
    <dataValidation type="list" allowBlank="1" sqref="A179:A187 A191:A198">
      <formula1>Folha_auxiliar!$D$20:$D$21</formula1>
    </dataValidation>
    <dataValidation type="list" allowBlank="1" sqref="C37:C46 D49:D53 D98:D113 D117:D122 B215:B230">
      <formula1>Folha_auxiliar!$B$18:$B$19</formula1>
    </dataValidation>
    <dataValidation type="list" allowBlank="1" sqref="G179:G187 G191:G198">
      <formula1>Folha_auxiliar!$D$8:$D$12</formula1>
    </dataValidation>
    <dataValidation type="list" allowBlank="1" sqref="B49:B53">
      <formula1>Folha_auxiliar!$D$15:$D$17</formula1>
    </dataValidation>
    <dataValidation type="list" allowBlank="1" sqref="D179:D187 D191:D198">
      <formula1>Folha_auxiliar!$D$4:$D$5</formula1>
    </dataValidation>
    <dataValidation type="list" allowBlank="1" sqref="E4:E33">
      <formula1>Folha_auxiliar!$A$14:$A$25</formula1>
    </dataValidation>
    <dataValidation type="list" allowBlank="1" sqref="C98:C113">
      <formula1>Folha_auxiliar!$B$4:$B$7</formula1>
    </dataValidation>
    <dataValidation type="list" allowBlank="1" sqref="A126:A134">
      <formula1>Folha_auxiliar!$B$24:$B$28</formula1>
    </dataValidation>
    <dataValidation type="list" allowBlank="1" sqref="A57:A86">
      <formula1>Folha_auxiliar!$A$6:$A$12</formula1>
    </dataValidation>
    <dataValidation type="list" allowBlank="1" sqref="A150:A173">
      <formula1>Folha_auxiliar!$C$2:$C$9</formula1>
    </dataValidation>
    <dataValidation type="list" allowBlank="1" sqref="B90:B93">
      <formula1>Folha_auxiliar!$A$28:$A$32</formula1>
    </dataValidation>
    <dataValidation type="list" allowBlank="1" sqref="A138:A146">
      <formula1>Folha_auxiliar!$B$31:$B$34</formula1>
    </dataValidation>
    <dataValidation type="list" allowBlank="1" sqref="E150:E173">
      <formula1>Folha_auxiliar!$C$24:$C$31</formula1>
    </dataValidation>
    <dataValidation type="list" allowBlank="1" sqref="G150:G174">
      <formula1>Folha_auxiliar!$C$12:$C$13</formula1>
    </dataValidation>
    <dataValidation type="list" allowBlank="1" sqref="F150:F174">
      <formula1>Folha_auxiliar!$C$34:$C$41</formula1>
    </dataValidation>
    <dataValidation type="list" allowBlank="1" sqref="B117:B122">
      <formula1>Folha_auxiliar!$B$11:$B$15</formula1>
    </dataValidation>
  </dataValidations>
  <hyperlinks>
    <hyperlink r:id="rId1" ref="A103"/>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6.29"/>
    <col customWidth="1" min="2" max="2" width="32.14"/>
    <col customWidth="1" min="3" max="5" width="32.86"/>
    <col customWidth="1" min="6" max="6" width="41.0"/>
    <col customWidth="1" min="8" max="8" width="41.29"/>
  </cols>
  <sheetData>
    <row r="1">
      <c r="A1" s="1" t="s">
        <v>170</v>
      </c>
    </row>
    <row r="2">
      <c r="A2" s="37" t="s">
        <v>171</v>
      </c>
      <c r="B2" s="38"/>
      <c r="C2" s="38"/>
      <c r="D2" s="38"/>
      <c r="E2" s="38"/>
    </row>
    <row r="3">
      <c r="A3" s="39" t="s">
        <v>172</v>
      </c>
      <c r="B3" s="40" t="s">
        <v>173</v>
      </c>
      <c r="C3" s="40" t="s">
        <v>174</v>
      </c>
      <c r="D3" s="40" t="s">
        <v>175</v>
      </c>
      <c r="E3" s="40" t="s">
        <v>176</v>
      </c>
      <c r="F3" s="58" t="s">
        <v>617</v>
      </c>
    </row>
    <row r="4">
      <c r="A4" s="178" t="s">
        <v>618</v>
      </c>
      <c r="B4" s="179" t="s">
        <v>514</v>
      </c>
      <c r="C4" s="134">
        <v>2.0</v>
      </c>
      <c r="D4" s="134" t="s">
        <v>619</v>
      </c>
      <c r="E4" s="51" t="s">
        <v>185</v>
      </c>
      <c r="F4" s="52"/>
    </row>
    <row r="5">
      <c r="A5" s="178" t="s">
        <v>620</v>
      </c>
      <c r="B5" s="180" t="s">
        <v>621</v>
      </c>
      <c r="C5" s="134">
        <v>2.0</v>
      </c>
      <c r="D5" s="134" t="s">
        <v>619</v>
      </c>
      <c r="E5" s="51" t="s">
        <v>185</v>
      </c>
      <c r="F5" s="52"/>
    </row>
    <row r="6">
      <c r="A6" s="181" t="s">
        <v>622</v>
      </c>
      <c r="B6" s="180" t="s">
        <v>623</v>
      </c>
      <c r="C6" s="134">
        <v>2.0</v>
      </c>
      <c r="D6" s="134" t="s">
        <v>624</v>
      </c>
      <c r="E6" s="51" t="s">
        <v>185</v>
      </c>
      <c r="F6" s="60" t="s">
        <v>625</v>
      </c>
    </row>
    <row r="7">
      <c r="A7" s="181" t="s">
        <v>626</v>
      </c>
      <c r="B7" s="180" t="s">
        <v>627</v>
      </c>
      <c r="C7" s="134">
        <v>1.0</v>
      </c>
      <c r="D7" s="134" t="s">
        <v>628</v>
      </c>
      <c r="E7" s="51" t="s">
        <v>376</v>
      </c>
      <c r="F7" s="52"/>
    </row>
    <row r="8">
      <c r="A8" s="182" t="s">
        <v>629</v>
      </c>
      <c r="B8" s="180" t="s">
        <v>178</v>
      </c>
      <c r="C8" s="134">
        <v>2.0</v>
      </c>
      <c r="D8" s="134" t="s">
        <v>630</v>
      </c>
      <c r="E8" s="51" t="s">
        <v>185</v>
      </c>
      <c r="F8" s="52"/>
    </row>
    <row r="9">
      <c r="A9" s="137"/>
      <c r="B9" s="136"/>
      <c r="C9" s="134"/>
      <c r="D9" s="134"/>
      <c r="E9" s="51"/>
      <c r="F9" s="60"/>
    </row>
    <row r="10">
      <c r="A10" s="137"/>
      <c r="B10" s="136"/>
      <c r="C10" s="134"/>
      <c r="D10" s="134"/>
      <c r="E10" s="51"/>
      <c r="F10" s="52"/>
    </row>
    <row r="11">
      <c r="A11" s="137"/>
      <c r="B11" s="136"/>
      <c r="C11" s="134"/>
      <c r="D11" s="134"/>
      <c r="E11" s="51"/>
      <c r="F11" s="60"/>
    </row>
    <row r="12">
      <c r="A12" s="133"/>
      <c r="B12" s="136"/>
      <c r="C12" s="134"/>
      <c r="D12" s="134"/>
      <c r="E12" s="68"/>
      <c r="F12" s="52"/>
    </row>
    <row r="13">
      <c r="A13" s="49"/>
      <c r="B13" s="51"/>
      <c r="C13" s="51"/>
      <c r="D13" s="51"/>
      <c r="E13" s="68"/>
      <c r="F13" s="52"/>
    </row>
    <row r="14">
      <c r="A14" s="49"/>
      <c r="B14" s="51"/>
      <c r="C14" s="51"/>
      <c r="D14" s="51"/>
      <c r="E14" s="68"/>
      <c r="F14" s="52"/>
    </row>
    <row r="15">
      <c r="A15" s="49"/>
      <c r="B15" s="51"/>
      <c r="C15" s="51"/>
      <c r="D15" s="51"/>
      <c r="E15" s="68"/>
      <c r="F15" s="52"/>
    </row>
    <row r="16">
      <c r="A16" s="49"/>
      <c r="B16" s="51"/>
      <c r="C16" s="51"/>
      <c r="D16" s="51"/>
      <c r="E16" s="68"/>
      <c r="F16" s="52"/>
    </row>
    <row r="17">
      <c r="A17" s="49"/>
      <c r="B17" s="51"/>
      <c r="C17" s="51"/>
      <c r="D17" s="51"/>
      <c r="E17" s="68"/>
      <c r="F17" s="52"/>
    </row>
    <row r="18">
      <c r="A18" s="49"/>
      <c r="B18" s="51"/>
      <c r="C18" s="51"/>
      <c r="D18" s="51"/>
      <c r="E18" s="68"/>
      <c r="F18" s="52"/>
    </row>
    <row r="19">
      <c r="A19" s="49"/>
      <c r="B19" s="51"/>
      <c r="C19" s="51"/>
      <c r="D19" s="51"/>
      <c r="E19" s="68"/>
      <c r="F19" s="52"/>
    </row>
    <row r="20">
      <c r="A20" s="49"/>
      <c r="B20" s="51"/>
      <c r="C20" s="51"/>
      <c r="D20" s="51"/>
      <c r="E20" s="68"/>
      <c r="F20" s="52"/>
    </row>
    <row r="21">
      <c r="A21" s="49"/>
      <c r="B21" s="51"/>
      <c r="C21" s="51"/>
      <c r="D21" s="51"/>
      <c r="E21" s="68"/>
      <c r="F21" s="52"/>
    </row>
    <row r="22">
      <c r="A22" s="49"/>
      <c r="B22" s="51"/>
      <c r="C22" s="51"/>
      <c r="D22" s="51"/>
      <c r="E22" s="68"/>
      <c r="F22" s="52"/>
    </row>
    <row r="23">
      <c r="A23" s="49"/>
      <c r="B23" s="51"/>
      <c r="C23" s="51"/>
      <c r="D23" s="51"/>
      <c r="E23" s="68"/>
      <c r="F23" s="52"/>
    </row>
    <row r="24">
      <c r="A24" s="49"/>
      <c r="B24" s="51"/>
      <c r="C24" s="51"/>
      <c r="D24" s="51"/>
      <c r="E24" s="68"/>
      <c r="F24" s="52"/>
    </row>
    <row r="25">
      <c r="A25" s="49"/>
      <c r="B25" s="51"/>
      <c r="C25" s="51"/>
      <c r="D25" s="51"/>
      <c r="E25" s="68"/>
      <c r="F25" s="52"/>
    </row>
    <row r="26">
      <c r="A26" s="49"/>
      <c r="B26" s="51"/>
      <c r="C26" s="51"/>
      <c r="D26" s="51"/>
      <c r="E26" s="68"/>
      <c r="F26" s="52"/>
    </row>
    <row r="27">
      <c r="A27" s="49"/>
      <c r="B27" s="51"/>
      <c r="C27" s="51"/>
      <c r="D27" s="51"/>
      <c r="E27" s="68"/>
      <c r="F27" s="52"/>
    </row>
    <row r="28">
      <c r="A28" s="49"/>
      <c r="B28" s="51"/>
      <c r="C28" s="51"/>
      <c r="D28" s="51"/>
      <c r="E28" s="68"/>
      <c r="F28" s="52"/>
    </row>
    <row r="29">
      <c r="A29" s="49"/>
      <c r="B29" s="51"/>
      <c r="C29" s="51"/>
      <c r="D29" s="51"/>
      <c r="E29" s="68"/>
      <c r="F29" s="52"/>
    </row>
    <row r="30">
      <c r="A30" s="49"/>
      <c r="B30" s="51"/>
      <c r="C30" s="51"/>
      <c r="D30" s="51"/>
      <c r="E30" s="68"/>
      <c r="F30" s="52"/>
    </row>
    <row r="31">
      <c r="A31" s="49"/>
      <c r="B31" s="51"/>
      <c r="C31" s="51"/>
      <c r="D31" s="51"/>
      <c r="E31" s="68"/>
      <c r="F31" s="52"/>
    </row>
    <row r="32">
      <c r="A32" s="49"/>
      <c r="B32" s="51"/>
      <c r="C32" s="51"/>
      <c r="D32" s="51"/>
      <c r="E32" s="68"/>
      <c r="F32" s="52"/>
    </row>
    <row r="33">
      <c r="A33" s="49"/>
      <c r="B33" s="51"/>
      <c r="C33" s="51"/>
      <c r="D33" s="53"/>
      <c r="E33" s="68"/>
      <c r="F33" s="52"/>
    </row>
    <row r="34">
      <c r="A34" s="54"/>
      <c r="B34" s="55"/>
      <c r="C34" s="55"/>
      <c r="D34" s="55"/>
      <c r="E34" s="71"/>
      <c r="F34" s="56"/>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t="s">
        <v>412</v>
      </c>
      <c r="B58" s="60" t="s">
        <v>631</v>
      </c>
    </row>
    <row r="59">
      <c r="A59" s="49" t="s">
        <v>632</v>
      </c>
      <c r="B59" s="137" t="s">
        <v>633</v>
      </c>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551</v>
      </c>
      <c r="B97" s="38"/>
      <c r="C97" s="38"/>
    </row>
    <row r="98">
      <c r="A98" s="39" t="s">
        <v>172</v>
      </c>
      <c r="B98" s="40" t="s">
        <v>634</v>
      </c>
      <c r="C98" s="40" t="s">
        <v>258</v>
      </c>
      <c r="D98" s="41" t="s">
        <v>218</v>
      </c>
    </row>
    <row r="99">
      <c r="A99" s="49" t="s">
        <v>635</v>
      </c>
      <c r="B99" s="51" t="s">
        <v>636</v>
      </c>
      <c r="C99" s="51" t="s">
        <v>261</v>
      </c>
      <c r="D99" s="60" t="s">
        <v>224</v>
      </c>
    </row>
    <row r="100">
      <c r="A100" s="49" t="s">
        <v>637</v>
      </c>
      <c r="B100" s="51" t="s">
        <v>638</v>
      </c>
      <c r="C100" s="51" t="s">
        <v>427</v>
      </c>
      <c r="D100" s="60" t="s">
        <v>224</v>
      </c>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49" t="s">
        <v>440</v>
      </c>
      <c r="B126" s="51" t="s">
        <v>639</v>
      </c>
      <c r="C126" s="60" t="s">
        <v>570</v>
      </c>
    </row>
    <row r="127">
      <c r="A127" s="49" t="s">
        <v>440</v>
      </c>
      <c r="B127" s="51" t="s">
        <v>490</v>
      </c>
      <c r="C127" s="60" t="s">
        <v>491</v>
      </c>
    </row>
    <row r="128">
      <c r="A128" s="49" t="s">
        <v>440</v>
      </c>
      <c r="B128" s="51" t="s">
        <v>442</v>
      </c>
      <c r="C128" s="60" t="s">
        <v>491</v>
      </c>
    </row>
    <row r="129">
      <c r="A129" s="49" t="s">
        <v>440</v>
      </c>
      <c r="B129" s="51" t="s">
        <v>201</v>
      </c>
      <c r="C129" s="60" t="s">
        <v>568</v>
      </c>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49" t="s">
        <v>640</v>
      </c>
      <c r="B138" s="183" t="s">
        <v>641</v>
      </c>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49" t="s">
        <v>454</v>
      </c>
      <c r="B150" s="51" t="s">
        <v>642</v>
      </c>
      <c r="C150" s="67"/>
      <c r="D150" s="67"/>
      <c r="E150" s="65" t="s">
        <v>643</v>
      </c>
      <c r="F150" s="67"/>
      <c r="G150" s="60" t="s">
        <v>295</v>
      </c>
    </row>
    <row r="151">
      <c r="A151" s="49" t="s">
        <v>454</v>
      </c>
      <c r="B151" s="51" t="s">
        <v>644</v>
      </c>
      <c r="C151" s="67"/>
      <c r="D151" s="67"/>
      <c r="E151" s="65" t="s">
        <v>643</v>
      </c>
      <c r="F151" s="67"/>
      <c r="G151" s="60" t="s">
        <v>295</v>
      </c>
    </row>
    <row r="152">
      <c r="A152" s="184" t="s">
        <v>454</v>
      </c>
      <c r="B152" s="185" t="s">
        <v>645</v>
      </c>
      <c r="C152" s="186"/>
      <c r="D152" s="186"/>
      <c r="E152" s="187" t="s">
        <v>643</v>
      </c>
      <c r="F152" s="67"/>
      <c r="G152" s="60" t="s">
        <v>295</v>
      </c>
    </row>
    <row r="153">
      <c r="A153" s="54" t="s">
        <v>454</v>
      </c>
      <c r="B153" s="55" t="s">
        <v>646</v>
      </c>
      <c r="C153" s="70"/>
      <c r="D153" s="70"/>
      <c r="E153" s="188" t="s">
        <v>643</v>
      </c>
      <c r="F153" s="67"/>
      <c r="G153" s="60" t="s">
        <v>295</v>
      </c>
    </row>
    <row r="154">
      <c r="A154" s="49" t="s">
        <v>302</v>
      </c>
      <c r="B154" s="51" t="s">
        <v>647</v>
      </c>
      <c r="C154" s="67"/>
      <c r="D154" s="67"/>
      <c r="E154" s="65" t="s">
        <v>643</v>
      </c>
      <c r="F154" s="67"/>
      <c r="G154" s="60" t="s">
        <v>295</v>
      </c>
    </row>
    <row r="155">
      <c r="A155" s="49" t="s">
        <v>459</v>
      </c>
      <c r="B155" s="51" t="s">
        <v>648</v>
      </c>
      <c r="C155" s="67"/>
      <c r="D155" s="67"/>
      <c r="E155" s="67"/>
      <c r="F155" s="67"/>
      <c r="G155" s="60" t="s">
        <v>295</v>
      </c>
    </row>
    <row r="156">
      <c r="A156" s="49" t="s">
        <v>302</v>
      </c>
      <c r="B156" s="51" t="s">
        <v>649</v>
      </c>
      <c r="C156" s="67"/>
      <c r="D156" s="67"/>
      <c r="E156" s="67"/>
      <c r="F156" s="67"/>
      <c r="G156" s="60" t="s">
        <v>295</v>
      </c>
    </row>
    <row r="157">
      <c r="A157" s="49" t="s">
        <v>297</v>
      </c>
      <c r="B157" s="51" t="s">
        <v>650</v>
      </c>
      <c r="C157" s="65" t="s">
        <v>651</v>
      </c>
      <c r="D157" s="67"/>
      <c r="E157" s="65" t="s">
        <v>457</v>
      </c>
      <c r="F157" s="67"/>
      <c r="G157" s="60" t="s">
        <v>295</v>
      </c>
    </row>
    <row r="158">
      <c r="A158" s="49" t="s">
        <v>302</v>
      </c>
      <c r="B158" s="51" t="s">
        <v>593</v>
      </c>
      <c r="C158" s="67"/>
      <c r="D158" s="67"/>
      <c r="E158" s="67"/>
      <c r="F158" s="67"/>
      <c r="G158" s="52"/>
    </row>
    <row r="159">
      <c r="A159" s="49" t="s">
        <v>459</v>
      </c>
      <c r="B159" s="51" t="s">
        <v>652</v>
      </c>
      <c r="C159" s="67"/>
      <c r="D159" s="67"/>
      <c r="E159" s="67"/>
      <c r="F159" s="67"/>
      <c r="G159" s="52"/>
    </row>
    <row r="160">
      <c r="A160" s="49" t="s">
        <v>459</v>
      </c>
      <c r="B160" s="51" t="s">
        <v>653</v>
      </c>
      <c r="C160" s="67"/>
      <c r="D160" s="67"/>
      <c r="E160" s="67"/>
      <c r="F160" s="67"/>
      <c r="G160" s="52"/>
    </row>
    <row r="161">
      <c r="A161" s="49" t="s">
        <v>459</v>
      </c>
      <c r="B161" s="51" t="s">
        <v>654</v>
      </c>
      <c r="C161" s="67"/>
      <c r="D161" s="67"/>
      <c r="E161" s="67"/>
      <c r="F161" s="67"/>
      <c r="G161" s="52"/>
    </row>
    <row r="162">
      <c r="A162" s="49" t="s">
        <v>297</v>
      </c>
      <c r="B162" s="51" t="s">
        <v>655</v>
      </c>
      <c r="C162" s="67"/>
      <c r="D162" s="67"/>
      <c r="E162" s="65" t="s">
        <v>601</v>
      </c>
      <c r="F162" s="67"/>
      <c r="G162" s="52"/>
    </row>
    <row r="163">
      <c r="A163" s="49" t="s">
        <v>297</v>
      </c>
      <c r="B163" s="51" t="s">
        <v>656</v>
      </c>
      <c r="C163" s="67"/>
      <c r="D163" s="67"/>
      <c r="E163" s="65" t="s">
        <v>601</v>
      </c>
      <c r="F163" s="67"/>
      <c r="G163" s="52"/>
    </row>
    <row r="164">
      <c r="A164" s="49" t="s">
        <v>297</v>
      </c>
      <c r="B164" s="51" t="s">
        <v>657</v>
      </c>
      <c r="C164" s="67"/>
      <c r="D164" s="67"/>
      <c r="E164" s="65" t="s">
        <v>601</v>
      </c>
      <c r="F164" s="67"/>
      <c r="G164" s="52"/>
    </row>
    <row r="165">
      <c r="A165" s="49" t="s">
        <v>297</v>
      </c>
      <c r="B165" s="51" t="s">
        <v>658</v>
      </c>
      <c r="C165" s="67"/>
      <c r="D165" s="67"/>
      <c r="E165" s="67"/>
      <c r="F165" s="67"/>
      <c r="G165" s="52"/>
    </row>
    <row r="166">
      <c r="A166" s="49" t="s">
        <v>297</v>
      </c>
      <c r="B166" s="51" t="s">
        <v>659</v>
      </c>
      <c r="C166" s="67"/>
      <c r="D166" s="67"/>
      <c r="E166" s="67"/>
      <c r="F166" s="67"/>
      <c r="G166" s="52"/>
    </row>
    <row r="167">
      <c r="A167" s="49" t="s">
        <v>450</v>
      </c>
      <c r="B167" s="51" t="s">
        <v>660</v>
      </c>
      <c r="C167" s="67"/>
      <c r="D167" s="65" t="s">
        <v>604</v>
      </c>
      <c r="E167" s="67"/>
      <c r="F167" s="67"/>
      <c r="G167" s="52"/>
    </row>
    <row r="168">
      <c r="A168" s="49" t="s">
        <v>450</v>
      </c>
      <c r="B168" s="51" t="s">
        <v>661</v>
      </c>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t="s">
        <v>662</v>
      </c>
      <c r="B174" s="49" t="s">
        <v>663</v>
      </c>
      <c r="C174" s="68"/>
      <c r="D174" s="51" t="s">
        <v>224</v>
      </c>
      <c r="E174" s="51" t="s">
        <v>320</v>
      </c>
      <c r="F174" s="94"/>
      <c r="G174" s="60" t="s">
        <v>321</v>
      </c>
      <c r="H174" s="52"/>
    </row>
    <row r="175">
      <c r="A175" s="89"/>
      <c r="B175" s="49"/>
      <c r="C175" s="51"/>
      <c r="D175" s="51"/>
      <c r="E175" s="51"/>
      <c r="F175" s="162"/>
      <c r="G175" s="60"/>
      <c r="H175" s="189"/>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c r="B186" s="74"/>
      <c r="C186" s="68"/>
      <c r="D186" s="68"/>
      <c r="E186" s="68"/>
      <c r="F186" s="94"/>
      <c r="G186" s="52"/>
      <c r="H186" s="60"/>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D174:D182 D186:D193">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5.86"/>
  </cols>
  <sheetData>
    <row r="1">
      <c r="A1" s="1" t="s">
        <v>170</v>
      </c>
    </row>
    <row r="2">
      <c r="A2" s="37" t="s">
        <v>171</v>
      </c>
      <c r="B2" s="38"/>
      <c r="C2" s="38"/>
      <c r="D2" s="38"/>
      <c r="E2" s="38"/>
    </row>
    <row r="3">
      <c r="A3" s="190" t="s">
        <v>172</v>
      </c>
      <c r="B3" s="191" t="s">
        <v>173</v>
      </c>
      <c r="C3" s="191" t="s">
        <v>174</v>
      </c>
      <c r="D3" s="191" t="s">
        <v>175</v>
      </c>
      <c r="E3" s="191" t="s">
        <v>176</v>
      </c>
      <c r="F3" s="192" t="s">
        <v>617</v>
      </c>
    </row>
    <row r="4">
      <c r="A4" s="193" t="s">
        <v>664</v>
      </c>
      <c r="B4" s="194" t="s">
        <v>665</v>
      </c>
      <c r="C4" s="194">
        <v>2.0</v>
      </c>
      <c r="D4" s="194" t="s">
        <v>666</v>
      </c>
      <c r="E4" s="195" t="s">
        <v>211</v>
      </c>
      <c r="F4" s="196"/>
    </row>
    <row r="5">
      <c r="A5" s="197" t="s">
        <v>667</v>
      </c>
      <c r="B5" s="198" t="s">
        <v>668</v>
      </c>
      <c r="C5" s="194">
        <v>2.0</v>
      </c>
      <c r="D5" s="194" t="s">
        <v>669</v>
      </c>
      <c r="E5" s="195" t="s">
        <v>354</v>
      </c>
      <c r="F5" s="196"/>
    </row>
    <row r="6">
      <c r="A6" s="199" t="s">
        <v>670</v>
      </c>
      <c r="B6" s="198" t="s">
        <v>627</v>
      </c>
      <c r="C6" s="194">
        <v>2.0</v>
      </c>
      <c r="D6" s="194" t="s">
        <v>628</v>
      </c>
      <c r="E6" s="195" t="s">
        <v>376</v>
      </c>
      <c r="F6" s="200"/>
    </row>
    <row r="7">
      <c r="A7" s="201" t="s">
        <v>671</v>
      </c>
      <c r="B7" s="198" t="s">
        <v>672</v>
      </c>
      <c r="C7" s="194"/>
      <c r="D7" s="194" t="s">
        <v>673</v>
      </c>
      <c r="E7" s="195" t="s">
        <v>211</v>
      </c>
      <c r="F7" s="200" t="s">
        <v>674</v>
      </c>
    </row>
    <row r="8">
      <c r="A8" s="202" t="s">
        <v>675</v>
      </c>
      <c r="B8" s="198" t="s">
        <v>665</v>
      </c>
      <c r="C8" s="194">
        <v>2.0</v>
      </c>
      <c r="D8" s="194" t="s">
        <v>666</v>
      </c>
      <c r="E8" s="195" t="s">
        <v>211</v>
      </c>
      <c r="F8" s="200" t="s">
        <v>676</v>
      </c>
    </row>
    <row r="9">
      <c r="A9" s="203" t="s">
        <v>677</v>
      </c>
      <c r="B9" s="198" t="s">
        <v>678</v>
      </c>
      <c r="C9" s="194">
        <v>1.0</v>
      </c>
      <c r="D9" s="194" t="s">
        <v>679</v>
      </c>
      <c r="E9" s="195" t="s">
        <v>211</v>
      </c>
      <c r="F9" s="200" t="s">
        <v>680</v>
      </c>
    </row>
    <row r="10">
      <c r="A10" s="204" t="s">
        <v>681</v>
      </c>
      <c r="B10" s="198" t="s">
        <v>682</v>
      </c>
      <c r="C10" s="194">
        <v>2.0</v>
      </c>
      <c r="D10" s="194" t="s">
        <v>683</v>
      </c>
      <c r="E10" s="195" t="s">
        <v>211</v>
      </c>
      <c r="F10" s="200" t="s">
        <v>684</v>
      </c>
    </row>
    <row r="11">
      <c r="A11" s="137" t="s">
        <v>685</v>
      </c>
      <c r="B11" s="136" t="s">
        <v>686</v>
      </c>
      <c r="C11" s="134">
        <v>3.0</v>
      </c>
      <c r="D11" s="134" t="s">
        <v>687</v>
      </c>
      <c r="E11" s="51" t="s">
        <v>211</v>
      </c>
      <c r="F11" s="60" t="s">
        <v>688</v>
      </c>
    </row>
    <row r="12">
      <c r="A12" s="137" t="s">
        <v>689</v>
      </c>
      <c r="B12" s="136" t="s">
        <v>690</v>
      </c>
      <c r="C12" s="134">
        <v>3.0</v>
      </c>
      <c r="D12" s="134" t="s">
        <v>630</v>
      </c>
      <c r="E12" s="51" t="s">
        <v>179</v>
      </c>
      <c r="F12" s="52"/>
    </row>
    <row r="13">
      <c r="A13" s="137" t="s">
        <v>691</v>
      </c>
      <c r="B13" s="136" t="s">
        <v>692</v>
      </c>
      <c r="C13" s="134">
        <v>3.0</v>
      </c>
      <c r="D13" s="134" t="s">
        <v>693</v>
      </c>
      <c r="E13" s="51" t="s">
        <v>211</v>
      </c>
      <c r="F13" s="60" t="s">
        <v>694</v>
      </c>
    </row>
    <row r="14">
      <c r="A14" s="205" t="s">
        <v>695</v>
      </c>
      <c r="B14" s="195" t="s">
        <v>696</v>
      </c>
      <c r="C14" s="195"/>
      <c r="D14" s="195"/>
      <c r="E14" s="206"/>
      <c r="F14" s="196"/>
    </row>
    <row r="15">
      <c r="A15" s="205"/>
      <c r="B15" s="195"/>
      <c r="C15" s="195"/>
      <c r="D15" s="195"/>
      <c r="E15" s="206"/>
      <c r="F15" s="196"/>
    </row>
    <row r="16">
      <c r="A16" s="205"/>
      <c r="B16" s="195"/>
      <c r="C16" s="195"/>
      <c r="D16" s="195"/>
      <c r="E16" s="206"/>
      <c r="F16" s="196"/>
    </row>
    <row r="17">
      <c r="A17" s="205"/>
      <c r="B17" s="195"/>
      <c r="C17" s="195"/>
      <c r="D17" s="195"/>
      <c r="E17" s="206"/>
      <c r="F17" s="196"/>
    </row>
    <row r="18">
      <c r="A18" s="205"/>
      <c r="B18" s="195"/>
      <c r="C18" s="195"/>
      <c r="D18" s="195"/>
      <c r="E18" s="206"/>
      <c r="F18" s="196"/>
    </row>
    <row r="19">
      <c r="A19" s="205"/>
      <c r="B19" s="195"/>
      <c r="C19" s="195"/>
      <c r="D19" s="195"/>
      <c r="E19" s="206"/>
      <c r="F19" s="196"/>
    </row>
    <row r="20">
      <c r="A20" s="205"/>
      <c r="B20" s="195"/>
      <c r="C20" s="195"/>
      <c r="D20" s="195"/>
      <c r="E20" s="206"/>
      <c r="F20" s="196"/>
    </row>
    <row r="21">
      <c r="A21" s="205"/>
      <c r="B21" s="195"/>
      <c r="C21" s="195"/>
      <c r="D21" s="195"/>
      <c r="E21" s="206"/>
      <c r="F21" s="196"/>
    </row>
    <row r="22">
      <c r="A22" s="205"/>
      <c r="B22" s="195"/>
      <c r="C22" s="195"/>
      <c r="D22" s="195"/>
      <c r="E22" s="206"/>
      <c r="F22" s="196"/>
    </row>
    <row r="23">
      <c r="A23" s="205"/>
      <c r="B23" s="195"/>
      <c r="C23" s="195"/>
      <c r="D23" s="195"/>
      <c r="E23" s="206"/>
      <c r="F23" s="196"/>
    </row>
    <row r="24">
      <c r="A24" s="205"/>
      <c r="B24" s="195"/>
      <c r="C24" s="195"/>
      <c r="D24" s="195"/>
      <c r="E24" s="206"/>
      <c r="F24" s="196"/>
    </row>
    <row r="25">
      <c r="A25" s="205"/>
      <c r="B25" s="195"/>
      <c r="C25" s="195"/>
      <c r="D25" s="195"/>
      <c r="E25" s="206"/>
      <c r="F25" s="196"/>
    </row>
    <row r="26">
      <c r="A26" s="205"/>
      <c r="B26" s="195"/>
      <c r="C26" s="195"/>
      <c r="D26" s="195"/>
      <c r="E26" s="206"/>
      <c r="F26" s="196"/>
    </row>
    <row r="27">
      <c r="A27" s="205"/>
      <c r="B27" s="195"/>
      <c r="C27" s="195"/>
      <c r="D27" s="195"/>
      <c r="E27" s="206"/>
      <c r="F27" s="196"/>
    </row>
    <row r="28">
      <c r="A28" s="205"/>
      <c r="B28" s="195"/>
      <c r="C28" s="195"/>
      <c r="D28" s="195"/>
      <c r="E28" s="206"/>
      <c r="F28" s="196"/>
    </row>
    <row r="29">
      <c r="A29" s="205"/>
      <c r="B29" s="195"/>
      <c r="C29" s="195"/>
      <c r="D29" s="195"/>
      <c r="E29" s="206"/>
      <c r="F29" s="196"/>
    </row>
    <row r="30">
      <c r="A30" s="205"/>
      <c r="B30" s="195"/>
      <c r="C30" s="195"/>
      <c r="D30" s="195"/>
      <c r="E30" s="206"/>
      <c r="F30" s="196"/>
    </row>
    <row r="31">
      <c r="A31" s="205"/>
      <c r="B31" s="195"/>
      <c r="C31" s="195"/>
      <c r="D31" s="195"/>
      <c r="E31" s="206"/>
      <c r="F31" s="196"/>
    </row>
    <row r="32">
      <c r="A32" s="205"/>
      <c r="B32" s="195"/>
      <c r="C32" s="195"/>
      <c r="D32" s="195"/>
      <c r="E32" s="206"/>
      <c r="F32" s="196"/>
    </row>
    <row r="33">
      <c r="A33" s="205"/>
      <c r="B33" s="195"/>
      <c r="C33" s="195"/>
      <c r="D33" s="207"/>
      <c r="E33" s="206"/>
      <c r="F33" s="196"/>
    </row>
    <row r="34">
      <c r="A34" s="208"/>
      <c r="B34" s="209"/>
      <c r="C34" s="209"/>
      <c r="D34" s="209"/>
      <c r="E34" s="210"/>
      <c r="F34" s="211"/>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c r="B58" s="52"/>
    </row>
    <row r="59">
      <c r="A59" s="49"/>
      <c r="B59" s="52"/>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697</v>
      </c>
      <c r="B97" s="38"/>
      <c r="C97" s="38"/>
    </row>
    <row r="98">
      <c r="A98" s="39" t="s">
        <v>172</v>
      </c>
      <c r="B98" s="40" t="s">
        <v>257</v>
      </c>
      <c r="C98" s="40" t="s">
        <v>258</v>
      </c>
      <c r="D98" s="41" t="s">
        <v>218</v>
      </c>
    </row>
    <row r="99">
      <c r="A99" s="49"/>
      <c r="B99" s="51"/>
      <c r="C99" s="51"/>
      <c r="D99" s="60"/>
    </row>
    <row r="100">
      <c r="A100" s="74"/>
      <c r="B100" s="68"/>
      <c r="C100" s="51"/>
      <c r="D100" s="52"/>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49" t="s">
        <v>440</v>
      </c>
      <c r="B126" s="51" t="s">
        <v>189</v>
      </c>
      <c r="C126" s="60" t="s">
        <v>568</v>
      </c>
    </row>
    <row r="127">
      <c r="A127" s="49" t="s">
        <v>440</v>
      </c>
      <c r="B127" s="51" t="s">
        <v>698</v>
      </c>
      <c r="C127" s="60" t="s">
        <v>568</v>
      </c>
    </row>
    <row r="128">
      <c r="A128" s="49" t="s">
        <v>440</v>
      </c>
      <c r="B128" s="51" t="s">
        <v>490</v>
      </c>
      <c r="C128" s="60" t="s">
        <v>491</v>
      </c>
    </row>
    <row r="129">
      <c r="A129" s="49" t="s">
        <v>440</v>
      </c>
      <c r="B129" s="51" t="s">
        <v>668</v>
      </c>
      <c r="C129" s="60" t="s">
        <v>570</v>
      </c>
    </row>
    <row r="130">
      <c r="A130" s="49" t="s">
        <v>440</v>
      </c>
      <c r="B130" s="51" t="s">
        <v>699</v>
      </c>
      <c r="C130" s="60" t="s">
        <v>570</v>
      </c>
    </row>
    <row r="131">
      <c r="A131" s="49" t="s">
        <v>489</v>
      </c>
      <c r="B131" s="51" t="s">
        <v>700</v>
      </c>
      <c r="C131" s="60" t="s">
        <v>701</v>
      </c>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49" t="s">
        <v>454</v>
      </c>
      <c r="B150" s="87" t="s">
        <v>702</v>
      </c>
      <c r="C150" s="87"/>
      <c r="D150" s="65"/>
      <c r="E150" s="65" t="s">
        <v>457</v>
      </c>
      <c r="F150" s="67"/>
      <c r="G150" s="52"/>
    </row>
    <row r="151">
      <c r="A151" s="49" t="s">
        <v>297</v>
      </c>
      <c r="B151" s="51" t="s">
        <v>703</v>
      </c>
      <c r="D151" s="67"/>
      <c r="E151" s="65" t="s">
        <v>601</v>
      </c>
      <c r="F151" s="67"/>
      <c r="G151" s="52"/>
    </row>
    <row r="152">
      <c r="A152" s="49" t="s">
        <v>450</v>
      </c>
      <c r="B152" s="51" t="s">
        <v>704</v>
      </c>
      <c r="D152" s="65" t="s">
        <v>604</v>
      </c>
      <c r="E152" s="67"/>
      <c r="F152" s="67"/>
      <c r="G152" s="52"/>
    </row>
    <row r="153">
      <c r="A153" s="49" t="s">
        <v>450</v>
      </c>
      <c r="B153" s="51" t="s">
        <v>705</v>
      </c>
      <c r="C153" s="67"/>
      <c r="D153" s="65" t="s">
        <v>604</v>
      </c>
      <c r="E153" s="67"/>
      <c r="F153" s="67"/>
      <c r="G153" s="52"/>
    </row>
    <row r="154">
      <c r="A154" s="49" t="s">
        <v>450</v>
      </c>
      <c r="B154" s="51" t="s">
        <v>706</v>
      </c>
      <c r="C154" s="67"/>
      <c r="D154" s="65" t="s">
        <v>604</v>
      </c>
      <c r="E154" s="67"/>
      <c r="F154" s="67"/>
      <c r="G154" s="52"/>
    </row>
    <row r="155">
      <c r="A155" s="49" t="s">
        <v>450</v>
      </c>
      <c r="B155" s="51" t="s">
        <v>707</v>
      </c>
      <c r="C155" s="67"/>
      <c r="D155" s="65" t="s">
        <v>604</v>
      </c>
      <c r="E155" s="67"/>
      <c r="F155" s="67"/>
      <c r="G155" s="52"/>
    </row>
    <row r="156">
      <c r="A156" s="49" t="s">
        <v>450</v>
      </c>
      <c r="B156" s="51" t="s">
        <v>708</v>
      </c>
      <c r="C156" s="67"/>
      <c r="D156" s="65" t="s">
        <v>604</v>
      </c>
      <c r="E156" s="67"/>
      <c r="F156" s="67"/>
      <c r="G156" s="52"/>
    </row>
    <row r="157">
      <c r="A157" s="49" t="s">
        <v>459</v>
      </c>
      <c r="B157" s="51" t="s">
        <v>648</v>
      </c>
      <c r="C157" s="67"/>
      <c r="D157" s="67"/>
      <c r="E157" s="67"/>
      <c r="F157" s="67"/>
      <c r="G157" s="60" t="s">
        <v>295</v>
      </c>
    </row>
    <row r="158">
      <c r="A158" s="49" t="s">
        <v>302</v>
      </c>
      <c r="B158" s="51" t="s">
        <v>649</v>
      </c>
      <c r="C158" s="67"/>
      <c r="D158" s="67"/>
      <c r="E158" s="67"/>
      <c r="F158" s="67"/>
      <c r="G158" s="60" t="s">
        <v>295</v>
      </c>
    </row>
    <row r="159">
      <c r="A159" s="49" t="s">
        <v>302</v>
      </c>
      <c r="B159" s="51" t="s">
        <v>709</v>
      </c>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c r="B174" s="74"/>
      <c r="C174" s="68"/>
      <c r="D174" s="68"/>
      <c r="E174" s="68"/>
      <c r="F174" s="94"/>
      <c r="G174" s="52"/>
      <c r="H174" s="52"/>
    </row>
    <row r="175">
      <c r="A175" s="89"/>
      <c r="B175" s="74"/>
      <c r="C175" s="68"/>
      <c r="D175" s="68"/>
      <c r="E175" s="68"/>
      <c r="F175" s="94"/>
      <c r="G175" s="52"/>
      <c r="H175" s="52"/>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t="s">
        <v>317</v>
      </c>
      <c r="B186" s="49" t="s">
        <v>710</v>
      </c>
      <c r="C186" s="51" t="s">
        <v>711</v>
      </c>
      <c r="D186" s="51" t="s">
        <v>224</v>
      </c>
      <c r="E186" s="51" t="s">
        <v>320</v>
      </c>
      <c r="F186" s="162" t="s">
        <v>712</v>
      </c>
      <c r="G186" s="60" t="s">
        <v>468</v>
      </c>
      <c r="H186" s="189">
        <v>44201.0</v>
      </c>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D174:D182 D186:D193">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hyperlinks>
    <hyperlink r:id="rId1" ref="A4"/>
    <hyperlink r:id="rId2" ref="A8"/>
    <hyperlink r:id="rId3" ref="A10"/>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29"/>
    <col customWidth="1" min="2" max="2" width="32.14"/>
    <col customWidth="1" min="3" max="5" width="32.86"/>
    <col customWidth="1" min="6" max="6" width="45.43"/>
  </cols>
  <sheetData>
    <row r="1">
      <c r="A1" s="1" t="s">
        <v>170</v>
      </c>
    </row>
    <row r="2">
      <c r="A2" s="37" t="s">
        <v>171</v>
      </c>
      <c r="B2" s="38"/>
      <c r="C2" s="38"/>
      <c r="D2" s="38"/>
      <c r="E2" s="38"/>
    </row>
    <row r="3">
      <c r="A3" s="39" t="s">
        <v>172</v>
      </c>
      <c r="B3" s="40" t="s">
        <v>173</v>
      </c>
      <c r="C3" s="40" t="s">
        <v>174</v>
      </c>
      <c r="D3" s="40" t="s">
        <v>175</v>
      </c>
      <c r="E3" s="40" t="s">
        <v>176</v>
      </c>
      <c r="F3" s="58" t="s">
        <v>617</v>
      </c>
    </row>
    <row r="4">
      <c r="A4" s="133"/>
      <c r="B4" s="134"/>
      <c r="C4" s="134"/>
      <c r="D4" s="134"/>
      <c r="E4" s="51"/>
      <c r="F4" s="52"/>
    </row>
    <row r="5">
      <c r="A5" s="133"/>
      <c r="B5" s="136"/>
      <c r="C5" s="212"/>
      <c r="D5" s="212"/>
      <c r="E5" s="51"/>
      <c r="F5" s="52"/>
    </row>
    <row r="6">
      <c r="A6" s="137"/>
      <c r="B6" s="136"/>
      <c r="C6" s="134"/>
      <c r="D6" s="134"/>
      <c r="E6" s="68"/>
      <c r="F6" s="60"/>
    </row>
    <row r="7">
      <c r="A7" s="137"/>
      <c r="B7" s="136"/>
      <c r="C7" s="134"/>
      <c r="D7" s="134"/>
      <c r="E7" s="68"/>
      <c r="F7" s="52"/>
    </row>
    <row r="8">
      <c r="A8" s="137"/>
      <c r="B8" s="136"/>
      <c r="C8" s="134"/>
      <c r="D8" s="212"/>
      <c r="E8" s="68"/>
      <c r="F8" s="52"/>
    </row>
    <row r="9">
      <c r="A9" s="137"/>
      <c r="B9" s="136"/>
      <c r="C9" s="134"/>
      <c r="D9" s="134"/>
      <c r="E9" s="68"/>
      <c r="F9" s="52"/>
    </row>
    <row r="10">
      <c r="A10" s="137"/>
      <c r="B10" s="136"/>
      <c r="C10" s="134"/>
      <c r="D10" s="134"/>
      <c r="E10" s="68"/>
      <c r="F10" s="52"/>
    </row>
    <row r="11">
      <c r="A11" s="137"/>
      <c r="B11" s="136"/>
      <c r="C11" s="134"/>
      <c r="D11" s="134"/>
      <c r="E11" s="68"/>
      <c r="F11" s="52"/>
    </row>
    <row r="12">
      <c r="A12" s="133"/>
      <c r="B12" s="136"/>
      <c r="C12" s="134"/>
      <c r="D12" s="134"/>
      <c r="E12" s="68"/>
      <c r="F12" s="52"/>
    </row>
    <row r="13">
      <c r="A13" s="49"/>
      <c r="B13" s="51"/>
      <c r="C13" s="51"/>
      <c r="D13" s="51"/>
      <c r="E13" s="68"/>
      <c r="F13" s="52"/>
    </row>
    <row r="14">
      <c r="A14" s="49"/>
      <c r="B14" s="51"/>
      <c r="C14" s="51"/>
      <c r="D14" s="51"/>
      <c r="E14" s="68"/>
      <c r="F14" s="52"/>
    </row>
    <row r="15">
      <c r="A15" s="49"/>
      <c r="B15" s="51"/>
      <c r="C15" s="51"/>
      <c r="D15" s="51"/>
      <c r="E15" s="68"/>
      <c r="F15" s="52"/>
    </row>
    <row r="16">
      <c r="A16" s="49"/>
      <c r="B16" s="51"/>
      <c r="C16" s="51"/>
      <c r="D16" s="51"/>
      <c r="E16" s="68"/>
      <c r="F16" s="52"/>
    </row>
    <row r="17">
      <c r="A17" s="49"/>
      <c r="B17" s="51"/>
      <c r="C17" s="51"/>
      <c r="D17" s="51"/>
      <c r="E17" s="68"/>
      <c r="F17" s="52"/>
    </row>
    <row r="18">
      <c r="A18" s="49"/>
      <c r="B18" s="51"/>
      <c r="C18" s="51"/>
      <c r="D18" s="51"/>
      <c r="E18" s="68"/>
      <c r="F18" s="52"/>
    </row>
    <row r="19">
      <c r="A19" s="49"/>
      <c r="B19" s="51"/>
      <c r="C19" s="51"/>
      <c r="D19" s="51"/>
      <c r="E19" s="68"/>
      <c r="F19" s="52"/>
    </row>
    <row r="20">
      <c r="A20" s="49"/>
      <c r="B20" s="51"/>
      <c r="C20" s="51"/>
      <c r="D20" s="51"/>
      <c r="E20" s="68"/>
      <c r="F20" s="52"/>
    </row>
    <row r="21">
      <c r="A21" s="49"/>
      <c r="B21" s="51"/>
      <c r="C21" s="51"/>
      <c r="D21" s="51"/>
      <c r="E21" s="68"/>
      <c r="F21" s="52"/>
    </row>
    <row r="22">
      <c r="A22" s="49"/>
      <c r="B22" s="51"/>
      <c r="C22" s="51"/>
      <c r="D22" s="51"/>
      <c r="E22" s="68"/>
      <c r="F22" s="52"/>
    </row>
    <row r="23">
      <c r="A23" s="49"/>
      <c r="B23" s="51"/>
      <c r="C23" s="51"/>
      <c r="D23" s="51"/>
      <c r="E23" s="68"/>
      <c r="F23" s="52"/>
    </row>
    <row r="24">
      <c r="A24" s="49"/>
      <c r="B24" s="51"/>
      <c r="C24" s="51"/>
      <c r="D24" s="51"/>
      <c r="E24" s="68"/>
      <c r="F24" s="52"/>
    </row>
    <row r="25">
      <c r="A25" s="49"/>
      <c r="B25" s="51"/>
      <c r="C25" s="51"/>
      <c r="D25" s="51"/>
      <c r="E25" s="68"/>
      <c r="F25" s="52"/>
    </row>
    <row r="26">
      <c r="A26" s="49"/>
      <c r="B26" s="51"/>
      <c r="C26" s="51"/>
      <c r="D26" s="51"/>
      <c r="E26" s="68"/>
      <c r="F26" s="52"/>
    </row>
    <row r="27">
      <c r="A27" s="49"/>
      <c r="B27" s="51"/>
      <c r="C27" s="51"/>
      <c r="D27" s="51"/>
      <c r="E27" s="68"/>
      <c r="F27" s="52"/>
    </row>
    <row r="28">
      <c r="A28" s="49"/>
      <c r="B28" s="51"/>
      <c r="C28" s="51"/>
      <c r="D28" s="51"/>
      <c r="E28" s="68"/>
      <c r="F28" s="52"/>
    </row>
    <row r="29">
      <c r="A29" s="49"/>
      <c r="B29" s="51"/>
      <c r="C29" s="51"/>
      <c r="D29" s="51"/>
      <c r="E29" s="68"/>
      <c r="F29" s="52"/>
    </row>
    <row r="30">
      <c r="A30" s="49"/>
      <c r="B30" s="51"/>
      <c r="C30" s="51"/>
      <c r="D30" s="51"/>
      <c r="E30" s="68"/>
      <c r="F30" s="52"/>
    </row>
    <row r="31">
      <c r="A31" s="49"/>
      <c r="B31" s="51"/>
      <c r="C31" s="51"/>
      <c r="D31" s="51"/>
      <c r="E31" s="68"/>
      <c r="F31" s="52"/>
    </row>
    <row r="32">
      <c r="A32" s="49"/>
      <c r="B32" s="51"/>
      <c r="C32" s="51"/>
      <c r="D32" s="51"/>
      <c r="E32" s="68"/>
      <c r="F32" s="52"/>
    </row>
    <row r="33">
      <c r="A33" s="49"/>
      <c r="B33" s="51"/>
      <c r="C33" s="51"/>
      <c r="D33" s="53"/>
      <c r="E33" s="68"/>
      <c r="F33" s="52"/>
    </row>
    <row r="34">
      <c r="A34" s="54"/>
      <c r="B34" s="55"/>
      <c r="C34" s="55"/>
      <c r="D34" s="55"/>
      <c r="E34" s="71"/>
      <c r="F34" s="56"/>
    </row>
    <row r="35">
      <c r="A35" s="28"/>
      <c r="B35" s="28"/>
    </row>
    <row r="36">
      <c r="A36" s="37" t="s">
        <v>216</v>
      </c>
      <c r="B36" s="28"/>
    </row>
    <row r="37">
      <c r="A37" s="39" t="s">
        <v>172</v>
      </c>
      <c r="B37" s="57" t="s">
        <v>217</v>
      </c>
      <c r="C37" s="58" t="s">
        <v>218</v>
      </c>
    </row>
    <row r="38">
      <c r="A38" s="154"/>
      <c r="B38" s="59"/>
      <c r="C38" s="60"/>
    </row>
    <row r="39">
      <c r="A39" s="154"/>
      <c r="B39" s="59"/>
      <c r="C39" s="60"/>
    </row>
    <row r="40">
      <c r="A40" s="154"/>
      <c r="B40" s="59"/>
      <c r="C40" s="60"/>
    </row>
    <row r="41">
      <c r="A41" s="154"/>
      <c r="B41" s="59"/>
      <c r="C41" s="60"/>
    </row>
    <row r="42">
      <c r="A42" s="154"/>
      <c r="B42" s="59"/>
      <c r="C42" s="60"/>
    </row>
    <row r="43">
      <c r="A43" s="154"/>
      <c r="B43" s="59"/>
      <c r="C43" s="60"/>
    </row>
    <row r="44">
      <c r="A44" s="154"/>
      <c r="B44" s="59"/>
      <c r="C44" s="60"/>
    </row>
    <row r="45">
      <c r="A45" s="154"/>
      <c r="B45" s="59"/>
      <c r="C45" s="60"/>
    </row>
    <row r="46">
      <c r="A46" s="155"/>
      <c r="B46" s="61"/>
      <c r="C46" s="62"/>
    </row>
    <row r="47">
      <c r="A47" s="28"/>
      <c r="B47" s="28"/>
    </row>
    <row r="48">
      <c r="A48" s="37" t="s">
        <v>233</v>
      </c>
      <c r="B48" s="28"/>
    </row>
    <row r="49">
      <c r="A49" s="63" t="s">
        <v>172</v>
      </c>
      <c r="B49" s="64" t="s">
        <v>234</v>
      </c>
      <c r="C49" s="40" t="s">
        <v>217</v>
      </c>
      <c r="D49" s="58" t="s">
        <v>218</v>
      </c>
    </row>
    <row r="50">
      <c r="A50" s="66"/>
      <c r="B50" s="67"/>
      <c r="C50" s="68"/>
      <c r="D50" s="60"/>
    </row>
    <row r="51">
      <c r="A51" s="66"/>
      <c r="B51" s="67"/>
      <c r="C51" s="68"/>
      <c r="D51" s="60"/>
    </row>
    <row r="52">
      <c r="A52" s="66"/>
      <c r="B52" s="67"/>
      <c r="C52" s="68"/>
      <c r="D52" s="60"/>
    </row>
    <row r="53">
      <c r="A53" s="66"/>
      <c r="B53" s="67"/>
      <c r="C53" s="68"/>
      <c r="D53" s="60"/>
    </row>
    <row r="54">
      <c r="A54" s="69"/>
      <c r="B54" s="70"/>
      <c r="C54" s="71"/>
      <c r="D54" s="62"/>
    </row>
    <row r="55">
      <c r="A55" s="28"/>
      <c r="B55" s="28"/>
    </row>
    <row r="56">
      <c r="A56" s="37" t="s">
        <v>238</v>
      </c>
    </row>
    <row r="57">
      <c r="A57" s="72" t="s">
        <v>239</v>
      </c>
      <c r="B57" s="41" t="s">
        <v>172</v>
      </c>
    </row>
    <row r="58">
      <c r="A58" s="49"/>
      <c r="B58" s="52"/>
    </row>
    <row r="59">
      <c r="A59" s="49"/>
      <c r="B59" s="52"/>
    </row>
    <row r="60">
      <c r="A60" s="49"/>
      <c r="B60" s="52"/>
    </row>
    <row r="61">
      <c r="A61" s="49"/>
      <c r="B61" s="52"/>
    </row>
    <row r="62">
      <c r="A62" s="49"/>
      <c r="B62" s="52"/>
    </row>
    <row r="63">
      <c r="A63" s="49"/>
      <c r="B63" s="52"/>
    </row>
    <row r="64">
      <c r="A64" s="49"/>
      <c r="B64" s="52"/>
    </row>
    <row r="65">
      <c r="A65" s="49"/>
      <c r="B65" s="52"/>
    </row>
    <row r="66">
      <c r="A66" s="49"/>
      <c r="B66" s="52"/>
    </row>
    <row r="67">
      <c r="A67" s="49"/>
      <c r="B67" s="52"/>
    </row>
    <row r="68">
      <c r="A68" s="49"/>
      <c r="B68" s="52"/>
    </row>
    <row r="69">
      <c r="A69" s="49"/>
      <c r="B69" s="52"/>
    </row>
    <row r="70">
      <c r="A70" s="49"/>
      <c r="B70" s="52"/>
    </row>
    <row r="71">
      <c r="A71" s="49"/>
      <c r="B71" s="52"/>
    </row>
    <row r="72">
      <c r="A72" s="49"/>
      <c r="B72" s="52"/>
    </row>
    <row r="73">
      <c r="A73" s="49"/>
      <c r="B73" s="52"/>
    </row>
    <row r="74">
      <c r="A74" s="49"/>
      <c r="B74" s="52"/>
    </row>
    <row r="75">
      <c r="A75" s="49"/>
      <c r="B75" s="52"/>
    </row>
    <row r="76">
      <c r="A76" s="49"/>
      <c r="B76" s="52"/>
    </row>
    <row r="77">
      <c r="A77" s="49"/>
      <c r="B77" s="52"/>
    </row>
    <row r="78">
      <c r="A78" s="49"/>
      <c r="B78" s="52"/>
    </row>
    <row r="79">
      <c r="A79" s="49"/>
      <c r="B79" s="52"/>
    </row>
    <row r="80">
      <c r="A80" s="49"/>
      <c r="B80" s="52"/>
    </row>
    <row r="81">
      <c r="A81" s="49"/>
      <c r="B81" s="52"/>
    </row>
    <row r="82">
      <c r="A82" s="49"/>
      <c r="B82" s="52"/>
    </row>
    <row r="83">
      <c r="A83" s="49"/>
      <c r="B83" s="52"/>
    </row>
    <row r="84">
      <c r="A84" s="49"/>
      <c r="B84" s="52"/>
    </row>
    <row r="85">
      <c r="A85" s="49"/>
      <c r="B85" s="52"/>
    </row>
    <row r="86">
      <c r="A86" s="74"/>
      <c r="B86" s="52"/>
    </row>
    <row r="87">
      <c r="A87" s="75"/>
      <c r="B87" s="56"/>
    </row>
    <row r="89">
      <c r="A89" s="37" t="s">
        <v>252</v>
      </c>
    </row>
    <row r="90">
      <c r="A90" s="39" t="s">
        <v>253</v>
      </c>
      <c r="B90" s="41" t="s">
        <v>254</v>
      </c>
    </row>
    <row r="91">
      <c r="A91" s="74"/>
      <c r="B91" s="52"/>
    </row>
    <row r="92">
      <c r="A92" s="74"/>
      <c r="B92" s="52"/>
    </row>
    <row r="93">
      <c r="A93" s="74"/>
      <c r="B93" s="52"/>
    </row>
    <row r="94">
      <c r="A94" s="75"/>
      <c r="B94" s="56"/>
    </row>
    <row r="96">
      <c r="A96" s="1" t="s">
        <v>255</v>
      </c>
    </row>
    <row r="97">
      <c r="A97" s="37" t="s">
        <v>697</v>
      </c>
      <c r="B97" s="38"/>
      <c r="C97" s="38"/>
    </row>
    <row r="98">
      <c r="A98" s="39" t="s">
        <v>172</v>
      </c>
      <c r="B98" s="40" t="s">
        <v>257</v>
      </c>
      <c r="C98" s="40" t="s">
        <v>258</v>
      </c>
      <c r="D98" s="41" t="s">
        <v>218</v>
      </c>
    </row>
    <row r="99">
      <c r="A99" s="49"/>
      <c r="B99" s="51"/>
      <c r="C99" s="51"/>
      <c r="D99" s="60"/>
    </row>
    <row r="100">
      <c r="A100" s="74"/>
      <c r="B100" s="68"/>
      <c r="C100" s="51"/>
      <c r="D100" s="52"/>
    </row>
    <row r="101">
      <c r="A101" s="74"/>
      <c r="B101" s="68"/>
      <c r="C101" s="68"/>
      <c r="D101" s="52"/>
    </row>
    <row r="102">
      <c r="A102" s="74"/>
      <c r="B102" s="68"/>
      <c r="C102" s="68"/>
      <c r="D102" s="52"/>
    </row>
    <row r="103">
      <c r="A103" s="74"/>
      <c r="B103" s="68"/>
      <c r="C103" s="68"/>
      <c r="D103" s="52"/>
    </row>
    <row r="104">
      <c r="A104" s="74"/>
      <c r="B104" s="68"/>
      <c r="C104" s="68"/>
      <c r="D104" s="52"/>
    </row>
    <row r="105">
      <c r="A105" s="74"/>
      <c r="B105" s="68"/>
      <c r="C105" s="68"/>
      <c r="D105" s="52"/>
    </row>
    <row r="106">
      <c r="A106" s="74"/>
      <c r="B106" s="68"/>
      <c r="C106" s="68"/>
      <c r="D106" s="52"/>
    </row>
    <row r="107">
      <c r="A107" s="74"/>
      <c r="B107" s="68"/>
      <c r="C107" s="68"/>
      <c r="D107" s="52"/>
    </row>
    <row r="108">
      <c r="A108" s="74"/>
      <c r="B108" s="68"/>
      <c r="C108" s="68"/>
      <c r="D108" s="52"/>
    </row>
    <row r="109">
      <c r="A109" s="74"/>
      <c r="B109" s="68"/>
      <c r="C109" s="68"/>
      <c r="D109" s="52"/>
    </row>
    <row r="110">
      <c r="A110" s="74"/>
      <c r="B110" s="68"/>
      <c r="C110" s="68"/>
      <c r="D110" s="52"/>
    </row>
    <row r="111">
      <c r="A111" s="74"/>
      <c r="B111" s="68"/>
      <c r="C111" s="68"/>
      <c r="D111" s="52"/>
    </row>
    <row r="112">
      <c r="A112" s="74"/>
      <c r="B112" s="68"/>
      <c r="C112" s="68"/>
      <c r="D112" s="52"/>
    </row>
    <row r="113">
      <c r="A113" s="74"/>
      <c r="B113" s="68"/>
      <c r="C113" s="68"/>
      <c r="D113" s="52"/>
    </row>
    <row r="114">
      <c r="A114" s="75"/>
      <c r="B114" s="71"/>
      <c r="C114" s="71"/>
      <c r="D114" s="56"/>
    </row>
    <row r="116">
      <c r="A116" s="37" t="s">
        <v>269</v>
      </c>
      <c r="B116" s="38"/>
    </row>
    <row r="117">
      <c r="A117" s="39" t="s">
        <v>270</v>
      </c>
      <c r="B117" s="40" t="s">
        <v>271</v>
      </c>
      <c r="C117" s="40" t="s">
        <v>272</v>
      </c>
      <c r="D117" s="41" t="s">
        <v>218</v>
      </c>
    </row>
    <row r="118">
      <c r="A118" s="74"/>
      <c r="B118" s="68"/>
      <c r="C118" s="68"/>
      <c r="D118" s="52"/>
    </row>
    <row r="119">
      <c r="A119" s="74"/>
      <c r="B119" s="68"/>
      <c r="C119" s="68"/>
      <c r="D119" s="52"/>
    </row>
    <row r="120">
      <c r="A120" s="74"/>
      <c r="B120" s="68"/>
      <c r="C120" s="68"/>
      <c r="D120" s="52"/>
    </row>
    <row r="121">
      <c r="A121" s="74"/>
      <c r="B121" s="68"/>
      <c r="C121" s="68"/>
      <c r="D121" s="52"/>
    </row>
    <row r="122">
      <c r="A122" s="75"/>
      <c r="B122" s="71"/>
      <c r="C122" s="71"/>
      <c r="D122" s="56"/>
    </row>
    <row r="124">
      <c r="A124" s="37" t="s">
        <v>277</v>
      </c>
    </row>
    <row r="125">
      <c r="A125" s="72" t="s">
        <v>278</v>
      </c>
      <c r="B125" s="40" t="s">
        <v>279</v>
      </c>
      <c r="C125" s="41" t="s">
        <v>280</v>
      </c>
    </row>
    <row r="126">
      <c r="A126" s="74"/>
      <c r="B126" s="68"/>
      <c r="C126" s="52"/>
    </row>
    <row r="127">
      <c r="A127" s="74"/>
      <c r="B127" s="68"/>
      <c r="C127" s="52"/>
    </row>
    <row r="128">
      <c r="A128" s="74"/>
      <c r="B128" s="68"/>
      <c r="C128" s="52"/>
    </row>
    <row r="129">
      <c r="A129" s="74"/>
      <c r="B129" s="68"/>
      <c r="C129" s="52"/>
    </row>
    <row r="130">
      <c r="A130" s="74"/>
      <c r="B130" s="68"/>
      <c r="C130" s="52"/>
    </row>
    <row r="131">
      <c r="A131" s="74"/>
      <c r="B131" s="68"/>
      <c r="C131" s="52"/>
    </row>
    <row r="132">
      <c r="A132" s="74"/>
      <c r="B132" s="68"/>
      <c r="C132" s="52"/>
    </row>
    <row r="133">
      <c r="A133" s="74"/>
      <c r="B133" s="68"/>
      <c r="C133" s="52"/>
    </row>
    <row r="134">
      <c r="A134" s="75"/>
      <c r="B134" s="71"/>
      <c r="C134" s="56"/>
    </row>
    <row r="136">
      <c r="A136" s="37" t="s">
        <v>281</v>
      </c>
    </row>
    <row r="137">
      <c r="A137" s="72" t="s">
        <v>278</v>
      </c>
      <c r="B137" s="41" t="s">
        <v>282</v>
      </c>
    </row>
    <row r="138">
      <c r="A138" s="74"/>
      <c r="B138" s="52"/>
    </row>
    <row r="139">
      <c r="A139" s="74"/>
      <c r="B139" s="52"/>
    </row>
    <row r="140">
      <c r="A140" s="74"/>
      <c r="B140" s="52"/>
    </row>
    <row r="141">
      <c r="A141" s="74"/>
      <c r="B141" s="52"/>
    </row>
    <row r="142">
      <c r="A142" s="74"/>
      <c r="B142" s="52"/>
    </row>
    <row r="143">
      <c r="A143" s="74"/>
      <c r="B143" s="52"/>
    </row>
    <row r="144">
      <c r="A144" s="74"/>
      <c r="B144" s="52"/>
    </row>
    <row r="145">
      <c r="A145" s="74"/>
      <c r="B145" s="52"/>
    </row>
    <row r="146">
      <c r="A146" s="75"/>
      <c r="B146" s="56"/>
    </row>
    <row r="148">
      <c r="A148" s="1" t="s">
        <v>283</v>
      </c>
      <c r="C148" s="78" t="s">
        <v>284</v>
      </c>
      <c r="D148" s="79"/>
      <c r="E148" s="80"/>
    </row>
    <row r="149">
      <c r="A149" s="81" t="s">
        <v>285</v>
      </c>
      <c r="B149" s="82" t="s">
        <v>286</v>
      </c>
      <c r="C149" s="83" t="s">
        <v>287</v>
      </c>
      <c r="D149" s="84" t="s">
        <v>288</v>
      </c>
      <c r="E149" s="84" t="s">
        <v>289</v>
      </c>
      <c r="F149" s="85" t="s">
        <v>290</v>
      </c>
      <c r="G149" s="86" t="s">
        <v>291</v>
      </c>
    </row>
    <row r="150">
      <c r="A150" s="74"/>
      <c r="B150" s="68"/>
      <c r="C150" s="87"/>
      <c r="D150" s="65"/>
      <c r="E150" s="65"/>
      <c r="F150" s="67"/>
      <c r="G150" s="52"/>
    </row>
    <row r="151">
      <c r="A151" s="74"/>
      <c r="B151" s="68"/>
      <c r="D151" s="67"/>
      <c r="E151" s="67"/>
      <c r="F151" s="67"/>
      <c r="G151" s="52"/>
    </row>
    <row r="152">
      <c r="A152" s="74"/>
      <c r="B152" s="68"/>
      <c r="D152" s="67"/>
      <c r="E152" s="67"/>
      <c r="F152" s="67"/>
      <c r="G152" s="52"/>
    </row>
    <row r="153">
      <c r="A153" s="74"/>
      <c r="B153" s="68"/>
      <c r="C153" s="67"/>
      <c r="D153" s="67"/>
      <c r="E153" s="67"/>
      <c r="F153" s="67"/>
      <c r="G153" s="52"/>
    </row>
    <row r="154">
      <c r="A154" s="74"/>
      <c r="B154" s="68"/>
      <c r="C154" s="67"/>
      <c r="D154" s="67"/>
      <c r="E154" s="67"/>
      <c r="F154" s="67"/>
      <c r="G154" s="52"/>
    </row>
    <row r="155">
      <c r="A155" s="74"/>
      <c r="B155" s="68"/>
      <c r="C155" s="67"/>
      <c r="D155" s="67"/>
      <c r="E155" s="67"/>
      <c r="F155" s="67"/>
      <c r="G155" s="52"/>
    </row>
    <row r="156">
      <c r="A156" s="74"/>
      <c r="B156" s="68"/>
      <c r="C156" s="67"/>
      <c r="D156" s="67"/>
      <c r="E156" s="67"/>
      <c r="F156" s="67"/>
      <c r="G156" s="52"/>
    </row>
    <row r="157">
      <c r="A157" s="74"/>
      <c r="B157" s="68"/>
      <c r="C157" s="67"/>
      <c r="D157" s="67"/>
      <c r="E157" s="67"/>
      <c r="F157" s="67"/>
      <c r="G157" s="52"/>
    </row>
    <row r="158">
      <c r="A158" s="74"/>
      <c r="B158" s="68"/>
      <c r="C158" s="67"/>
      <c r="D158" s="67"/>
      <c r="E158" s="67"/>
      <c r="F158" s="67"/>
      <c r="G158" s="52"/>
    </row>
    <row r="159">
      <c r="A159" s="74"/>
      <c r="B159" s="68"/>
      <c r="C159" s="67"/>
      <c r="D159" s="67"/>
      <c r="E159" s="67"/>
      <c r="F159" s="67"/>
      <c r="G159" s="52"/>
    </row>
    <row r="160">
      <c r="A160" s="74"/>
      <c r="B160" s="68"/>
      <c r="C160" s="67"/>
      <c r="D160" s="67"/>
      <c r="E160" s="67"/>
      <c r="F160" s="67"/>
      <c r="G160" s="52"/>
    </row>
    <row r="161">
      <c r="A161" s="74"/>
      <c r="B161" s="68"/>
      <c r="C161" s="67"/>
      <c r="D161" s="67"/>
      <c r="E161" s="67"/>
      <c r="F161" s="67"/>
      <c r="G161" s="52"/>
    </row>
    <row r="162">
      <c r="A162" s="74"/>
      <c r="B162" s="68"/>
      <c r="C162" s="67"/>
      <c r="D162" s="67"/>
      <c r="E162" s="67"/>
      <c r="F162" s="67"/>
      <c r="G162" s="52"/>
    </row>
    <row r="163">
      <c r="A163" s="74"/>
      <c r="B163" s="68"/>
      <c r="C163" s="67"/>
      <c r="D163" s="67"/>
      <c r="E163" s="67"/>
      <c r="F163" s="67"/>
      <c r="G163" s="52"/>
    </row>
    <row r="164">
      <c r="A164" s="74"/>
      <c r="B164" s="68"/>
      <c r="C164" s="67"/>
      <c r="D164" s="67"/>
      <c r="E164" s="67"/>
      <c r="F164" s="67"/>
      <c r="G164" s="52"/>
    </row>
    <row r="165">
      <c r="A165" s="74"/>
      <c r="B165" s="68"/>
      <c r="C165" s="67"/>
      <c r="D165" s="67"/>
      <c r="E165" s="67"/>
      <c r="F165" s="67"/>
      <c r="G165" s="52"/>
    </row>
    <row r="166">
      <c r="A166" s="74"/>
      <c r="B166" s="68"/>
      <c r="C166" s="67"/>
      <c r="D166" s="67"/>
      <c r="E166" s="67"/>
      <c r="F166" s="67"/>
      <c r="G166" s="52"/>
    </row>
    <row r="167">
      <c r="A167" s="74"/>
      <c r="B167" s="68"/>
      <c r="C167" s="67"/>
      <c r="D167" s="67"/>
      <c r="E167" s="67"/>
      <c r="F167" s="67"/>
      <c r="G167" s="52"/>
    </row>
    <row r="168">
      <c r="A168" s="74"/>
      <c r="B168" s="68"/>
      <c r="C168" s="67"/>
      <c r="D168" s="67"/>
      <c r="E168" s="67"/>
      <c r="F168" s="67"/>
      <c r="G168" s="52"/>
    </row>
    <row r="169">
      <c r="A169" s="75"/>
      <c r="B169" s="71"/>
      <c r="C169" s="70"/>
      <c r="D169" s="70"/>
      <c r="E169" s="70"/>
      <c r="F169" s="70"/>
      <c r="G169" s="56"/>
    </row>
    <row r="171">
      <c r="A171" s="1" t="s">
        <v>307</v>
      </c>
    </row>
    <row r="172" ht="24.75" customHeight="1">
      <c r="A172" s="88" t="s">
        <v>308</v>
      </c>
      <c r="B172" s="38"/>
      <c r="C172" s="38"/>
      <c r="D172" s="38"/>
      <c r="E172" s="38"/>
    </row>
    <row r="173">
      <c r="A173" s="39" t="s">
        <v>309</v>
      </c>
      <c r="B173" s="39" t="s">
        <v>310</v>
      </c>
      <c r="C173" s="40" t="s">
        <v>326</v>
      </c>
      <c r="D173" s="40" t="s">
        <v>312</v>
      </c>
      <c r="E173" s="40" t="s">
        <v>313</v>
      </c>
      <c r="F173" s="40" t="s">
        <v>463</v>
      </c>
      <c r="G173" s="41" t="s">
        <v>315</v>
      </c>
      <c r="H173" s="41" t="s">
        <v>316</v>
      </c>
    </row>
    <row r="174">
      <c r="A174" s="89"/>
      <c r="B174" s="74"/>
      <c r="C174" s="68"/>
      <c r="D174" s="68"/>
      <c r="E174" s="68"/>
      <c r="F174" s="94"/>
      <c r="G174" s="52"/>
      <c r="H174" s="52"/>
    </row>
    <row r="175">
      <c r="A175" s="89"/>
      <c r="B175" s="74"/>
      <c r="C175" s="68"/>
      <c r="D175" s="68"/>
      <c r="E175" s="68"/>
      <c r="F175" s="94"/>
      <c r="G175" s="52"/>
      <c r="H175" s="52"/>
    </row>
    <row r="176">
      <c r="A176" s="49"/>
      <c r="B176" s="74"/>
      <c r="C176" s="68"/>
      <c r="D176" s="68"/>
      <c r="E176" s="68"/>
      <c r="F176" s="94"/>
      <c r="G176" s="52"/>
      <c r="H176" s="52"/>
    </row>
    <row r="177">
      <c r="A177" s="49"/>
      <c r="B177" s="74"/>
      <c r="C177" s="68"/>
      <c r="D177" s="68"/>
      <c r="E177" s="68"/>
      <c r="F177" s="94"/>
      <c r="G177" s="52"/>
      <c r="H177" s="52"/>
    </row>
    <row r="178">
      <c r="A178" s="49"/>
      <c r="B178" s="74"/>
      <c r="C178" s="68"/>
      <c r="D178" s="68"/>
      <c r="E178" s="68"/>
      <c r="F178" s="94"/>
      <c r="G178" s="52"/>
      <c r="H178" s="52"/>
    </row>
    <row r="179">
      <c r="A179" s="74"/>
      <c r="B179" s="74"/>
      <c r="C179" s="68"/>
      <c r="D179" s="68"/>
      <c r="E179" s="68"/>
      <c r="F179" s="94"/>
      <c r="G179" s="52"/>
      <c r="H179" s="52"/>
    </row>
    <row r="180">
      <c r="A180" s="74"/>
      <c r="B180" s="74"/>
      <c r="C180" s="68"/>
      <c r="D180" s="68"/>
      <c r="E180" s="68"/>
      <c r="F180" s="94"/>
      <c r="G180" s="52"/>
      <c r="H180" s="52"/>
    </row>
    <row r="181">
      <c r="A181" s="74"/>
      <c r="B181" s="74"/>
      <c r="C181" s="68"/>
      <c r="D181" s="68"/>
      <c r="E181" s="68"/>
      <c r="F181" s="94"/>
      <c r="G181" s="52"/>
      <c r="H181" s="52"/>
    </row>
    <row r="182">
      <c r="A182" s="75"/>
      <c r="B182" s="75"/>
      <c r="C182" s="71"/>
      <c r="D182" s="71"/>
      <c r="E182" s="71"/>
      <c r="F182" s="95"/>
      <c r="G182" s="56"/>
      <c r="H182" s="56"/>
    </row>
    <row r="184">
      <c r="A184" s="96" t="s">
        <v>610</v>
      </c>
    </row>
    <row r="185">
      <c r="A185" s="39" t="s">
        <v>309</v>
      </c>
      <c r="B185" s="39" t="s">
        <v>310</v>
      </c>
      <c r="C185" s="40" t="s">
        <v>326</v>
      </c>
      <c r="D185" s="40" t="s">
        <v>312</v>
      </c>
      <c r="E185" s="40" t="s">
        <v>313</v>
      </c>
      <c r="F185" s="40" t="s">
        <v>463</v>
      </c>
      <c r="G185" s="151" t="s">
        <v>328</v>
      </c>
      <c r="H185" s="41" t="s">
        <v>316</v>
      </c>
    </row>
    <row r="186">
      <c r="A186" s="89"/>
      <c r="B186" s="74"/>
      <c r="C186" s="68"/>
      <c r="D186" s="68"/>
      <c r="E186" s="68"/>
      <c r="F186" s="94"/>
      <c r="G186" s="52"/>
      <c r="H186" s="60"/>
    </row>
    <row r="187">
      <c r="A187" s="89"/>
      <c r="B187" s="74"/>
      <c r="C187" s="68"/>
      <c r="D187" s="68"/>
      <c r="E187" s="68"/>
      <c r="F187" s="94"/>
      <c r="G187" s="52"/>
      <c r="H187" s="52"/>
    </row>
    <row r="188">
      <c r="A188" s="74"/>
      <c r="B188" s="74"/>
      <c r="C188" s="68"/>
      <c r="D188" s="68"/>
      <c r="E188" s="68"/>
      <c r="F188" s="94"/>
      <c r="G188" s="52"/>
      <c r="H188" s="52"/>
    </row>
    <row r="189">
      <c r="A189" s="74"/>
      <c r="B189" s="74"/>
      <c r="C189" s="68"/>
      <c r="D189" s="68"/>
      <c r="E189" s="68"/>
      <c r="F189" s="94"/>
      <c r="G189" s="52"/>
      <c r="H189" s="52"/>
    </row>
    <row r="190">
      <c r="A190" s="74"/>
      <c r="B190" s="74"/>
      <c r="C190" s="68"/>
      <c r="D190" s="68"/>
      <c r="E190" s="68"/>
      <c r="F190" s="94"/>
      <c r="G190" s="52"/>
      <c r="H190" s="52"/>
    </row>
    <row r="191">
      <c r="A191" s="74"/>
      <c r="B191" s="74"/>
      <c r="C191" s="68"/>
      <c r="D191" s="68"/>
      <c r="E191" s="68"/>
      <c r="F191" s="94"/>
      <c r="G191" s="52"/>
      <c r="H191" s="52"/>
    </row>
    <row r="192">
      <c r="A192" s="74"/>
      <c r="B192" s="74"/>
      <c r="C192" s="68"/>
      <c r="D192" s="68"/>
      <c r="E192" s="68"/>
      <c r="F192" s="94"/>
      <c r="G192" s="52"/>
      <c r="H192" s="52"/>
    </row>
    <row r="193">
      <c r="A193" s="75"/>
      <c r="B193" s="75"/>
      <c r="C193" s="71"/>
      <c r="D193" s="71"/>
      <c r="E193" s="71"/>
      <c r="F193" s="95"/>
      <c r="G193" s="56"/>
      <c r="H193" s="56"/>
    </row>
    <row r="195">
      <c r="A195" s="88" t="s">
        <v>329</v>
      </c>
    </row>
    <row r="196">
      <c r="A196" s="98" t="s">
        <v>330</v>
      </c>
    </row>
    <row r="197">
      <c r="A197" s="99"/>
    </row>
    <row r="198">
      <c r="A198" s="100"/>
    </row>
    <row r="199">
      <c r="A199" s="101"/>
    </row>
    <row r="200">
      <c r="A200" s="102"/>
    </row>
    <row r="202">
      <c r="A202" s="103" t="s">
        <v>331</v>
      </c>
    </row>
    <row r="203">
      <c r="A203" s="104"/>
    </row>
    <row r="204">
      <c r="A204" s="99"/>
    </row>
    <row r="205">
      <c r="A205" s="105"/>
    </row>
    <row r="206">
      <c r="A206" s="102"/>
    </row>
    <row r="208">
      <c r="A208" s="103" t="s">
        <v>332</v>
      </c>
    </row>
    <row r="209">
      <c r="A209" s="39" t="s">
        <v>333</v>
      </c>
      <c r="B209" s="41" t="s">
        <v>218</v>
      </c>
    </row>
    <row r="210">
      <c r="A210" s="74"/>
      <c r="B210" s="60"/>
    </row>
    <row r="211">
      <c r="A211" s="74"/>
      <c r="B211" s="52"/>
    </row>
    <row r="212">
      <c r="A212" s="74"/>
      <c r="B212" s="52"/>
    </row>
    <row r="213">
      <c r="A213" s="74"/>
      <c r="B213" s="52"/>
    </row>
    <row r="214">
      <c r="A214" s="74"/>
      <c r="B214" s="52"/>
    </row>
    <row r="215">
      <c r="A215" s="74"/>
      <c r="B215" s="52"/>
    </row>
    <row r="216">
      <c r="A216" s="74"/>
      <c r="B216" s="52"/>
    </row>
    <row r="217">
      <c r="A217" s="74"/>
      <c r="B217" s="52"/>
    </row>
    <row r="218">
      <c r="A218" s="74"/>
      <c r="B218" s="52"/>
    </row>
    <row r="219">
      <c r="A219" s="74"/>
      <c r="B219" s="52"/>
    </row>
    <row r="220">
      <c r="A220" s="74"/>
      <c r="B220" s="52"/>
    </row>
    <row r="221">
      <c r="A221" s="74"/>
      <c r="B221" s="52"/>
    </row>
    <row r="222">
      <c r="A222" s="74"/>
      <c r="B222" s="52"/>
    </row>
    <row r="223">
      <c r="A223" s="74"/>
      <c r="B223" s="52"/>
    </row>
    <row r="224">
      <c r="A224" s="74"/>
      <c r="B224" s="52"/>
    </row>
    <row r="225">
      <c r="A225" s="75"/>
      <c r="B225" s="56"/>
    </row>
  </sheetData>
  <mergeCells count="1">
    <mergeCell ref="C148:E148"/>
  </mergeCells>
  <dataValidations>
    <dataValidation type="list" allowBlank="1" sqref="D150:D169">
      <formula1>Folha_auxiliar!$C$16:$C$21</formula1>
    </dataValidation>
    <dataValidation type="list" allowBlank="1" sqref="A174:A182 A186:A193">
      <formula1>Folha_auxiliar!$D$20:$D$21</formula1>
    </dataValidation>
    <dataValidation type="list" allowBlank="1" sqref="C38:C46 D50:D54 D99:D114 D118:D122 B210:B225">
      <formula1>Folha_auxiliar!$B$18:$B$19</formula1>
    </dataValidation>
    <dataValidation type="list" allowBlank="1" sqref="G174:G182 G186:G193">
      <formula1>Folha_auxiliar!$D$8:$D$12</formula1>
    </dataValidation>
    <dataValidation type="list" allowBlank="1" sqref="B50:B54">
      <formula1>Folha_auxiliar!$D$15:$D$17</formula1>
    </dataValidation>
    <dataValidation type="list" allowBlank="1" sqref="D174:D182 D186:D193">
      <formula1>Folha_auxiliar!$D$4:$D$5</formula1>
    </dataValidation>
    <dataValidation type="list" allowBlank="1" sqref="E4:E34">
      <formula1>Folha_auxiliar!$A$14:$A$25</formula1>
    </dataValidation>
    <dataValidation type="list" allowBlank="1" sqref="C99:C114">
      <formula1>Folha_auxiliar!$B$4:$B$7</formula1>
    </dataValidation>
    <dataValidation type="list" allowBlank="1" sqref="A126:A134">
      <formula1>Folha_auxiliar!$B$24:$B$28</formula1>
    </dataValidation>
    <dataValidation type="list" allowBlank="1" sqref="A58:A87">
      <formula1>Folha_auxiliar!$A$6:$A$12</formula1>
    </dataValidation>
    <dataValidation type="list" allowBlank="1" sqref="A150:A169">
      <formula1>Folha_auxiliar!$C$2:$C$9</formula1>
    </dataValidation>
    <dataValidation type="list" allowBlank="1" sqref="B91:B94">
      <formula1>Folha_auxiliar!$A$28:$A$32</formula1>
    </dataValidation>
    <dataValidation type="list" allowBlank="1" sqref="A138:A146">
      <formula1>Folha_auxiliar!$B$31:$B$34</formula1>
    </dataValidation>
    <dataValidation type="list" allowBlank="1" sqref="E150:E169">
      <formula1>Folha_auxiliar!$C$24:$C$31</formula1>
    </dataValidation>
    <dataValidation type="list" allowBlank="1" sqref="G150:G169">
      <formula1>Folha_auxiliar!$C$12:$C$13</formula1>
    </dataValidation>
    <dataValidation type="list" allowBlank="1" sqref="F150:F169">
      <formula1>Folha_auxiliar!$C$34:$C$41</formula1>
    </dataValidation>
    <dataValidation type="list" allowBlank="1" sqref="B118:B122">
      <formula1>Folha_auxiliar!$B$11:$B$15</formula1>
    </dataValidation>
  </dataValidations>
  <drawing r:id="rId1"/>
</worksheet>
</file>