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6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708eca4c21575c7/Desktop/BIDCHEMZ/BIDCHEMZ Files/Business models and presentations/Financial Projections/"/>
    </mc:Choice>
  </mc:AlternateContent>
  <xr:revisionPtr revIDLastSave="10" documentId="13_ncr:1_{775BFF3F-8C0C-4D09-BB43-0BB3EDDCCB1D}" xr6:coauthVersionLast="47" xr6:coauthVersionMax="47" xr10:uidLastSave="{EEB577CF-6D87-414E-891F-9098504FC9AB}"/>
  <bookViews>
    <workbookView xWindow="-108" yWindow="-108" windowWidth="23256" windowHeight="12576" firstSheet="15" activeTab="20" xr2:uid="{00000000-000D-0000-FFFF-FFFF00000000}"/>
  </bookViews>
  <sheets>
    <sheet name="Q1" sheetId="2" r:id="rId1"/>
    <sheet name="Q2" sheetId="23" r:id="rId2"/>
    <sheet name="Q3" sheetId="24" r:id="rId3"/>
    <sheet name="Q4" sheetId="25" r:id="rId4"/>
    <sheet name="Q5" sheetId="26" r:id="rId5"/>
    <sheet name="Q6" sheetId="27" r:id="rId6"/>
    <sheet name="Q7" sheetId="28" r:id="rId7"/>
    <sheet name="Q8" sheetId="29" r:id="rId8"/>
    <sheet name="Q9" sheetId="30" r:id="rId9"/>
    <sheet name="Q10" sheetId="31" r:id="rId10"/>
    <sheet name="Q11" sheetId="32" r:id="rId11"/>
    <sheet name="Q12" sheetId="33" r:id="rId12"/>
    <sheet name="Q13" sheetId="42" r:id="rId13"/>
    <sheet name="Q14" sheetId="43" r:id="rId14"/>
    <sheet name="Q15" sheetId="44" r:id="rId15"/>
    <sheet name="Q16" sheetId="45" r:id="rId16"/>
    <sheet name="Cumulative quarterly -Exp" sheetId="15" r:id="rId17"/>
    <sheet name="Profitability calculation  " sheetId="41" r:id="rId18"/>
    <sheet name="Chart " sheetId="55" r:id="rId19"/>
    <sheet name="Revenue Breakup  " sheetId="48" r:id="rId20"/>
    <sheet name="Expence -Typical " sheetId="5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9" l="1"/>
  <c r="F32" i="29" s="1"/>
  <c r="D30" i="29"/>
  <c r="E30" i="29" s="1"/>
  <c r="F30" i="29" s="1"/>
  <c r="E29" i="29"/>
  <c r="F29" i="29" s="1"/>
  <c r="F31" i="29" s="1"/>
  <c r="E28" i="29"/>
  <c r="F28" i="29" s="1"/>
  <c r="E27" i="29"/>
  <c r="D27" i="29"/>
  <c r="F26" i="29"/>
  <c r="E26" i="29"/>
  <c r="F25" i="29"/>
  <c r="F27" i="29" s="1"/>
  <c r="E25" i="29"/>
  <c r="F24" i="29"/>
  <c r="E24" i="29"/>
  <c r="F22" i="29"/>
  <c r="E22" i="29"/>
  <c r="F21" i="29"/>
  <c r="E21" i="29"/>
  <c r="F20" i="29"/>
  <c r="E20" i="29"/>
  <c r="F19" i="29"/>
  <c r="F23" i="29" s="1"/>
  <c r="E19" i="29"/>
  <c r="E23" i="29" s="1"/>
  <c r="F17" i="29"/>
  <c r="E17" i="29"/>
  <c r="D16" i="29"/>
  <c r="E15" i="29"/>
  <c r="F15" i="29" s="1"/>
  <c r="C13" i="29"/>
  <c r="E13" i="29" s="1"/>
  <c r="F13" i="29" s="1"/>
  <c r="E12" i="29"/>
  <c r="F12" i="29" s="1"/>
  <c r="E11" i="29"/>
  <c r="F11" i="29" s="1"/>
  <c r="E10" i="29"/>
  <c r="F10" i="29" s="1"/>
  <c r="E9" i="29"/>
  <c r="F9" i="29" s="1"/>
  <c r="E8" i="29"/>
  <c r="E32" i="28"/>
  <c r="F32" i="28" s="1"/>
  <c r="D31" i="28"/>
  <c r="D30" i="28"/>
  <c r="E30" i="28" s="1"/>
  <c r="F30" i="28" s="1"/>
  <c r="E29" i="28"/>
  <c r="F29" i="28" s="1"/>
  <c r="F31" i="28" s="1"/>
  <c r="E28" i="28"/>
  <c r="F28" i="28" s="1"/>
  <c r="E27" i="28"/>
  <c r="D27" i="28"/>
  <c r="E26" i="28"/>
  <c r="F26" i="28" s="1"/>
  <c r="F25" i="28"/>
  <c r="E25" i="28"/>
  <c r="E24" i="28"/>
  <c r="F24" i="28" s="1"/>
  <c r="E22" i="28"/>
  <c r="F22" i="28" s="1"/>
  <c r="F21" i="28"/>
  <c r="E21" i="28"/>
  <c r="E20" i="28"/>
  <c r="F20" i="28" s="1"/>
  <c r="F19" i="28"/>
  <c r="F23" i="28" s="1"/>
  <c r="E19" i="28"/>
  <c r="E23" i="28" s="1"/>
  <c r="E17" i="28"/>
  <c r="F17" i="28" s="1"/>
  <c r="D16" i="28"/>
  <c r="E15" i="28"/>
  <c r="F15" i="28" s="1"/>
  <c r="C14" i="28"/>
  <c r="E14" i="28" s="1"/>
  <c r="F14" i="28" s="1"/>
  <c r="C13" i="28"/>
  <c r="E13" i="28" s="1"/>
  <c r="F13" i="28" s="1"/>
  <c r="E12" i="28"/>
  <c r="F12" i="28" s="1"/>
  <c r="E11" i="28"/>
  <c r="F11" i="28" s="1"/>
  <c r="E10" i="28"/>
  <c r="F10" i="28" s="1"/>
  <c r="E9" i="28"/>
  <c r="F9" i="28" s="1"/>
  <c r="E8" i="28"/>
  <c r="E32" i="27"/>
  <c r="F32" i="27" s="1"/>
  <c r="D30" i="27"/>
  <c r="E30" i="27" s="1"/>
  <c r="F30" i="27" s="1"/>
  <c r="E29" i="27"/>
  <c r="F29" i="27" s="1"/>
  <c r="F31" i="27" s="1"/>
  <c r="E28" i="27"/>
  <c r="F28" i="27" s="1"/>
  <c r="E27" i="27"/>
  <c r="D27" i="27"/>
  <c r="F26" i="27"/>
  <c r="E26" i="27"/>
  <c r="F25" i="27"/>
  <c r="F27" i="27" s="1"/>
  <c r="E25" i="27"/>
  <c r="F24" i="27"/>
  <c r="E24" i="27"/>
  <c r="F22" i="27"/>
  <c r="E22" i="27"/>
  <c r="F21" i="27"/>
  <c r="E21" i="27"/>
  <c r="F20" i="27"/>
  <c r="E20" i="27"/>
  <c r="F19" i="27"/>
  <c r="F23" i="27" s="1"/>
  <c r="E19" i="27"/>
  <c r="E23" i="27" s="1"/>
  <c r="F17" i="27"/>
  <c r="E17" i="27"/>
  <c r="D16" i="27"/>
  <c r="E15" i="27"/>
  <c r="F15" i="27" s="1"/>
  <c r="F13" i="27"/>
  <c r="E13" i="27"/>
  <c r="C13" i="27"/>
  <c r="C14" i="27" s="1"/>
  <c r="E14" i="27" s="1"/>
  <c r="F14" i="27" s="1"/>
  <c r="E12" i="27"/>
  <c r="F12" i="27" s="1"/>
  <c r="F11" i="27"/>
  <c r="E11" i="27"/>
  <c r="E10" i="27"/>
  <c r="F10" i="27" s="1"/>
  <c r="F9" i="27"/>
  <c r="E9" i="27"/>
  <c r="E8" i="27"/>
  <c r="E30" i="25"/>
  <c r="F30" i="25" s="1"/>
  <c r="D30" i="25"/>
  <c r="F28" i="25"/>
  <c r="F29" i="25" s="1"/>
  <c r="E28" i="25"/>
  <c r="D27" i="25"/>
  <c r="E27" i="25" s="1"/>
  <c r="E29" i="25" s="1"/>
  <c r="E25" i="25"/>
  <c r="F25" i="25" s="1"/>
  <c r="D24" i="25"/>
  <c r="E24" i="25" s="1"/>
  <c r="E22" i="25"/>
  <c r="F22" i="25" s="1"/>
  <c r="E21" i="25"/>
  <c r="F21" i="25" s="1"/>
  <c r="E20" i="25"/>
  <c r="F20" i="25" s="1"/>
  <c r="E19" i="25"/>
  <c r="E23" i="25" s="1"/>
  <c r="E17" i="25"/>
  <c r="F17" i="25" s="1"/>
  <c r="D16" i="25"/>
  <c r="F15" i="25"/>
  <c r="E15" i="25"/>
  <c r="C14" i="25"/>
  <c r="E14" i="25" s="1"/>
  <c r="F14" i="25" s="1"/>
  <c r="E13" i="25"/>
  <c r="F13" i="25" s="1"/>
  <c r="C13" i="25"/>
  <c r="F12" i="25"/>
  <c r="E12" i="25"/>
  <c r="F11" i="25"/>
  <c r="E11" i="25"/>
  <c r="F10" i="25"/>
  <c r="E10" i="25"/>
  <c r="F9" i="25"/>
  <c r="E9" i="25"/>
  <c r="F8" i="25"/>
  <c r="E8" i="25"/>
  <c r="C32" i="23"/>
  <c r="E31" i="23"/>
  <c r="F31" i="23" s="1"/>
  <c r="D30" i="23"/>
  <c r="E29" i="23"/>
  <c r="F29" i="23" s="1"/>
  <c r="E28" i="23"/>
  <c r="E30" i="23" s="1"/>
  <c r="E27" i="23"/>
  <c r="D27" i="23"/>
  <c r="E26" i="23"/>
  <c r="F26" i="23" s="1"/>
  <c r="F25" i="23"/>
  <c r="E25" i="23"/>
  <c r="D24" i="23"/>
  <c r="E23" i="23"/>
  <c r="F23" i="23" s="1"/>
  <c r="E22" i="23"/>
  <c r="F22" i="23" s="1"/>
  <c r="E21" i="23"/>
  <c r="F21" i="23" s="1"/>
  <c r="E20" i="23"/>
  <c r="F20" i="23" s="1"/>
  <c r="E19" i="23"/>
  <c r="E24" i="23" s="1"/>
  <c r="E17" i="23"/>
  <c r="F17" i="23" s="1"/>
  <c r="D16" i="23"/>
  <c r="F15" i="23"/>
  <c r="E15" i="23"/>
  <c r="C14" i="23"/>
  <c r="E14" i="23" s="1"/>
  <c r="F14" i="23" s="1"/>
  <c r="E13" i="23"/>
  <c r="F13" i="23" s="1"/>
  <c r="C13" i="23"/>
  <c r="F12" i="23"/>
  <c r="E12" i="23"/>
  <c r="F11" i="23"/>
  <c r="E11" i="23"/>
  <c r="F10" i="23"/>
  <c r="E10" i="23"/>
  <c r="F9" i="23"/>
  <c r="E9" i="23"/>
  <c r="F8" i="23"/>
  <c r="F16" i="23" s="1"/>
  <c r="E8" i="23"/>
  <c r="B24" i="15"/>
  <c r="B23" i="15"/>
  <c r="B22" i="15"/>
  <c r="B21" i="15"/>
  <c r="B19" i="15"/>
  <c r="B18" i="15"/>
  <c r="B17" i="15"/>
  <c r="B6" i="15"/>
  <c r="G23" i="41"/>
  <c r="D23" i="41"/>
  <c r="T20" i="41"/>
  <c r="S19" i="41"/>
  <c r="R19" i="41"/>
  <c r="E32" i="45"/>
  <c r="F32" i="45" s="1"/>
  <c r="D31" i="45"/>
  <c r="D30" i="45"/>
  <c r="E30" i="45" s="1"/>
  <c r="F30" i="45" s="1"/>
  <c r="E29" i="45"/>
  <c r="E31" i="45" s="1"/>
  <c r="E28" i="45"/>
  <c r="F28" i="45" s="1"/>
  <c r="E27" i="45"/>
  <c r="D27" i="45"/>
  <c r="E26" i="45"/>
  <c r="F26" i="45" s="1"/>
  <c r="F25" i="45"/>
  <c r="E25" i="45"/>
  <c r="F23" i="45"/>
  <c r="E23" i="45"/>
  <c r="E22" i="45"/>
  <c r="F22" i="45" s="1"/>
  <c r="F21" i="45"/>
  <c r="E21" i="45"/>
  <c r="E20" i="45"/>
  <c r="F20" i="45" s="1"/>
  <c r="F19" i="45"/>
  <c r="E19" i="45"/>
  <c r="E17" i="45"/>
  <c r="D16" i="45"/>
  <c r="E15" i="45"/>
  <c r="F15" i="45" s="1"/>
  <c r="C14" i="45"/>
  <c r="E14" i="45" s="1"/>
  <c r="F14" i="45" s="1"/>
  <c r="F13" i="45"/>
  <c r="E13" i="45"/>
  <c r="C13" i="45"/>
  <c r="E12" i="45"/>
  <c r="F12" i="45" s="1"/>
  <c r="F11" i="45"/>
  <c r="E11" i="45"/>
  <c r="E10" i="45"/>
  <c r="F10" i="45" s="1"/>
  <c r="F9" i="45"/>
  <c r="E9" i="45"/>
  <c r="E8" i="45"/>
  <c r="E16" i="45" s="1"/>
  <c r="E32" i="44"/>
  <c r="F32" i="44" s="1"/>
  <c r="D30" i="44"/>
  <c r="E30" i="44" s="1"/>
  <c r="F30" i="44" s="1"/>
  <c r="E29" i="44"/>
  <c r="E31" i="44" s="1"/>
  <c r="E28" i="44"/>
  <c r="F28" i="44" s="1"/>
  <c r="E27" i="44"/>
  <c r="D27" i="44"/>
  <c r="F26" i="44"/>
  <c r="E26" i="44"/>
  <c r="F25" i="44"/>
  <c r="F27" i="44" s="1"/>
  <c r="E25" i="44"/>
  <c r="F23" i="44"/>
  <c r="E23" i="44"/>
  <c r="F22" i="44"/>
  <c r="E22" i="44"/>
  <c r="F21" i="44"/>
  <c r="E21" i="44"/>
  <c r="F20" i="44"/>
  <c r="E20" i="44"/>
  <c r="F19" i="44"/>
  <c r="F24" i="44" s="1"/>
  <c r="E19" i="44"/>
  <c r="E24" i="44" s="1"/>
  <c r="F17" i="44"/>
  <c r="E17" i="44"/>
  <c r="D16" i="44"/>
  <c r="E15" i="44"/>
  <c r="F15" i="44" s="1"/>
  <c r="C13" i="44"/>
  <c r="E13" i="44" s="1"/>
  <c r="F13" i="44" s="1"/>
  <c r="E12" i="44"/>
  <c r="F12" i="44" s="1"/>
  <c r="E11" i="44"/>
  <c r="F11" i="44" s="1"/>
  <c r="E10" i="44"/>
  <c r="F10" i="44" s="1"/>
  <c r="E9" i="44"/>
  <c r="F9" i="44" s="1"/>
  <c r="E8" i="44"/>
  <c r="E32" i="43"/>
  <c r="F32" i="43" s="1"/>
  <c r="D31" i="43"/>
  <c r="D30" i="43"/>
  <c r="E30" i="43" s="1"/>
  <c r="F30" i="43" s="1"/>
  <c r="E29" i="43"/>
  <c r="E31" i="43" s="1"/>
  <c r="E28" i="43"/>
  <c r="F28" i="43" s="1"/>
  <c r="E27" i="43"/>
  <c r="D27" i="43"/>
  <c r="E26" i="43"/>
  <c r="F26" i="43" s="1"/>
  <c r="F25" i="43"/>
  <c r="E25" i="43"/>
  <c r="F23" i="43"/>
  <c r="E23" i="43"/>
  <c r="E22" i="43"/>
  <c r="F22" i="43" s="1"/>
  <c r="F21" i="43"/>
  <c r="E21" i="43"/>
  <c r="E20" i="43"/>
  <c r="F20" i="43" s="1"/>
  <c r="F19" i="43"/>
  <c r="E19" i="43"/>
  <c r="E17" i="43"/>
  <c r="D16" i="43"/>
  <c r="E15" i="43"/>
  <c r="F15" i="43" s="1"/>
  <c r="C14" i="43"/>
  <c r="E14" i="43" s="1"/>
  <c r="F14" i="43" s="1"/>
  <c r="C13" i="43"/>
  <c r="E13" i="43" s="1"/>
  <c r="F13" i="43" s="1"/>
  <c r="E12" i="43"/>
  <c r="F12" i="43" s="1"/>
  <c r="E11" i="43"/>
  <c r="F11" i="43" s="1"/>
  <c r="E10" i="43"/>
  <c r="F10" i="43" s="1"/>
  <c r="E9" i="43"/>
  <c r="F9" i="43" s="1"/>
  <c r="E8" i="43"/>
  <c r="E16" i="43" s="1"/>
  <c r="Q19" i="41"/>
  <c r="E32" i="42"/>
  <c r="F32" i="42" s="1"/>
  <c r="D30" i="42"/>
  <c r="E30" i="42" s="1"/>
  <c r="F30" i="42" s="1"/>
  <c r="E29" i="42"/>
  <c r="E31" i="42" s="1"/>
  <c r="E28" i="42"/>
  <c r="F28" i="42" s="1"/>
  <c r="E27" i="42"/>
  <c r="D27" i="42"/>
  <c r="F26" i="42"/>
  <c r="E26" i="42"/>
  <c r="F25" i="42"/>
  <c r="F27" i="42" s="1"/>
  <c r="E25" i="42"/>
  <c r="F23" i="42"/>
  <c r="E23" i="42"/>
  <c r="F22" i="42"/>
  <c r="E22" i="42"/>
  <c r="F21" i="42"/>
  <c r="E21" i="42"/>
  <c r="F20" i="42"/>
  <c r="E20" i="42"/>
  <c r="F19" i="42"/>
  <c r="F24" i="42" s="1"/>
  <c r="E19" i="42"/>
  <c r="E24" i="42" s="1"/>
  <c r="F17" i="42"/>
  <c r="E17" i="42"/>
  <c r="D16" i="42"/>
  <c r="E15" i="42"/>
  <c r="F15" i="42" s="1"/>
  <c r="C13" i="42"/>
  <c r="E13" i="42" s="1"/>
  <c r="F13" i="42" s="1"/>
  <c r="E12" i="42"/>
  <c r="F12" i="42" s="1"/>
  <c r="E11" i="42"/>
  <c r="F11" i="42" s="1"/>
  <c r="E10" i="42"/>
  <c r="F10" i="42" s="1"/>
  <c r="E9" i="42"/>
  <c r="F9" i="42" s="1"/>
  <c r="E8" i="42"/>
  <c r="E32" i="33"/>
  <c r="F32" i="33" s="1"/>
  <c r="D30" i="33"/>
  <c r="E30" i="33" s="1"/>
  <c r="F30" i="33" s="1"/>
  <c r="E29" i="33"/>
  <c r="E28" i="33"/>
  <c r="F28" i="33" s="1"/>
  <c r="E27" i="33"/>
  <c r="D27" i="33"/>
  <c r="F26" i="33"/>
  <c r="E26" i="33"/>
  <c r="F25" i="33"/>
  <c r="F27" i="33" s="1"/>
  <c r="E25" i="33"/>
  <c r="F23" i="33"/>
  <c r="E23" i="33"/>
  <c r="F22" i="33"/>
  <c r="E22" i="33"/>
  <c r="F21" i="33"/>
  <c r="E21" i="33"/>
  <c r="F20" i="33"/>
  <c r="E20" i="33"/>
  <c r="F19" i="33"/>
  <c r="F24" i="33" s="1"/>
  <c r="E19" i="33"/>
  <c r="E24" i="33" s="1"/>
  <c r="F17" i="33"/>
  <c r="E17" i="33"/>
  <c r="D16" i="33"/>
  <c r="E15" i="33"/>
  <c r="F15" i="33" s="1"/>
  <c r="C13" i="33"/>
  <c r="E13" i="33" s="1"/>
  <c r="F13" i="33" s="1"/>
  <c r="E12" i="33"/>
  <c r="F12" i="33" s="1"/>
  <c r="E11" i="33"/>
  <c r="F11" i="33" s="1"/>
  <c r="E10" i="33"/>
  <c r="F10" i="33" s="1"/>
  <c r="E9" i="33"/>
  <c r="F9" i="33" s="1"/>
  <c r="E8" i="33"/>
  <c r="E32" i="32"/>
  <c r="F32" i="32" s="1"/>
  <c r="D31" i="32"/>
  <c r="D30" i="32"/>
  <c r="E30" i="32" s="1"/>
  <c r="F30" i="32" s="1"/>
  <c r="E29" i="32"/>
  <c r="E28" i="32"/>
  <c r="F28" i="32" s="1"/>
  <c r="E27" i="32"/>
  <c r="D27" i="32"/>
  <c r="E26" i="32"/>
  <c r="F26" i="32" s="1"/>
  <c r="F25" i="32"/>
  <c r="F27" i="32" s="1"/>
  <c r="E25" i="32"/>
  <c r="F23" i="32"/>
  <c r="E23" i="32"/>
  <c r="E22" i="32"/>
  <c r="F22" i="32" s="1"/>
  <c r="F21" i="32"/>
  <c r="E21" i="32"/>
  <c r="E20" i="32"/>
  <c r="E24" i="32" s="1"/>
  <c r="F19" i="32"/>
  <c r="E19" i="32"/>
  <c r="E17" i="32"/>
  <c r="D16" i="32"/>
  <c r="E15" i="32"/>
  <c r="F15" i="32" s="1"/>
  <c r="C13" i="32"/>
  <c r="E13" i="32" s="1"/>
  <c r="F13" i="32" s="1"/>
  <c r="E12" i="32"/>
  <c r="F12" i="32" s="1"/>
  <c r="E11" i="32"/>
  <c r="F11" i="32" s="1"/>
  <c r="E10" i="32"/>
  <c r="F10" i="32" s="1"/>
  <c r="E9" i="32"/>
  <c r="F9" i="32" s="1"/>
  <c r="E8" i="32"/>
  <c r="E32" i="31"/>
  <c r="F32" i="31" s="1"/>
  <c r="D30" i="31"/>
  <c r="E30" i="31" s="1"/>
  <c r="F30" i="31" s="1"/>
  <c r="E29" i="31"/>
  <c r="E31" i="31" s="1"/>
  <c r="E28" i="31"/>
  <c r="F28" i="31" s="1"/>
  <c r="E27" i="31"/>
  <c r="D27" i="31"/>
  <c r="F26" i="31"/>
  <c r="E26" i="31"/>
  <c r="F25" i="31"/>
  <c r="F27" i="31" s="1"/>
  <c r="E25" i="31"/>
  <c r="F23" i="31"/>
  <c r="E23" i="31"/>
  <c r="F22" i="31"/>
  <c r="E22" i="31"/>
  <c r="F21" i="31"/>
  <c r="E21" i="31"/>
  <c r="F20" i="31"/>
  <c r="E20" i="31"/>
  <c r="F19" i="31"/>
  <c r="F24" i="31" s="1"/>
  <c r="E19" i="31"/>
  <c r="E24" i="31" s="1"/>
  <c r="F17" i="31"/>
  <c r="E17" i="31"/>
  <c r="D16" i="31"/>
  <c r="E15" i="31"/>
  <c r="F15" i="31" s="1"/>
  <c r="C13" i="31"/>
  <c r="E13" i="31" s="1"/>
  <c r="F13" i="31" s="1"/>
  <c r="E12" i="31"/>
  <c r="F12" i="31" s="1"/>
  <c r="E11" i="31"/>
  <c r="F11" i="31" s="1"/>
  <c r="E10" i="31"/>
  <c r="F10" i="31" s="1"/>
  <c r="E9" i="31"/>
  <c r="F9" i="31" s="1"/>
  <c r="E8" i="31"/>
  <c r="D30" i="30"/>
  <c r="D31" i="30" s="1"/>
  <c r="D27" i="30"/>
  <c r="D16" i="30"/>
  <c r="E31" i="26"/>
  <c r="D31" i="26"/>
  <c r="D30" i="26"/>
  <c r="D27" i="26"/>
  <c r="D16" i="26"/>
  <c r="D30" i="24"/>
  <c r="D27" i="24"/>
  <c r="D24" i="24"/>
  <c r="D16" i="24"/>
  <c r="U8" i="41"/>
  <c r="P8" i="41"/>
  <c r="K8" i="41"/>
  <c r="F8" i="55"/>
  <c r="F9" i="55"/>
  <c r="F10" i="55"/>
  <c r="F7" i="55"/>
  <c r="C21" i="41"/>
  <c r="B21" i="41"/>
  <c r="E17" i="30"/>
  <c r="F17" i="30" s="1"/>
  <c r="E17" i="24"/>
  <c r="F17" i="24" s="1"/>
  <c r="E19" i="24"/>
  <c r="E20" i="24"/>
  <c r="F20" i="24" s="1"/>
  <c r="E21" i="24"/>
  <c r="F21" i="24" s="1"/>
  <c r="D30" i="2"/>
  <c r="D27" i="2"/>
  <c r="D24" i="2"/>
  <c r="D16" i="2"/>
  <c r="F8" i="29" l="1"/>
  <c r="C14" i="29"/>
  <c r="E14" i="29" s="1"/>
  <c r="F14" i="29" s="1"/>
  <c r="D31" i="29"/>
  <c r="E31" i="29"/>
  <c r="E16" i="28"/>
  <c r="F27" i="28"/>
  <c r="F8" i="28"/>
  <c r="F16" i="28" s="1"/>
  <c r="F33" i="28" s="1"/>
  <c r="E31" i="28"/>
  <c r="E16" i="27"/>
  <c r="F8" i="27"/>
  <c r="F16" i="27" s="1"/>
  <c r="F33" i="27" s="1"/>
  <c r="D31" i="27"/>
  <c r="E31" i="27"/>
  <c r="F16" i="25"/>
  <c r="E26" i="25"/>
  <c r="F24" i="25"/>
  <c r="F26" i="25" s="1"/>
  <c r="E16" i="25"/>
  <c r="E31" i="25" s="1"/>
  <c r="F19" i="25"/>
  <c r="F23" i="25" s="1"/>
  <c r="E16" i="23"/>
  <c r="E32" i="23" s="1"/>
  <c r="F27" i="23"/>
  <c r="F19" i="23"/>
  <c r="F24" i="23" s="1"/>
  <c r="F32" i="23" s="1"/>
  <c r="F28" i="23"/>
  <c r="F30" i="23" s="1"/>
  <c r="F24" i="45"/>
  <c r="F27" i="45"/>
  <c r="F8" i="45"/>
  <c r="F16" i="45" s="1"/>
  <c r="F33" i="45" s="1"/>
  <c r="E24" i="45"/>
  <c r="E33" i="45" s="1"/>
  <c r="F29" i="45"/>
  <c r="F31" i="45" s="1"/>
  <c r="F17" i="45"/>
  <c r="E33" i="44"/>
  <c r="F8" i="44"/>
  <c r="C14" i="44"/>
  <c r="E14" i="44" s="1"/>
  <c r="F14" i="44" s="1"/>
  <c r="F29" i="44"/>
  <c r="F31" i="44" s="1"/>
  <c r="D31" i="44"/>
  <c r="F24" i="43"/>
  <c r="F27" i="43"/>
  <c r="E24" i="43"/>
  <c r="E33" i="43" s="1"/>
  <c r="F29" i="43"/>
  <c r="F31" i="43" s="1"/>
  <c r="F17" i="43"/>
  <c r="F8" i="43"/>
  <c r="F16" i="43" s="1"/>
  <c r="F33" i="43" s="1"/>
  <c r="C14" i="32"/>
  <c r="E14" i="32" s="1"/>
  <c r="F14" i="32" s="1"/>
  <c r="E33" i="42"/>
  <c r="F8" i="42"/>
  <c r="C14" i="42"/>
  <c r="E14" i="42" s="1"/>
  <c r="F14" i="42" s="1"/>
  <c r="F29" i="42"/>
  <c r="F31" i="42" s="1"/>
  <c r="D31" i="42"/>
  <c r="E31" i="33"/>
  <c r="E33" i="33" s="1"/>
  <c r="F8" i="33"/>
  <c r="C14" i="33"/>
  <c r="E14" i="33" s="1"/>
  <c r="F14" i="33" s="1"/>
  <c r="F29" i="33"/>
  <c r="F31" i="33" s="1"/>
  <c r="D31" i="33"/>
  <c r="E16" i="32"/>
  <c r="E31" i="32"/>
  <c r="E33" i="32"/>
  <c r="F29" i="32"/>
  <c r="F31" i="32" s="1"/>
  <c r="F8" i="32"/>
  <c r="F16" i="32" s="1"/>
  <c r="F17" i="32"/>
  <c r="F20" i="32"/>
  <c r="F24" i="32" s="1"/>
  <c r="E33" i="31"/>
  <c r="F8" i="31"/>
  <c r="C14" i="31"/>
  <c r="E14" i="31" s="1"/>
  <c r="F14" i="31" s="1"/>
  <c r="F29" i="31"/>
  <c r="F31" i="31" s="1"/>
  <c r="D31" i="31"/>
  <c r="F19" i="24"/>
  <c r="F16" i="29" l="1"/>
  <c r="F33" i="29" s="1"/>
  <c r="E16" i="29"/>
  <c r="E33" i="29" s="1"/>
  <c r="E33" i="28"/>
  <c r="E33" i="27"/>
  <c r="F31" i="25"/>
  <c r="F16" i="44"/>
  <c r="F33" i="44" s="1"/>
  <c r="E16" i="44"/>
  <c r="E16" i="42"/>
  <c r="F16" i="42"/>
  <c r="F33" i="42" s="1"/>
  <c r="F16" i="33"/>
  <c r="F33" i="33" s="1"/>
  <c r="O19" i="41" s="1"/>
  <c r="E16" i="33"/>
  <c r="F33" i="32"/>
  <c r="N19" i="41" s="1"/>
  <c r="F16" i="31"/>
  <c r="F33" i="31" s="1"/>
  <c r="M19" i="41" s="1"/>
  <c r="E16" i="31"/>
  <c r="P25" i="41"/>
  <c r="F32" i="50"/>
  <c r="E26" i="50"/>
  <c r="F26" i="50" s="1"/>
  <c r="E30" i="50"/>
  <c r="F30" i="50" s="1"/>
  <c r="E29" i="50"/>
  <c r="F29" i="50" s="1"/>
  <c r="E28" i="50"/>
  <c r="E25" i="50"/>
  <c r="F25" i="50" s="1"/>
  <c r="E24" i="50"/>
  <c r="F24" i="50" s="1"/>
  <c r="E22" i="50"/>
  <c r="F22" i="50" s="1"/>
  <c r="E21" i="50"/>
  <c r="F21" i="50" s="1"/>
  <c r="E20" i="50"/>
  <c r="F20" i="50" s="1"/>
  <c r="E31" i="50"/>
  <c r="F31" i="50" s="1"/>
  <c r="E19" i="50"/>
  <c r="F19" i="50" s="1"/>
  <c r="E17" i="50"/>
  <c r="F17" i="50" s="1"/>
  <c r="F18" i="50" s="1"/>
  <c r="E15" i="50"/>
  <c r="F15" i="50" s="1"/>
  <c r="C13" i="50"/>
  <c r="C14" i="50" s="1"/>
  <c r="E14" i="50" s="1"/>
  <c r="F14" i="50" s="1"/>
  <c r="E12" i="50"/>
  <c r="F12" i="50" s="1"/>
  <c r="E11" i="50"/>
  <c r="F11" i="50" s="1"/>
  <c r="E10" i="50"/>
  <c r="F10" i="50" s="1"/>
  <c r="E9" i="50"/>
  <c r="F9" i="50" s="1"/>
  <c r="E8" i="50"/>
  <c r="J8" i="41"/>
  <c r="I8" i="41"/>
  <c r="H8" i="41"/>
  <c r="G8" i="41"/>
  <c r="E8" i="41"/>
  <c r="E30" i="30"/>
  <c r="F30" i="30" s="1"/>
  <c r="E30" i="26"/>
  <c r="F30" i="26" s="1"/>
  <c r="T8" i="41"/>
  <c r="S8" i="41"/>
  <c r="R8" i="41"/>
  <c r="Q8" i="41"/>
  <c r="M8" i="41"/>
  <c r="L8" i="41"/>
  <c r="D8" i="41"/>
  <c r="E15" i="30"/>
  <c r="F15" i="30" s="1"/>
  <c r="C13" i="30"/>
  <c r="C14" i="30" s="1"/>
  <c r="E14" i="30" s="1"/>
  <c r="F14" i="30" s="1"/>
  <c r="E12" i="30"/>
  <c r="F12" i="30" s="1"/>
  <c r="E11" i="30"/>
  <c r="F11" i="30" s="1"/>
  <c r="E10" i="30"/>
  <c r="F10" i="30" s="1"/>
  <c r="E9" i="30"/>
  <c r="F9" i="30" s="1"/>
  <c r="E8" i="30"/>
  <c r="O8" i="41"/>
  <c r="N8" i="41"/>
  <c r="O6" i="41"/>
  <c r="N6" i="41"/>
  <c r="M6" i="41"/>
  <c r="L6" i="41"/>
  <c r="E15" i="26"/>
  <c r="F15" i="26" s="1"/>
  <c r="C13" i="26"/>
  <c r="E12" i="26"/>
  <c r="F12" i="26" s="1"/>
  <c r="E11" i="26"/>
  <c r="F11" i="26" s="1"/>
  <c r="E10" i="26"/>
  <c r="F10" i="26" s="1"/>
  <c r="E9" i="26"/>
  <c r="F9" i="26" s="1"/>
  <c r="E8" i="26"/>
  <c r="E15" i="24"/>
  <c r="F15" i="24" s="1"/>
  <c r="C13" i="24"/>
  <c r="E12" i="24"/>
  <c r="F12" i="24" s="1"/>
  <c r="E11" i="24"/>
  <c r="F11" i="24" s="1"/>
  <c r="E10" i="24"/>
  <c r="F10" i="24" s="1"/>
  <c r="E9" i="24"/>
  <c r="F9" i="24" s="1"/>
  <c r="E8" i="24"/>
  <c r="E15" i="2"/>
  <c r="F15" i="2" s="1"/>
  <c r="C13" i="2"/>
  <c r="E12" i="2"/>
  <c r="F12" i="2" s="1"/>
  <c r="E11" i="2"/>
  <c r="F11" i="2" s="1"/>
  <c r="E10" i="2"/>
  <c r="F10" i="2" s="1"/>
  <c r="E9" i="2"/>
  <c r="E8" i="2"/>
  <c r="F8" i="2" s="1"/>
  <c r="J6" i="41"/>
  <c r="I6" i="41"/>
  <c r="H6" i="41"/>
  <c r="G6" i="41"/>
  <c r="E6" i="41"/>
  <c r="D6" i="41"/>
  <c r="C6" i="41"/>
  <c r="B6" i="41"/>
  <c r="F8" i="26" l="1"/>
  <c r="F9" i="2"/>
  <c r="F16" i="2" s="1"/>
  <c r="E16" i="2"/>
  <c r="H14" i="41"/>
  <c r="I16" i="41"/>
  <c r="N16" i="41"/>
  <c r="D14" i="41"/>
  <c r="E14" i="41" s="1"/>
  <c r="D12" i="41"/>
  <c r="E12" i="41"/>
  <c r="L16" i="41"/>
  <c r="L14" i="41"/>
  <c r="G12" i="41"/>
  <c r="G14" i="41"/>
  <c r="F8" i="30"/>
  <c r="F8" i="24"/>
  <c r="H16" i="41"/>
  <c r="J16" i="41"/>
  <c r="O16" i="41" s="1"/>
  <c r="G16" i="41"/>
  <c r="S16" i="41"/>
  <c r="Q16" i="41"/>
  <c r="D10" i="41"/>
  <c r="E10" i="41" s="1"/>
  <c r="G10" i="41"/>
  <c r="H10" i="41" s="1"/>
  <c r="I10" i="41" s="1"/>
  <c r="F23" i="50"/>
  <c r="F27" i="50"/>
  <c r="E13" i="50"/>
  <c r="F13" i="50" s="1"/>
  <c r="F8" i="50"/>
  <c r="E13" i="30"/>
  <c r="F13" i="30" s="1"/>
  <c r="C14" i="26"/>
  <c r="E14" i="26" s="1"/>
  <c r="F14" i="26" s="1"/>
  <c r="E13" i="26"/>
  <c r="F13" i="26" s="1"/>
  <c r="C14" i="24"/>
  <c r="E14" i="24" s="1"/>
  <c r="F14" i="24" s="1"/>
  <c r="E13" i="24"/>
  <c r="F13" i="24" s="1"/>
  <c r="C14" i="2"/>
  <c r="E14" i="2" s="1"/>
  <c r="F14" i="2" s="1"/>
  <c r="E13" i="2"/>
  <c r="F13" i="2" s="1"/>
  <c r="F16" i="26" l="1"/>
  <c r="E16" i="26"/>
  <c r="J10" i="41"/>
  <c r="M16" i="41"/>
  <c r="R16" i="41" s="1"/>
  <c r="T16" i="41"/>
  <c r="K12" i="41"/>
  <c r="C7" i="48" s="1"/>
  <c r="G18" i="41"/>
  <c r="G21" i="41" s="1"/>
  <c r="K14" i="41"/>
  <c r="C8" i="48" s="1"/>
  <c r="M14" i="41"/>
  <c r="N14" i="41" s="1"/>
  <c r="O14" i="41" s="1"/>
  <c r="I14" i="41"/>
  <c r="J14" i="41" s="1"/>
  <c r="Q14" i="41"/>
  <c r="H12" i="41"/>
  <c r="I12" i="41" s="1"/>
  <c r="J12" i="41" s="1"/>
  <c r="E16" i="30"/>
  <c r="F16" i="30"/>
  <c r="E16" i="24"/>
  <c r="F16" i="24"/>
  <c r="L12" i="41"/>
  <c r="L10" i="41"/>
  <c r="M10" i="41" s="1"/>
  <c r="F16" i="50"/>
  <c r="F34" i="50" s="1"/>
  <c r="E34" i="50"/>
  <c r="L18" i="41" l="1"/>
  <c r="L21" i="41" s="1"/>
  <c r="P14" i="41"/>
  <c r="N10" i="41"/>
  <c r="Q10" i="41"/>
  <c r="R14" i="41"/>
  <c r="S14" i="41" s="1"/>
  <c r="T14" i="41" s="1"/>
  <c r="K21" i="41"/>
  <c r="J18" i="41"/>
  <c r="J21" i="41" s="1"/>
  <c r="H18" i="41"/>
  <c r="H21" i="41" s="1"/>
  <c r="I18" i="41"/>
  <c r="I21" i="41" s="1"/>
  <c r="M12" i="41"/>
  <c r="N12" i="41" s="1"/>
  <c r="Q12" i="41"/>
  <c r="K10" i="41"/>
  <c r="C32" i="2"/>
  <c r="B14" i="41"/>
  <c r="F7" i="41"/>
  <c r="K7" i="41" s="1"/>
  <c r="P7" i="41" s="1"/>
  <c r="U7" i="41" s="1"/>
  <c r="F6" i="41"/>
  <c r="K6" i="41" s="1"/>
  <c r="P6" i="41" s="1"/>
  <c r="U6" i="41" s="1"/>
  <c r="E32" i="30"/>
  <c r="F32" i="30" s="1"/>
  <c r="E29" i="30"/>
  <c r="E31" i="30" s="1"/>
  <c r="E28" i="30"/>
  <c r="F28" i="30" s="1"/>
  <c r="E26" i="30"/>
  <c r="F26" i="30" s="1"/>
  <c r="E25" i="30"/>
  <c r="E23" i="30"/>
  <c r="F23" i="30" s="1"/>
  <c r="E22" i="30"/>
  <c r="F22" i="30" s="1"/>
  <c r="E21" i="30"/>
  <c r="F21" i="30" s="1"/>
  <c r="E20" i="30"/>
  <c r="F20" i="30" s="1"/>
  <c r="E19" i="30"/>
  <c r="E32" i="26"/>
  <c r="F32" i="26" s="1"/>
  <c r="E29" i="26"/>
  <c r="E28" i="26"/>
  <c r="F28" i="26" s="1"/>
  <c r="E26" i="26"/>
  <c r="F26" i="26" s="1"/>
  <c r="E25" i="26"/>
  <c r="E24" i="26"/>
  <c r="F24" i="26" s="1"/>
  <c r="E22" i="26"/>
  <c r="F22" i="26" s="1"/>
  <c r="E21" i="26"/>
  <c r="F21" i="26" s="1"/>
  <c r="E20" i="26"/>
  <c r="F20" i="26" s="1"/>
  <c r="E19" i="26"/>
  <c r="E17" i="26"/>
  <c r="F17" i="26" s="1"/>
  <c r="E22" i="24"/>
  <c r="E24" i="24"/>
  <c r="E25" i="24"/>
  <c r="F25" i="24" s="1"/>
  <c r="E27" i="24"/>
  <c r="E29" i="24" s="1"/>
  <c r="E28" i="24"/>
  <c r="F28" i="24" s="1"/>
  <c r="F29" i="24" s="1"/>
  <c r="E30" i="24"/>
  <c r="F30" i="24" s="1"/>
  <c r="E31" i="2"/>
  <c r="F31" i="2" s="1"/>
  <c r="E29" i="2"/>
  <c r="F29" i="2" s="1"/>
  <c r="E17" i="2"/>
  <c r="E20" i="2"/>
  <c r="E28" i="2"/>
  <c r="E26" i="2"/>
  <c r="E27" i="2" s="1"/>
  <c r="E25" i="2"/>
  <c r="E23" i="2"/>
  <c r="E22" i="2"/>
  <c r="E21" i="2"/>
  <c r="E19" i="2"/>
  <c r="F19" i="26" l="1"/>
  <c r="F23" i="26" s="1"/>
  <c r="E23" i="26"/>
  <c r="F29" i="26"/>
  <c r="F31" i="26" s="1"/>
  <c r="F25" i="26"/>
  <c r="F27" i="26" s="1"/>
  <c r="E27" i="26"/>
  <c r="F24" i="24"/>
  <c r="F26" i="24" s="1"/>
  <c r="E26" i="24"/>
  <c r="F28" i="2"/>
  <c r="F30" i="2" s="1"/>
  <c r="E30" i="2"/>
  <c r="E24" i="2"/>
  <c r="E32" i="2" s="1"/>
  <c r="O10" i="41"/>
  <c r="N18" i="41"/>
  <c r="N21" i="41" s="1"/>
  <c r="R10" i="41"/>
  <c r="M18" i="41"/>
  <c r="M21" i="41" s="1"/>
  <c r="C6" i="48"/>
  <c r="U14" i="41"/>
  <c r="R12" i="41"/>
  <c r="S12" i="41" s="1"/>
  <c r="Q18" i="41"/>
  <c r="Q21" i="41" s="1"/>
  <c r="F29" i="30"/>
  <c r="F31" i="30" s="1"/>
  <c r="F25" i="30"/>
  <c r="F27" i="30" s="1"/>
  <c r="E27" i="30"/>
  <c r="F19" i="30"/>
  <c r="E24" i="30"/>
  <c r="E33" i="30" s="1"/>
  <c r="F22" i="24"/>
  <c r="F23" i="24" s="1"/>
  <c r="E23" i="24"/>
  <c r="C14" i="41"/>
  <c r="F8" i="41"/>
  <c r="F21" i="2"/>
  <c r="F25" i="2"/>
  <c r="F20" i="2"/>
  <c r="F23" i="2"/>
  <c r="F19" i="2"/>
  <c r="F22" i="2"/>
  <c r="F17" i="2"/>
  <c r="F26" i="2"/>
  <c r="F27" i="2" s="1"/>
  <c r="F24" i="30" l="1"/>
  <c r="F33" i="30" s="1"/>
  <c r="F33" i="26"/>
  <c r="B11" i="15" s="1"/>
  <c r="E33" i="26"/>
  <c r="E32" i="25"/>
  <c r="F32" i="25"/>
  <c r="E19" i="41" s="1"/>
  <c r="E31" i="24"/>
  <c r="F31" i="24"/>
  <c r="D19" i="41" s="1"/>
  <c r="F24" i="2"/>
  <c r="F32" i="2" s="1"/>
  <c r="B19" i="41" s="1"/>
  <c r="R18" i="41"/>
  <c r="R21" i="41" s="1"/>
  <c r="T10" i="41"/>
  <c r="S10" i="41"/>
  <c r="S18" i="41" s="1"/>
  <c r="S21" i="41" s="1"/>
  <c r="T19" i="41"/>
  <c r="B7" i="15"/>
  <c r="C19" i="41"/>
  <c r="B14" i="15"/>
  <c r="J19" i="41"/>
  <c r="B13" i="15"/>
  <c r="I19" i="41"/>
  <c r="B12" i="15"/>
  <c r="H19" i="41"/>
  <c r="L19" i="41"/>
  <c r="G19" i="41" l="1"/>
  <c r="K19" i="41" s="1"/>
  <c r="K20" i="41" s="1"/>
  <c r="K23" i="41" s="1"/>
  <c r="B8" i="15"/>
  <c r="U19" i="41"/>
  <c r="U20" i="41" s="1"/>
  <c r="U23" i="41" s="1"/>
  <c r="P19" i="41"/>
  <c r="P20" i="41" s="1"/>
  <c r="P23" i="41" s="1"/>
  <c r="F19" i="41"/>
  <c r="F20" i="41" s="1"/>
  <c r="F23" i="41" s="1"/>
  <c r="P10" i="41"/>
  <c r="U10" i="41"/>
  <c r="U16" i="41"/>
  <c r="P16" i="41"/>
  <c r="B16" i="15"/>
  <c r="B20" i="15" s="1"/>
  <c r="B25" i="15"/>
  <c r="K16" i="41"/>
  <c r="C18" i="41"/>
  <c r="C20" i="41" s="1"/>
  <c r="F10" i="41"/>
  <c r="F12" i="41"/>
  <c r="B9" i="15"/>
  <c r="B15" i="15"/>
  <c r="C9" i="48" l="1"/>
  <c r="K18" i="41"/>
  <c r="O12" i="41"/>
  <c r="F16" i="41"/>
  <c r="B18" i="41"/>
  <c r="B20" i="41" s="1"/>
  <c r="I20" i="41"/>
  <c r="I23" i="41" s="1"/>
  <c r="E18" i="41"/>
  <c r="B10" i="15"/>
  <c r="O18" i="41" l="1"/>
  <c r="O21" i="41" s="1"/>
  <c r="P21" i="41" s="1"/>
  <c r="T12" i="41"/>
  <c r="E20" i="41"/>
  <c r="E23" i="41" s="1"/>
  <c r="E21" i="41"/>
  <c r="G20" i="41"/>
  <c r="U12" i="41" l="1"/>
  <c r="T18" i="41"/>
  <c r="M20" i="41"/>
  <c r="M23" i="41" s="1"/>
  <c r="P12" i="41"/>
  <c r="P18" i="41" s="1"/>
  <c r="U18" i="41" l="1"/>
  <c r="T21" i="41"/>
  <c r="U21" i="41" s="1"/>
  <c r="Q20" i="41"/>
  <c r="Q23" i="41" s="1"/>
  <c r="T23" i="41" l="1"/>
  <c r="F14" i="41"/>
  <c r="F18" i="41" s="1"/>
  <c r="D18" i="41"/>
  <c r="D20" i="41" l="1"/>
  <c r="D21" i="41"/>
  <c r="F21" i="41" s="1"/>
  <c r="H20" i="41"/>
  <c r="H23" i="41" s="1"/>
  <c r="J20" i="41"/>
  <c r="J23" i="41" s="1"/>
  <c r="L20" i="41"/>
  <c r="L23" i="41" s="1"/>
  <c r="N20" i="41" l="1"/>
  <c r="N23" i="41" s="1"/>
  <c r="O20" i="41"/>
  <c r="O23" i="41" s="1"/>
  <c r="R20" i="41"/>
  <c r="R23" i="41" s="1"/>
  <c r="S20" i="41" l="1"/>
  <c r="S23" i="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tc={DC8CEB24-544E-4A63-ABB2-8035C5AD0E91}</author>
    <author>tc={79E0E98A-8637-4C90-9742-F322091B908B}</author>
  </authors>
  <commentList>
    <comment ref="D8" authorId="0" shapeId="0" xr:uid="{DC8CEB24-544E-4A63-ABB2-8035C5AD0E9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Cumulative factor to be added for q1,2</t>
        </r>
      </text>
    </comment>
    <comment ref="F8" authorId="1" shapeId="0" xr:uid="{79E0E98A-8637-4C90-9742-F322091B908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consider MAY and DAU in the metrics</t>
        </r>
      </text>
    </comment>
  </commentList>
</comments>
</file>

<file path=xl/sharedStrings.xml><?xml version="1.0" encoding="utf-8"?>
<sst xmlns="http://schemas.openxmlformats.org/spreadsheetml/2006/main" count="676" uniqueCount="108">
  <si>
    <t xml:space="preserve">HEADS </t>
  </si>
  <si>
    <t xml:space="preserve">Nos </t>
  </si>
  <si>
    <t xml:space="preserve">Salaries /Expence </t>
  </si>
  <si>
    <t xml:space="preserve">TOTAL /month </t>
  </si>
  <si>
    <t xml:space="preserve">TOTAL /3 months </t>
  </si>
  <si>
    <t xml:space="preserve">Sales </t>
  </si>
  <si>
    <t>Sales Managers (Aquization)</t>
  </si>
  <si>
    <t>Sales Executives(Aquization)</t>
  </si>
  <si>
    <t>Sales Managers (Activation &amp; Account management ))</t>
  </si>
  <si>
    <t>Sales Executives(Activation)</t>
  </si>
  <si>
    <t xml:space="preserve">Relationship Officer </t>
  </si>
  <si>
    <t xml:space="preserve">Incentives </t>
  </si>
  <si>
    <t>TA &amp; DA</t>
  </si>
  <si>
    <t xml:space="preserve">Listing Executives </t>
  </si>
  <si>
    <t xml:space="preserve">Marketing </t>
  </si>
  <si>
    <t xml:space="preserve">Digital Marketing &amp; Ads </t>
  </si>
  <si>
    <t xml:space="preserve">Admin </t>
  </si>
  <si>
    <t xml:space="preserve">CEO &amp; CGO </t>
  </si>
  <si>
    <t xml:space="preserve">CTO </t>
  </si>
  <si>
    <t xml:space="preserve">HR Manager </t>
  </si>
  <si>
    <t xml:space="preserve">Admin Executive </t>
  </si>
  <si>
    <t>Accountant  /CA</t>
  </si>
  <si>
    <t>Legal Fees</t>
  </si>
  <si>
    <t xml:space="preserve">Office Space </t>
  </si>
  <si>
    <t xml:space="preserve">300 sq ft </t>
  </si>
  <si>
    <t xml:space="preserve">IT infrastruce </t>
  </si>
  <si>
    <t xml:space="preserve">Product development( Improvement of UX &amp; UI)  &amp; Maintainance </t>
  </si>
  <si>
    <t xml:space="preserve">IT Manager </t>
  </si>
  <si>
    <t xml:space="preserve">Miscellenous </t>
  </si>
  <si>
    <t xml:space="preserve">TOTAL </t>
  </si>
  <si>
    <t>Account Managers</t>
  </si>
  <si>
    <t xml:space="preserve">PERIOD </t>
  </si>
  <si>
    <t>EXPENCE</t>
  </si>
  <si>
    <t xml:space="preserve">1ST YEAR </t>
  </si>
  <si>
    <t xml:space="preserve">2ND YEAR </t>
  </si>
  <si>
    <t xml:space="preserve">3RD YEAR </t>
  </si>
  <si>
    <t>4TH YEAR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</si>
  <si>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</si>
  <si>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</si>
  <si>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</si>
  <si>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</si>
  <si>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</si>
  <si>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</si>
  <si>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</si>
  <si>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</si>
  <si>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</si>
  <si>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</si>
  <si>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</si>
  <si>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</si>
  <si>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</si>
  <si>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</si>
  <si>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</si>
  <si>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</si>
  <si>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Listing progression</t>
  </si>
  <si>
    <t xml:space="preserve">Profit/Loss </t>
  </si>
  <si>
    <t>Sales Managers (Activation)</t>
  </si>
  <si>
    <t xml:space="preserve">IT Executive </t>
  </si>
  <si>
    <t>QTR 1</t>
  </si>
  <si>
    <t>QTR 2</t>
  </si>
  <si>
    <t>QTR 3</t>
  </si>
  <si>
    <t>QTR 4</t>
  </si>
  <si>
    <t>QTR 5</t>
  </si>
  <si>
    <t>QTR 6</t>
  </si>
  <si>
    <t>QTR 7</t>
  </si>
  <si>
    <t>QTR 8</t>
  </si>
  <si>
    <t>QTR 9</t>
  </si>
  <si>
    <t>QTR 10</t>
  </si>
  <si>
    <t>QTR 11</t>
  </si>
  <si>
    <t>QTR 12</t>
  </si>
  <si>
    <t xml:space="preserve">Sub Total 1st Year </t>
  </si>
  <si>
    <t xml:space="preserve">Sub Total  2nd Year </t>
  </si>
  <si>
    <t xml:space="preserve">Sub Total  3rd Year </t>
  </si>
  <si>
    <t>QTR 13</t>
  </si>
  <si>
    <t>QTR 14</t>
  </si>
  <si>
    <t>QTR 15</t>
  </si>
  <si>
    <t>QTR 16</t>
  </si>
  <si>
    <t>Projected user base @ 5% of total listings( Progression)</t>
  </si>
  <si>
    <t>Projected paid users @ (2 to 4)% of total users/Qtr</t>
  </si>
  <si>
    <t>Ad Subs.</t>
  </si>
  <si>
    <t>Product development &amp;Maintainance</t>
  </si>
  <si>
    <t xml:space="preserve">Infrastructure &amp; Legal </t>
  </si>
  <si>
    <t>Admin Exp</t>
  </si>
  <si>
    <t xml:space="preserve"> Marketing </t>
  </si>
  <si>
    <t xml:space="preserve"> Revenue Monthwise/ Quarterwise</t>
  </si>
  <si>
    <t xml:space="preserve">Expence Quarterwise/Yearwise </t>
  </si>
  <si>
    <t>Monthly revenue from sales brokerage @1.65%           (At Projected Annual transaction @ 1 cr/PA /Paid user)</t>
  </si>
  <si>
    <t>Monthly revenue from Fintech brokerage @.10% (At Projected Annual transaction @ 1 cr/PA /Paid user)</t>
  </si>
  <si>
    <t>Ad Subscription (At Projected Annual Subscription @ Rs 10,000/PA /Paid user)</t>
  </si>
  <si>
    <t>Monthly revenue from Logistic  brokerage @2% (At Projected Annual transaction of 1truck load amounting to rs 2 x 25,000 kgs= Rs 50000/month /user i.e 50000 x 12 = Rs 600000/Pa)</t>
  </si>
  <si>
    <t xml:space="preserve">Marketing  </t>
  </si>
  <si>
    <t xml:space="preserve">Legal &amp; Infrastructure </t>
  </si>
  <si>
    <t xml:space="preserve">Product development &amp; Management  </t>
  </si>
  <si>
    <t xml:space="preserve"> Year Revenue( Q5 to Q6)</t>
  </si>
  <si>
    <t xml:space="preserve">Commission from sales </t>
  </si>
  <si>
    <t xml:space="preserve">Commission from logistics </t>
  </si>
  <si>
    <t xml:space="preserve">Commission from Finteck  </t>
  </si>
  <si>
    <t xml:space="preserve">GMV (Gross merchandise value) </t>
  </si>
  <si>
    <t>Year 1</t>
  </si>
  <si>
    <t>Year 2</t>
  </si>
  <si>
    <t>Year 3</t>
  </si>
  <si>
    <t>Year 4</t>
  </si>
  <si>
    <t xml:space="preserve">YEARWISE </t>
  </si>
  <si>
    <t xml:space="preserve">REVENUE </t>
  </si>
  <si>
    <t xml:space="preserve">EXPENCE </t>
  </si>
  <si>
    <t xml:space="preserve">PROFIT &amp; LOSS </t>
  </si>
  <si>
    <t>Sales Executives(Lead Gen)</t>
  </si>
  <si>
    <t>Sales Executives(Lead Gen )</t>
  </si>
  <si>
    <t xml:space="preserve">Profit/Loss 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</si>
</sst>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" fontId="2" fillId="0" borderId="0" xfId="0" applyNumberFormat="1" applyFont="1"/>
    <xf numFmtId="0" fontId="3" fillId="0" borderId="0" xfId="0" applyFont="1"/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" fontId="2" fillId="4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" fontId="10" fillId="0" borderId="2" xfId="0" applyNumberFormat="1" applyFont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" fontId="4" fillId="5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" fontId="0" fillId="0" borderId="0" xfId="0" applyNumberFormat="1"/>
    <xf numFmtId="0" fontId="11" fillId="0" borderId="0" xfId="0" applyFont="1"/>
    <xf numFmtId="0" fontId="11" fillId="0" borderId="0" xfId="0" applyFont="1" applyAlignment="1">
      <alignment wrapText="1"/>
    </xf>
    <xf numFmtId="0" fontId="1" fillId="3" borderId="0" xfId="0" applyFont="1" applyFill="1" applyAlignment="1">
      <alignment horizontal="left" vertical="center"/>
    </xf>
    <xf numFmtId="1" fontId="4" fillId="4" borderId="2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'Profitability calculation  '!$A$18</c:f>
              <c:strCache>
                <c:ptCount val="1"/>
                <c:pt idx="0">
                  <c:v> Revenue Monthwise/ Quarterwise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'Profitability calculation  '!$B$18:$U$18</c15:sqref>
                  </c15:fullRef>
                </c:ext>
              </c:extLst>
              <c:f>('Profitability calculation  '!$F$18,'Profitability calculation  '!$K$18,'Profitability calculation  '!$P$18,'Profitability calculation  '!$U$18)</c:f>
              <c:numCache>
                <c:formatCode>0</c:formatCode>
                <c:ptCount val="4"/>
                <c:pt idx="0">
                  <c:v>3067968.75</c:v>
                </c:pt>
                <c:pt idx="1">
                  <c:v>36636523.4375</c:v>
                </c:pt>
                <c:pt idx="2">
                  <c:v>164604945.3125</c:v>
                </c:pt>
                <c:pt idx="3">
                  <c:v>192856600.09765625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8-4E21-A63D-DACD43C34C57}"/>
            </c:ext>
          </c:extLst>
        </c:ser>
        <c:ser>
          <c:idx val="1"/>
          <c:order val="1"/>
          <c:tx>
            <c:strRef>
              <c:f>'Profitability calculation  '!$A$19</c:f>
              <c:strCache>
                <c:ptCount val="1"/>
                <c:pt idx="0">
                  <c:v>Expence Quarterwise/Yearwise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'Profitability calculation  '!$B$19:$U$19</c15:sqref>
                  </c15:fullRef>
                </c:ext>
              </c:extLst>
              <c:f>('Profitability calculation  '!$F$19,'Profitability calculation  '!$K$19,'Profitability calculation  '!$P$19,'Profitability calculation  '!$U$19)</c:f>
              <c:numCache>
                <c:formatCode>General</c:formatCode>
                <c:ptCount val="4"/>
                <c:pt idx="0">
                  <c:v>14575000</c:v>
                </c:pt>
                <c:pt idx="1">
                  <c:v>22521000</c:v>
                </c:pt>
                <c:pt idx="2">
                  <c:v>58612000</c:v>
                </c:pt>
                <c:pt idx="3">
                  <c:v>79317000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8-4E21-A63D-DACD43C34C57}"/>
            </c:ext>
          </c:extLst>
        </c:ser>
        <c:ser>
          <c:idx val="2"/>
          <c:order val="2"/>
          <c:tx>
            <c:strRef>
              <c:f>'Profitability calculation  '!$A$20</c:f>
              <c:strCache>
                <c:ptCount val="1"/>
                <c:pt idx="0">
                  <c:v>Profit/Loss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'Profitability calculation  '!$B$20:$U$20</c15:sqref>
                  </c15:fullRef>
                </c:ext>
              </c:extLst>
              <c:f>('Profitability calculation  '!$F$20,'Profitability calculation  '!$K$20,'Profitability calculation  '!$P$20,'Profitability calculation  '!$U$20)</c:f>
              <c:numCache>
                <c:formatCode>0</c:formatCode>
                <c:ptCount val="4"/>
                <c:pt idx="0">
                  <c:v>-11507031.25</c:v>
                </c:pt>
                <c:pt idx="1">
                  <c:v>14115523.4375</c:v>
                </c:pt>
                <c:pt idx="2">
                  <c:v>105992945.3125</c:v>
                </c:pt>
                <c:pt idx="3">
                  <c:v>113539600.09765625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8-4E21-A63D-DACD43C3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662992"/>
        <c:axId val="8014993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'Profitability calculation  '!$A$21</c15:sqref>
                        </c15:formulaRef>
                      </c:ext>
                    </c:extLst>
                    <c:strCache>
                      <c:ptCount val="1"/>
                      <c:pt idx="0">
                        <c:v>GMV (Gross merchandise value)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'Profitability calculation  '!$B$21:$U$21</c15:sqref>
                        </c15:fullRef>
                        <c15:formulaRef>
                          <c15:sqref>('Profitability calculation  '!$F$21,'Profitability calculation  '!$K$21,'Profitability calculation  '!$P$21,'Profitability calculation  '!$U$21)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7656250</c:v>
                      </c:pt>
                      <c:pt idx="1">
                        <c:v>1831826171.875</c:v>
                      </c:pt>
                      <c:pt idx="2">
                        <c:v>8137500683.59375</c:v>
                      </c:pt>
                      <c:pt idx="3">
                        <c:v>9642830004.8828125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48-4E21-A63D-DACD43C34C57}"/>
                  </c:ext>
                </c:extLst>
              </c15:ser>
            </c15:filteredBarSeries>
          </c:ext>
        </c:extLst>
      </c:barChart>
      <c:catAx>
        <c:axId val="8036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9376"/>
        <c:crosses val="autoZero"/>
        <c:auto val="1"/>
        <c:lblAlgn val="ctr"/>
        <c:lblOffset val="100"/>
        <c:noMultiLvlLbl val="0"/>
      </c:catAx>
      <c:valAx>
        <c:axId val="8014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'Chart '!$D$6</c:f>
              <c:strCache>
                <c:ptCount val="1"/>
                <c:pt idx="0">
                  <c:v>REVENUE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'Chart '!$C$7:$C$10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 '!$D$7:$D$10</c:f>
              <c:numCache>
                <c:formatCode>0</c:formatCode>
                <c:ptCount val="4"/>
                <c:pt idx="0">
                  <c:v>30.67</c:v>
                </c:pt>
                <c:pt idx="1">
                  <c:v>366</c:v>
                </c:pt>
                <c:pt idx="2">
                  <c:v>1646</c:v>
                </c:pt>
                <c:pt idx="3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3-4C46-9607-C8EC665A9553}"/>
            </c:ext>
          </c:extLst>
        </c:ser>
        <c:ser>
          <c:idx val="1"/>
          <c:order val="1"/>
          <c:tx>
            <c:strRef>
              <c:f>'Chart '!$E$6</c:f>
              <c:strCache>
                <c:ptCount val="1"/>
                <c:pt idx="0">
                  <c:v>EXPENCE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'Chart '!$C$7:$C$10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 '!$E$7:$E$10</c:f>
              <c:numCache>
                <c:formatCode>General</c:formatCode>
                <c:ptCount val="4"/>
                <c:pt idx="0">
                  <c:v>92</c:v>
                </c:pt>
                <c:pt idx="1">
                  <c:v>132</c:v>
                </c:pt>
                <c:pt idx="2">
                  <c:v>225</c:v>
                </c:pt>
                <c:pt idx="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3-4C46-9607-C8EC665A9553}"/>
            </c:ext>
          </c:extLst>
        </c:ser>
        <c:ser>
          <c:idx val="2"/>
          <c:order val="2"/>
          <c:tx>
            <c:strRef>
              <c:f>'Chart '!$F$6</c:f>
              <c:strCache>
                <c:ptCount val="1"/>
                <c:pt idx="0">
                  <c:v>PROFIT &amp; LOSS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'Chart '!$C$7:$C$10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 '!$F$7:$F$10</c:f>
              <c:numCache>
                <c:formatCode>0</c:formatCode>
                <c:ptCount val="4"/>
                <c:pt idx="0">
                  <c:v>-61.33</c:v>
                </c:pt>
                <c:pt idx="1">
                  <c:v>234</c:v>
                </c:pt>
                <c:pt idx="2">
                  <c:v>1421</c:v>
                </c:pt>
                <c:pt idx="3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3-4C46-9607-C8EC665A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493948000"/>
        <c:axId val="1339531568"/>
      </c:stockChart>
      <c:catAx>
        <c:axId val="14939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31568"/>
        <c:crosses val="autoZero"/>
        <c:auto val="1"/>
        <c:lblAlgn val="ctr"/>
        <c:lblOffset val="100"/>
        <c:noMultiLvlLbl val="0"/>
      </c:catAx>
      <c:valAx>
        <c:axId val="1339531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Break up </a:t>
            </a:r>
            <a:endParaRPr lang="en-IN"/>
          </a:p>
        </c:rich>
      </c:tx>
      <c:layout>
        <c:manualLayout>
          <c:xMode val="edge"/>
          <c:yMode val="edge"/>
          <c:x val="0.140733755037942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DA-4737-A151-8FB1AFDFFFC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DA-4737-A151-8FB1AFDFFFC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DA-4737-A151-8FB1AFDFFFC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DA-4737-A151-8FB1AFDFFF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Breakup  '!$B$6:$B$9</c:f>
              <c:strCache>
                <c:ptCount val="4"/>
                <c:pt idx="0">
                  <c:v>Commission from sales </c:v>
                </c:pt>
                <c:pt idx="1">
                  <c:v>Commission from logistics </c:v>
                </c:pt>
                <c:pt idx="2">
                  <c:v>Commission from Finteck  </c:v>
                </c:pt>
                <c:pt idx="3">
                  <c:v>Ad Subs.</c:v>
                </c:pt>
              </c:strCache>
            </c:strRef>
          </c:cat>
          <c:val>
            <c:numRef>
              <c:f>'Revenue Breakup  '!$C$6:$C$9</c:f>
              <c:numCache>
                <c:formatCode>0</c:formatCode>
                <c:ptCount val="4"/>
                <c:pt idx="0">
                  <c:v>29558593.75</c:v>
                </c:pt>
                <c:pt idx="1">
                  <c:v>2473242.1875</c:v>
                </c:pt>
                <c:pt idx="2">
                  <c:v>1804687.5</c:v>
                </c:pt>
                <c:pt idx="3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529-B059-CBFA1CDA88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7332908013359"/>
          <c:y val="0.43472851878363689"/>
          <c:w val="0.33716569010963177"/>
          <c:h val="0.402638811562696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Expences </a:t>
            </a:r>
          </a:p>
        </c:rich>
      </c:tx>
      <c:layout>
        <c:manualLayout>
          <c:xMode val="edge"/>
          <c:yMode val="edge"/>
          <c:x val="0.66782268834166048"/>
          <c:y val="7.8909612625538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C-4185-8DB6-E955EB6A80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0C-4185-8DB6-E955EB6A80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C-4185-8DB6-E955EB6A80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20C-4185-8DB6-E955EB6A80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C-4185-8DB6-E955EB6A800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20C-4185-8DB6-E955EB6A800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20C-4185-8DB6-E955EB6A800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20C-4185-8DB6-E955EB6A800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20C-4185-8DB6-E955EB6A800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20C-4185-8DB6-E955EB6A800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('Expence -Typical '!$B$16,'Expence -Typical '!$B$18,'Expence -Typical '!$B$23,'Expence -Typical '!$B$27,'Expence -Typical '!$B$32)</c:f>
              <c:strCache>
                <c:ptCount val="5"/>
                <c:pt idx="0">
                  <c:v>Sales </c:v>
                </c:pt>
                <c:pt idx="1">
                  <c:v> Marketing </c:v>
                </c:pt>
                <c:pt idx="2">
                  <c:v>Admin Exp</c:v>
                </c:pt>
                <c:pt idx="3">
                  <c:v>Infrastructure &amp; Legal </c:v>
                </c:pt>
                <c:pt idx="4">
                  <c:v>Product development &amp;Maintainance</c:v>
                </c:pt>
              </c:strCache>
            </c:strRef>
          </c:cat>
          <c:val>
            <c:numRef>
              <c:f>('Expence -Typical '!$F$16,'Expence -Typical '!$F$18,'Expence -Typical '!$F$23,'Expence -Typical '!$F$27,'Expence -Typical '!$F$32)</c:f>
              <c:numCache>
                <c:formatCode>General</c:formatCode>
                <c:ptCount val="5"/>
                <c:pt idx="0">
                  <c:v>2118000</c:v>
                </c:pt>
                <c:pt idx="1">
                  <c:v>300000</c:v>
                </c:pt>
                <c:pt idx="2">
                  <c:v>855000</c:v>
                </c:pt>
                <c:pt idx="3">
                  <c:v>360000</c:v>
                </c:pt>
                <c:pt idx="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C-4185-8DB6-E955EB6A80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38100</xdr:rowOff>
    </xdr:from>
    <xdr:to>
      <xdr:col>12</xdr:col>
      <xdr:colOff>228600</xdr:colOff>
      <xdr:row>25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4ADC10-54ED-9B76-83DA-F8A4A0A10A17}"/>
            </a:ext>
          </a:extLst>
        </xdr:cNvPr>
        <xdr:cNvSpPr txBox="1"/>
      </xdr:nvSpPr>
      <xdr:spPr>
        <a:xfrm>
          <a:off x="11209020" y="1424940"/>
          <a:ext cx="3390900" cy="2446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Staff Calcualtion Basis  </a:t>
          </a:r>
        </a:p>
        <a:p>
          <a:endParaRPr lang="en-IN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/>
            <a:t>Per</a:t>
          </a:r>
          <a:r>
            <a:rPr lang="en-IN" sz="1100" baseline="0"/>
            <a:t> Sales exceutive </a:t>
          </a:r>
          <a:r>
            <a:rPr lang="en-IN" sz="1100"/>
            <a:t> productivity (Aquization)</a:t>
          </a:r>
          <a:r>
            <a:rPr lang="en-IN" sz="1100" baseline="0"/>
            <a:t> = @5 accounts/day , 125 accounts per month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aseline="0"/>
            <a:t>1 Sales manager(Aquization) manages = Super vision of 20 executives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aseline="0"/>
            <a:t>Per Sales Executive productivity (activation) = @50 calls/day , 1250 calls/month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aseline="0"/>
            <a:t>1 sales account management Manager : 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 vision of 20 executives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Listing executives : @ 200 listings /day , @5000/month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Relationship officer : will be responsible for 150 clients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2987040</xdr:colOff>
      <xdr:row>28</xdr:row>
      <xdr:rowOff>38100</xdr:rowOff>
    </xdr:from>
    <xdr:to>
      <xdr:col>6</xdr:col>
      <xdr:colOff>320040</xdr:colOff>
      <xdr:row>43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ADD75-4B2B-589E-D5EB-B306A44E6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</xdr:row>
      <xdr:rowOff>106680</xdr:rowOff>
    </xdr:from>
    <xdr:to>
      <xdr:col>18</xdr:col>
      <xdr:colOff>38100</xdr:colOff>
      <xdr:row>24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9E175-750E-3836-35F1-791E9E88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0.43023</cdr:x>
      <cdr:y>0.37179</cdr:y>
    </cdr:from>
    <cdr:to>
      <cdr:x>0.56977</cdr:x>
      <cdr:y>0.62821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02274C-2A19-5DD4-91B9-8B72802D522F}"/>
            </a:ext>
          </a:extLst>
        </cdr:cNvPr>
        <cdr:cNvSpPr txBox="1"/>
      </cdr:nvSpPr>
      <cdr:spPr>
        <a:xfrm xmlns:a="http://schemas.openxmlformats.org/drawingml/2006/main">
          <a:off x="2819400" y="1325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0.43023</cdr:x>
      <cdr:y>0.37179</cdr:y>
    </cdr:from>
    <cdr:to>
      <cdr:x>0.56977</cdr:x>
      <cdr:y>0.62821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36EB1A3-2DE8-45A8-CB96-39660DE9246B}"/>
            </a:ext>
          </a:extLst>
        </cdr:cNvPr>
        <cdr:cNvSpPr txBox="1"/>
      </cdr:nvSpPr>
      <cdr:spPr>
        <a:xfrm xmlns:a="http://schemas.openxmlformats.org/drawingml/2006/main">
          <a:off x="2819400" y="1325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0.06395</cdr:x>
      <cdr:y>0.08974</cdr:y>
    </cdr:from>
    <cdr:to>
      <cdr:x>0.27791</cdr:x>
      <cdr:y>0.21154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AA6BA12-A33D-BD37-7A01-202541F2E794}"/>
            </a:ext>
          </a:extLst>
        </cdr:cNvPr>
        <cdr:cNvSpPr txBox="1"/>
      </cdr:nvSpPr>
      <cdr:spPr>
        <a:xfrm xmlns:a="http://schemas.openxmlformats.org/drawingml/2006/main">
          <a:off x="419100" y="320040"/>
          <a:ext cx="140208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IN LACS</a:t>
          </a:r>
          <a:r>
            <a:rPr lang="en-IN" sz="1100" baseline="0"/>
            <a:t> </a:t>
          </a:r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160020</xdr:rowOff>
    </xdr:from>
    <xdr:to>
      <xdr:col>16</xdr:col>
      <xdr:colOff>121920</xdr:colOff>
      <xdr:row>24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E641B-94FC-8C90-59C7-64753EF2A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10</xdr:row>
      <xdr:rowOff>15240</xdr:rowOff>
    </xdr:from>
    <xdr:to>
      <xdr:col>17</xdr:col>
      <xdr:colOff>251460</xdr:colOff>
      <xdr:row>22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33AF7-C372-819F-50D3-92F0015C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Guest User" id="{5AEA0021-EAE7-4C65-A484-815DD62A546D}" userId="" providerId="Windows Live"/>
  <person displayName="Biswajeet Roy" id="{1B449EEF-FCA2-4EE9-A9F1-7F68C5542834}" userId="3f4dd988488ee7b5" providerId="Windows Live"/>
</personList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4-17T06:51:29.40" personId="{5AEA0021-EAE7-4C65-A484-815DD62A546D}" id="{DC8CEB24-544E-4A63-ABB2-8035C5AD0E91}">
    <text>Cumulative factor to be added for q1,2</text>
  </threadedComment>
  <threadedComment ref="F8" dT="2023-04-17T06:58:44.28" personId="{1B449EEF-FCA2-4EE9-A9F1-7F68C5542834}" id="{79E0E98A-8637-4C90-9742-F322091B908B}">
    <text>To consider MAY and DAU in the metrics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8CEA-EBAB-470E-A838-41CBCD0F440B}">
  <dimension ref="A2:F32"/>
  <sheetViews>
    <sheetView zoomScaleNormal="100" workbookViewId="0">
      <selection activeCell="F9" sqref="F9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10</v>
      </c>
      <c r="D9" s="4">
        <v>20000</v>
      </c>
      <c r="E9" s="4">
        <f t="shared" ref="E9:E15" si="0">C9*D9</f>
        <v>200000</v>
      </c>
      <c r="F9" s="4">
        <f t="shared" ref="F9:F15" si="1">E9*3</f>
        <v>600000</v>
      </c>
    </row>
    <row r="10" spans="1:6" ht="31.2" x14ac:dyDescent="0.3">
      <c r="A10" s="13"/>
      <c r="B10" s="10" t="s">
        <v>8</v>
      </c>
      <c r="C10" s="4">
        <v>0</v>
      </c>
      <c r="D10" s="4">
        <v>30000</v>
      </c>
      <c r="E10" s="4">
        <f t="shared" si="0"/>
        <v>0</v>
      </c>
      <c r="F10" s="4">
        <f t="shared" si="1"/>
        <v>0</v>
      </c>
    </row>
    <row r="11" spans="1:6" x14ac:dyDescent="0.3">
      <c r="A11" s="13"/>
      <c r="B11" s="9" t="s">
        <v>9</v>
      </c>
      <c r="C11" s="4">
        <v>0</v>
      </c>
      <c r="D11" s="4">
        <v>20000</v>
      </c>
      <c r="E11" s="4">
        <f t="shared" si="0"/>
        <v>0</v>
      </c>
      <c r="F11" s="4">
        <f t="shared" si="1"/>
        <v>0</v>
      </c>
    </row>
    <row r="12" spans="1:6" x14ac:dyDescent="0.3">
      <c r="A12" s="13"/>
      <c r="B12" s="9" t="s">
        <v>10</v>
      </c>
      <c r="C12" s="4">
        <v>0</v>
      </c>
      <c r="D12" s="4">
        <v>30000</v>
      </c>
      <c r="E12" s="4">
        <f t="shared" si="0"/>
        <v>0</v>
      </c>
      <c r="F12" s="4">
        <f t="shared" si="1"/>
        <v>0</v>
      </c>
    </row>
    <row r="13" spans="1:6" x14ac:dyDescent="0.3">
      <c r="A13" s="13"/>
      <c r="B13" s="9" t="s">
        <v>11</v>
      </c>
      <c r="C13" s="4">
        <f>SUM(C8:C12)</f>
        <v>11</v>
      </c>
      <c r="D13" s="4">
        <v>5000</v>
      </c>
      <c r="E13" s="4">
        <f t="shared" si="0"/>
        <v>55000</v>
      </c>
      <c r="F13" s="4">
        <f t="shared" si="1"/>
        <v>165000</v>
      </c>
    </row>
    <row r="14" spans="1:6" x14ac:dyDescent="0.3">
      <c r="A14" s="13"/>
      <c r="B14" s="9" t="s">
        <v>12</v>
      </c>
      <c r="C14" s="4">
        <f>C13</f>
        <v>11</v>
      </c>
      <c r="D14" s="4">
        <v>1000</v>
      </c>
      <c r="E14" s="4">
        <f t="shared" si="0"/>
        <v>11000</v>
      </c>
      <c r="F14" s="4">
        <f t="shared" si="1"/>
        <v>33000</v>
      </c>
    </row>
    <row r="15" spans="1:6" x14ac:dyDescent="0.3">
      <c r="A15" s="13"/>
      <c r="B15" s="9" t="s">
        <v>13</v>
      </c>
      <c r="C15" s="4">
        <v>5</v>
      </c>
      <c r="D15" s="4">
        <v>15000</v>
      </c>
      <c r="E15" s="4">
        <f t="shared" si="0"/>
        <v>75000</v>
      </c>
      <c r="F15" s="4">
        <f t="shared" si="1"/>
        <v>225000</v>
      </c>
    </row>
    <row r="16" spans="1:6" s="15" customFormat="1" x14ac:dyDescent="0.3">
      <c r="A16" s="18"/>
      <c r="B16" s="19" t="s">
        <v>5</v>
      </c>
      <c r="D16" s="15">
        <f>SUM(D8:D15)</f>
        <v>151000</v>
      </c>
      <c r="E16" s="15">
        <f t="shared" ref="E16:F16" si="2">SUM(E8:E15)</f>
        <v>371000</v>
      </c>
      <c r="F16" s="15">
        <f t="shared" si="2"/>
        <v>1113000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1" si="4">E17*3</f>
        <v>450000</v>
      </c>
    </row>
    <row r="18" spans="1:6" s="15" customFormat="1" x14ac:dyDescent="0.3">
      <c r="A18" s="18"/>
      <c r="B18" s="19" t="s">
        <v>89</v>
      </c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50000</v>
      </c>
      <c r="E19" s="4">
        <f t="shared" si="3"/>
        <v>100000</v>
      </c>
      <c r="F19" s="4">
        <f t="shared" si="4"/>
        <v>300000</v>
      </c>
    </row>
    <row r="20" spans="1:6" x14ac:dyDescent="0.3">
      <c r="A20" s="13"/>
      <c r="B20" s="9" t="s">
        <v>18</v>
      </c>
      <c r="C20" s="4">
        <v>0</v>
      </c>
      <c r="D20" s="4">
        <v>50000</v>
      </c>
      <c r="E20" s="4">
        <f t="shared" si="3"/>
        <v>0</v>
      </c>
      <c r="F20" s="4">
        <f t="shared" si="4"/>
        <v>0</v>
      </c>
    </row>
    <row r="21" spans="1:6" x14ac:dyDescent="0.3">
      <c r="A21" s="13"/>
      <c r="B21" s="9" t="s">
        <v>19</v>
      </c>
      <c r="C21" s="4">
        <v>1</v>
      </c>
      <c r="D21" s="4">
        <v>50000</v>
      </c>
      <c r="E21" s="4">
        <f t="shared" si="3"/>
        <v>50000</v>
      </c>
      <c r="F21" s="4">
        <f t="shared" si="4"/>
        <v>150000</v>
      </c>
    </row>
    <row r="22" spans="1:6" x14ac:dyDescent="0.3">
      <c r="A22" s="13"/>
      <c r="B22" s="9" t="s">
        <v>20</v>
      </c>
      <c r="C22" s="4">
        <v>1</v>
      </c>
      <c r="D22" s="4">
        <v>20000</v>
      </c>
      <c r="E22" s="4">
        <f t="shared" si="3"/>
        <v>20000</v>
      </c>
      <c r="F22" s="4">
        <f t="shared" si="4"/>
        <v>60000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f>SUM(D19:D23)</f>
        <v>200000</v>
      </c>
      <c r="E24" s="58">
        <f t="shared" ref="E24:F24" si="5">SUM(E19:E23)</f>
        <v>200000</v>
      </c>
      <c r="F24" s="58">
        <f t="shared" si="5"/>
        <v>600000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50000</v>
      </c>
      <c r="E28" s="4">
        <f t="shared" si="3"/>
        <v>50000</v>
      </c>
      <c r="F28" s="4">
        <f t="shared" si="4"/>
        <v>150000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20"/>
      <c r="B30" s="19" t="s">
        <v>91</v>
      </c>
      <c r="C30" s="15"/>
      <c r="D30" s="58">
        <f>SUM(D28:D29)</f>
        <v>80000</v>
      </c>
      <c r="E30" s="58">
        <f t="shared" ref="E30:F30" si="7">SUM(E28:E29)</f>
        <v>80000</v>
      </c>
      <c r="F30" s="58">
        <f t="shared" si="7"/>
        <v>240000</v>
      </c>
    </row>
    <row r="31" spans="1:6" s="58" customFormat="1" x14ac:dyDescent="0.3">
      <c r="B31" s="19" t="s">
        <v>28</v>
      </c>
      <c r="C31" s="58">
        <v>1</v>
      </c>
      <c r="D31" s="58">
        <v>50000</v>
      </c>
      <c r="E31" s="58">
        <f>C31*D31</f>
        <v>50000</v>
      </c>
      <c r="F31" s="58">
        <f t="shared" si="4"/>
        <v>150000</v>
      </c>
    </row>
    <row r="32" spans="1:6" x14ac:dyDescent="0.3">
      <c r="C32" s="5">
        <f>SUM(C8:C12)</f>
        <v>11</v>
      </c>
      <c r="D32" s="5" t="s">
        <v>29</v>
      </c>
      <c r="E32" s="8">
        <f>E16+E18+E24+E27+E30+E31</f>
        <v>876000</v>
      </c>
      <c r="F32" s="8">
        <f>F16+F18+F24+F27+F30+F31</f>
        <v>2428000</v>
      </c>
    </row>
  </sheetData>
  <mergeCells count="2">
    <mergeCell ref="A3:F3"/>
    <mergeCell ref="B2:E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2AE9-8BA3-4AA0-802E-C0BEF097340A}">
  <dimension ref="A2:F33"/>
  <sheetViews>
    <sheetView topLeftCell="A13" workbookViewId="0">
      <selection activeCell="C12" sqref="C12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38</v>
      </c>
      <c r="D9" s="4">
        <v>20000</v>
      </c>
      <c r="E9" s="4">
        <f t="shared" ref="E9:E15" si="0">C9*D9</f>
        <v>760000</v>
      </c>
      <c r="F9" s="4">
        <f t="shared" ref="F9:F15" si="1">E9*3</f>
        <v>2280000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5</v>
      </c>
      <c r="D11" s="4">
        <v>20000</v>
      </c>
      <c r="E11" s="4">
        <f t="shared" si="0"/>
        <v>100000</v>
      </c>
      <c r="F11" s="4">
        <f t="shared" si="1"/>
        <v>300000</v>
      </c>
    </row>
    <row r="12" spans="1:6" x14ac:dyDescent="0.3">
      <c r="A12" s="13"/>
      <c r="B12" s="9" t="s">
        <v>30</v>
      </c>
      <c r="C12" s="4">
        <v>60</v>
      </c>
      <c r="D12" s="4">
        <v>30000</v>
      </c>
      <c r="E12" s="4">
        <f t="shared" si="0"/>
        <v>1800000</v>
      </c>
      <c r="F12" s="4">
        <f t="shared" si="1"/>
        <v>5400000</v>
      </c>
    </row>
    <row r="13" spans="1:6" x14ac:dyDescent="0.3">
      <c r="A13" s="13"/>
      <c r="B13" s="9" t="s">
        <v>11</v>
      </c>
      <c r="C13" s="4">
        <f>SUM(C8:C12)</f>
        <v>106</v>
      </c>
      <c r="D13" s="4">
        <v>5000</v>
      </c>
      <c r="E13" s="4">
        <f t="shared" si="0"/>
        <v>530000</v>
      </c>
      <c r="F13" s="4">
        <f t="shared" si="1"/>
        <v>1590000</v>
      </c>
    </row>
    <row r="14" spans="1:6" x14ac:dyDescent="0.3">
      <c r="A14" s="13"/>
      <c r="B14" s="9" t="s">
        <v>12</v>
      </c>
      <c r="C14" s="4">
        <f>C13</f>
        <v>106</v>
      </c>
      <c r="D14" s="4">
        <v>1000</v>
      </c>
      <c r="E14" s="4">
        <f t="shared" si="0"/>
        <v>106000</v>
      </c>
      <c r="F14" s="4">
        <f t="shared" si="1"/>
        <v>318000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3686000</v>
      </c>
      <c r="F16" s="15">
        <f t="shared" si="2"/>
        <v>11058000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14653000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C87E-AF11-4312-B68C-5B81FFBF3061}">
  <dimension ref="A2:F33"/>
  <sheetViews>
    <sheetView topLeftCell="A18" workbookViewId="0">
      <selection activeCell="C12" sqref="C12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38</v>
      </c>
      <c r="D9" s="4">
        <v>20000</v>
      </c>
      <c r="E9" s="4">
        <f t="shared" ref="E9:E15" si="0">C9*D9</f>
        <v>760000</v>
      </c>
      <c r="F9" s="4">
        <f t="shared" ref="F9:F15" si="1">E9*3</f>
        <v>2280000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5</v>
      </c>
      <c r="D11" s="4">
        <v>20000</v>
      </c>
      <c r="E11" s="4">
        <f t="shared" si="0"/>
        <v>100000</v>
      </c>
      <c r="F11" s="4">
        <f t="shared" si="1"/>
        <v>300000</v>
      </c>
    </row>
    <row r="12" spans="1:6" x14ac:dyDescent="0.3">
      <c r="A12" s="13"/>
      <c r="B12" s="9" t="s">
        <v>30</v>
      </c>
      <c r="C12" s="4">
        <v>60</v>
      </c>
      <c r="D12" s="4">
        <v>30000</v>
      </c>
      <c r="E12" s="4">
        <f t="shared" si="0"/>
        <v>1800000</v>
      </c>
      <c r="F12" s="4">
        <f t="shared" si="1"/>
        <v>5400000</v>
      </c>
    </row>
    <row r="13" spans="1:6" x14ac:dyDescent="0.3">
      <c r="A13" s="13"/>
      <c r="B13" s="9" t="s">
        <v>11</v>
      </c>
      <c r="C13" s="4">
        <f>SUM(C8:C12)</f>
        <v>106</v>
      </c>
      <c r="D13" s="4">
        <v>5000</v>
      </c>
      <c r="E13" s="4">
        <f t="shared" si="0"/>
        <v>530000</v>
      </c>
      <c r="F13" s="4">
        <f t="shared" si="1"/>
        <v>1590000</v>
      </c>
    </row>
    <row r="14" spans="1:6" x14ac:dyDescent="0.3">
      <c r="A14" s="13"/>
      <c r="B14" s="9" t="s">
        <v>12</v>
      </c>
      <c r="C14" s="4">
        <f>C13</f>
        <v>106</v>
      </c>
      <c r="D14" s="4">
        <v>1000</v>
      </c>
      <c r="E14" s="4">
        <f t="shared" si="0"/>
        <v>106000</v>
      </c>
      <c r="F14" s="4">
        <f t="shared" si="1"/>
        <v>318000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3686000</v>
      </c>
      <c r="F16" s="15">
        <f t="shared" si="2"/>
        <v>11058000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14653000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B4EE-C396-4E6F-B36C-B25A41230CF3}">
  <dimension ref="A2:F33"/>
  <sheetViews>
    <sheetView topLeftCell="A16" workbookViewId="0">
      <selection activeCell="C12" sqref="C12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38</v>
      </c>
      <c r="D9" s="4">
        <v>20000</v>
      </c>
      <c r="E9" s="4">
        <f t="shared" ref="E9:E15" si="0">C9*D9</f>
        <v>760000</v>
      </c>
      <c r="F9" s="4">
        <f t="shared" ref="F9:F15" si="1">E9*3</f>
        <v>2280000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5</v>
      </c>
      <c r="D11" s="4">
        <v>20000</v>
      </c>
      <c r="E11" s="4">
        <f t="shared" si="0"/>
        <v>100000</v>
      </c>
      <c r="F11" s="4">
        <f t="shared" si="1"/>
        <v>300000</v>
      </c>
    </row>
    <row r="12" spans="1:6" x14ac:dyDescent="0.3">
      <c r="A12" s="13"/>
      <c r="B12" s="9" t="s">
        <v>30</v>
      </c>
      <c r="C12" s="4">
        <v>60</v>
      </c>
      <c r="D12" s="4">
        <v>30000</v>
      </c>
      <c r="E12" s="4">
        <f t="shared" si="0"/>
        <v>1800000</v>
      </c>
      <c r="F12" s="4">
        <f t="shared" si="1"/>
        <v>5400000</v>
      </c>
    </row>
    <row r="13" spans="1:6" x14ac:dyDescent="0.3">
      <c r="A13" s="13"/>
      <c r="B13" s="9" t="s">
        <v>11</v>
      </c>
      <c r="C13" s="4">
        <f>SUM(C8:C12)</f>
        <v>106</v>
      </c>
      <c r="D13" s="4">
        <v>5000</v>
      </c>
      <c r="E13" s="4">
        <f t="shared" si="0"/>
        <v>530000</v>
      </c>
      <c r="F13" s="4">
        <f t="shared" si="1"/>
        <v>1590000</v>
      </c>
    </row>
    <row r="14" spans="1:6" x14ac:dyDescent="0.3">
      <c r="A14" s="13"/>
      <c r="B14" s="9" t="s">
        <v>12</v>
      </c>
      <c r="C14" s="4">
        <f>C13</f>
        <v>106</v>
      </c>
      <c r="D14" s="4">
        <v>1000</v>
      </c>
      <c r="E14" s="4">
        <f t="shared" si="0"/>
        <v>106000</v>
      </c>
      <c r="F14" s="4">
        <f t="shared" si="1"/>
        <v>318000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3686000</v>
      </c>
      <c r="F16" s="15">
        <f t="shared" si="2"/>
        <v>11058000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14653000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5453-AFAF-4F07-A1D0-054198B36ABD}">
  <dimension ref="A2:F33"/>
  <sheetViews>
    <sheetView topLeftCell="A14" workbookViewId="0">
      <selection activeCell="F33" sqref="F33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65</v>
      </c>
      <c r="D9" s="4">
        <v>20000</v>
      </c>
      <c r="E9" s="4">
        <f t="shared" ref="E9:E15" si="0">C9*D9</f>
        <v>1300000</v>
      </c>
      <c r="F9" s="4">
        <f t="shared" ref="F9:F15" si="1">E9*3</f>
        <v>3900000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8</v>
      </c>
      <c r="D11" s="4">
        <v>20000</v>
      </c>
      <c r="E11" s="4">
        <f t="shared" si="0"/>
        <v>160000</v>
      </c>
      <c r="F11" s="4">
        <f t="shared" si="1"/>
        <v>480000</v>
      </c>
    </row>
    <row r="12" spans="1:6" x14ac:dyDescent="0.3">
      <c r="A12" s="13"/>
      <c r="B12" s="9" t="s">
        <v>30</v>
      </c>
      <c r="C12" s="4">
        <v>147</v>
      </c>
      <c r="D12" s="4">
        <v>30000</v>
      </c>
      <c r="E12" s="4">
        <f t="shared" si="0"/>
        <v>4410000</v>
      </c>
      <c r="F12" s="4">
        <f t="shared" si="1"/>
        <v>13230000</v>
      </c>
    </row>
    <row r="13" spans="1:6" x14ac:dyDescent="0.3">
      <c r="A13" s="13"/>
      <c r="B13" s="9" t="s">
        <v>11</v>
      </c>
      <c r="C13" s="4">
        <f>SUM(C8:C12)</f>
        <v>223</v>
      </c>
      <c r="D13" s="4">
        <v>5000</v>
      </c>
      <c r="E13" s="4">
        <f t="shared" si="0"/>
        <v>1115000</v>
      </c>
      <c r="F13" s="4">
        <f t="shared" si="1"/>
        <v>3345000</v>
      </c>
    </row>
    <row r="14" spans="1:6" x14ac:dyDescent="0.3">
      <c r="A14" s="13"/>
      <c r="B14" s="9" t="s">
        <v>12</v>
      </c>
      <c r="C14" s="4">
        <f>C13</f>
        <v>223</v>
      </c>
      <c r="D14" s="4">
        <v>1000</v>
      </c>
      <c r="E14" s="4">
        <f t="shared" si="0"/>
        <v>223000</v>
      </c>
      <c r="F14" s="4">
        <f t="shared" si="1"/>
        <v>669000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7598000</v>
      </c>
      <c r="F16" s="15">
        <f t="shared" si="2"/>
        <v>22794000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26389000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5ED1-C883-415D-9C96-64875F5163E4}">
  <dimension ref="A2:F33"/>
  <sheetViews>
    <sheetView topLeftCell="A13" workbookViewId="0">
      <selection activeCell="A7" sqref="A7:F33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65</v>
      </c>
      <c r="D9" s="4">
        <v>20000</v>
      </c>
      <c r="E9" s="4">
        <f t="shared" ref="E9:E15" si="0">C9*D9</f>
        <v>1300000</v>
      </c>
      <c r="F9" s="4">
        <f t="shared" ref="F9:F15" si="1">E9*3</f>
        <v>3900000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8</v>
      </c>
      <c r="D11" s="4">
        <v>20000</v>
      </c>
      <c r="E11" s="4">
        <f t="shared" si="0"/>
        <v>160000</v>
      </c>
      <c r="F11" s="4">
        <f t="shared" si="1"/>
        <v>480000</v>
      </c>
    </row>
    <row r="12" spans="1:6" x14ac:dyDescent="0.3">
      <c r="A12" s="13"/>
      <c r="B12" s="9" t="s">
        <v>30</v>
      </c>
      <c r="C12" s="4">
        <v>147</v>
      </c>
      <c r="D12" s="4">
        <v>30000</v>
      </c>
      <c r="E12" s="4">
        <f t="shared" si="0"/>
        <v>4410000</v>
      </c>
      <c r="F12" s="4">
        <f t="shared" si="1"/>
        <v>13230000</v>
      </c>
    </row>
    <row r="13" spans="1:6" x14ac:dyDescent="0.3">
      <c r="A13" s="13"/>
      <c r="B13" s="9" t="s">
        <v>11</v>
      </c>
      <c r="C13" s="4">
        <f>SUM(C8:C12)</f>
        <v>223</v>
      </c>
      <c r="D13" s="4">
        <v>5000</v>
      </c>
      <c r="E13" s="4">
        <f t="shared" si="0"/>
        <v>1115000</v>
      </c>
      <c r="F13" s="4">
        <f t="shared" si="1"/>
        <v>3345000</v>
      </c>
    </row>
    <row r="14" spans="1:6" x14ac:dyDescent="0.3">
      <c r="A14" s="13"/>
      <c r="B14" s="9" t="s">
        <v>12</v>
      </c>
      <c r="C14" s="4">
        <f>C13</f>
        <v>223</v>
      </c>
      <c r="D14" s="4">
        <v>1000</v>
      </c>
      <c r="E14" s="4">
        <f t="shared" si="0"/>
        <v>223000</v>
      </c>
      <c r="F14" s="4">
        <f t="shared" si="1"/>
        <v>669000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7598000</v>
      </c>
      <c r="F16" s="15">
        <f t="shared" si="2"/>
        <v>22794000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26389000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4EC-3FFA-487B-9B53-6C299D2148B0}">
  <dimension ref="A2:F33"/>
  <sheetViews>
    <sheetView topLeftCell="A16" workbookViewId="0">
      <selection activeCell="A7" sqref="A7:F33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65</v>
      </c>
      <c r="D9" s="4">
        <v>20000</v>
      </c>
      <c r="E9" s="4">
        <f t="shared" ref="E9:E15" si="0">C9*D9</f>
        <v>1300000</v>
      </c>
      <c r="F9" s="4">
        <f t="shared" ref="F9:F15" si="1">E9*3</f>
        <v>3900000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8</v>
      </c>
      <c r="D11" s="4">
        <v>20000</v>
      </c>
      <c r="E11" s="4">
        <f t="shared" si="0"/>
        <v>160000</v>
      </c>
      <c r="F11" s="4">
        <f t="shared" si="1"/>
        <v>480000</v>
      </c>
    </row>
    <row r="12" spans="1:6" x14ac:dyDescent="0.3">
      <c r="A12" s="13"/>
      <c r="B12" s="9" t="s">
        <v>30</v>
      </c>
      <c r="C12" s="4">
        <v>147</v>
      </c>
      <c r="D12" s="4">
        <v>30000</v>
      </c>
      <c r="E12" s="4">
        <f t="shared" si="0"/>
        <v>4410000</v>
      </c>
      <c r="F12" s="4">
        <f t="shared" si="1"/>
        <v>13230000</v>
      </c>
    </row>
    <row r="13" spans="1:6" x14ac:dyDescent="0.3">
      <c r="A13" s="13"/>
      <c r="B13" s="9" t="s">
        <v>11</v>
      </c>
      <c r="C13" s="4">
        <f>SUM(C8:C12)</f>
        <v>223</v>
      </c>
      <c r="D13" s="4">
        <v>5000</v>
      </c>
      <c r="E13" s="4">
        <f t="shared" si="0"/>
        <v>1115000</v>
      </c>
      <c r="F13" s="4">
        <f t="shared" si="1"/>
        <v>3345000</v>
      </c>
    </row>
    <row r="14" spans="1:6" x14ac:dyDescent="0.3">
      <c r="A14" s="13"/>
      <c r="B14" s="9" t="s">
        <v>12</v>
      </c>
      <c r="C14" s="4">
        <f>C13</f>
        <v>223</v>
      </c>
      <c r="D14" s="4">
        <v>1000</v>
      </c>
      <c r="E14" s="4">
        <f t="shared" si="0"/>
        <v>223000</v>
      </c>
      <c r="F14" s="4">
        <f t="shared" si="1"/>
        <v>669000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7598000</v>
      </c>
      <c r="F16" s="15">
        <f t="shared" si="2"/>
        <v>22794000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26389000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A205-FCF3-477F-BE0E-ABE1484D7DE6}">
  <dimension ref="A2:F33"/>
  <sheetViews>
    <sheetView topLeftCell="A16" workbookViewId="0">
      <selection activeCell="I35" sqref="I35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65</v>
      </c>
      <c r="D9" s="4">
        <v>20000</v>
      </c>
      <c r="E9" s="4">
        <f t="shared" ref="E9:E15" si="0">C9*D9</f>
        <v>1300000</v>
      </c>
      <c r="F9" s="4">
        <f t="shared" ref="F9:F15" si="1">E9*3</f>
        <v>3900000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8</v>
      </c>
      <c r="D11" s="4">
        <v>20000</v>
      </c>
      <c r="E11" s="4">
        <f t="shared" si="0"/>
        <v>160000</v>
      </c>
      <c r="F11" s="4">
        <f t="shared" si="1"/>
        <v>480000</v>
      </c>
    </row>
    <row r="12" spans="1:6" x14ac:dyDescent="0.3">
      <c r="A12" s="13"/>
      <c r="B12" s="9" t="s">
        <v>30</v>
      </c>
      <c r="C12" s="4">
        <v>147</v>
      </c>
      <c r="D12" s="4">
        <v>30000</v>
      </c>
      <c r="E12" s="4">
        <f t="shared" si="0"/>
        <v>4410000</v>
      </c>
      <c r="F12" s="4">
        <f t="shared" si="1"/>
        <v>13230000</v>
      </c>
    </row>
    <row r="13" spans="1:6" x14ac:dyDescent="0.3">
      <c r="A13" s="13"/>
      <c r="B13" s="9" t="s">
        <v>11</v>
      </c>
      <c r="C13" s="4">
        <f>SUM(C8:C12)</f>
        <v>223</v>
      </c>
      <c r="D13" s="4">
        <v>5000</v>
      </c>
      <c r="E13" s="4">
        <f t="shared" si="0"/>
        <v>1115000</v>
      </c>
      <c r="F13" s="4">
        <f t="shared" si="1"/>
        <v>3345000</v>
      </c>
    </row>
    <row r="14" spans="1:6" x14ac:dyDescent="0.3">
      <c r="A14" s="13"/>
      <c r="B14" s="9" t="s">
        <v>12</v>
      </c>
      <c r="C14" s="4">
        <f>C13</f>
        <v>223</v>
      </c>
      <c r="D14" s="4">
        <v>1000</v>
      </c>
      <c r="E14" s="4">
        <f t="shared" si="0"/>
        <v>223000</v>
      </c>
      <c r="F14" s="4">
        <f t="shared" si="1"/>
        <v>669000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7598000</v>
      </c>
      <c r="F16" s="15">
        <f t="shared" si="2"/>
        <v>22794000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26389000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4C7C-7249-468E-880C-3F3BFFE906B7}">
  <dimension ref="A4:B25"/>
  <sheetViews>
    <sheetView topLeftCell="A4" workbookViewId="0">
      <selection activeCell="B10" sqref="B10"/>
    </sheetView>
  </sheetViews>
  <sheetFormatPr defaultColWidth="8.77734375" defaultRowHeight="15.6" x14ac:dyDescent="0.3"/>
  <cols>
    <col min="1" max="1" width="20" style="1" customWidth="1"/>
    <col min="2" max="2" width="31.77734375" style="1" customWidth="1"/>
    <col min="3" max="16384" width="8.77734375" style="14"/>
  </cols>
  <sheetData>
    <row r="4" spans="1:2" x14ac:dyDescent="0.3">
      <c r="A4" s="3" t="s">
        <v>31</v>
      </c>
      <c r="B4" s="2" t="s">
        <v>32</v>
      </c>
    </row>
    <row r="6" spans="1:2" x14ac:dyDescent="0.3">
      <c r="A6" s="1" t="s">
        <v>57</v>
      </c>
      <c r="B6" s="1">
        <f>'Q1'!F32</f>
        <v>2428000</v>
      </c>
    </row>
    <row r="7" spans="1:2" x14ac:dyDescent="0.3">
      <c r="A7" s="1" t="s">
        <v>58</v>
      </c>
      <c r="B7" s="1">
        <f>'Q2'!F32</f>
        <v>2428000</v>
      </c>
    </row>
    <row r="8" spans="1:2" x14ac:dyDescent="0.3">
      <c r="A8" s="1" t="s">
        <v>59</v>
      </c>
      <c r="B8" s="1">
        <f>'Q3'!F31</f>
        <v>3568000</v>
      </c>
    </row>
    <row r="9" spans="1:2" x14ac:dyDescent="0.3">
      <c r="A9" s="1" t="s">
        <v>60</v>
      </c>
      <c r="B9" s="1">
        <f>'Q4'!F32</f>
        <v>6151000</v>
      </c>
    </row>
    <row r="10" spans="1:2" x14ac:dyDescent="0.3">
      <c r="A10" s="1" t="s">
        <v>69</v>
      </c>
      <c r="B10" s="3">
        <f>SUM(B6:B9)</f>
        <v>14575000</v>
      </c>
    </row>
    <row r="11" spans="1:2" x14ac:dyDescent="0.3">
      <c r="A11" s="1" t="s">
        <v>61</v>
      </c>
      <c r="B11" s="1">
        <f>'Q5'!F33</f>
        <v>7457000</v>
      </c>
    </row>
    <row r="12" spans="1:2" x14ac:dyDescent="0.3">
      <c r="A12" s="1" t="s">
        <v>62</v>
      </c>
      <c r="B12" s="1">
        <f>'Q6'!F33</f>
        <v>7457000</v>
      </c>
    </row>
    <row r="13" spans="1:2" x14ac:dyDescent="0.3">
      <c r="A13" s="1" t="s">
        <v>63</v>
      </c>
      <c r="B13" s="1">
        <f>'Q7'!F33</f>
        <v>7457000</v>
      </c>
    </row>
    <row r="14" spans="1:2" x14ac:dyDescent="0.3">
      <c r="A14" s="1" t="s">
        <v>64</v>
      </c>
      <c r="B14" s="1">
        <f>'Q8'!F32</f>
        <v>150000</v>
      </c>
    </row>
    <row r="15" spans="1:2" x14ac:dyDescent="0.3">
      <c r="A15" s="1" t="s">
        <v>70</v>
      </c>
      <c r="B15" s="3">
        <f>SUM(B11:B14)</f>
        <v>22521000</v>
      </c>
    </row>
    <row r="16" spans="1:2" x14ac:dyDescent="0.3">
      <c r="A16" s="1" t="s">
        <v>65</v>
      </c>
      <c r="B16" s="1">
        <f>'Q9'!F33</f>
        <v>14653000</v>
      </c>
    </row>
    <row r="17" spans="1:2" x14ac:dyDescent="0.3">
      <c r="A17" s="1" t="s">
        <v>66</v>
      </c>
      <c r="B17" s="1">
        <f>'Q10'!F33</f>
        <v>14653000</v>
      </c>
    </row>
    <row r="18" spans="1:2" x14ac:dyDescent="0.3">
      <c r="A18" s="1" t="s">
        <v>67</v>
      </c>
      <c r="B18" s="1">
        <f>'Q11'!F33</f>
        <v>14653000</v>
      </c>
    </row>
    <row r="19" spans="1:2" x14ac:dyDescent="0.3">
      <c r="A19" s="1" t="s">
        <v>68</v>
      </c>
      <c r="B19" s="1">
        <f>'Q12'!F33</f>
        <v>14653000</v>
      </c>
    </row>
    <row r="20" spans="1:2" x14ac:dyDescent="0.3">
      <c r="A20" s="1" t="s">
        <v>71</v>
      </c>
      <c r="B20" s="3">
        <f>SUM(B16:B19)</f>
        <v>58612000</v>
      </c>
    </row>
    <row r="21" spans="1:2" x14ac:dyDescent="0.3">
      <c r="A21" s="1" t="s">
        <v>72</v>
      </c>
      <c r="B21" s="1">
        <f>'Q13'!F33</f>
        <v>26389000</v>
      </c>
    </row>
    <row r="22" spans="1:2" x14ac:dyDescent="0.3">
      <c r="A22" s="1" t="s">
        <v>73</v>
      </c>
      <c r="B22" s="1">
        <f>'Q14'!F33</f>
        <v>26389000</v>
      </c>
    </row>
    <row r="23" spans="1:2" x14ac:dyDescent="0.3">
      <c r="A23" s="1" t="s">
        <v>74</v>
      </c>
      <c r="B23" s="1">
        <f>'Q15'!F33</f>
        <v>26389000</v>
      </c>
    </row>
    <row r="24" spans="1:2" x14ac:dyDescent="0.3">
      <c r="A24" s="1" t="s">
        <v>75</v>
      </c>
      <c r="B24" s="1">
        <f>'Q16'!F33</f>
        <v>26389000</v>
      </c>
    </row>
    <row r="25" spans="1:2" x14ac:dyDescent="0.3">
      <c r="A25" s="1" t="s">
        <v>71</v>
      </c>
      <c r="B25" s="3">
        <f>SUM(B21:B24)</f>
        <v>105556000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AB39-0349-42E1-9EEB-1DB3F2EE25FB}">
  <dimension ref="A3:V25"/>
  <sheetViews>
    <sheetView topLeftCell="A3" workbookViewId="0">
      <pane ySplit="1" topLeftCell="A10" activePane="bottomLeft" state="frozen"/>
      <selection activeCell="A3" sqref="A3"/>
      <selection pane="bottomLeft" activeCell="G18" sqref="G18"/>
    </sheetView>
  </sheetViews>
  <sheetFormatPr defaultColWidth="8.77734375" defaultRowHeight="15.6" x14ac:dyDescent="0.3"/>
  <cols>
    <col min="1" max="1" width="55.44140625" style="21" customWidth="1"/>
    <col min="2" max="2" width="18.44140625" style="25" customWidth="1"/>
    <col min="3" max="3" width="18.6640625" style="25" customWidth="1"/>
    <col min="4" max="4" width="14.44140625" style="25" customWidth="1"/>
    <col min="5" max="5" width="14.44140625" style="27" customWidth="1"/>
    <col min="6" max="6" width="14.44140625" style="26" customWidth="1"/>
    <col min="7" max="7" width="14.44140625" style="25" customWidth="1"/>
    <col min="8" max="8" width="20" style="29" customWidth="1"/>
    <col min="9" max="9" width="12.6640625" style="29" customWidth="1"/>
    <col min="10" max="10" width="16.44140625" style="29" customWidth="1"/>
    <col min="11" max="11" width="16.44140625" style="48" customWidth="1"/>
    <col min="12" max="12" width="18.44140625" style="25" customWidth="1"/>
    <col min="13" max="13" width="15.109375" style="25" customWidth="1"/>
    <col min="14" max="14" width="19.44140625" style="25" customWidth="1"/>
    <col min="15" max="15" width="13.6640625" style="25" customWidth="1"/>
    <col min="16" max="16" width="12.77734375" style="26" customWidth="1"/>
    <col min="17" max="17" width="12.77734375" style="25" customWidth="1"/>
    <col min="18" max="18" width="14" style="25" customWidth="1"/>
    <col min="19" max="19" width="12.6640625" style="25" customWidth="1"/>
    <col min="20" max="20" width="14.6640625" style="25" customWidth="1"/>
    <col min="21" max="21" width="15.33203125" style="26" customWidth="1"/>
    <col min="22" max="16384" width="8.77734375" style="25"/>
  </cols>
  <sheetData>
    <row r="3" spans="1:22" x14ac:dyDescent="0.3">
      <c r="B3" s="75" t="s">
        <v>33</v>
      </c>
      <c r="C3" s="75"/>
      <c r="D3" s="75"/>
      <c r="E3" s="75"/>
      <c r="F3" s="22"/>
      <c r="G3" s="76" t="s">
        <v>34</v>
      </c>
      <c r="H3" s="76"/>
      <c r="I3" s="76"/>
      <c r="J3" s="76"/>
      <c r="K3" s="47"/>
      <c r="L3" s="75" t="s">
        <v>35</v>
      </c>
      <c r="M3" s="75"/>
      <c r="N3" s="75"/>
      <c r="O3" s="75"/>
      <c r="P3" s="23"/>
      <c r="Q3" s="24"/>
      <c r="R3" s="24" t="s">
        <v>36</v>
      </c>
      <c r="S3" s="24"/>
    </row>
    <row r="4" spans="1:22" x14ac:dyDescent="0.3">
      <c r="D4" s="27"/>
      <c r="F4" s="28"/>
      <c r="G4" s="27"/>
    </row>
    <row r="5" spans="1:22" s="27" customFormat="1" x14ac:dyDescent="0.3">
      <c r="A5" s="30"/>
      <c r="B5" s="27" t="s">
        <v>37</v>
      </c>
      <c r="C5" s="27" t="s">
        <v>38</v>
      </c>
      <c r="D5" s="27" t="s">
        <v>39</v>
      </c>
      <c r="E5" s="27" t="s">
        <v>40</v>
      </c>
      <c r="F5" s="28" t="s">
        <v>29</v>
      </c>
      <c r="G5" s="27" t="s">
        <v>41</v>
      </c>
      <c r="H5" s="31" t="s">
        <v>42</v>
      </c>
      <c r="I5" s="31" t="s">
        <v>43</v>
      </c>
      <c r="J5" s="31" t="s">
        <v>44</v>
      </c>
      <c r="K5" s="28" t="s">
        <v>29</v>
      </c>
      <c r="L5" s="27" t="s">
        <v>45</v>
      </c>
      <c r="M5" s="27" t="s">
        <v>46</v>
      </c>
      <c r="N5" s="27" t="s">
        <v>47</v>
      </c>
      <c r="O5" s="27" t="s">
        <v>48</v>
      </c>
      <c r="P5" s="28" t="s">
        <v>29</v>
      </c>
      <c r="Q5" s="27" t="s">
        <v>49</v>
      </c>
      <c r="R5" s="27" t="s">
        <v>50</v>
      </c>
      <c r="S5" s="27" t="s">
        <v>51</v>
      </c>
      <c r="T5" s="27" t="s">
        <v>52</v>
      </c>
      <c r="U5" s="28" t="s">
        <v>29</v>
      </c>
    </row>
    <row r="6" spans="1:22" s="29" customFormat="1" x14ac:dyDescent="0.3">
      <c r="A6" s="32" t="s">
        <v>53</v>
      </c>
      <c r="B6" s="33">
        <f>B7/5*105</f>
        <v>73500</v>
      </c>
      <c r="C6" s="33">
        <f>C7/5*105</f>
        <v>73500</v>
      </c>
      <c r="D6" s="33">
        <f t="shared" ref="D6:H6" si="0">D7/5*105</f>
        <v>73500</v>
      </c>
      <c r="E6" s="53">
        <f t="shared" si="0"/>
        <v>73500</v>
      </c>
      <c r="F6" s="34">
        <f>B6+C6+D6+E6</f>
        <v>294000</v>
      </c>
      <c r="G6" s="33">
        <f t="shared" si="0"/>
        <v>147000</v>
      </c>
      <c r="H6" s="33">
        <f t="shared" si="0"/>
        <v>147000</v>
      </c>
      <c r="I6" s="33">
        <f t="shared" ref="I6" si="1">I7/5*105</f>
        <v>147000</v>
      </c>
      <c r="J6" s="33">
        <f t="shared" ref="J6" si="2">J7/5*105</f>
        <v>147000</v>
      </c>
      <c r="K6" s="49">
        <f>SUM(G6:J6)+(0.75*F6)</f>
        <v>808500</v>
      </c>
      <c r="L6" s="33">
        <f t="shared" ref="L6:O6" si="3">L7/5*105</f>
        <v>294000</v>
      </c>
      <c r="M6" s="33">
        <f t="shared" si="3"/>
        <v>294000</v>
      </c>
      <c r="N6" s="33">
        <f t="shared" si="3"/>
        <v>294000</v>
      </c>
      <c r="O6" s="33">
        <f t="shared" si="3"/>
        <v>294000</v>
      </c>
      <c r="P6" s="34">
        <f>SUM(L6:O6)+(0.75*K6)</f>
        <v>1782375</v>
      </c>
      <c r="Q6" s="33">
        <v>170000</v>
      </c>
      <c r="R6" s="33">
        <v>195000</v>
      </c>
      <c r="S6" s="33">
        <v>220000</v>
      </c>
      <c r="T6" s="29">
        <v>245000</v>
      </c>
      <c r="U6" s="34">
        <f>SUM(Q6:T6)+(0.75*P6)</f>
        <v>2166781.25</v>
      </c>
    </row>
    <row r="7" spans="1:22" s="29" customFormat="1" x14ac:dyDescent="0.3">
      <c r="A7" s="32" t="s">
        <v>76</v>
      </c>
      <c r="B7" s="29">
        <v>3500</v>
      </c>
      <c r="C7" s="29">
        <v>3500</v>
      </c>
      <c r="D7" s="29">
        <v>3500</v>
      </c>
      <c r="E7" s="54">
        <v>3500</v>
      </c>
      <c r="F7" s="34">
        <f>B7+C7+D7+E7</f>
        <v>14000</v>
      </c>
      <c r="G7" s="29">
        <v>7000</v>
      </c>
      <c r="H7" s="29">
        <v>7000</v>
      </c>
      <c r="I7" s="29">
        <v>7000</v>
      </c>
      <c r="J7" s="29">
        <v>7000</v>
      </c>
      <c r="K7" s="49">
        <f t="shared" ref="K7" si="4">SUM(G7:J7)+(0.75*F7)</f>
        <v>38500</v>
      </c>
      <c r="L7" s="29">
        <v>14000</v>
      </c>
      <c r="M7" s="29">
        <v>14000</v>
      </c>
      <c r="N7" s="29">
        <v>14000</v>
      </c>
      <c r="O7" s="29">
        <v>14000</v>
      </c>
      <c r="P7" s="34">
        <f t="shared" ref="P7:P12" si="5">SUM(L7:O7)+(0.75*K7)</f>
        <v>84875</v>
      </c>
      <c r="Q7" s="29">
        <v>28000</v>
      </c>
      <c r="R7" s="29">
        <v>28000</v>
      </c>
      <c r="S7" s="29">
        <v>28000</v>
      </c>
      <c r="T7" s="29">
        <v>28000</v>
      </c>
      <c r="U7" s="34">
        <f t="shared" ref="U7" si="6">SUM(Q7:T7)+(0.75*P7)</f>
        <v>175656.25</v>
      </c>
    </row>
    <row r="8" spans="1:22" x14ac:dyDescent="0.3">
      <c r="A8" s="21" t="s">
        <v>77</v>
      </c>
      <c r="B8" s="25">
        <v>0</v>
      </c>
      <c r="C8" s="25">
        <v>0</v>
      </c>
      <c r="D8" s="35">
        <f>(B7+C7+D7)*0.5%</f>
        <v>52.5</v>
      </c>
      <c r="E8" s="55">
        <f>E7*0.5%</f>
        <v>17.5</v>
      </c>
      <c r="F8" s="34">
        <f t="shared" ref="F8:F14" si="7">B8+C8+D8+E8</f>
        <v>70</v>
      </c>
      <c r="G8" s="35">
        <f>G7*2%</f>
        <v>140</v>
      </c>
      <c r="H8" s="35">
        <f>H7*2%</f>
        <v>140</v>
      </c>
      <c r="I8" s="35">
        <f>I7*2%</f>
        <v>140</v>
      </c>
      <c r="J8" s="35">
        <f>J7*2%</f>
        <v>140</v>
      </c>
      <c r="K8" s="49">
        <f>SUM(G8:J8)+(0.75*F8)+F8*0.25</f>
        <v>630</v>
      </c>
      <c r="L8" s="35">
        <f>L7*4%</f>
        <v>560</v>
      </c>
      <c r="M8" s="35">
        <f>M7*4%</f>
        <v>560</v>
      </c>
      <c r="N8" s="35">
        <f t="shared" ref="N8:O8" si="8">N7*4%</f>
        <v>560</v>
      </c>
      <c r="O8" s="35">
        <f t="shared" si="8"/>
        <v>560</v>
      </c>
      <c r="P8" s="49">
        <f>SUM(L8:O8)+(0.75*K8)+K8*0.25</f>
        <v>2870</v>
      </c>
      <c r="Q8" s="35">
        <f>Q7*4%</f>
        <v>1120</v>
      </c>
      <c r="R8" s="35">
        <f>R7*4%</f>
        <v>1120</v>
      </c>
      <c r="S8" s="35">
        <f t="shared" ref="S8:T8" si="9">S7*4%</f>
        <v>1120</v>
      </c>
      <c r="T8" s="35">
        <f t="shared" si="9"/>
        <v>1120</v>
      </c>
      <c r="U8" s="49">
        <f>SUM(Q8:T8)+(0.75*P8)+P8*0.25</f>
        <v>7350</v>
      </c>
    </row>
    <row r="9" spans="1:22" x14ac:dyDescent="0.3">
      <c r="D9" s="35"/>
      <c r="E9" s="43"/>
      <c r="F9" s="34"/>
      <c r="G9" s="35"/>
      <c r="H9" s="35"/>
      <c r="I9" s="35"/>
      <c r="J9" s="35"/>
      <c r="K9" s="49"/>
      <c r="L9" s="35"/>
      <c r="M9" s="35"/>
      <c r="N9" s="35"/>
      <c r="O9" s="35"/>
      <c r="P9" s="34"/>
      <c r="Q9" s="35"/>
      <c r="R9" s="35"/>
      <c r="S9" s="35"/>
      <c r="T9" s="35"/>
      <c r="U9" s="34"/>
    </row>
    <row r="10" spans="1:22" s="27" customFormat="1" ht="31.2" x14ac:dyDescent="0.3">
      <c r="A10" s="50" t="s">
        <v>85</v>
      </c>
      <c r="B10" s="43">
        <v>0</v>
      </c>
      <c r="C10" s="43">
        <v>0</v>
      </c>
      <c r="D10" s="43">
        <f>(10000000*D8/2)/12*3*1.25%</f>
        <v>820312.5</v>
      </c>
      <c r="E10" s="43">
        <f>(10000000*E8/2)/12*3*1.25%+D10</f>
        <v>1093750</v>
      </c>
      <c r="F10" s="45">
        <f t="shared" si="7"/>
        <v>1914062.5</v>
      </c>
      <c r="G10" s="43">
        <f>(10000000*G8/2)/12*3*1.65%</f>
        <v>2887500</v>
      </c>
      <c r="H10" s="43">
        <f>(10000000*H8/2)/12*3*1.65%+G10</f>
        <v>5775000</v>
      </c>
      <c r="I10" s="43">
        <f>(10000000*I8/2)/12*3*1.65%+H10+D10*0.25</f>
        <v>8867578.125</v>
      </c>
      <c r="J10" s="43">
        <f>(10000000*J8/2)/12*3*1.65%+I10+E10*0.25</f>
        <v>12028515.625</v>
      </c>
      <c r="K10" s="45">
        <f>SUM(G10:J10)</f>
        <v>29558593.75</v>
      </c>
      <c r="L10" s="43">
        <f>(10000000*L8/2)/12*3*1.65%+H10*0.25</f>
        <v>12993750</v>
      </c>
      <c r="M10" s="43">
        <f t="shared" ref="M10:O10" si="10">(10000000*M8/2)/12*3*1.65%+L10+H10*0.25</f>
        <v>25987500</v>
      </c>
      <c r="N10" s="43">
        <f t="shared" si="10"/>
        <v>39754394.53125</v>
      </c>
      <c r="O10" s="43">
        <f t="shared" si="10"/>
        <v>54311523.4375</v>
      </c>
      <c r="P10" s="45">
        <f>SUM(L10:O10)</f>
        <v>133047167.96875</v>
      </c>
      <c r="Q10" s="43">
        <f>(10000000*Q8/2)/12*3*1.65%+M10*0.25</f>
        <v>29596875</v>
      </c>
      <c r="R10" s="43">
        <f>(10000000*R8/2)/12*3*1.65%+N10*0.25</f>
        <v>33038598.6328125</v>
      </c>
      <c r="S10" s="43">
        <f>(10000000*S8/2)/12*3*1.65%+O10*0.25</f>
        <v>36677880.859375</v>
      </c>
      <c r="T10" s="43">
        <f>(10000000*T8/2)/12*3*1.65%+O10*0.25</f>
        <v>36677880.859375</v>
      </c>
      <c r="U10" s="45">
        <f>SUM(Q10:T10)</f>
        <v>135991235.3515625</v>
      </c>
    </row>
    <row r="11" spans="1:22" s="42" customFormat="1" x14ac:dyDescent="0.3">
      <c r="A11" s="39"/>
      <c r="B11" s="40"/>
      <c r="C11" s="40"/>
      <c r="D11" s="40"/>
      <c r="E11" s="44"/>
      <c r="F11" s="41"/>
      <c r="G11" s="40"/>
      <c r="H11" s="40"/>
      <c r="I11" s="40"/>
      <c r="J11" s="40"/>
      <c r="K11" s="41"/>
      <c r="L11" s="40"/>
      <c r="M11" s="40"/>
      <c r="N11" s="40"/>
      <c r="O11" s="40"/>
      <c r="P11" s="41"/>
      <c r="Q11" s="40"/>
      <c r="R11" s="40"/>
      <c r="S11" s="40"/>
      <c r="T11" s="40"/>
      <c r="U11" s="41"/>
    </row>
    <row r="12" spans="1:22" s="27" customFormat="1" ht="62.4" x14ac:dyDescent="0.3">
      <c r="A12" s="50" t="s">
        <v>88</v>
      </c>
      <c r="B12" s="43">
        <v>0</v>
      </c>
      <c r="C12" s="43">
        <v>0</v>
      </c>
      <c r="D12" s="43">
        <f>(6000000*D8/2)/12*3*1.25%</f>
        <v>492187.5</v>
      </c>
      <c r="E12" s="43">
        <f>(600000*E8/2)/12*3*1.25%+D12</f>
        <v>508593.75</v>
      </c>
      <c r="F12" s="45">
        <f t="shared" si="7"/>
        <v>1000781.25</v>
      </c>
      <c r="G12" s="43">
        <f>(600000*G8/2)/12*3*2%</f>
        <v>210000</v>
      </c>
      <c r="H12" s="43">
        <f>(600000*H8/2)/12*3*2%+G12</f>
        <v>420000</v>
      </c>
      <c r="I12" s="43">
        <f>(600000*I8/2)/12*3*2%+H12+D12*0.25</f>
        <v>753046.875</v>
      </c>
      <c r="J12" s="43">
        <f>(600000*J8/2)/12*3*2%+I12+E12*0.25</f>
        <v>1090195.3125</v>
      </c>
      <c r="K12" s="45">
        <f>SUM(G12:J12)</f>
        <v>2473242.1875</v>
      </c>
      <c r="L12" s="43">
        <f>(624000*L8/2)/12*3*2%+G12*0.25</f>
        <v>926100</v>
      </c>
      <c r="M12" s="43">
        <f>(624000*M8/2)/12*3*2%+L12+H12*0.25</f>
        <v>1904700</v>
      </c>
      <c r="N12" s="43">
        <f>(624000*N8/2)/12*3*2%+M12+I12*0.25</f>
        <v>2966561.71875</v>
      </c>
      <c r="O12" s="43">
        <f>(624000*O8/2)/12*3*2%+N12+J12*0.25</f>
        <v>4112710.546875</v>
      </c>
      <c r="P12" s="45">
        <f t="shared" si="5"/>
        <v>11765003.90625</v>
      </c>
      <c r="Q12" s="43">
        <f>(624000*Q8/2)/12*3*1%+L12*0.25</f>
        <v>1105125</v>
      </c>
      <c r="R12" s="43">
        <f>(624000*R8/2)/12*3*1%+Q12+M12*0.25</f>
        <v>2454900</v>
      </c>
      <c r="S12" s="43">
        <f>(624000*S8/2)/12*3*1%+R12+N12*0.25</f>
        <v>4070140.4296875</v>
      </c>
      <c r="T12" s="43">
        <f>(624000*T8/2)/12*3*1%+S12+O12*0.25</f>
        <v>5971918.06640625</v>
      </c>
      <c r="U12" s="45">
        <f>SUM(Q12:T12)</f>
        <v>13602083.49609375</v>
      </c>
    </row>
    <row r="13" spans="1:22" x14ac:dyDescent="0.3">
      <c r="A13" s="36"/>
      <c r="B13" s="35"/>
      <c r="C13" s="35"/>
      <c r="D13" s="35"/>
      <c r="E13" s="43"/>
      <c r="F13" s="34"/>
      <c r="G13" s="35"/>
      <c r="H13" s="35"/>
      <c r="I13" s="35"/>
      <c r="J13" s="35"/>
      <c r="K13" s="49"/>
      <c r="L13" s="35"/>
      <c r="M13" s="35"/>
      <c r="N13" s="35"/>
      <c r="O13" s="35"/>
      <c r="P13" s="34"/>
      <c r="Q13" s="35"/>
      <c r="R13" s="35"/>
      <c r="S13" s="35"/>
      <c r="T13" s="35"/>
      <c r="U13" s="34"/>
    </row>
    <row r="14" spans="1:22" s="27" customFormat="1" ht="31.2" x14ac:dyDescent="0.3">
      <c r="A14" s="50" t="s">
        <v>86</v>
      </c>
      <c r="B14" s="43">
        <f>SUM(B10:B12)</f>
        <v>0</v>
      </c>
      <c r="C14" s="43">
        <f>SUM(C10:C12)</f>
        <v>0</v>
      </c>
      <c r="D14" s="56">
        <f>(10000000*D8/2)/12*3*0.1%</f>
        <v>65625</v>
      </c>
      <c r="E14" s="56">
        <f>(10000000*E8/2)/12*3*0.1%+D14</f>
        <v>87500</v>
      </c>
      <c r="F14" s="45">
        <f t="shared" si="7"/>
        <v>153125</v>
      </c>
      <c r="G14" s="56">
        <f>(10000000*G8/2)/12*3*0.1%</f>
        <v>175000</v>
      </c>
      <c r="H14" s="56">
        <f>(10000000*H8/2)/12*3*0.1%+G14</f>
        <v>350000</v>
      </c>
      <c r="I14" s="56">
        <f>(10000000*I8/2)/12*3*0.1%+H14+D14*0.25</f>
        <v>541406.25</v>
      </c>
      <c r="J14" s="56">
        <f>(10000000*J8/2)/12*3*0.1%+I14+E14*0.25</f>
        <v>738281.25</v>
      </c>
      <c r="K14" s="57">
        <f>G14+H14+I14+J14</f>
        <v>1804687.5</v>
      </c>
      <c r="L14" s="56">
        <f>(10000000*L8/2)/12*3*0.1%+G14*0.25</f>
        <v>743750</v>
      </c>
      <c r="M14" s="56">
        <f>(10000000*M8/2)/12*3*0.1%+L14+H14*0.25</f>
        <v>1531250</v>
      </c>
      <c r="N14" s="56">
        <f>(10000000*N8/2)/12*3*0.1%+M14+I14*0.25</f>
        <v>2366601.5625</v>
      </c>
      <c r="O14" s="56">
        <f>(10000000*O8/2)/12*3*0.1%+N14+J14*0.25</f>
        <v>3251171.875</v>
      </c>
      <c r="P14" s="57">
        <f>SUM(L14:O14)</f>
        <v>7892773.4375</v>
      </c>
      <c r="Q14" s="56">
        <f>(10000000*Q8/2)/12*3*0.1%+L14*0.25</f>
        <v>1585937.5</v>
      </c>
      <c r="R14" s="56">
        <f>(10000000*R8/2)/12*3*0.1%+Q14+M14*0.25</f>
        <v>3368750</v>
      </c>
      <c r="S14" s="56">
        <f>(10000000*S8/2)/12*3*0.1%+R14+N14*0.25</f>
        <v>5360400.390625</v>
      </c>
      <c r="T14" s="56">
        <f>(10000000*T8/2)/12*3*0.1%+S14+O14*0.25</f>
        <v>7573193.359375</v>
      </c>
      <c r="U14" s="57">
        <f>SUM(Q14:T14)</f>
        <v>17888281.25</v>
      </c>
      <c r="V14" s="43"/>
    </row>
    <row r="15" spans="1:22" x14ac:dyDescent="0.3">
      <c r="A15" s="36"/>
      <c r="B15" s="35"/>
      <c r="C15" s="35"/>
      <c r="D15" s="35"/>
      <c r="E15" s="43"/>
      <c r="F15" s="34"/>
      <c r="G15" s="35"/>
      <c r="H15" s="35"/>
      <c r="I15" s="35"/>
      <c r="J15" s="35"/>
      <c r="K15" s="49"/>
      <c r="L15" s="35"/>
      <c r="M15" s="35"/>
      <c r="N15" s="35"/>
      <c r="O15" s="35"/>
      <c r="P15" s="34"/>
      <c r="Q15" s="35"/>
      <c r="R15" s="35"/>
      <c r="S15" s="35"/>
      <c r="T15" s="35"/>
      <c r="U15" s="34"/>
    </row>
    <row r="16" spans="1:22" s="27" customFormat="1" ht="31.2" x14ac:dyDescent="0.3">
      <c r="A16" s="50" t="s">
        <v>87</v>
      </c>
      <c r="B16" s="27">
        <v>0</v>
      </c>
      <c r="C16" s="27">
        <v>0</v>
      </c>
      <c r="D16" s="27">
        <v>0</v>
      </c>
      <c r="E16" s="27">
        <v>0</v>
      </c>
      <c r="F16" s="45">
        <f>B16+C16+D16+E16</f>
        <v>0</v>
      </c>
      <c r="G16" s="27">
        <f>10000*G8/2</f>
        <v>700000</v>
      </c>
      <c r="H16" s="27">
        <f>10000*H8/2</f>
        <v>700000</v>
      </c>
      <c r="I16" s="27">
        <f>10000*I8/2</f>
        <v>700000</v>
      </c>
      <c r="J16" s="27">
        <f>10000*J8/2</f>
        <v>700000</v>
      </c>
      <c r="K16" s="45">
        <f>G16+H16+I16+J16</f>
        <v>2800000</v>
      </c>
      <c r="L16" s="27">
        <f>10000*L8/2+G16*0.25</f>
        <v>2975000</v>
      </c>
      <c r="M16" s="27">
        <f t="shared" ref="M16:O16" si="11">10000*M8/2+H16*0.25</f>
        <v>2975000</v>
      </c>
      <c r="N16" s="27">
        <f t="shared" si="11"/>
        <v>2975000</v>
      </c>
      <c r="O16" s="27">
        <f t="shared" si="11"/>
        <v>2975000</v>
      </c>
      <c r="P16" s="45">
        <f>L16+M16+N16+O16</f>
        <v>11900000</v>
      </c>
      <c r="Q16" s="27">
        <f>10000*Q8/2+0.25*L16</f>
        <v>6343750</v>
      </c>
      <c r="R16" s="27">
        <f>10000*R8/2+0.25*M16</f>
        <v>6343750</v>
      </c>
      <c r="S16" s="27">
        <f>10000*S8/2+0.25*N16</f>
        <v>6343750</v>
      </c>
      <c r="T16" s="27">
        <f>10000*T8/2+0.25*O16</f>
        <v>6343750</v>
      </c>
      <c r="U16" s="51">
        <f>Q16+R16+S16+T16</f>
        <v>25375000</v>
      </c>
    </row>
    <row r="17" spans="1:21" x14ac:dyDescent="0.3">
      <c r="A17" s="36"/>
      <c r="F17" s="34"/>
      <c r="H17" s="37"/>
      <c r="I17" s="37"/>
      <c r="J17" s="37"/>
      <c r="K17" s="49"/>
      <c r="L17" s="37"/>
      <c r="O17" s="35"/>
      <c r="P17" s="34"/>
      <c r="U17" s="38"/>
    </row>
    <row r="18" spans="1:21" s="62" customFormat="1" x14ac:dyDescent="0.3">
      <c r="A18" s="59" t="s">
        <v>83</v>
      </c>
      <c r="B18" s="60">
        <f t="shared" ref="B18:E18" si="12">B14-B16</f>
        <v>0</v>
      </c>
      <c r="C18" s="60">
        <f t="shared" si="12"/>
        <v>0</v>
      </c>
      <c r="D18" s="60">
        <f t="shared" si="12"/>
        <v>65625</v>
      </c>
      <c r="E18" s="60">
        <f t="shared" si="12"/>
        <v>87500</v>
      </c>
      <c r="F18" s="61">
        <f>F10+F12+F14+F16</f>
        <v>3067968.75</v>
      </c>
      <c r="G18" s="60">
        <f>G10+G12+G14+G16</f>
        <v>3972500</v>
      </c>
      <c r="H18" s="60">
        <f t="shared" ref="H18:T18" si="13">H10+H12+H14+H16</f>
        <v>7245000</v>
      </c>
      <c r="I18" s="60">
        <f t="shared" si="13"/>
        <v>10862031.25</v>
      </c>
      <c r="J18" s="60">
        <f t="shared" si="13"/>
        <v>14556992.1875</v>
      </c>
      <c r="K18" s="61">
        <f>K10+K12+K14+K16</f>
        <v>36636523.4375</v>
      </c>
      <c r="L18" s="60">
        <f t="shared" si="13"/>
        <v>17638600</v>
      </c>
      <c r="M18" s="60">
        <f t="shared" si="13"/>
        <v>32398450</v>
      </c>
      <c r="N18" s="60">
        <f t="shared" si="13"/>
        <v>48062557.8125</v>
      </c>
      <c r="O18" s="60">
        <f t="shared" si="13"/>
        <v>64650405.859375</v>
      </c>
      <c r="P18" s="61">
        <f>P10+P12+P14+P16</f>
        <v>164604945.3125</v>
      </c>
      <c r="Q18" s="60">
        <f t="shared" si="13"/>
        <v>38631687.5</v>
      </c>
      <c r="R18" s="60">
        <f t="shared" si="13"/>
        <v>45205998.6328125</v>
      </c>
      <c r="S18" s="60">
        <f t="shared" si="13"/>
        <v>52452171.6796875</v>
      </c>
      <c r="T18" s="60">
        <f t="shared" si="13"/>
        <v>56566742.28515625</v>
      </c>
      <c r="U18" s="61">
        <f>SUM(Q18:T18)</f>
        <v>192856600.09765625</v>
      </c>
    </row>
    <row r="19" spans="1:21" s="62" customFormat="1" x14ac:dyDescent="0.3">
      <c r="A19" s="59" t="s">
        <v>84</v>
      </c>
      <c r="B19" s="62">
        <f>'Q1'!F32</f>
        <v>2428000</v>
      </c>
      <c r="C19" s="62">
        <f>'Q2'!F32</f>
        <v>2428000</v>
      </c>
      <c r="D19" s="62">
        <f>'Q3'!F31</f>
        <v>3568000</v>
      </c>
      <c r="E19" s="62">
        <f>'Q4'!F32</f>
        <v>6151000</v>
      </c>
      <c r="F19" s="63">
        <f>B19+C19+D19+E19</f>
        <v>14575000</v>
      </c>
      <c r="G19" s="62">
        <f>'Q5'!F33</f>
        <v>7457000</v>
      </c>
      <c r="H19" s="64">
        <f>'Q6'!F33</f>
        <v>7457000</v>
      </c>
      <c r="I19" s="64">
        <f>'Q7'!F33</f>
        <v>7457000</v>
      </c>
      <c r="J19" s="64">
        <f>'Q8'!F32</f>
        <v>150000</v>
      </c>
      <c r="K19" s="63">
        <f>G19+H19+I19+J19</f>
        <v>22521000</v>
      </c>
      <c r="L19" s="62">
        <f>'Q9'!F33</f>
        <v>14653000</v>
      </c>
      <c r="M19" s="62">
        <f>'Q10'!F33</f>
        <v>14653000</v>
      </c>
      <c r="N19" s="62">
        <f>'Q11'!F33</f>
        <v>14653000</v>
      </c>
      <c r="O19" s="62">
        <f>'Q12'!F33</f>
        <v>14653000</v>
      </c>
      <c r="P19" s="63">
        <f>L19+M19+N19+O19</f>
        <v>58612000</v>
      </c>
      <c r="Q19" s="60">
        <f>'Q13'!F33</f>
        <v>26389000</v>
      </c>
      <c r="R19" s="60">
        <f>'Q14'!F33</f>
        <v>26389000</v>
      </c>
      <c r="S19" s="60">
        <f>'Q15'!F33</f>
        <v>26389000</v>
      </c>
      <c r="T19" s="60">
        <f>'Q16'!F32</f>
        <v>150000</v>
      </c>
      <c r="U19" s="63">
        <f>Q19+R19+S19+T19</f>
        <v>79317000</v>
      </c>
    </row>
    <row r="20" spans="1:21" s="68" customFormat="1" x14ac:dyDescent="0.3">
      <c r="A20" s="65" t="s">
        <v>54</v>
      </c>
      <c r="B20" s="66">
        <f>B18-B19</f>
        <v>-2428000</v>
      </c>
      <c r="C20" s="66">
        <f t="shared" ref="C20:E20" si="14">C18-C19</f>
        <v>-2428000</v>
      </c>
      <c r="D20" s="66">
        <f t="shared" si="14"/>
        <v>-3502375</v>
      </c>
      <c r="E20" s="66">
        <f t="shared" si="14"/>
        <v>-6063500</v>
      </c>
      <c r="F20" s="67">
        <f>F18-F19</f>
        <v>-11507031.25</v>
      </c>
      <c r="G20" s="66">
        <f t="shared" ref="G20" si="15">G18-G19</f>
        <v>-3484500</v>
      </c>
      <c r="H20" s="66">
        <f t="shared" ref="H20" si="16">H18-H19</f>
        <v>-212000</v>
      </c>
      <c r="I20" s="66">
        <f t="shared" ref="I20" si="17">I18-I19</f>
        <v>3405031.25</v>
      </c>
      <c r="J20" s="66">
        <f t="shared" ref="J20" si="18">J18-J19</f>
        <v>14406992.1875</v>
      </c>
      <c r="K20" s="67">
        <f>K18-K19</f>
        <v>14115523.4375</v>
      </c>
      <c r="L20" s="66">
        <f t="shared" ref="L20" si="19">L18-L19</f>
        <v>2985600</v>
      </c>
      <c r="M20" s="66">
        <f t="shared" ref="M20" si="20">M18-M19</f>
        <v>17745450</v>
      </c>
      <c r="N20" s="66">
        <f t="shared" ref="N20" si="21">N18-N19</f>
        <v>33409557.8125</v>
      </c>
      <c r="O20" s="66">
        <f t="shared" ref="O20" si="22">O18-O19</f>
        <v>49997405.859375</v>
      </c>
      <c r="P20" s="67">
        <f>P18-P19</f>
        <v>105992945.3125</v>
      </c>
      <c r="Q20" s="66">
        <f t="shared" ref="Q20" si="23">Q18-Q19</f>
        <v>12242687.5</v>
      </c>
      <c r="R20" s="66">
        <f t="shared" ref="R20" si="24">R18-R19</f>
        <v>18816998.6328125</v>
      </c>
      <c r="S20" s="66">
        <f t="shared" ref="S20" si="25">S18-S19</f>
        <v>26063171.6796875</v>
      </c>
      <c r="T20" s="66">
        <f>'Q16'!F33</f>
        <v>26389000</v>
      </c>
      <c r="U20" s="67">
        <f>U18-U19</f>
        <v>113539600.09765625</v>
      </c>
    </row>
    <row r="21" spans="1:21" s="46" customFormat="1" x14ac:dyDescent="0.3">
      <c r="A21" s="52" t="s">
        <v>96</v>
      </c>
      <c r="B21" s="46">
        <f>B18/0.02</f>
        <v>0</v>
      </c>
      <c r="C21" s="46">
        <f>C18/0.02</f>
        <v>0</v>
      </c>
      <c r="D21" s="46">
        <f>D18/0.02</f>
        <v>3281250</v>
      </c>
      <c r="E21" s="46">
        <f>E18/0.02</f>
        <v>4375000</v>
      </c>
      <c r="F21" s="22">
        <f>SUM(B21:E21)</f>
        <v>7656250</v>
      </c>
      <c r="G21" s="46">
        <f>G18/0.02</f>
        <v>198625000</v>
      </c>
      <c r="H21" s="46">
        <f>H18/0.02</f>
        <v>362250000</v>
      </c>
      <c r="I21" s="46">
        <f>I18/0.02</f>
        <v>543101562.5</v>
      </c>
      <c r="J21" s="46">
        <f>J18/0.02</f>
        <v>727849609.375</v>
      </c>
      <c r="K21" s="22">
        <f>SUM(G21:J21)</f>
        <v>1831826171.875</v>
      </c>
      <c r="L21" s="46">
        <f>L18/0.02</f>
        <v>881930000</v>
      </c>
      <c r="M21" s="46">
        <f>M18/0.02</f>
        <v>1619922500</v>
      </c>
      <c r="N21" s="46">
        <f>N18/0.02</f>
        <v>2403127890.625</v>
      </c>
      <c r="O21" s="46">
        <f>O18/0.02</f>
        <v>3232520292.96875</v>
      </c>
      <c r="P21" s="22">
        <f>SUM(L21:O21)</f>
        <v>8137500683.59375</v>
      </c>
      <c r="Q21" s="46">
        <f>Q18/0.02</f>
        <v>1931584375</v>
      </c>
      <c r="R21" s="46">
        <f>R18/0.02</f>
        <v>2260299931.640625</v>
      </c>
      <c r="S21" s="46">
        <f>S18/0.02</f>
        <v>2622608583.984375</v>
      </c>
      <c r="T21" s="46">
        <f>T18/0.02</f>
        <v>2828337114.2578125</v>
      </c>
      <c r="U21" s="22">
        <f>SUM(Q21:T21)</f>
        <v>9642830004.8828125</v>
      </c>
    </row>
    <row r="22" spans="1:21" x14ac:dyDescent="0.3">
      <c r="G22" s="35"/>
      <c r="H22" s="37"/>
    </row>
    <row r="23" spans="1:21" s="46" customFormat="1" x14ac:dyDescent="0.3">
      <c r="A23" s="52" t="s">
        <v>107</v>
      </c>
      <c r="D23" s="73">
        <f t="shared" ref="D23:F23" si="26">D20/D18*100</f>
        <v>-5336.9523809523816</v>
      </c>
      <c r="E23" s="73">
        <f t="shared" si="26"/>
        <v>-6929.7142857142862</v>
      </c>
      <c r="F23" s="67">
        <f t="shared" si="26"/>
        <v>-375.0700280112045</v>
      </c>
      <c r="G23" s="73">
        <f>G20/G18*100</f>
        <v>-87.715544367526746</v>
      </c>
      <c r="H23" s="73">
        <f>H20/H18*100</f>
        <v>-2.9261559696342307</v>
      </c>
      <c r="I23" s="73">
        <f t="shared" ref="I23:U23" si="27">I20/I18*100</f>
        <v>31.348015593308109</v>
      </c>
      <c r="J23" s="73">
        <f t="shared" si="27"/>
        <v>98.969567352458952</v>
      </c>
      <c r="K23" s="67">
        <f t="shared" si="27"/>
        <v>38.528555968418637</v>
      </c>
      <c r="L23" s="73">
        <f t="shared" si="27"/>
        <v>16.926513442109918</v>
      </c>
      <c r="M23" s="73">
        <f t="shared" si="27"/>
        <v>54.772527698084318</v>
      </c>
      <c r="N23" s="73">
        <f t="shared" si="27"/>
        <v>69.512650456174669</v>
      </c>
      <c r="O23" s="73">
        <f t="shared" si="27"/>
        <v>77.33502240980107</v>
      </c>
      <c r="P23" s="67">
        <f t="shared" si="27"/>
        <v>64.392321331096099</v>
      </c>
      <c r="Q23" s="73">
        <f t="shared" si="27"/>
        <v>31.690791400194463</v>
      </c>
      <c r="R23" s="73">
        <f t="shared" si="27"/>
        <v>41.625003764775357</v>
      </c>
      <c r="S23" s="73">
        <f t="shared" si="27"/>
        <v>49.689404356503815</v>
      </c>
      <c r="T23" s="73">
        <f t="shared" si="27"/>
        <v>46.651086723310861</v>
      </c>
      <c r="U23" s="67">
        <f t="shared" si="27"/>
        <v>58.87255092133924</v>
      </c>
    </row>
    <row r="25" spans="1:21" x14ac:dyDescent="0.3">
      <c r="P25" s="26">
        <f>L25+M25+N25+O25</f>
        <v>0</v>
      </c>
    </row>
  </sheetData>
  <mergeCells count="3">
    <mergeCell ref="B3:E3"/>
    <mergeCell ref="G3:J3"/>
    <mergeCell ref="L3:O3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EDD3-A326-4584-A0D3-DC08461FB792}">
  <dimension ref="C6:F10"/>
  <sheetViews>
    <sheetView workbookViewId="0">
      <selection activeCell="E16" sqref="E16"/>
    </sheetView>
  </sheetViews>
  <sheetFormatPr defaultRowHeight="14.4" x14ac:dyDescent="0.3"/>
  <cols>
    <col min="3" max="3" width="13.21875" customWidth="1"/>
    <col min="4" max="4" width="11.77734375" customWidth="1"/>
    <col min="5" max="5" width="10.6640625" customWidth="1"/>
    <col min="6" max="6" width="14.109375" customWidth="1"/>
  </cols>
  <sheetData>
    <row r="6" spans="3:6" x14ac:dyDescent="0.3">
      <c r="C6" s="70" t="s">
        <v>101</v>
      </c>
      <c r="D6" s="71" t="s">
        <v>102</v>
      </c>
      <c r="E6" s="71" t="s">
        <v>103</v>
      </c>
      <c r="F6" s="71" t="s">
        <v>104</v>
      </c>
    </row>
    <row r="7" spans="3:6" x14ac:dyDescent="0.3">
      <c r="C7" t="s">
        <v>97</v>
      </c>
      <c r="D7" s="69">
        <v>30.67</v>
      </c>
      <c r="E7">
        <v>92</v>
      </c>
      <c r="F7" s="69">
        <f>D7-E7</f>
        <v>-61.33</v>
      </c>
    </row>
    <row r="8" spans="3:6" x14ac:dyDescent="0.3">
      <c r="C8" t="s">
        <v>98</v>
      </c>
      <c r="D8" s="69">
        <v>366</v>
      </c>
      <c r="E8">
        <v>132</v>
      </c>
      <c r="F8" s="69">
        <f t="shared" ref="F8:F10" si="0">D8-E8</f>
        <v>234</v>
      </c>
    </row>
    <row r="9" spans="3:6" x14ac:dyDescent="0.3">
      <c r="C9" t="s">
        <v>99</v>
      </c>
      <c r="D9" s="69">
        <v>1646</v>
      </c>
      <c r="E9">
        <v>225</v>
      </c>
      <c r="F9" s="69">
        <f t="shared" si="0"/>
        <v>1421</v>
      </c>
    </row>
    <row r="10" spans="3:6" x14ac:dyDescent="0.3">
      <c r="C10" t="s">
        <v>100</v>
      </c>
      <c r="D10" s="69">
        <v>1928</v>
      </c>
      <c r="E10">
        <v>415</v>
      </c>
      <c r="F10" s="69">
        <f t="shared" si="0"/>
        <v>1513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48DA-F414-42BA-9EC8-3F9122D7EA48}">
  <dimension ref="A2:F32"/>
  <sheetViews>
    <sheetView topLeftCell="A19" workbookViewId="0">
      <selection activeCell="A7" sqref="A7:F32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10</v>
      </c>
      <c r="D9" s="4">
        <v>20000</v>
      </c>
      <c r="E9" s="4">
        <f t="shared" ref="E9:E15" si="0">C9*D9</f>
        <v>200000</v>
      </c>
      <c r="F9" s="4">
        <f t="shared" ref="F9:F15" si="1">E9*3</f>
        <v>600000</v>
      </c>
    </row>
    <row r="10" spans="1:6" ht="31.2" x14ac:dyDescent="0.3">
      <c r="A10" s="13"/>
      <c r="B10" s="10" t="s">
        <v>8</v>
      </c>
      <c r="C10" s="4">
        <v>0</v>
      </c>
      <c r="D10" s="4">
        <v>30000</v>
      </c>
      <c r="E10" s="4">
        <f t="shared" si="0"/>
        <v>0</v>
      </c>
      <c r="F10" s="4">
        <f t="shared" si="1"/>
        <v>0</v>
      </c>
    </row>
    <row r="11" spans="1:6" x14ac:dyDescent="0.3">
      <c r="A11" s="13"/>
      <c r="B11" s="9" t="s">
        <v>9</v>
      </c>
      <c r="C11" s="4">
        <v>0</v>
      </c>
      <c r="D11" s="4">
        <v>20000</v>
      </c>
      <c r="E11" s="4">
        <f t="shared" si="0"/>
        <v>0</v>
      </c>
      <c r="F11" s="4">
        <f t="shared" si="1"/>
        <v>0</v>
      </c>
    </row>
    <row r="12" spans="1:6" x14ac:dyDescent="0.3">
      <c r="A12" s="13"/>
      <c r="B12" s="9" t="s">
        <v>10</v>
      </c>
      <c r="C12" s="4">
        <v>0</v>
      </c>
      <c r="D12" s="4">
        <v>30000</v>
      </c>
      <c r="E12" s="4">
        <f t="shared" si="0"/>
        <v>0</v>
      </c>
      <c r="F12" s="4">
        <f t="shared" si="1"/>
        <v>0</v>
      </c>
    </row>
    <row r="13" spans="1:6" x14ac:dyDescent="0.3">
      <c r="A13" s="13"/>
      <c r="B13" s="9" t="s">
        <v>11</v>
      </c>
      <c r="C13" s="4">
        <f>SUM(C8:C12)</f>
        <v>11</v>
      </c>
      <c r="D13" s="4">
        <v>5000</v>
      </c>
      <c r="E13" s="4">
        <f t="shared" si="0"/>
        <v>55000</v>
      </c>
      <c r="F13" s="4">
        <f t="shared" si="1"/>
        <v>165000</v>
      </c>
    </row>
    <row r="14" spans="1:6" x14ac:dyDescent="0.3">
      <c r="A14" s="13"/>
      <c r="B14" s="9" t="s">
        <v>12</v>
      </c>
      <c r="C14" s="4">
        <f>C13</f>
        <v>11</v>
      </c>
      <c r="D14" s="4">
        <v>1000</v>
      </c>
      <c r="E14" s="4">
        <f t="shared" si="0"/>
        <v>11000</v>
      </c>
      <c r="F14" s="4">
        <f t="shared" si="1"/>
        <v>33000</v>
      </c>
    </row>
    <row r="15" spans="1:6" x14ac:dyDescent="0.3">
      <c r="A15" s="13"/>
      <c r="B15" s="9" t="s">
        <v>13</v>
      </c>
      <c r="C15" s="4">
        <v>5</v>
      </c>
      <c r="D15" s="4">
        <v>15000</v>
      </c>
      <c r="E15" s="4">
        <f t="shared" si="0"/>
        <v>75000</v>
      </c>
      <c r="F15" s="4">
        <f t="shared" si="1"/>
        <v>225000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371000</v>
      </c>
      <c r="F16" s="15">
        <f t="shared" si="2"/>
        <v>1113000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1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50000</v>
      </c>
      <c r="E19" s="4">
        <f t="shared" si="3"/>
        <v>100000</v>
      </c>
      <c r="F19" s="4">
        <f t="shared" si="4"/>
        <v>300000</v>
      </c>
    </row>
    <row r="20" spans="1:6" x14ac:dyDescent="0.3">
      <c r="A20" s="13"/>
      <c r="B20" s="9" t="s">
        <v>18</v>
      </c>
      <c r="C20" s="4">
        <v>0</v>
      </c>
      <c r="D20" s="4">
        <v>50000</v>
      </c>
      <c r="E20" s="4">
        <f t="shared" si="3"/>
        <v>0</v>
      </c>
      <c r="F20" s="4">
        <f t="shared" si="4"/>
        <v>0</v>
      </c>
    </row>
    <row r="21" spans="1:6" x14ac:dyDescent="0.3">
      <c r="A21" s="13"/>
      <c r="B21" s="9" t="s">
        <v>19</v>
      </c>
      <c r="C21" s="4">
        <v>1</v>
      </c>
      <c r="D21" s="4">
        <v>50000</v>
      </c>
      <c r="E21" s="4">
        <f t="shared" si="3"/>
        <v>50000</v>
      </c>
      <c r="F21" s="4">
        <f t="shared" si="4"/>
        <v>150000</v>
      </c>
    </row>
    <row r="22" spans="1:6" x14ac:dyDescent="0.3">
      <c r="A22" s="13"/>
      <c r="B22" s="9" t="s">
        <v>20</v>
      </c>
      <c r="C22" s="4">
        <v>1</v>
      </c>
      <c r="D22" s="4">
        <v>20000</v>
      </c>
      <c r="E22" s="4">
        <f t="shared" si="3"/>
        <v>20000</v>
      </c>
      <c r="F22" s="4">
        <f t="shared" si="4"/>
        <v>60000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f>SUM(D19:D23)</f>
        <v>200000</v>
      </c>
      <c r="E24" s="58">
        <f t="shared" ref="E24:F24" si="5">SUM(E19:E23)</f>
        <v>200000</v>
      </c>
      <c r="F24" s="58">
        <f t="shared" si="5"/>
        <v>600000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50000</v>
      </c>
      <c r="E28" s="4">
        <f t="shared" si="3"/>
        <v>50000</v>
      </c>
      <c r="F28" s="4">
        <f t="shared" si="4"/>
        <v>150000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20"/>
      <c r="B30" s="19" t="s">
        <v>91</v>
      </c>
      <c r="C30" s="15"/>
      <c r="D30" s="58">
        <f>SUM(D28:D29)</f>
        <v>80000</v>
      </c>
      <c r="E30" s="58">
        <f t="shared" ref="E30:F30" si="7">SUM(E28:E29)</f>
        <v>80000</v>
      </c>
      <c r="F30" s="58">
        <f t="shared" si="7"/>
        <v>240000</v>
      </c>
    </row>
    <row r="31" spans="1:6" s="58" customFormat="1" x14ac:dyDescent="0.3">
      <c r="B31" s="19" t="s">
        <v>28</v>
      </c>
      <c r="C31" s="58">
        <v>1</v>
      </c>
      <c r="D31" s="58">
        <v>50000</v>
      </c>
      <c r="E31" s="58">
        <f>C31*D31</f>
        <v>50000</v>
      </c>
      <c r="F31" s="58">
        <f t="shared" si="4"/>
        <v>150000</v>
      </c>
    </row>
    <row r="32" spans="1:6" x14ac:dyDescent="0.3">
      <c r="C32" s="5">
        <f>SUM(C8:C12)</f>
        <v>11</v>
      </c>
      <c r="D32" s="5" t="s">
        <v>29</v>
      </c>
      <c r="E32" s="8">
        <f>E16+E18+E24+E27+E30+E31</f>
        <v>876000</v>
      </c>
      <c r="F32" s="8">
        <f>F16+F18+F24+F27+F30+F31</f>
        <v>2428000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930A-ABD4-4D3E-BF68-12ED9886D350}">
  <dimension ref="B4:C9"/>
  <sheetViews>
    <sheetView workbookViewId="0">
      <selection activeCell="C18" sqref="C18"/>
    </sheetView>
  </sheetViews>
  <sheetFormatPr defaultColWidth="8.77734375" defaultRowHeight="15.6" x14ac:dyDescent="0.3"/>
  <cols>
    <col min="1" max="1" width="8.77734375" style="14"/>
    <col min="2" max="2" width="27.6640625" style="14" customWidth="1"/>
    <col min="3" max="3" width="16.44140625" style="14" customWidth="1"/>
    <col min="4" max="16384" width="8.77734375" style="14"/>
  </cols>
  <sheetData>
    <row r="4" spans="2:3" x14ac:dyDescent="0.3">
      <c r="B4" s="77" t="s">
        <v>92</v>
      </c>
      <c r="C4" s="77"/>
    </row>
    <row r="6" spans="2:3" x14ac:dyDescent="0.3">
      <c r="B6" s="17" t="s">
        <v>93</v>
      </c>
      <c r="C6" s="16">
        <f>'Profitability calculation  '!K10</f>
        <v>29558593.75</v>
      </c>
    </row>
    <row r="7" spans="2:3" x14ac:dyDescent="0.3">
      <c r="B7" s="17" t="s">
        <v>94</v>
      </c>
      <c r="C7" s="16">
        <f>'Profitability calculation  '!K12</f>
        <v>2473242.1875</v>
      </c>
    </row>
    <row r="8" spans="2:3" x14ac:dyDescent="0.3">
      <c r="B8" s="17" t="s">
        <v>95</v>
      </c>
      <c r="C8" s="16">
        <f>'Profitability calculation  '!K14</f>
        <v>1804687.5</v>
      </c>
    </row>
    <row r="9" spans="2:3" x14ac:dyDescent="0.3">
      <c r="B9" s="17" t="s">
        <v>78</v>
      </c>
      <c r="C9" s="16">
        <f>'Profitability calculation  '!K16</f>
        <v>2800000</v>
      </c>
    </row>
  </sheetData>
  <mergeCells count="1">
    <mergeCell ref="B4:C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0004-E323-4FA2-9F5D-CA155B9D0AF1}">
  <dimension ref="A2:F34"/>
  <sheetViews>
    <sheetView tabSelected="1" topLeftCell="A7" workbookViewId="0">
      <selection activeCell="J21" sqref="J21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20</v>
      </c>
      <c r="D9" s="4">
        <v>15000</v>
      </c>
      <c r="E9" s="4">
        <f t="shared" ref="E9:E28" si="0">C9*D9</f>
        <v>300000</v>
      </c>
      <c r="F9" s="4">
        <f t="shared" ref="F9:F25" si="1">E9*3</f>
        <v>900000</v>
      </c>
    </row>
    <row r="10" spans="1:6" x14ac:dyDescent="0.3">
      <c r="A10" s="13"/>
      <c r="B10" s="10" t="s">
        <v>55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9" t="s">
        <v>9</v>
      </c>
      <c r="C11" s="4">
        <v>2</v>
      </c>
      <c r="D11" s="4">
        <v>15000</v>
      </c>
      <c r="E11" s="4">
        <f t="shared" si="0"/>
        <v>30000</v>
      </c>
      <c r="F11" s="4">
        <f t="shared" si="1"/>
        <v>90000</v>
      </c>
    </row>
    <row r="12" spans="1:6" x14ac:dyDescent="0.3">
      <c r="A12" s="13"/>
      <c r="B12" s="9" t="s">
        <v>30</v>
      </c>
      <c r="C12" s="4">
        <v>2</v>
      </c>
      <c r="D12" s="4">
        <v>30000</v>
      </c>
      <c r="E12" s="4">
        <f t="shared" si="0"/>
        <v>60000</v>
      </c>
      <c r="F12" s="4">
        <f t="shared" si="1"/>
        <v>180000</v>
      </c>
    </row>
    <row r="13" spans="1:6" x14ac:dyDescent="0.3">
      <c r="A13" s="13"/>
      <c r="B13" s="9" t="s">
        <v>11</v>
      </c>
      <c r="C13" s="4">
        <f>SUM(C8:C12)</f>
        <v>26</v>
      </c>
      <c r="D13" s="4">
        <v>5000</v>
      </c>
      <c r="E13" s="4">
        <f t="shared" si="0"/>
        <v>130000</v>
      </c>
      <c r="F13" s="4">
        <f t="shared" si="1"/>
        <v>390000</v>
      </c>
    </row>
    <row r="14" spans="1:6" x14ac:dyDescent="0.3">
      <c r="A14" s="13"/>
      <c r="B14" s="9" t="s">
        <v>12</v>
      </c>
      <c r="C14" s="4">
        <f>C13</f>
        <v>26</v>
      </c>
      <c r="D14" s="4">
        <v>1000</v>
      </c>
      <c r="E14" s="4">
        <f t="shared" si="0"/>
        <v>26000</v>
      </c>
      <c r="F14" s="4">
        <f t="shared" si="1"/>
        <v>78000</v>
      </c>
    </row>
    <row r="15" spans="1:6" x14ac:dyDescent="0.3">
      <c r="A15" s="13"/>
      <c r="B15" s="9" t="s">
        <v>13</v>
      </c>
      <c r="C15" s="4">
        <v>10</v>
      </c>
      <c r="D15" s="4">
        <v>10000</v>
      </c>
      <c r="E15" s="4">
        <f t="shared" si="0"/>
        <v>100000</v>
      </c>
      <c r="F15" s="4">
        <f t="shared" si="1"/>
        <v>300000</v>
      </c>
    </row>
    <row r="16" spans="1:6" s="15" customFormat="1" x14ac:dyDescent="0.3">
      <c r="A16" s="18"/>
      <c r="B16" s="19" t="s">
        <v>5</v>
      </c>
      <c r="F16" s="15">
        <f>SUM(F8:F15)</f>
        <v>2118000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100000</v>
      </c>
      <c r="E17" s="4">
        <f t="shared" si="0"/>
        <v>100000</v>
      </c>
      <c r="F17" s="4">
        <f t="shared" si="1"/>
        <v>300000</v>
      </c>
    </row>
    <row r="18" spans="1:6" s="15" customFormat="1" x14ac:dyDescent="0.3">
      <c r="A18" s="18"/>
      <c r="B18" s="19" t="s">
        <v>82</v>
      </c>
      <c r="F18" s="15">
        <f>F17</f>
        <v>300000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100000</v>
      </c>
      <c r="E19" s="4">
        <f t="shared" si="0"/>
        <v>200000</v>
      </c>
      <c r="F19" s="4">
        <f t="shared" si="1"/>
        <v>600000</v>
      </c>
    </row>
    <row r="20" spans="1:6" x14ac:dyDescent="0.3">
      <c r="A20" s="13"/>
      <c r="B20" s="9" t="s">
        <v>19</v>
      </c>
      <c r="C20" s="4">
        <v>1</v>
      </c>
      <c r="D20" s="4">
        <v>30000</v>
      </c>
      <c r="E20" s="4">
        <f t="shared" si="0"/>
        <v>30000</v>
      </c>
      <c r="F20" s="4">
        <f t="shared" si="1"/>
        <v>90000</v>
      </c>
    </row>
    <row r="21" spans="1:6" x14ac:dyDescent="0.3">
      <c r="A21" s="13"/>
      <c r="B21" s="9" t="s">
        <v>20</v>
      </c>
      <c r="C21" s="4">
        <v>2</v>
      </c>
      <c r="D21" s="4">
        <v>15000</v>
      </c>
      <c r="E21" s="4">
        <f t="shared" si="0"/>
        <v>30000</v>
      </c>
      <c r="F21" s="4">
        <f t="shared" si="1"/>
        <v>90000</v>
      </c>
    </row>
    <row r="22" spans="1:6" x14ac:dyDescent="0.3">
      <c r="A22" s="13"/>
      <c r="B22" s="9" t="s">
        <v>21</v>
      </c>
      <c r="C22" s="4">
        <v>1</v>
      </c>
      <c r="D22" s="4">
        <v>25000</v>
      </c>
      <c r="E22" s="4">
        <f t="shared" si="0"/>
        <v>25000</v>
      </c>
      <c r="F22" s="4">
        <f t="shared" si="1"/>
        <v>75000</v>
      </c>
    </row>
    <row r="23" spans="1:6" s="15" customFormat="1" x14ac:dyDescent="0.3">
      <c r="A23" s="18"/>
      <c r="B23" s="19" t="s">
        <v>81</v>
      </c>
      <c r="F23" s="15">
        <f>SUM(F19:F22)</f>
        <v>855000</v>
      </c>
    </row>
    <row r="24" spans="1:6" x14ac:dyDescent="0.3">
      <c r="A24" s="13" t="s">
        <v>22</v>
      </c>
      <c r="C24" s="4">
        <v>1</v>
      </c>
      <c r="D24" s="4">
        <v>25000</v>
      </c>
      <c r="E24" s="4">
        <f t="shared" si="0"/>
        <v>25000</v>
      </c>
      <c r="F24" s="4">
        <f t="shared" si="1"/>
        <v>75000</v>
      </c>
    </row>
    <row r="25" spans="1:6" x14ac:dyDescent="0.3">
      <c r="A25" s="13" t="s">
        <v>23</v>
      </c>
      <c r="B25" s="9" t="s">
        <v>24</v>
      </c>
      <c r="C25" s="4">
        <v>1</v>
      </c>
      <c r="D25" s="4">
        <v>45000</v>
      </c>
      <c r="E25" s="4">
        <f t="shared" si="0"/>
        <v>45000</v>
      </c>
      <c r="F25" s="4">
        <f t="shared" si="1"/>
        <v>135000</v>
      </c>
    </row>
    <row r="26" spans="1:6" x14ac:dyDescent="0.3">
      <c r="A26" s="13" t="s">
        <v>28</v>
      </c>
      <c r="C26" s="4">
        <v>1</v>
      </c>
      <c r="D26" s="4">
        <v>50000</v>
      </c>
      <c r="E26" s="4">
        <f>C26*D26</f>
        <v>50000</v>
      </c>
      <c r="F26" s="4">
        <f>E26*3</f>
        <v>150000</v>
      </c>
    </row>
    <row r="27" spans="1:6" s="15" customFormat="1" x14ac:dyDescent="0.3">
      <c r="A27" s="18"/>
      <c r="B27" s="19" t="s">
        <v>80</v>
      </c>
      <c r="F27" s="15">
        <f>SUM(F24:F26)</f>
        <v>360000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50000</v>
      </c>
      <c r="E28" s="4">
        <f t="shared" si="0"/>
        <v>50000</v>
      </c>
      <c r="F28" s="4">
        <v>50000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x14ac:dyDescent="0.3">
      <c r="A30" s="12"/>
      <c r="B30" s="9" t="s">
        <v>56</v>
      </c>
      <c r="C30" s="4">
        <v>1</v>
      </c>
      <c r="D30" s="4">
        <v>20000</v>
      </c>
      <c r="E30" s="4">
        <f>C30*D30</f>
        <v>20000</v>
      </c>
      <c r="F30" s="4">
        <f>E30*3</f>
        <v>60000</v>
      </c>
    </row>
    <row r="31" spans="1:6" x14ac:dyDescent="0.3">
      <c r="A31" s="12"/>
      <c r="B31" s="9" t="s">
        <v>18</v>
      </c>
      <c r="C31" s="4">
        <v>1</v>
      </c>
      <c r="D31" s="4">
        <v>50000</v>
      </c>
      <c r="E31" s="4">
        <f>C31*D31</f>
        <v>50000</v>
      </c>
      <c r="F31" s="4">
        <f>E31*3</f>
        <v>150000</v>
      </c>
    </row>
    <row r="32" spans="1:6" s="15" customFormat="1" x14ac:dyDescent="0.3">
      <c r="A32" s="20"/>
      <c r="B32" s="19" t="s">
        <v>79</v>
      </c>
      <c r="F32" s="15">
        <f>SUM(F28:F31)</f>
        <v>350000</v>
      </c>
    </row>
    <row r="33" spans="1:6" x14ac:dyDescent="0.3">
      <c r="A33" s="4"/>
      <c r="B33" s="4"/>
    </row>
    <row r="34" spans="1:6" x14ac:dyDescent="0.3">
      <c r="C34" s="5"/>
      <c r="D34" s="5" t="s">
        <v>29</v>
      </c>
      <c r="E34" s="8">
        <f>SUM(E8:E32)</f>
        <v>1361000</v>
      </c>
      <c r="F34" s="8">
        <f>F16+F18+F23+F27+F32</f>
        <v>3983000</v>
      </c>
    </row>
  </sheetData>
  <mergeCells count="2">
    <mergeCell ref="B2:E2"/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1161-33DD-4B1E-9CEC-9C7F92073D3A}">
  <dimension ref="A2:F31"/>
  <sheetViews>
    <sheetView topLeftCell="A11" workbookViewId="0">
      <selection activeCell="A7" sqref="A7:F31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10</v>
      </c>
      <c r="D9" s="4">
        <v>20000</v>
      </c>
      <c r="E9" s="4">
        <f t="shared" ref="E9:E15" si="0">C9*D9</f>
        <v>200000</v>
      </c>
      <c r="F9" s="4">
        <f t="shared" ref="F9:F15" si="1">E9*3</f>
        <v>600000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105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</v>
      </c>
      <c r="D12" s="4">
        <v>30000</v>
      </c>
      <c r="E12" s="4">
        <f t="shared" si="0"/>
        <v>60000</v>
      </c>
      <c r="F12" s="4">
        <f t="shared" si="1"/>
        <v>180000</v>
      </c>
    </row>
    <row r="13" spans="1:6" x14ac:dyDescent="0.3">
      <c r="A13" s="13"/>
      <c r="B13" s="9" t="s">
        <v>11</v>
      </c>
      <c r="C13" s="4">
        <f>SUM(C8:C12)</f>
        <v>16</v>
      </c>
      <c r="D13" s="4">
        <v>5000</v>
      </c>
      <c r="E13" s="4">
        <f t="shared" si="0"/>
        <v>80000</v>
      </c>
      <c r="F13" s="4">
        <f t="shared" si="1"/>
        <v>240000</v>
      </c>
    </row>
    <row r="14" spans="1:6" x14ac:dyDescent="0.3">
      <c r="A14" s="13"/>
      <c r="B14" s="9" t="s">
        <v>12</v>
      </c>
      <c r="C14" s="4">
        <f>C13</f>
        <v>16</v>
      </c>
      <c r="D14" s="4">
        <v>1000</v>
      </c>
      <c r="E14" s="4">
        <f t="shared" si="0"/>
        <v>16000</v>
      </c>
      <c r="F14" s="4">
        <f t="shared" si="1"/>
        <v>48000</v>
      </c>
    </row>
    <row r="15" spans="1:6" x14ac:dyDescent="0.3">
      <c r="A15" s="13"/>
      <c r="B15" s="9" t="s">
        <v>13</v>
      </c>
      <c r="C15" s="4">
        <v>5</v>
      </c>
      <c r="D15" s="4">
        <v>15000</v>
      </c>
      <c r="E15" s="4">
        <f t="shared" si="0"/>
        <v>75000</v>
      </c>
      <c r="F15" s="4">
        <f t="shared" si="1"/>
        <v>225000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531000</v>
      </c>
      <c r="F16" s="15">
        <f t="shared" si="2"/>
        <v>1593000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7" si="3">C17*D17</f>
        <v>150000</v>
      </c>
      <c r="F17" s="4">
        <f t="shared" ref="F17:F30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50000</v>
      </c>
      <c r="E19" s="4">
        <f t="shared" si="3"/>
        <v>100000</v>
      </c>
      <c r="F19" s="4">
        <f t="shared" si="4"/>
        <v>300000</v>
      </c>
    </row>
    <row r="20" spans="1:6" x14ac:dyDescent="0.3">
      <c r="A20" s="13"/>
      <c r="B20" s="9" t="s">
        <v>18</v>
      </c>
      <c r="C20" s="4">
        <v>1</v>
      </c>
      <c r="D20" s="4">
        <v>50000</v>
      </c>
      <c r="E20" s="4">
        <f t="shared" si="3"/>
        <v>50000</v>
      </c>
      <c r="F20" s="4">
        <f t="shared" si="4"/>
        <v>150000</v>
      </c>
    </row>
    <row r="21" spans="1:6" x14ac:dyDescent="0.3">
      <c r="A21" s="13"/>
      <c r="B21" s="9" t="s">
        <v>19</v>
      </c>
      <c r="C21" s="4">
        <v>1</v>
      </c>
      <c r="D21" s="4">
        <v>50000</v>
      </c>
      <c r="E21" s="4">
        <f t="shared" si="3"/>
        <v>50000</v>
      </c>
      <c r="F21" s="4">
        <f t="shared" si="4"/>
        <v>150000</v>
      </c>
    </row>
    <row r="22" spans="1:6" x14ac:dyDescent="0.3">
      <c r="A22" s="13"/>
      <c r="B22" s="9" t="s">
        <v>20</v>
      </c>
      <c r="C22" s="4">
        <v>1</v>
      </c>
      <c r="D22" s="4">
        <v>20000</v>
      </c>
      <c r="E22" s="4">
        <f t="shared" si="3"/>
        <v>20000</v>
      </c>
      <c r="F22" s="4">
        <f t="shared" si="4"/>
        <v>60000</v>
      </c>
    </row>
    <row r="23" spans="1:6" s="58" customFormat="1" x14ac:dyDescent="0.3">
      <c r="A23" s="18"/>
      <c r="B23" s="19" t="s">
        <v>16</v>
      </c>
      <c r="D23" s="4">
        <v>30000</v>
      </c>
      <c r="E23" s="58">
        <f t="shared" ref="E23:F23" si="5">SUM(E18:E22)</f>
        <v>320000</v>
      </c>
      <c r="F23" s="58">
        <f t="shared" si="5"/>
        <v>760000</v>
      </c>
    </row>
    <row r="24" spans="1:6" x14ac:dyDescent="0.3">
      <c r="A24" s="13" t="s">
        <v>22</v>
      </c>
      <c r="C24" s="4">
        <v>1</v>
      </c>
      <c r="D24" s="58">
        <f>SUM(D19:D23)</f>
        <v>200000</v>
      </c>
      <c r="E24" s="4">
        <f t="shared" si="3"/>
        <v>200000</v>
      </c>
      <c r="F24" s="4">
        <f t="shared" si="4"/>
        <v>600000</v>
      </c>
    </row>
    <row r="25" spans="1:6" x14ac:dyDescent="0.3">
      <c r="A25" s="13" t="s">
        <v>23</v>
      </c>
      <c r="B25" s="9" t="s">
        <v>24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s="58" customFormat="1" x14ac:dyDescent="0.3">
      <c r="A26" s="18"/>
      <c r="B26" s="19" t="s">
        <v>90</v>
      </c>
      <c r="D26" s="4">
        <v>50000</v>
      </c>
      <c r="E26" s="58">
        <f t="shared" ref="E26:F26" si="6">SUM(E24:E25)</f>
        <v>225000</v>
      </c>
      <c r="F26" s="58">
        <f t="shared" si="6"/>
        <v>675000</v>
      </c>
    </row>
    <row r="27" spans="1:6" ht="46.8" x14ac:dyDescent="0.3">
      <c r="A27" s="12" t="s">
        <v>25</v>
      </c>
      <c r="B27" s="10" t="s">
        <v>26</v>
      </c>
      <c r="C27" s="4">
        <v>1</v>
      </c>
      <c r="D27" s="58">
        <f>SUM(D25:D26)</f>
        <v>75000</v>
      </c>
      <c r="E27" s="4">
        <f t="shared" si="3"/>
        <v>75000</v>
      </c>
      <c r="F27" s="4">
        <v>50000</v>
      </c>
    </row>
    <row r="28" spans="1:6" x14ac:dyDescent="0.3">
      <c r="A28" s="12"/>
      <c r="B28" s="9" t="s">
        <v>27</v>
      </c>
      <c r="C28" s="4">
        <v>1</v>
      </c>
      <c r="D28" s="4">
        <v>50000</v>
      </c>
      <c r="E28" s="4">
        <f>C28*D28</f>
        <v>50000</v>
      </c>
      <c r="F28" s="4">
        <f>E28*3</f>
        <v>150000</v>
      </c>
    </row>
    <row r="29" spans="1:6" s="58" customFormat="1" x14ac:dyDescent="0.3">
      <c r="A29" s="20"/>
      <c r="B29" s="19" t="s">
        <v>91</v>
      </c>
      <c r="C29" s="15"/>
      <c r="D29" s="4">
        <v>30000</v>
      </c>
      <c r="E29" s="58">
        <f t="shared" ref="E29:F29" si="7">SUM(E27:E28)</f>
        <v>125000</v>
      </c>
      <c r="F29" s="58">
        <f t="shared" si="7"/>
        <v>200000</v>
      </c>
    </row>
    <row r="30" spans="1:6" s="58" customFormat="1" x14ac:dyDescent="0.3">
      <c r="B30" s="19" t="s">
        <v>28</v>
      </c>
      <c r="C30" s="58">
        <v>1</v>
      </c>
      <c r="D30" s="58">
        <f>SUM(D28:D29)</f>
        <v>80000</v>
      </c>
      <c r="E30" s="58">
        <f>C30*D30</f>
        <v>80000</v>
      </c>
      <c r="F30" s="58">
        <f t="shared" si="4"/>
        <v>240000</v>
      </c>
    </row>
    <row r="31" spans="1:6" x14ac:dyDescent="0.3">
      <c r="C31" s="5"/>
      <c r="D31" s="58">
        <v>50000</v>
      </c>
      <c r="E31" s="8">
        <f>E16+E18+E23+E26+E29+E30</f>
        <v>1381000</v>
      </c>
      <c r="F31" s="8">
        <f>F16+F18+F23+F26+F29+F30</f>
        <v>3568000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D85A-8282-4939-BA0B-5AA65402BD7E}">
  <dimension ref="A2:F32"/>
  <sheetViews>
    <sheetView topLeftCell="A13" workbookViewId="0">
      <selection activeCell="E31" sqref="E31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10</v>
      </c>
      <c r="D9" s="4">
        <v>20000</v>
      </c>
      <c r="E9" s="4">
        <f t="shared" ref="E9:E15" si="0">C9*D9</f>
        <v>200000</v>
      </c>
      <c r="F9" s="4">
        <f t="shared" ref="F9:F15" si="1">E9*3</f>
        <v>600000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105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</v>
      </c>
      <c r="D12" s="4">
        <v>30000</v>
      </c>
      <c r="E12" s="4">
        <f t="shared" si="0"/>
        <v>60000</v>
      </c>
      <c r="F12" s="4">
        <f t="shared" si="1"/>
        <v>180000</v>
      </c>
    </row>
    <row r="13" spans="1:6" x14ac:dyDescent="0.3">
      <c r="A13" s="13"/>
      <c r="B13" s="9" t="s">
        <v>11</v>
      </c>
      <c r="C13" s="4">
        <f>SUM(C8:C12)</f>
        <v>16</v>
      </c>
      <c r="D13" s="4">
        <v>5000</v>
      </c>
      <c r="E13" s="4">
        <f t="shared" si="0"/>
        <v>80000</v>
      </c>
      <c r="F13" s="4">
        <f t="shared" si="1"/>
        <v>240000</v>
      </c>
    </row>
    <row r="14" spans="1:6" x14ac:dyDescent="0.3">
      <c r="A14" s="13"/>
      <c r="B14" s="9" t="s">
        <v>12</v>
      </c>
      <c r="C14" s="4">
        <f>C13</f>
        <v>16</v>
      </c>
      <c r="D14" s="4">
        <v>1000</v>
      </c>
      <c r="E14" s="4">
        <f t="shared" si="0"/>
        <v>16000</v>
      </c>
      <c r="F14" s="4">
        <f t="shared" si="1"/>
        <v>48000</v>
      </c>
    </row>
    <row r="15" spans="1:6" x14ac:dyDescent="0.3">
      <c r="A15" s="13"/>
      <c r="B15" s="9" t="s">
        <v>13</v>
      </c>
      <c r="C15" s="4">
        <v>5</v>
      </c>
      <c r="D15" s="4">
        <v>15000</v>
      </c>
      <c r="E15" s="4">
        <f t="shared" si="0"/>
        <v>75000</v>
      </c>
      <c r="F15" s="4">
        <f t="shared" si="1"/>
        <v>225000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531000</v>
      </c>
      <c r="F16" s="15">
        <f t="shared" si="2"/>
        <v>1593000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7" si="3">C17*D17</f>
        <v>150000</v>
      </c>
      <c r="F17" s="4">
        <f t="shared" ref="F17:F30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50000</v>
      </c>
      <c r="E19" s="4">
        <f t="shared" si="3"/>
        <v>100000</v>
      </c>
      <c r="F19" s="4">
        <f t="shared" si="4"/>
        <v>300000</v>
      </c>
    </row>
    <row r="20" spans="1:6" x14ac:dyDescent="0.3">
      <c r="A20" s="13"/>
      <c r="B20" s="9" t="s">
        <v>18</v>
      </c>
      <c r="C20" s="4">
        <v>1</v>
      </c>
      <c r="D20" s="4">
        <v>50000</v>
      </c>
      <c r="E20" s="4">
        <f t="shared" si="3"/>
        <v>50000</v>
      </c>
      <c r="F20" s="4">
        <f t="shared" si="4"/>
        <v>150000</v>
      </c>
    </row>
    <row r="21" spans="1:6" x14ac:dyDescent="0.3">
      <c r="A21" s="13"/>
      <c r="B21" s="9" t="s">
        <v>19</v>
      </c>
      <c r="C21" s="4">
        <v>1</v>
      </c>
      <c r="D21" s="4">
        <v>50000</v>
      </c>
      <c r="E21" s="4">
        <f t="shared" si="3"/>
        <v>50000</v>
      </c>
      <c r="F21" s="4">
        <f t="shared" si="4"/>
        <v>150000</v>
      </c>
    </row>
    <row r="22" spans="1:6" x14ac:dyDescent="0.3">
      <c r="A22" s="13"/>
      <c r="B22" s="9" t="s">
        <v>20</v>
      </c>
      <c r="C22" s="4">
        <v>1</v>
      </c>
      <c r="D22" s="4">
        <v>20000</v>
      </c>
      <c r="E22" s="4">
        <f t="shared" si="3"/>
        <v>20000</v>
      </c>
      <c r="F22" s="4">
        <f t="shared" si="4"/>
        <v>60000</v>
      </c>
    </row>
    <row r="23" spans="1:6" s="15" customFormat="1" x14ac:dyDescent="0.3">
      <c r="A23" s="18"/>
      <c r="B23" s="19" t="s">
        <v>16</v>
      </c>
      <c r="D23" s="15">
        <v>30000</v>
      </c>
      <c r="E23" s="15">
        <f t="shared" ref="E23:F23" si="5">SUM(E18:E22)</f>
        <v>320000</v>
      </c>
      <c r="F23" s="15">
        <f t="shared" si="5"/>
        <v>760000</v>
      </c>
    </row>
    <row r="24" spans="1:6" x14ac:dyDescent="0.3">
      <c r="A24" s="13" t="s">
        <v>22</v>
      </c>
      <c r="C24" s="4">
        <v>1</v>
      </c>
      <c r="D24" s="4">
        <f>SUM(D19:D23)</f>
        <v>200000</v>
      </c>
      <c r="E24" s="4">
        <f t="shared" si="3"/>
        <v>200000</v>
      </c>
      <c r="F24" s="4">
        <f t="shared" si="4"/>
        <v>600000</v>
      </c>
    </row>
    <row r="25" spans="1:6" x14ac:dyDescent="0.3">
      <c r="A25" s="13" t="s">
        <v>23</v>
      </c>
      <c r="B25" s="9" t="s">
        <v>24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s="15" customFormat="1" x14ac:dyDescent="0.3">
      <c r="A26" s="18"/>
      <c r="B26" s="19" t="s">
        <v>90</v>
      </c>
      <c r="D26" s="15">
        <v>50000</v>
      </c>
      <c r="E26" s="15">
        <f t="shared" ref="E26:F26" si="6">SUM(E24:E25)</f>
        <v>225000</v>
      </c>
      <c r="F26" s="15">
        <f t="shared" si="6"/>
        <v>675000</v>
      </c>
    </row>
    <row r="27" spans="1:6" s="80" customFormat="1" ht="46.8" x14ac:dyDescent="0.3">
      <c r="A27" s="78" t="s">
        <v>25</v>
      </c>
      <c r="B27" s="79" t="s">
        <v>26</v>
      </c>
      <c r="C27" s="80">
        <v>1</v>
      </c>
      <c r="D27" s="80">
        <f>SUM(D25:D26)</f>
        <v>75000</v>
      </c>
      <c r="E27" s="80">
        <f t="shared" si="3"/>
        <v>75000</v>
      </c>
      <c r="F27" s="80">
        <v>50000</v>
      </c>
    </row>
    <row r="28" spans="1:6" x14ac:dyDescent="0.3">
      <c r="A28" s="12"/>
      <c r="B28" s="9" t="s">
        <v>27</v>
      </c>
      <c r="C28" s="4">
        <v>1</v>
      </c>
      <c r="D28" s="4">
        <v>50000</v>
      </c>
      <c r="E28" s="4">
        <f>C28*D28</f>
        <v>50000</v>
      </c>
      <c r="F28" s="4">
        <f>E28*3</f>
        <v>150000</v>
      </c>
    </row>
    <row r="29" spans="1:6" x14ac:dyDescent="0.3">
      <c r="A29" s="20"/>
      <c r="B29" s="19" t="s">
        <v>91</v>
      </c>
      <c r="C29" s="15"/>
      <c r="D29" s="4">
        <v>30000</v>
      </c>
      <c r="E29" s="58">
        <f t="shared" ref="E29:F29" si="7">SUM(E27:E28)</f>
        <v>125000</v>
      </c>
      <c r="F29" s="58">
        <f t="shared" si="7"/>
        <v>200000</v>
      </c>
    </row>
    <row r="30" spans="1:6" s="58" customFormat="1" x14ac:dyDescent="0.3">
      <c r="B30" s="19" t="s">
        <v>28</v>
      </c>
      <c r="C30" s="58">
        <v>1</v>
      </c>
      <c r="D30" s="58">
        <f>SUM(D28:D29)</f>
        <v>80000</v>
      </c>
      <c r="E30" s="58">
        <f>C30*D30</f>
        <v>80000</v>
      </c>
      <c r="F30" s="58">
        <f t="shared" si="4"/>
        <v>240000</v>
      </c>
    </row>
    <row r="31" spans="1:6" s="58" customFormat="1" x14ac:dyDescent="0.3">
      <c r="A31" s="11"/>
      <c r="B31" s="9"/>
      <c r="C31" s="5"/>
      <c r="D31" s="58">
        <v>50000</v>
      </c>
      <c r="E31" s="8">
        <f>E16+E18+E23+E26+E29+E30</f>
        <v>1381000</v>
      </c>
      <c r="F31" s="8">
        <f>F16+F18+F23+F26+F29+F30</f>
        <v>3568000</v>
      </c>
    </row>
    <row r="32" spans="1:6" x14ac:dyDescent="0.3">
      <c r="C32" s="5"/>
      <c r="D32" s="5" t="s">
        <v>29</v>
      </c>
      <c r="E32" s="8">
        <f>E16+E18+E24+E27+E30+E31</f>
        <v>2367000</v>
      </c>
      <c r="F32" s="8">
        <f>F16+F18+F24+F27+F30+F31</f>
        <v>6151000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6FB3-2712-4011-99D2-5312255258A3}">
  <dimension ref="A2:F33"/>
  <sheetViews>
    <sheetView workbookViewId="0">
      <selection activeCell="I9" sqref="I9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20</v>
      </c>
      <c r="D9" s="4">
        <v>20000</v>
      </c>
      <c r="E9" s="4">
        <f t="shared" ref="E9:E15" si="0">C9*D9</f>
        <v>400000</v>
      </c>
      <c r="F9" s="4">
        <f t="shared" ref="F9:F15" si="1">E9*3</f>
        <v>1200000</v>
      </c>
    </row>
    <row r="10" spans="1:6" x14ac:dyDescent="0.3">
      <c r="A10" s="13"/>
      <c r="B10" s="10" t="s">
        <v>55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9" t="s">
        <v>9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25</v>
      </c>
      <c r="D12" s="4">
        <v>30000</v>
      </c>
      <c r="E12" s="4">
        <f t="shared" si="0"/>
        <v>750000</v>
      </c>
      <c r="F12" s="4">
        <f t="shared" si="1"/>
        <v>2250000</v>
      </c>
    </row>
    <row r="13" spans="1:6" x14ac:dyDescent="0.3">
      <c r="A13" s="13"/>
      <c r="B13" s="9" t="s">
        <v>11</v>
      </c>
      <c r="C13" s="4">
        <f>SUM(C8:C12)</f>
        <v>49</v>
      </c>
      <c r="D13" s="4">
        <v>5000</v>
      </c>
      <c r="E13" s="4">
        <f t="shared" si="0"/>
        <v>245000</v>
      </c>
      <c r="F13" s="4">
        <f t="shared" si="1"/>
        <v>735000</v>
      </c>
    </row>
    <row r="14" spans="1:6" x14ac:dyDescent="0.3">
      <c r="A14" s="13"/>
      <c r="B14" s="9" t="s">
        <v>12</v>
      </c>
      <c r="C14" s="4">
        <f>C13</f>
        <v>49</v>
      </c>
      <c r="D14" s="4">
        <v>1000</v>
      </c>
      <c r="E14" s="4">
        <f t="shared" si="0"/>
        <v>49000</v>
      </c>
      <c r="F14" s="4">
        <f t="shared" si="1"/>
        <v>147000</v>
      </c>
    </row>
    <row r="15" spans="1:6" x14ac:dyDescent="0.3">
      <c r="A15" s="13"/>
      <c r="B15" s="9" t="s">
        <v>13</v>
      </c>
      <c r="C15" s="4">
        <v>10</v>
      </c>
      <c r="D15" s="4">
        <v>15000</v>
      </c>
      <c r="E15" s="4">
        <f t="shared" si="0"/>
        <v>150000</v>
      </c>
      <c r="F15" s="4">
        <f t="shared" si="1"/>
        <v>450000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1694000</v>
      </c>
      <c r="F16" s="15">
        <f t="shared" si="2"/>
        <v>5082000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100000</v>
      </c>
      <c r="E19" s="4">
        <f t="shared" si="3"/>
        <v>200000</v>
      </c>
      <c r="F19" s="4">
        <f t="shared" si="4"/>
        <v>600000</v>
      </c>
    </row>
    <row r="20" spans="1:6" x14ac:dyDescent="0.3">
      <c r="A20" s="13"/>
      <c r="B20" s="9" t="s">
        <v>18</v>
      </c>
      <c r="C20" s="4">
        <v>1</v>
      </c>
      <c r="D20" s="4">
        <v>100000</v>
      </c>
      <c r="E20" s="4">
        <f t="shared" si="3"/>
        <v>100000</v>
      </c>
      <c r="F20" s="4">
        <f t="shared" si="4"/>
        <v>300000</v>
      </c>
    </row>
    <row r="21" spans="1:6" x14ac:dyDescent="0.3">
      <c r="A21" s="13"/>
      <c r="B21" s="9" t="s">
        <v>19</v>
      </c>
      <c r="C21" s="4">
        <v>1</v>
      </c>
      <c r="D21" s="4">
        <v>100000</v>
      </c>
      <c r="E21" s="4">
        <f t="shared" si="3"/>
        <v>100000</v>
      </c>
      <c r="F21" s="4">
        <f t="shared" si="4"/>
        <v>300000</v>
      </c>
    </row>
    <row r="22" spans="1:6" x14ac:dyDescent="0.3">
      <c r="A22" s="13"/>
      <c r="B22" s="9" t="s">
        <v>20</v>
      </c>
      <c r="C22" s="4">
        <v>2</v>
      </c>
      <c r="D22" s="4">
        <v>20000</v>
      </c>
      <c r="E22" s="4">
        <f t="shared" si="3"/>
        <v>40000</v>
      </c>
      <c r="F22" s="4">
        <f t="shared" si="4"/>
        <v>120000</v>
      </c>
    </row>
    <row r="23" spans="1:6" s="58" customFormat="1" x14ac:dyDescent="0.3">
      <c r="A23" s="18"/>
      <c r="B23" s="19" t="s">
        <v>16</v>
      </c>
      <c r="D23" s="4">
        <v>30000</v>
      </c>
      <c r="E23" s="58">
        <f t="shared" ref="E23:F23" si="5">SUM(E18:E22)</f>
        <v>540000</v>
      </c>
      <c r="F23" s="58">
        <f t="shared" si="5"/>
        <v>1420000</v>
      </c>
    </row>
    <row r="24" spans="1:6" x14ac:dyDescent="0.3">
      <c r="A24" s="13"/>
      <c r="B24" s="9" t="s">
        <v>21</v>
      </c>
      <c r="C24" s="4">
        <v>1</v>
      </c>
      <c r="D24" s="58">
        <v>35000</v>
      </c>
      <c r="E24" s="4">
        <f t="shared" si="3"/>
        <v>35000</v>
      </c>
      <c r="F24" s="4">
        <f t="shared" si="4"/>
        <v>105000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>E28+E29+E30</f>
        <v>260000</v>
      </c>
      <c r="F31" s="58">
        <f t="shared" ref="F31" si="7">SUM(F29:F30)</f>
        <v>480000</v>
      </c>
    </row>
    <row r="32" spans="1:6" s="58" customFormat="1" x14ac:dyDescent="0.3"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E16+E18+E23+E27+E31+E32</f>
        <v>2719000</v>
      </c>
      <c r="F33" s="8">
        <f>F16+F18+F23+F27+F31+F32</f>
        <v>7457000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1CEC-C03C-464F-B558-D3C1452661DE}">
  <dimension ref="A2:F33"/>
  <sheetViews>
    <sheetView topLeftCell="A4" workbookViewId="0">
      <selection activeCell="C9" sqref="C9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20</v>
      </c>
      <c r="D9" s="4">
        <v>20000</v>
      </c>
      <c r="E9" s="4">
        <f t="shared" ref="E9:E15" si="0">C9*D9</f>
        <v>400000</v>
      </c>
      <c r="F9" s="4">
        <f t="shared" ref="F9:F15" si="1">E9*3</f>
        <v>1200000</v>
      </c>
    </row>
    <row r="10" spans="1:6" x14ac:dyDescent="0.3">
      <c r="A10" s="13"/>
      <c r="B10" s="10" t="s">
        <v>55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9" t="s">
        <v>9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25</v>
      </c>
      <c r="D12" s="4">
        <v>30000</v>
      </c>
      <c r="E12" s="4">
        <f t="shared" si="0"/>
        <v>750000</v>
      </c>
      <c r="F12" s="4">
        <f t="shared" si="1"/>
        <v>2250000</v>
      </c>
    </row>
    <row r="13" spans="1:6" x14ac:dyDescent="0.3">
      <c r="A13" s="13"/>
      <c r="B13" s="9" t="s">
        <v>11</v>
      </c>
      <c r="C13" s="4">
        <f>SUM(C8:C12)</f>
        <v>49</v>
      </c>
      <c r="D13" s="4">
        <v>5000</v>
      </c>
      <c r="E13" s="4">
        <f t="shared" si="0"/>
        <v>245000</v>
      </c>
      <c r="F13" s="4">
        <f t="shared" si="1"/>
        <v>735000</v>
      </c>
    </row>
    <row r="14" spans="1:6" x14ac:dyDescent="0.3">
      <c r="A14" s="13"/>
      <c r="B14" s="9" t="s">
        <v>12</v>
      </c>
      <c r="C14" s="4">
        <f>C13</f>
        <v>49</v>
      </c>
      <c r="D14" s="4">
        <v>1000</v>
      </c>
      <c r="E14" s="4">
        <f t="shared" si="0"/>
        <v>49000</v>
      </c>
      <c r="F14" s="4">
        <f t="shared" si="1"/>
        <v>147000</v>
      </c>
    </row>
    <row r="15" spans="1:6" x14ac:dyDescent="0.3">
      <c r="A15" s="13"/>
      <c r="B15" s="9" t="s">
        <v>13</v>
      </c>
      <c r="C15" s="4">
        <v>10</v>
      </c>
      <c r="D15" s="4">
        <v>15000</v>
      </c>
      <c r="E15" s="4">
        <f t="shared" si="0"/>
        <v>150000</v>
      </c>
      <c r="F15" s="4">
        <f t="shared" si="1"/>
        <v>450000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1694000</v>
      </c>
      <c r="F16" s="15">
        <f t="shared" si="2"/>
        <v>5082000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100000</v>
      </c>
      <c r="E19" s="4">
        <f t="shared" si="3"/>
        <v>200000</v>
      </c>
      <c r="F19" s="4">
        <f t="shared" si="4"/>
        <v>600000</v>
      </c>
    </row>
    <row r="20" spans="1:6" x14ac:dyDescent="0.3">
      <c r="A20" s="13"/>
      <c r="B20" s="9" t="s">
        <v>18</v>
      </c>
      <c r="C20" s="4">
        <v>1</v>
      </c>
      <c r="D20" s="4">
        <v>100000</v>
      </c>
      <c r="E20" s="4">
        <f t="shared" si="3"/>
        <v>100000</v>
      </c>
      <c r="F20" s="4">
        <f t="shared" si="4"/>
        <v>300000</v>
      </c>
    </row>
    <row r="21" spans="1:6" x14ac:dyDescent="0.3">
      <c r="A21" s="13"/>
      <c r="B21" s="9" t="s">
        <v>19</v>
      </c>
      <c r="C21" s="4">
        <v>1</v>
      </c>
      <c r="D21" s="4">
        <v>100000</v>
      </c>
      <c r="E21" s="4">
        <f t="shared" si="3"/>
        <v>100000</v>
      </c>
      <c r="F21" s="4">
        <f t="shared" si="4"/>
        <v>300000</v>
      </c>
    </row>
    <row r="22" spans="1:6" x14ac:dyDescent="0.3">
      <c r="A22" s="13"/>
      <c r="B22" s="9" t="s">
        <v>20</v>
      </c>
      <c r="C22" s="4">
        <v>2</v>
      </c>
      <c r="D22" s="4">
        <v>20000</v>
      </c>
      <c r="E22" s="4">
        <f t="shared" si="3"/>
        <v>40000</v>
      </c>
      <c r="F22" s="4">
        <f t="shared" si="4"/>
        <v>120000</v>
      </c>
    </row>
    <row r="23" spans="1:6" x14ac:dyDescent="0.3">
      <c r="A23" s="18"/>
      <c r="B23" s="19" t="s">
        <v>16</v>
      </c>
      <c r="C23" s="58"/>
      <c r="D23" s="4">
        <v>30000</v>
      </c>
      <c r="E23" s="58">
        <f t="shared" ref="E23:F23" si="5">SUM(E18:E22)</f>
        <v>540000</v>
      </c>
      <c r="F23" s="58">
        <f t="shared" si="5"/>
        <v>1420000</v>
      </c>
    </row>
    <row r="24" spans="1:6" s="58" customFormat="1" x14ac:dyDescent="0.3">
      <c r="A24" s="13"/>
      <c r="B24" s="9" t="s">
        <v>21</v>
      </c>
      <c r="C24" s="4">
        <v>1</v>
      </c>
      <c r="D24" s="58">
        <v>35000</v>
      </c>
      <c r="E24" s="4">
        <f t="shared" si="3"/>
        <v>35000</v>
      </c>
      <c r="F24" s="4">
        <f t="shared" si="4"/>
        <v>105000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>E28+E29+E30</f>
        <v>260000</v>
      </c>
      <c r="F31" s="58">
        <f t="shared" ref="F31" si="7">SUM(F29:F30)</f>
        <v>480000</v>
      </c>
    </row>
    <row r="32" spans="1:6" s="58" customFormat="1" x14ac:dyDescent="0.3"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E16+E18+E23+E27+E31+E32</f>
        <v>2719000</v>
      </c>
      <c r="F33" s="8">
        <f>F16+F18+F23+F27+F31+F32</f>
        <v>7457000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3944-2E9E-421A-A987-DE24E2C2A01F}">
  <dimension ref="A2:F33"/>
  <sheetViews>
    <sheetView topLeftCell="A16" workbookViewId="0">
      <selection activeCell="A7" sqref="A7:F33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20</v>
      </c>
      <c r="D9" s="4">
        <v>20000</v>
      </c>
      <c r="E9" s="4">
        <f t="shared" ref="E9:E15" si="0">C9*D9</f>
        <v>400000</v>
      </c>
      <c r="F9" s="4">
        <f t="shared" ref="F9:F15" si="1">E9*3</f>
        <v>1200000</v>
      </c>
    </row>
    <row r="10" spans="1:6" x14ac:dyDescent="0.3">
      <c r="A10" s="13"/>
      <c r="B10" s="10" t="s">
        <v>55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9" t="s">
        <v>9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25</v>
      </c>
      <c r="D12" s="4">
        <v>30000</v>
      </c>
      <c r="E12" s="4">
        <f t="shared" si="0"/>
        <v>750000</v>
      </c>
      <c r="F12" s="4">
        <f t="shared" si="1"/>
        <v>2250000</v>
      </c>
    </row>
    <row r="13" spans="1:6" x14ac:dyDescent="0.3">
      <c r="A13" s="13"/>
      <c r="B13" s="9" t="s">
        <v>11</v>
      </c>
      <c r="C13" s="4">
        <f>SUM(C8:C12)</f>
        <v>49</v>
      </c>
      <c r="D13" s="4">
        <v>5000</v>
      </c>
      <c r="E13" s="4">
        <f t="shared" si="0"/>
        <v>245000</v>
      </c>
      <c r="F13" s="4">
        <f t="shared" si="1"/>
        <v>735000</v>
      </c>
    </row>
    <row r="14" spans="1:6" x14ac:dyDescent="0.3">
      <c r="A14" s="13"/>
      <c r="B14" s="9" t="s">
        <v>12</v>
      </c>
      <c r="C14" s="4">
        <f>C13</f>
        <v>49</v>
      </c>
      <c r="D14" s="4">
        <v>1000</v>
      </c>
      <c r="E14" s="4">
        <f t="shared" si="0"/>
        <v>49000</v>
      </c>
      <c r="F14" s="4">
        <f t="shared" si="1"/>
        <v>147000</v>
      </c>
    </row>
    <row r="15" spans="1:6" x14ac:dyDescent="0.3">
      <c r="A15" s="13"/>
      <c r="B15" s="9" t="s">
        <v>13</v>
      </c>
      <c r="C15" s="4">
        <v>10</v>
      </c>
      <c r="D15" s="4">
        <v>15000</v>
      </c>
      <c r="E15" s="4">
        <f t="shared" si="0"/>
        <v>150000</v>
      </c>
      <c r="F15" s="4">
        <f t="shared" si="1"/>
        <v>450000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1694000</v>
      </c>
      <c r="F16" s="15">
        <f t="shared" si="2"/>
        <v>5082000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100000</v>
      </c>
      <c r="E19" s="4">
        <f t="shared" si="3"/>
        <v>200000</v>
      </c>
      <c r="F19" s="4">
        <f t="shared" si="4"/>
        <v>600000</v>
      </c>
    </row>
    <row r="20" spans="1:6" x14ac:dyDescent="0.3">
      <c r="A20" s="13"/>
      <c r="B20" s="9" t="s">
        <v>18</v>
      </c>
      <c r="C20" s="4">
        <v>1</v>
      </c>
      <c r="D20" s="4">
        <v>100000</v>
      </c>
      <c r="E20" s="4">
        <f t="shared" si="3"/>
        <v>100000</v>
      </c>
      <c r="F20" s="4">
        <f t="shared" si="4"/>
        <v>300000</v>
      </c>
    </row>
    <row r="21" spans="1:6" x14ac:dyDescent="0.3">
      <c r="A21" s="13"/>
      <c r="B21" s="9" t="s">
        <v>19</v>
      </c>
      <c r="C21" s="4">
        <v>1</v>
      </c>
      <c r="D21" s="4">
        <v>100000</v>
      </c>
      <c r="E21" s="4">
        <f t="shared" si="3"/>
        <v>100000</v>
      </c>
      <c r="F21" s="4">
        <f t="shared" si="4"/>
        <v>300000</v>
      </c>
    </row>
    <row r="22" spans="1:6" x14ac:dyDescent="0.3">
      <c r="A22" s="13"/>
      <c r="B22" s="9" t="s">
        <v>20</v>
      </c>
      <c r="C22" s="4">
        <v>2</v>
      </c>
      <c r="D22" s="4">
        <v>20000</v>
      </c>
      <c r="E22" s="4">
        <f t="shared" si="3"/>
        <v>40000</v>
      </c>
      <c r="F22" s="4">
        <f t="shared" si="4"/>
        <v>120000</v>
      </c>
    </row>
    <row r="23" spans="1:6" x14ac:dyDescent="0.3">
      <c r="A23" s="18"/>
      <c r="B23" s="19" t="s">
        <v>16</v>
      </c>
      <c r="C23" s="58"/>
      <c r="D23" s="4">
        <v>30000</v>
      </c>
      <c r="E23" s="58">
        <f t="shared" ref="E23:F23" si="5">SUM(E18:E22)</f>
        <v>540000</v>
      </c>
      <c r="F23" s="58">
        <f t="shared" si="5"/>
        <v>1420000</v>
      </c>
    </row>
    <row r="24" spans="1:6" s="58" customFormat="1" x14ac:dyDescent="0.3">
      <c r="A24" s="13"/>
      <c r="B24" s="9" t="s">
        <v>21</v>
      </c>
      <c r="C24" s="4">
        <v>1</v>
      </c>
      <c r="D24" s="58">
        <v>35000</v>
      </c>
      <c r="E24" s="4">
        <f t="shared" si="3"/>
        <v>35000</v>
      </c>
      <c r="F24" s="4">
        <f t="shared" si="4"/>
        <v>105000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>E28+E29+E30</f>
        <v>260000</v>
      </c>
      <c r="F31" s="58">
        <f t="shared" ref="F31" si="7">SUM(F29:F30)</f>
        <v>480000</v>
      </c>
    </row>
    <row r="32" spans="1:6" s="58" customFormat="1" x14ac:dyDescent="0.3"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E16+E18+E23+E27+E31+E32</f>
        <v>2719000</v>
      </c>
      <c r="F33" s="8">
        <f>F16+F18+F23+F27+F31+F32</f>
        <v>7457000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2EBC-DF3A-4CD7-8C31-1B87D8DCD046}">
  <dimension ref="A2:F33"/>
  <sheetViews>
    <sheetView topLeftCell="A17" workbookViewId="0">
      <selection activeCell="A7" sqref="A7:F33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1</v>
      </c>
      <c r="D8" s="4">
        <v>30000</v>
      </c>
      <c r="E8" s="4">
        <f>D8*C8</f>
        <v>30000</v>
      </c>
      <c r="F8" s="4">
        <f>E8*3</f>
        <v>90000</v>
      </c>
    </row>
    <row r="9" spans="1:6" x14ac:dyDescent="0.3">
      <c r="A9" s="13"/>
      <c r="B9" s="9" t="s">
        <v>7</v>
      </c>
      <c r="C9" s="4">
        <v>20</v>
      </c>
      <c r="D9" s="4">
        <v>20000</v>
      </c>
      <c r="E9" s="4">
        <f t="shared" ref="E9:E15" si="0">C9*D9</f>
        <v>400000</v>
      </c>
      <c r="F9" s="4">
        <f t="shared" ref="F9:F15" si="1">E9*3</f>
        <v>1200000</v>
      </c>
    </row>
    <row r="10" spans="1:6" x14ac:dyDescent="0.3">
      <c r="A10" s="13"/>
      <c r="B10" s="10" t="s">
        <v>55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9" t="s">
        <v>9</v>
      </c>
      <c r="C11" s="4">
        <v>2</v>
      </c>
      <c r="D11" s="4">
        <v>20000</v>
      </c>
      <c r="E11" s="4">
        <f t="shared" si="0"/>
        <v>40000</v>
      </c>
      <c r="F11" s="4">
        <f t="shared" si="1"/>
        <v>120000</v>
      </c>
    </row>
    <row r="12" spans="1:6" x14ac:dyDescent="0.3">
      <c r="A12" s="13"/>
      <c r="B12" s="9" t="s">
        <v>30</v>
      </c>
      <c r="C12" s="4">
        <v>25</v>
      </c>
      <c r="D12" s="4">
        <v>30000</v>
      </c>
      <c r="E12" s="4">
        <f t="shared" si="0"/>
        <v>750000</v>
      </c>
      <c r="F12" s="4">
        <f t="shared" si="1"/>
        <v>2250000</v>
      </c>
    </row>
    <row r="13" spans="1:6" x14ac:dyDescent="0.3">
      <c r="A13" s="13"/>
      <c r="B13" s="9" t="s">
        <v>11</v>
      </c>
      <c r="C13" s="4">
        <f>SUM(C8:C12)</f>
        <v>49</v>
      </c>
      <c r="D13" s="4">
        <v>5000</v>
      </c>
      <c r="E13" s="4">
        <f t="shared" si="0"/>
        <v>245000</v>
      </c>
      <c r="F13" s="4">
        <f t="shared" si="1"/>
        <v>735000</v>
      </c>
    </row>
    <row r="14" spans="1:6" x14ac:dyDescent="0.3">
      <c r="A14" s="13"/>
      <c r="B14" s="9" t="s">
        <v>12</v>
      </c>
      <c r="C14" s="4">
        <f>C13</f>
        <v>49</v>
      </c>
      <c r="D14" s="4">
        <v>1000</v>
      </c>
      <c r="E14" s="4">
        <f t="shared" si="0"/>
        <v>49000</v>
      </c>
      <c r="F14" s="4">
        <f t="shared" si="1"/>
        <v>147000</v>
      </c>
    </row>
    <row r="15" spans="1:6" x14ac:dyDescent="0.3">
      <c r="A15" s="13"/>
      <c r="B15" s="9" t="s">
        <v>13</v>
      </c>
      <c r="C15" s="4">
        <v>10</v>
      </c>
      <c r="D15" s="4">
        <v>15000</v>
      </c>
      <c r="E15" s="4">
        <f t="shared" si="0"/>
        <v>150000</v>
      </c>
      <c r="F15" s="4">
        <f t="shared" si="1"/>
        <v>450000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1694000</v>
      </c>
      <c r="F16" s="15">
        <f t="shared" si="2"/>
        <v>5082000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100000</v>
      </c>
      <c r="E19" s="4">
        <f t="shared" si="3"/>
        <v>200000</v>
      </c>
      <c r="F19" s="4">
        <f t="shared" si="4"/>
        <v>600000</v>
      </c>
    </row>
    <row r="20" spans="1:6" x14ac:dyDescent="0.3">
      <c r="A20" s="13"/>
      <c r="B20" s="9" t="s">
        <v>18</v>
      </c>
      <c r="C20" s="4">
        <v>1</v>
      </c>
      <c r="D20" s="4">
        <v>100000</v>
      </c>
      <c r="E20" s="4">
        <f t="shared" si="3"/>
        <v>100000</v>
      </c>
      <c r="F20" s="4">
        <f t="shared" si="4"/>
        <v>300000</v>
      </c>
    </row>
    <row r="21" spans="1:6" x14ac:dyDescent="0.3">
      <c r="A21" s="13"/>
      <c r="B21" s="9" t="s">
        <v>19</v>
      </c>
      <c r="C21" s="4">
        <v>1</v>
      </c>
      <c r="D21" s="4">
        <v>100000</v>
      </c>
      <c r="E21" s="4">
        <f t="shared" si="3"/>
        <v>100000</v>
      </c>
      <c r="F21" s="4">
        <f t="shared" si="4"/>
        <v>300000</v>
      </c>
    </row>
    <row r="22" spans="1:6" x14ac:dyDescent="0.3">
      <c r="A22" s="13"/>
      <c r="B22" s="9" t="s">
        <v>20</v>
      </c>
      <c r="C22" s="4">
        <v>2</v>
      </c>
      <c r="D22" s="4">
        <v>20000</v>
      </c>
      <c r="E22" s="4">
        <f t="shared" si="3"/>
        <v>40000</v>
      </c>
      <c r="F22" s="4">
        <f t="shared" si="4"/>
        <v>120000</v>
      </c>
    </row>
    <row r="23" spans="1:6" s="58" customFormat="1" x14ac:dyDescent="0.3">
      <c r="A23" s="18"/>
      <c r="B23" s="19" t="s">
        <v>16</v>
      </c>
      <c r="D23" s="4">
        <v>30000</v>
      </c>
      <c r="E23" s="58">
        <f t="shared" ref="E23:F23" si="5">SUM(E18:E22)</f>
        <v>540000</v>
      </c>
      <c r="F23" s="58">
        <f t="shared" si="5"/>
        <v>1420000</v>
      </c>
    </row>
    <row r="24" spans="1:6" x14ac:dyDescent="0.3">
      <c r="A24" s="13"/>
      <c r="B24" s="9" t="s">
        <v>21</v>
      </c>
      <c r="C24" s="4">
        <v>1</v>
      </c>
      <c r="D24" s="58">
        <v>35000</v>
      </c>
      <c r="E24" s="4">
        <f t="shared" si="3"/>
        <v>35000</v>
      </c>
      <c r="F24" s="4">
        <f t="shared" si="4"/>
        <v>105000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s="58" customFormat="1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x14ac:dyDescent="0.3">
      <c r="A27" s="18"/>
      <c r="B27" s="19" t="s">
        <v>90</v>
      </c>
      <c r="C27" s="58"/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s="58" customFormat="1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>E28+E29+E30</f>
        <v>260000</v>
      </c>
      <c r="F31" s="58">
        <f t="shared" ref="F31" si="7">SUM(F29:F30)</f>
        <v>480000</v>
      </c>
    </row>
    <row r="32" spans="1:6" x14ac:dyDescent="0.3">
      <c r="A32" s="58"/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E16+E18+E23+E27+E31+E32</f>
        <v>2719000</v>
      </c>
      <c r="F33" s="8">
        <f>F16+F18+F23+F27+F31+F32</f>
        <v>7457000</v>
      </c>
    </row>
  </sheetData>
  <mergeCells count="2">
    <mergeCell ref="B2:E2"/>
    <mergeCell ref="A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01C8-A18D-4EF6-85C1-68FF3E1B9846}">
  <dimension ref="A2:F33"/>
  <sheetViews>
    <sheetView topLeftCell="A13" workbookViewId="0">
      <selection activeCell="C9" sqref="C9"/>
    </sheetView>
  </sheetViews>
  <sheetFormatPr defaultColWidth="8.77734375" defaultRowHeight="15.6" x14ac:dyDescent="0.3"/>
  <cols>
    <col min="1" max="1" width="15.33203125" style="11" customWidth="1"/>
    <col min="2" max="2" width="30.6640625" style="9" customWidth="1"/>
    <col min="3" max="3" width="16" style="4" customWidth="1"/>
    <col min="4" max="4" width="22" style="4" customWidth="1"/>
    <col min="5" max="5" width="15.44140625" style="4" customWidth="1"/>
    <col min="6" max="6" width="20.6640625" style="4" customWidth="1"/>
    <col min="7" max="16384" width="8.77734375" style="4"/>
  </cols>
  <sheetData>
    <row r="2" spans="1:6" x14ac:dyDescent="0.3">
      <c r="B2" s="74"/>
      <c r="C2" s="74"/>
      <c r="D2" s="74"/>
      <c r="E2" s="74"/>
    </row>
    <row r="3" spans="1:6" x14ac:dyDescent="0.3">
      <c r="A3" s="74"/>
      <c r="B3" s="74"/>
      <c r="C3" s="74"/>
      <c r="D3" s="74"/>
      <c r="E3" s="74"/>
      <c r="F3" s="74"/>
    </row>
    <row r="6" spans="1:6" s="5" customFormat="1" x14ac:dyDescent="0.3">
      <c r="A6" s="12" t="s">
        <v>0</v>
      </c>
      <c r="B6" s="7"/>
      <c r="C6" s="5" t="s">
        <v>1</v>
      </c>
      <c r="D6" s="6" t="s">
        <v>2</v>
      </c>
      <c r="E6" s="6" t="s">
        <v>3</v>
      </c>
      <c r="F6" s="6" t="s">
        <v>4</v>
      </c>
    </row>
    <row r="7" spans="1:6" x14ac:dyDescent="0.3">
      <c r="A7" s="13" t="s">
        <v>5</v>
      </c>
      <c r="B7" s="7"/>
    </row>
    <row r="8" spans="1:6" x14ac:dyDescent="0.3">
      <c r="A8" s="13"/>
      <c r="B8" s="9" t="s">
        <v>6</v>
      </c>
      <c r="C8" s="4">
        <v>2</v>
      </c>
      <c r="D8" s="4">
        <v>30000</v>
      </c>
      <c r="E8" s="4">
        <f>D8*C8</f>
        <v>60000</v>
      </c>
      <c r="F8" s="4">
        <f>E8*3</f>
        <v>180000</v>
      </c>
    </row>
    <row r="9" spans="1:6" x14ac:dyDescent="0.3">
      <c r="A9" s="13"/>
      <c r="B9" s="9" t="s">
        <v>7</v>
      </c>
      <c r="C9" s="4">
        <v>38</v>
      </c>
      <c r="D9" s="4">
        <v>20000</v>
      </c>
      <c r="E9" s="4">
        <f t="shared" ref="E9:E15" si="0">C9*D9</f>
        <v>760000</v>
      </c>
      <c r="F9" s="4">
        <f t="shared" ref="F9:F15" si="1">E9*3</f>
        <v>2280000</v>
      </c>
    </row>
    <row r="10" spans="1:6" ht="31.2" x14ac:dyDescent="0.3">
      <c r="A10" s="13"/>
      <c r="B10" s="10" t="s">
        <v>8</v>
      </c>
      <c r="C10" s="4">
        <v>1</v>
      </c>
      <c r="D10" s="4">
        <v>30000</v>
      </c>
      <c r="E10" s="4">
        <f t="shared" si="0"/>
        <v>30000</v>
      </c>
      <c r="F10" s="4">
        <f t="shared" si="1"/>
        <v>90000</v>
      </c>
    </row>
    <row r="11" spans="1:6" x14ac:dyDescent="0.3">
      <c r="A11" s="13"/>
      <c r="B11" s="72" t="s">
        <v>106</v>
      </c>
      <c r="C11" s="4">
        <v>5</v>
      </c>
      <c r="D11" s="4">
        <v>20000</v>
      </c>
      <c r="E11" s="4">
        <f t="shared" si="0"/>
        <v>100000</v>
      </c>
      <c r="F11" s="4">
        <f t="shared" si="1"/>
        <v>300000</v>
      </c>
    </row>
    <row r="12" spans="1:6" x14ac:dyDescent="0.3">
      <c r="A12" s="13"/>
      <c r="B12" s="9" t="s">
        <v>30</v>
      </c>
      <c r="C12" s="4">
        <v>60</v>
      </c>
      <c r="D12" s="4">
        <v>30000</v>
      </c>
      <c r="E12" s="4">
        <f t="shared" si="0"/>
        <v>1800000</v>
      </c>
      <c r="F12" s="4">
        <f t="shared" si="1"/>
        <v>5400000</v>
      </c>
    </row>
    <row r="13" spans="1:6" x14ac:dyDescent="0.3">
      <c r="A13" s="13"/>
      <c r="B13" s="9" t="s">
        <v>11</v>
      </c>
      <c r="C13" s="4">
        <f>SUM(C8:C12)</f>
        <v>106</v>
      </c>
      <c r="D13" s="4">
        <v>5000</v>
      </c>
      <c r="E13" s="4">
        <f t="shared" si="0"/>
        <v>530000</v>
      </c>
      <c r="F13" s="4">
        <f t="shared" si="1"/>
        <v>1590000</v>
      </c>
    </row>
    <row r="14" spans="1:6" x14ac:dyDescent="0.3">
      <c r="A14" s="13"/>
      <c r="B14" s="9" t="s">
        <v>12</v>
      </c>
      <c r="C14" s="4">
        <f>C13</f>
        <v>106</v>
      </c>
      <c r="D14" s="4">
        <v>1000</v>
      </c>
      <c r="E14" s="4">
        <f t="shared" si="0"/>
        <v>106000</v>
      </c>
      <c r="F14" s="4">
        <f t="shared" si="1"/>
        <v>318000</v>
      </c>
    </row>
    <row r="15" spans="1:6" x14ac:dyDescent="0.3">
      <c r="A15" s="13"/>
      <c r="B15" s="9" t="s">
        <v>13</v>
      </c>
      <c r="C15" s="4">
        <v>20</v>
      </c>
      <c r="D15" s="4">
        <v>15000</v>
      </c>
      <c r="E15" s="4">
        <f t="shared" si="0"/>
        <v>300000</v>
      </c>
      <c r="F15" s="4">
        <f t="shared" si="1"/>
        <v>900000</v>
      </c>
    </row>
    <row r="16" spans="1:6" s="58" customFormat="1" x14ac:dyDescent="0.3">
      <c r="A16" s="18"/>
      <c r="B16" s="19" t="s">
        <v>5</v>
      </c>
      <c r="C16" s="15"/>
      <c r="D16" s="15">
        <f>SUM(D8:D15)</f>
        <v>151000</v>
      </c>
      <c r="E16" s="15">
        <f t="shared" ref="E16:F16" si="2">SUM(E8:E15)</f>
        <v>3686000</v>
      </c>
      <c r="F16" s="15">
        <f t="shared" si="2"/>
        <v>11058000</v>
      </c>
    </row>
    <row r="17" spans="1:6" x14ac:dyDescent="0.3">
      <c r="A17" s="13" t="s">
        <v>14</v>
      </c>
      <c r="B17" s="9" t="s">
        <v>15</v>
      </c>
      <c r="C17" s="4">
        <v>1</v>
      </c>
      <c r="D17" s="4">
        <v>150000</v>
      </c>
      <c r="E17" s="4">
        <f t="shared" ref="E17:E28" si="3">C17*D17</f>
        <v>150000</v>
      </c>
      <c r="F17" s="4">
        <f t="shared" ref="F17:F32" si="4">E17*3</f>
        <v>450000</v>
      </c>
    </row>
    <row r="18" spans="1:6" s="58" customFormat="1" x14ac:dyDescent="0.3">
      <c r="A18" s="18"/>
      <c r="B18" s="19" t="s">
        <v>89</v>
      </c>
      <c r="C18" s="15"/>
      <c r="D18" s="15">
        <v>100000</v>
      </c>
      <c r="E18" s="15">
        <v>100000</v>
      </c>
      <c r="F18" s="15">
        <v>100000</v>
      </c>
    </row>
    <row r="19" spans="1:6" x14ac:dyDescent="0.3">
      <c r="A19" s="13" t="s">
        <v>16</v>
      </c>
      <c r="B19" s="9" t="s">
        <v>17</v>
      </c>
      <c r="C19" s="4">
        <v>2</v>
      </c>
      <c r="D19" s="4">
        <v>200000</v>
      </c>
      <c r="E19" s="4">
        <f t="shared" si="3"/>
        <v>400000</v>
      </c>
      <c r="F19" s="4">
        <f t="shared" si="4"/>
        <v>1200000</v>
      </c>
    </row>
    <row r="20" spans="1:6" x14ac:dyDescent="0.3">
      <c r="A20" s="13"/>
      <c r="B20" s="9" t="s">
        <v>18</v>
      </c>
      <c r="C20" s="4">
        <v>1</v>
      </c>
      <c r="D20" s="4">
        <v>150000</v>
      </c>
      <c r="E20" s="4">
        <f t="shared" si="3"/>
        <v>150000</v>
      </c>
      <c r="F20" s="4">
        <f t="shared" si="4"/>
        <v>450000</v>
      </c>
    </row>
    <row r="21" spans="1:6" x14ac:dyDescent="0.3">
      <c r="A21" s="13"/>
      <c r="B21" s="9" t="s">
        <v>19</v>
      </c>
      <c r="C21" s="4">
        <v>2</v>
      </c>
      <c r="D21" s="4">
        <v>100000</v>
      </c>
      <c r="E21" s="4">
        <f t="shared" si="3"/>
        <v>200000</v>
      </c>
      <c r="F21" s="4">
        <f t="shared" si="4"/>
        <v>600000</v>
      </c>
    </row>
    <row r="22" spans="1:6" x14ac:dyDescent="0.3">
      <c r="A22" s="13"/>
      <c r="B22" s="9" t="s">
        <v>20</v>
      </c>
      <c r="C22" s="4">
        <v>5</v>
      </c>
      <c r="D22" s="4">
        <v>20000</v>
      </c>
      <c r="E22" s="4">
        <f t="shared" si="3"/>
        <v>100000</v>
      </c>
      <c r="F22" s="4">
        <f t="shared" si="4"/>
        <v>300000</v>
      </c>
    </row>
    <row r="23" spans="1:6" x14ac:dyDescent="0.3">
      <c r="A23" s="13"/>
      <c r="B23" s="9" t="s">
        <v>21</v>
      </c>
      <c r="C23" s="4">
        <v>1</v>
      </c>
      <c r="D23" s="4">
        <v>30000</v>
      </c>
      <c r="E23" s="4">
        <f t="shared" si="3"/>
        <v>30000</v>
      </c>
      <c r="F23" s="4">
        <f t="shared" si="4"/>
        <v>90000</v>
      </c>
    </row>
    <row r="24" spans="1:6" s="58" customFormat="1" x14ac:dyDescent="0.3">
      <c r="A24" s="18"/>
      <c r="B24" s="19" t="s">
        <v>16</v>
      </c>
      <c r="D24" s="58">
        <v>35000</v>
      </c>
      <c r="E24" s="58">
        <f t="shared" ref="E24:F24" si="5">SUM(E19:E23)</f>
        <v>880000</v>
      </c>
      <c r="F24" s="58">
        <f t="shared" si="5"/>
        <v>2640000</v>
      </c>
    </row>
    <row r="25" spans="1:6" x14ac:dyDescent="0.3">
      <c r="A25" s="13" t="s">
        <v>22</v>
      </c>
      <c r="C25" s="4">
        <v>1</v>
      </c>
      <c r="D25" s="4">
        <v>25000</v>
      </c>
      <c r="E25" s="4">
        <f t="shared" si="3"/>
        <v>25000</v>
      </c>
      <c r="F25" s="4">
        <f t="shared" si="4"/>
        <v>75000</v>
      </c>
    </row>
    <row r="26" spans="1:6" x14ac:dyDescent="0.3">
      <c r="A26" s="13" t="s">
        <v>23</v>
      </c>
      <c r="B26" s="9" t="s">
        <v>24</v>
      </c>
      <c r="C26" s="4">
        <v>1</v>
      </c>
      <c r="D26" s="4">
        <v>50000</v>
      </c>
      <c r="E26" s="4">
        <f t="shared" si="3"/>
        <v>50000</v>
      </c>
      <c r="F26" s="4">
        <f t="shared" si="4"/>
        <v>150000</v>
      </c>
    </row>
    <row r="27" spans="1:6" s="58" customFormat="1" x14ac:dyDescent="0.3">
      <c r="A27" s="18"/>
      <c r="B27" s="19" t="s">
        <v>90</v>
      </c>
      <c r="D27" s="58">
        <f>SUM(D25:D26)</f>
        <v>75000</v>
      </c>
      <c r="E27" s="58">
        <f t="shared" ref="E27:F27" si="6">SUM(E25:E26)</f>
        <v>75000</v>
      </c>
      <c r="F27" s="58">
        <f t="shared" si="6"/>
        <v>225000</v>
      </c>
    </row>
    <row r="28" spans="1:6" ht="46.8" x14ac:dyDescent="0.3">
      <c r="A28" s="12" t="s">
        <v>25</v>
      </c>
      <c r="B28" s="10" t="s">
        <v>26</v>
      </c>
      <c r="C28" s="4">
        <v>1</v>
      </c>
      <c r="D28" s="4">
        <v>100000</v>
      </c>
      <c r="E28" s="4">
        <f t="shared" si="3"/>
        <v>100000</v>
      </c>
      <c r="F28" s="4">
        <f t="shared" si="4"/>
        <v>300000</v>
      </c>
    </row>
    <row r="29" spans="1:6" x14ac:dyDescent="0.3">
      <c r="A29" s="12"/>
      <c r="B29" s="9" t="s">
        <v>27</v>
      </c>
      <c r="C29" s="4">
        <v>1</v>
      </c>
      <c r="D29" s="4">
        <v>30000</v>
      </c>
      <c r="E29" s="4">
        <f>C29*D29</f>
        <v>30000</v>
      </c>
      <c r="F29" s="4">
        <f>E29*3</f>
        <v>90000</v>
      </c>
    </row>
    <row r="30" spans="1:6" x14ac:dyDescent="0.3">
      <c r="A30" s="12"/>
      <c r="B30" s="9" t="s">
        <v>56</v>
      </c>
      <c r="C30" s="4">
        <v>1</v>
      </c>
      <c r="D30" s="58">
        <f>SUM(D28:D29)</f>
        <v>130000</v>
      </c>
      <c r="E30" s="4">
        <f>C30*D30</f>
        <v>130000</v>
      </c>
      <c r="F30" s="4">
        <f>E30*3</f>
        <v>390000</v>
      </c>
    </row>
    <row r="31" spans="1:6" s="58" customFormat="1" x14ac:dyDescent="0.3">
      <c r="A31" s="20"/>
      <c r="B31" s="19" t="s">
        <v>91</v>
      </c>
      <c r="C31" s="15"/>
      <c r="D31" s="58">
        <f>D28+D29+D30</f>
        <v>260000</v>
      </c>
      <c r="E31" s="58">
        <f t="shared" ref="E31:F31" si="7">SUM(E29:E30)</f>
        <v>160000</v>
      </c>
      <c r="F31" s="58">
        <f t="shared" si="7"/>
        <v>480000</v>
      </c>
    </row>
    <row r="32" spans="1:6" s="58" customFormat="1" x14ac:dyDescent="0.3">
      <c r="B32" s="19" t="s">
        <v>28</v>
      </c>
      <c r="C32" s="58">
        <v>1</v>
      </c>
      <c r="D32" s="58">
        <v>50000</v>
      </c>
      <c r="E32" s="58">
        <f>C32*D32</f>
        <v>50000</v>
      </c>
      <c r="F32" s="58">
        <f t="shared" si="4"/>
        <v>150000</v>
      </c>
    </row>
    <row r="33" spans="3:6" x14ac:dyDescent="0.3">
      <c r="C33" s="5"/>
      <c r="D33" s="5" t="s">
        <v>29</v>
      </c>
      <c r="E33" s="8">
        <f>E17+E19+E24+E27+E31+E32</f>
        <v>1715000</v>
      </c>
      <c r="F33" s="8">
        <f>F16+F18+F24+F27+F31+F32</f>
        <v>14653000</v>
      </c>
    </row>
  </sheetData>
  <mergeCells count="2">
    <mergeCell ref="B2:E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Cumulative quarterly -Exp</vt:lpstr>
      <vt:lpstr>Profitability calculation  </vt:lpstr>
      <vt:lpstr>Chart </vt:lpstr>
      <vt:lpstr>Revenue Breakup  </vt:lpstr>
      <vt:lpstr>Expence -Typical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BISWAJEET ROY</dc:creator>
  <cp:keywords/>
  <dc:description/>
  <cp:lastModifiedBy>BISWAJEET ROY</cp:lastModifiedBy>
  <cp:revision/>
  <dcterms:created xsi:type="dcterms:W3CDTF">2015-06-05T18:17:20Z</dcterms:created>
  <dcterms:modified xsi:type="dcterms:W3CDTF">2023-09-19T16:27:09Z</dcterms:modified>
  <cp:category/>
  <cp:contentStatus/>
</cp:coreProperties>
</file>