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g_domini_uu_nl/Documents/Documents/Github/layout_parse/data/raw_control_variables/"/>
    </mc:Choice>
  </mc:AlternateContent>
  <xr:revisionPtr revIDLastSave="77" documentId="11_EA4A92EB7895B9A7F3CC3FE6396E1A3CB926333B" xr6:coauthVersionLast="47" xr6:coauthVersionMax="47" xr10:uidLastSave="{0F543C94-EF64-42ED-B33F-A30BF678B177}"/>
  <bookViews>
    <workbookView xWindow="-108" yWindow="-108" windowWidth="23256" windowHeight="12576" xr2:uid="{00000000-000D-0000-FFFF-FFFF00000000}"/>
  </bookViews>
  <sheets>
    <sheet name="p133" sheetId="2" r:id="rId1"/>
    <sheet name="p159" sheetId="1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2" l="1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O67" i="2"/>
  <c r="O65" i="2"/>
  <c r="O63" i="2"/>
  <c r="O61" i="2"/>
  <c r="O59" i="2"/>
  <c r="O57" i="2"/>
  <c r="O55" i="2"/>
  <c r="O53" i="2"/>
  <c r="O51" i="2"/>
  <c r="N67" i="2"/>
  <c r="N65" i="2"/>
  <c r="N63" i="2"/>
  <c r="N61" i="2"/>
  <c r="N59" i="2"/>
  <c r="N57" i="2"/>
  <c r="N55" i="2"/>
  <c r="N53" i="2"/>
  <c r="N51" i="2"/>
  <c r="M67" i="2"/>
  <c r="M65" i="2"/>
  <c r="M63" i="2"/>
  <c r="M61" i="2"/>
  <c r="M59" i="2"/>
  <c r="M57" i="2"/>
  <c r="M55" i="2"/>
  <c r="M53" i="2"/>
  <c r="M51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G51" i="2"/>
  <c r="M46" i="2"/>
  <c r="N46" i="2"/>
  <c r="O46" i="2"/>
  <c r="O44" i="2"/>
  <c r="N44" i="2"/>
  <c r="M44" i="2"/>
  <c r="O43" i="2"/>
  <c r="N43" i="2"/>
  <c r="M43" i="2"/>
  <c r="O42" i="2"/>
  <c r="N42" i="2"/>
  <c r="M42" i="2"/>
  <c r="O40" i="2"/>
  <c r="N40" i="2"/>
  <c r="M40" i="2"/>
  <c r="O39" i="2"/>
  <c r="N39" i="2"/>
  <c r="M39" i="2"/>
  <c r="O38" i="2"/>
  <c r="N38" i="2"/>
  <c r="M38" i="2"/>
  <c r="O37" i="2"/>
  <c r="N37" i="2"/>
  <c r="M37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4" i="2"/>
  <c r="N14" i="2"/>
  <c r="M14" i="2"/>
  <c r="O13" i="2"/>
  <c r="N13" i="2"/>
  <c r="M13" i="2"/>
  <c r="O12" i="2"/>
  <c r="N12" i="2"/>
  <c r="M12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4" i="2"/>
  <c r="N4" i="2"/>
  <c r="M4" i="2"/>
  <c r="O3" i="2"/>
  <c r="N3" i="2"/>
  <c r="M3" i="2"/>
  <c r="O2" i="2"/>
  <c r="N2" i="2"/>
  <c r="M2" i="2"/>
  <c r="G60" i="2"/>
  <c r="F60" i="2"/>
  <c r="F58" i="2"/>
  <c r="E66" i="2"/>
  <c r="E64" i="2"/>
  <c r="E62" i="2"/>
  <c r="E60" i="2"/>
  <c r="E58" i="2"/>
  <c r="E56" i="2"/>
  <c r="E54" i="2"/>
  <c r="E52" i="2"/>
  <c r="G47" i="2"/>
  <c r="G46" i="2"/>
  <c r="F47" i="2"/>
  <c r="F46" i="2"/>
  <c r="G45" i="2"/>
  <c r="G66" i="2" s="1"/>
  <c r="G44" i="2"/>
  <c r="F45" i="2"/>
  <c r="F66" i="2" s="1"/>
  <c r="F44" i="2"/>
  <c r="G41" i="2"/>
  <c r="G40" i="2"/>
  <c r="F41" i="2"/>
  <c r="F40" i="2"/>
  <c r="G36" i="2"/>
  <c r="G62" i="2" s="1"/>
  <c r="G35" i="2"/>
  <c r="F36" i="2"/>
  <c r="F35" i="2"/>
  <c r="G28" i="2"/>
  <c r="F28" i="2"/>
  <c r="G21" i="2"/>
  <c r="G20" i="2"/>
  <c r="F20" i="2"/>
  <c r="G15" i="2"/>
  <c r="G14" i="2"/>
  <c r="F15" i="2"/>
  <c r="F14" i="2"/>
  <c r="G11" i="2"/>
  <c r="G10" i="2"/>
  <c r="F11" i="2"/>
  <c r="F54" i="2" s="1"/>
  <c r="F10" i="2"/>
  <c r="G5" i="2"/>
  <c r="G52" i="2" s="1"/>
  <c r="G4" i="2"/>
  <c r="F5" i="2"/>
  <c r="F52" i="2" s="1"/>
  <c r="F4" i="2"/>
  <c r="E47" i="2"/>
  <c r="E46" i="2"/>
  <c r="E44" i="2"/>
  <c r="E40" i="2"/>
  <c r="E35" i="2"/>
  <c r="E28" i="2"/>
  <c r="E20" i="2"/>
  <c r="E14" i="2"/>
  <c r="E10" i="2"/>
  <c r="E4" i="2"/>
  <c r="E68" i="2" l="1"/>
  <c r="F68" i="2"/>
  <c r="F56" i="2"/>
  <c r="F67" i="2"/>
  <c r="F73" i="2"/>
  <c r="G73" i="2"/>
  <c r="E73" i="2"/>
  <c r="E67" i="2"/>
  <c r="G54" i="2"/>
  <c r="G68" i="2"/>
  <c r="E63" i="2"/>
  <c r="F62" i="2"/>
  <c r="G56" i="2"/>
  <c r="F64" i="2"/>
  <c r="G64" i="2"/>
  <c r="G58" i="2"/>
  <c r="G48" i="2"/>
  <c r="F48" i="2"/>
  <c r="G43" i="2"/>
  <c r="F43" i="2"/>
  <c r="G42" i="2"/>
  <c r="F42" i="2"/>
  <c r="G39" i="2"/>
  <c r="F39" i="2"/>
  <c r="G37" i="2"/>
  <c r="F37" i="2"/>
  <c r="G34" i="2"/>
  <c r="F34" i="2"/>
  <c r="G33" i="2"/>
  <c r="F33" i="2"/>
  <c r="G32" i="2"/>
  <c r="F32" i="2"/>
  <c r="G31" i="2"/>
  <c r="F31" i="2"/>
  <c r="G27" i="2"/>
  <c r="F27" i="2"/>
  <c r="G23" i="2"/>
  <c r="F23" i="2"/>
  <c r="G19" i="2"/>
  <c r="F19" i="2"/>
  <c r="G18" i="2"/>
  <c r="F18" i="2"/>
  <c r="G17" i="2"/>
  <c r="F17" i="2"/>
  <c r="G13" i="2"/>
  <c r="F13" i="2"/>
  <c r="G9" i="2"/>
  <c r="G8" i="2"/>
  <c r="F8" i="2"/>
  <c r="G7" i="2"/>
  <c r="F7" i="2"/>
  <c r="G6" i="2"/>
  <c r="F6" i="2"/>
  <c r="F3" i="2"/>
  <c r="G2" i="2"/>
  <c r="G3" i="2"/>
  <c r="F2" i="2"/>
  <c r="E48" i="2"/>
  <c r="E42" i="2"/>
  <c r="E34" i="2"/>
  <c r="E33" i="2"/>
  <c r="E32" i="2"/>
  <c r="E31" i="2"/>
  <c r="E25" i="2"/>
  <c r="E17" i="2"/>
  <c r="E16" i="2"/>
  <c r="E13" i="2"/>
  <c r="E9" i="2"/>
  <c r="E8" i="2"/>
  <c r="E7" i="2"/>
  <c r="E6" i="2"/>
  <c r="E3" i="2"/>
  <c r="E2" i="2"/>
  <c r="K39" i="2" l="1"/>
  <c r="I34" i="2"/>
  <c r="K6" i="2"/>
  <c r="I16" i="2"/>
  <c r="E69" i="2"/>
  <c r="I48" i="2"/>
  <c r="K7" i="2"/>
  <c r="I31" i="2"/>
  <c r="K9" i="2"/>
  <c r="K32" i="2"/>
  <c r="I8" i="2"/>
  <c r="I33" i="2"/>
  <c r="K33" i="2"/>
  <c r="K42" i="2"/>
  <c r="E55" i="2"/>
  <c r="I13" i="2"/>
  <c r="E65" i="2"/>
  <c r="K27" i="2"/>
  <c r="K34" i="2"/>
  <c r="K43" i="2"/>
  <c r="I2" i="2"/>
  <c r="I17" i="2"/>
  <c r="K31" i="2"/>
  <c r="K37" i="2"/>
  <c r="K48" i="2"/>
  <c r="I7" i="2"/>
  <c r="I32" i="2"/>
  <c r="I3" i="2"/>
  <c r="E59" i="2"/>
  <c r="I25" i="2"/>
  <c r="G65" i="2"/>
  <c r="G67" i="2"/>
  <c r="F74" i="2"/>
  <c r="J43" i="2" s="1"/>
  <c r="G74" i="2"/>
  <c r="K2" i="2" s="1"/>
  <c r="E74" i="2"/>
  <c r="I9" i="2" s="1"/>
  <c r="E53" i="2"/>
  <c r="E57" i="2"/>
  <c r="E51" i="2"/>
  <c r="G53" i="2"/>
  <c r="E61" i="2"/>
  <c r="F59" i="2"/>
  <c r="G63" i="2"/>
  <c r="G59" i="2"/>
  <c r="F61" i="2"/>
  <c r="G69" i="2"/>
  <c r="F57" i="2"/>
  <c r="G57" i="2"/>
  <c r="F53" i="2"/>
  <c r="F65" i="2"/>
  <c r="F69" i="2"/>
  <c r="F63" i="2"/>
  <c r="G61" i="2"/>
  <c r="F55" i="2"/>
  <c r="G55" i="2"/>
  <c r="F51" i="2"/>
  <c r="O26" i="1"/>
  <c r="J39" i="2" l="1"/>
  <c r="J42" i="2"/>
  <c r="J19" i="2"/>
  <c r="J23" i="2"/>
  <c r="K18" i="2"/>
  <c r="K17" i="2"/>
  <c r="K23" i="2"/>
  <c r="J48" i="2"/>
  <c r="K19" i="2"/>
  <c r="J26" i="2"/>
  <c r="J20" i="2"/>
  <c r="J12" i="2"/>
  <c r="J40" i="2"/>
  <c r="J9" i="2"/>
  <c r="J24" i="2"/>
  <c r="J45" i="2"/>
  <c r="J22" i="2"/>
  <c r="J11" i="2"/>
  <c r="J30" i="2"/>
  <c r="J29" i="2"/>
  <c r="J16" i="2"/>
  <c r="J38" i="2"/>
  <c r="J25" i="2"/>
  <c r="J46" i="2"/>
  <c r="J21" i="2"/>
  <c r="J35" i="2"/>
  <c r="J10" i="2"/>
  <c r="J36" i="2"/>
  <c r="J47" i="2"/>
  <c r="J14" i="2"/>
  <c r="J44" i="2"/>
  <c r="J28" i="2"/>
  <c r="J41" i="2"/>
  <c r="J4" i="2"/>
  <c r="J5" i="2"/>
  <c r="J15" i="2"/>
  <c r="J32" i="2"/>
  <c r="J33" i="2"/>
  <c r="E72" i="2"/>
  <c r="E75" i="2" s="1"/>
  <c r="I45" i="2"/>
  <c r="I37" i="2"/>
  <c r="I29" i="2"/>
  <c r="I21" i="2"/>
  <c r="I5" i="2"/>
  <c r="I26" i="2"/>
  <c r="I39" i="2"/>
  <c r="I15" i="2"/>
  <c r="I18" i="2"/>
  <c r="I23" i="2"/>
  <c r="I44" i="2"/>
  <c r="I19" i="2"/>
  <c r="I40" i="2"/>
  <c r="I27" i="2"/>
  <c r="I20" i="2"/>
  <c r="I24" i="2"/>
  <c r="I35" i="2"/>
  <c r="I22" i="2"/>
  <c r="I12" i="2"/>
  <c r="I41" i="2"/>
  <c r="I28" i="2"/>
  <c r="I36" i="2"/>
  <c r="I11" i="2"/>
  <c r="I43" i="2"/>
  <c r="I30" i="2"/>
  <c r="I38" i="2"/>
  <c r="I4" i="2"/>
  <c r="I46" i="2"/>
  <c r="I47" i="2"/>
  <c r="I10" i="2"/>
  <c r="I14" i="2"/>
  <c r="K8" i="2"/>
  <c r="J13" i="2"/>
  <c r="J8" i="2"/>
  <c r="J7" i="2"/>
  <c r="K13" i="2"/>
  <c r="J37" i="2"/>
  <c r="J34" i="2"/>
  <c r="J18" i="2"/>
  <c r="J17" i="2"/>
  <c r="K20" i="2"/>
  <c r="K12" i="2"/>
  <c r="K25" i="2"/>
  <c r="K35" i="2"/>
  <c r="K22" i="2"/>
  <c r="K30" i="2"/>
  <c r="K5" i="2"/>
  <c r="K16" i="2"/>
  <c r="K14" i="2"/>
  <c r="K45" i="2"/>
  <c r="K40" i="2"/>
  <c r="K38" i="2"/>
  <c r="K26" i="2"/>
  <c r="K29" i="2"/>
  <c r="K24" i="2"/>
  <c r="K11" i="2"/>
  <c r="K4" i="2"/>
  <c r="K10" i="2"/>
  <c r="K15" i="2"/>
  <c r="K46" i="2"/>
  <c r="K28" i="2"/>
  <c r="K47" i="2"/>
  <c r="K21" i="2"/>
  <c r="K44" i="2"/>
  <c r="K36" i="2"/>
  <c r="K41" i="2"/>
  <c r="K3" i="2"/>
  <c r="J3" i="2"/>
  <c r="J2" i="2"/>
  <c r="I42" i="2"/>
  <c r="J6" i="2"/>
  <c r="J31" i="2"/>
  <c r="J27" i="2"/>
  <c r="I6" i="2"/>
  <c r="G72" i="2"/>
  <c r="G75" i="2" s="1"/>
  <c r="F72" i="2"/>
  <c r="F75" i="2" s="1"/>
  <c r="E77" i="2"/>
  <c r="F77" i="2"/>
  <c r="G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Domini</author>
  </authors>
  <commentList>
    <comment ref="G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minor inconsistency with total from source</t>
        </r>
      </text>
    </comment>
    <comment ref="G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minor inconsistency with total from source</t>
        </r>
      </text>
    </comment>
    <comment ref="A4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Ausserhalb der Classen stehende Gewerbe und Unternehmungen</t>
        </r>
      </text>
    </comment>
    <comment ref="A4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Ausserhalb der Classen stehende Gewerbe und Unternehmungen</t>
        </r>
      </text>
    </comment>
    <comment ref="A6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Ausserhalb der Classen stehende Gewerbe und Unternehmungen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Domini</author>
  </authors>
  <commentList>
    <comment ref="I7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16000 Lire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1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abgebrannt</t>
        </r>
      </text>
    </comment>
    <comment ref="C7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joint with Maderno</t>
        </r>
      </text>
    </comment>
  </commentList>
</comments>
</file>

<file path=xl/sharedStrings.xml><?xml version="1.0" encoding="utf-8"?>
<sst xmlns="http://schemas.openxmlformats.org/spreadsheetml/2006/main" count="747" uniqueCount="259">
  <si>
    <t>i . Maschinen - Flachsgarn - Spinnereien im Jahre 1854.</t>
  </si>
  <si>
    <t>Lombardie</t>
  </si>
  <si>
    <t>Villa d'Alme</t>
  </si>
  <si>
    <t>Cassano d'Adda</t>
  </si>
  <si>
    <t>Melegnano</t>
  </si>
  <si>
    <t>Spindeln</t>
  </si>
  <si>
    <t>Kronland</t>
  </si>
  <si>
    <t>Ort</t>
  </si>
  <si>
    <t>l. Baumwoll - Spinnereien im Jahre 1854.</t>
  </si>
  <si>
    <t>Bergamo</t>
  </si>
  <si>
    <t>S. Ambrogio</t>
  </si>
  <si>
    <t>Malnate</t>
  </si>
  <si>
    <t>Castellanza</t>
  </si>
  <si>
    <t>Legmanello</t>
  </si>
  <si>
    <t>Legnano</t>
  </si>
  <si>
    <t>Besozzo</t>
  </si>
  <si>
    <t>Borgovico</t>
  </si>
  <si>
    <t>Castiglione</t>
  </si>
  <si>
    <t>Gurone</t>
  </si>
  <si>
    <t>Rancio</t>
  </si>
  <si>
    <t>Varano</t>
  </si>
  <si>
    <t>Cairate</t>
  </si>
  <si>
    <t>Carate</t>
  </si>
  <si>
    <t>Peregallo</t>
  </si>
  <si>
    <t>Vaprio</t>
  </si>
  <si>
    <t>Gallarate</t>
  </si>
  <si>
    <t>Garatola</t>
  </si>
  <si>
    <t>Chiavenna</t>
  </si>
  <si>
    <t>100</t>
  </si>
  <si>
    <t>20</t>
  </si>
  <si>
    <t>4-20</t>
  </si>
  <si>
    <t>6-10</t>
  </si>
  <si>
    <t>6-40</t>
  </si>
  <si>
    <t>6-30</t>
  </si>
  <si>
    <t>4-30</t>
  </si>
  <si>
    <t>S. Bartolomeo</t>
  </si>
  <si>
    <t>S. Eufemia</t>
  </si>
  <si>
    <t>6-20</t>
  </si>
  <si>
    <t>Olgiate Olona</t>
  </si>
  <si>
    <t>Salbiate Olona</t>
  </si>
  <si>
    <t>S. Vittore</t>
  </si>
  <si>
    <t>4-60</t>
  </si>
  <si>
    <t>Venedig</t>
  </si>
  <si>
    <t>Montorio</t>
  </si>
  <si>
    <t>Pordenone</t>
  </si>
  <si>
    <t>Casatico</t>
  </si>
  <si>
    <t>Canneto</t>
  </si>
  <si>
    <t>Spinadesco</t>
  </si>
  <si>
    <t>Redona</t>
  </si>
  <si>
    <t>Zogno</t>
  </si>
  <si>
    <t>Ambria</t>
  </si>
  <si>
    <t>Gazzaniga</t>
  </si>
  <si>
    <t>Follazza</t>
  </si>
  <si>
    <t>Zivido</t>
  </si>
  <si>
    <t>Briosco</t>
  </si>
  <si>
    <t>Ogna</t>
  </si>
  <si>
    <t>Tagliuno</t>
  </si>
  <si>
    <t>Brescia</t>
  </si>
  <si>
    <t>Toscolano</t>
  </si>
  <si>
    <t>Maderno</t>
  </si>
  <si>
    <t>Limone</t>
  </si>
  <si>
    <t>Maslianico</t>
  </si>
  <si>
    <t>Cernobbio</t>
  </si>
  <si>
    <t>Camerlata</t>
  </si>
  <si>
    <t>Camnago</t>
  </si>
  <si>
    <t>Ronago</t>
  </si>
  <si>
    <t>Nesso</t>
  </si>
  <si>
    <t>Ferrera</t>
  </si>
  <si>
    <t>Bellano</t>
  </si>
  <si>
    <t>Dervio</t>
  </si>
  <si>
    <t>Besorzo</t>
  </si>
  <si>
    <t>Gemonio</t>
  </si>
  <si>
    <t>Varese</t>
  </si>
  <si>
    <t>Soave</t>
  </si>
  <si>
    <t>Majo (Com. Di Goito)</t>
  </si>
  <si>
    <t>Jalla (Casoclatto)</t>
  </si>
  <si>
    <t>Alzano maggiore</t>
  </si>
  <si>
    <t>Alzano di sopra</t>
  </si>
  <si>
    <t>Villa d'Ogna</t>
  </si>
  <si>
    <t>Cereto Casso</t>
  </si>
  <si>
    <t>S. Abbondio</t>
  </si>
  <si>
    <t>Monte Olimpino</t>
  </si>
  <si>
    <t>Corpi Santi P. Tic.</t>
  </si>
  <si>
    <t>S. Croce</t>
  </si>
  <si>
    <t>Rocca Brivia</t>
  </si>
  <si>
    <t>Nummer der erzeugten Garne (Zwirn)</t>
  </si>
  <si>
    <t>Papier-Mühlen</t>
  </si>
  <si>
    <t>Pap.-Fabrieken</t>
  </si>
  <si>
    <t>Zahl der Bütten</t>
  </si>
  <si>
    <t>Zahl der Maschinen</t>
  </si>
  <si>
    <t>Papier-Gattung</t>
  </si>
  <si>
    <t>Pack-</t>
  </si>
  <si>
    <t>Schreib-</t>
  </si>
  <si>
    <t>Schreib-, Zeichen-</t>
  </si>
  <si>
    <t>Stroh-</t>
  </si>
  <si>
    <t>Schreib-, Couleur-</t>
  </si>
  <si>
    <t>Stroh-, Schreib-</t>
  </si>
  <si>
    <t>Stroh-, Pack-</t>
  </si>
  <si>
    <t>Pack, Pappendeckel</t>
  </si>
  <si>
    <t>Schreib-, Pack, Pappendeckel</t>
  </si>
  <si>
    <t>Dueville</t>
  </si>
  <si>
    <t>Oliero</t>
  </si>
  <si>
    <t>Rossana</t>
  </si>
  <si>
    <t>Sarcedo</t>
  </si>
  <si>
    <t>Fliess-, Pack- , Druck-, Schreib-, Pappendeckel, Pressspäne</t>
  </si>
  <si>
    <t>Lugo</t>
  </si>
  <si>
    <t>Arsiero</t>
  </si>
  <si>
    <t>Piovene</t>
  </si>
  <si>
    <t>Torebelvicino</t>
  </si>
  <si>
    <t>Porcia</t>
  </si>
  <si>
    <t>Codroipo</t>
  </si>
  <si>
    <t>Carmignano</t>
  </si>
  <si>
    <t>Fontaniva</t>
  </si>
  <si>
    <t>Galliera</t>
  </si>
  <si>
    <t>Schreib-, Zeichen-, Pack-</t>
  </si>
  <si>
    <t>Pack-, Fliess-, Pappendeckel</t>
  </si>
  <si>
    <t>Schreib-, Couleur-, Fliess-, Pappend.</t>
  </si>
  <si>
    <t>n. Buchdruckerei und Lithographie im Jahre 1854.</t>
  </si>
  <si>
    <t>Como</t>
  </si>
  <si>
    <t>Lecco</t>
  </si>
  <si>
    <t>Treviglio</t>
  </si>
  <si>
    <t>Chiari</t>
  </si>
  <si>
    <t>Saló</t>
  </si>
  <si>
    <t>Crema</t>
  </si>
  <si>
    <t>Codogno</t>
  </si>
  <si>
    <t>Mailand</t>
  </si>
  <si>
    <t>Sondrio</t>
  </si>
  <si>
    <t>Lodi</t>
  </si>
  <si>
    <t>Pavia</t>
  </si>
  <si>
    <t>Monza</t>
  </si>
  <si>
    <t>Abbiate grosso</t>
  </si>
  <si>
    <t>Mantua</t>
  </si>
  <si>
    <t>Buckdruckereien</t>
  </si>
  <si>
    <t>Lithographische Anstalten</t>
  </si>
  <si>
    <t>Hand-Pressen</t>
  </si>
  <si>
    <t>Maschinen-Pressen</t>
  </si>
  <si>
    <t>Rovigo</t>
  </si>
  <si>
    <t>Adria</t>
  </si>
  <si>
    <t>Lendinare</t>
  </si>
  <si>
    <t>Padua</t>
  </si>
  <si>
    <t>Este</t>
  </si>
  <si>
    <t>Verona</t>
  </si>
  <si>
    <t>Vicenza</t>
  </si>
  <si>
    <t>Lonigo</t>
  </si>
  <si>
    <t>Bassano</t>
  </si>
  <si>
    <t>Udine</t>
  </si>
  <si>
    <t>S. Daniele</t>
  </si>
  <si>
    <t>Treviso</t>
  </si>
  <si>
    <t>Belluno</t>
  </si>
  <si>
    <t>a. Glas - Erzeugung im Jahre 1854.</t>
  </si>
  <si>
    <t>Corpi Santi Milano</t>
  </si>
  <si>
    <t>Porlezza</t>
  </si>
  <si>
    <t>Porto</t>
  </si>
  <si>
    <t>Fiumelatte</t>
  </si>
  <si>
    <t>Cremona</t>
  </si>
  <si>
    <t>Hütten</t>
  </si>
  <si>
    <t>Fabriken</t>
  </si>
  <si>
    <t>Zahl der Oefen</t>
  </si>
  <si>
    <t>Zahl der Hafen</t>
  </si>
  <si>
    <t>Erzeugung an Tafelglas</t>
  </si>
  <si>
    <t>Erzeugung an Hohlglas</t>
  </si>
  <si>
    <t>700000 St.</t>
  </si>
  <si>
    <t>50000 Lire</t>
  </si>
  <si>
    <t>30000 Lire</t>
  </si>
  <si>
    <t>2000 St.</t>
  </si>
  <si>
    <t>4000 St.</t>
  </si>
  <si>
    <t>Murano</t>
  </si>
  <si>
    <t>Schio</t>
  </si>
  <si>
    <t>Esterno</t>
  </si>
  <si>
    <t>2000000 fl. Pasten</t>
  </si>
  <si>
    <t>700000 fl.</t>
  </si>
  <si>
    <t>400 Ctr.</t>
  </si>
  <si>
    <t>1854 ausser Betrieb</t>
  </si>
  <si>
    <t>c. Gas - Beleuchtung im Jahre 1855.</t>
  </si>
  <si>
    <t>Vergasungsstoff</t>
  </si>
  <si>
    <t>Flammen</t>
  </si>
  <si>
    <t>Object der Beleuchtung</t>
  </si>
  <si>
    <t>Steinkohle</t>
  </si>
  <si>
    <t>Stadt und Privatlocale</t>
  </si>
  <si>
    <t>d. Colonial - Zucker- Fabrication im Jahre 1854.</t>
  </si>
  <si>
    <t>Verarbeiteter Rohzucker in Centnern</t>
  </si>
  <si>
    <t>m. Papier - Erzeugung im Jahre 1854.</t>
  </si>
  <si>
    <t>Classe</t>
  </si>
  <si>
    <t>Gruppe</t>
  </si>
  <si>
    <t>I</t>
  </si>
  <si>
    <t>Zusammen (1851)</t>
  </si>
  <si>
    <t>II</t>
  </si>
  <si>
    <t>III</t>
  </si>
  <si>
    <t>IV</t>
  </si>
  <si>
    <t>V</t>
  </si>
  <si>
    <t>VI</t>
  </si>
  <si>
    <t>VII</t>
  </si>
  <si>
    <t>VIII</t>
  </si>
  <si>
    <t>Persoenlicher Dienste</t>
  </si>
  <si>
    <t>RCA Lombardy</t>
  </si>
  <si>
    <t>RCA Veneto</t>
  </si>
  <si>
    <t>Erzeugnisse aus Stein und Erde</t>
  </si>
  <si>
    <t>Baugewerbe</t>
  </si>
  <si>
    <t>Glas- und Spiegelwaaren</t>
  </si>
  <si>
    <t>Erzeugnisse chemischer Fabriken, Hütten- und Salzwerke</t>
  </si>
  <si>
    <t>Fettwaaren und entzündbare Stoffe</t>
  </si>
  <si>
    <t>Consumtibilien und andere landwirthschaftliche Producte</t>
  </si>
  <si>
    <t>Farbstoffe , Farbwaaren und Gärbemateriale</t>
  </si>
  <si>
    <t>Leim- und Leimfabricate , Lacke und Firnisse</t>
  </si>
  <si>
    <t>Pelz und Pelzwaaren</t>
  </si>
  <si>
    <t>Brennstoffe und Producte aus denselben</t>
  </si>
  <si>
    <t>Eisenhüttenproducte und Eisenwaaren</t>
  </si>
  <si>
    <t>Andere unedle Metalle und Metallwaaren</t>
  </si>
  <si>
    <t>Arbeiten aus edlen Metallen und Metallwaaren</t>
  </si>
  <si>
    <t>Verschiedene Arbeiten aus edlen und veredelten Metallen</t>
  </si>
  <si>
    <t>Chirurgische Instrumente</t>
  </si>
  <si>
    <t>Mathematische, optische und physikalische Instrumente</t>
  </si>
  <si>
    <t>Musikalische Insturment</t>
  </si>
  <si>
    <t>Erzeugnisse des Maschinenbaues</t>
  </si>
  <si>
    <t>Landwirthschaftliche Maschinen</t>
  </si>
  <si>
    <t>Gegenstände des Schiffbauwesens</t>
  </si>
  <si>
    <t>Wagenbau</t>
  </si>
  <si>
    <t>Gold- und Silberspinnereien , Tressenwaaren</t>
  </si>
  <si>
    <t>Seide und Fabricate aus Seide</t>
  </si>
  <si>
    <t>Wolle und Fabricate aus Wolle</t>
  </si>
  <si>
    <t>Baumwolle und mit Baumwolle gemischte Waaren</t>
  </si>
  <si>
    <t>Roher Flachs , Erzeugnisse aus Flachs und Hanf und gemischte Waaren</t>
  </si>
  <si>
    <t>Färberei und Druckerei, verschiedene Erzeugnisse der Weberei , Manufactur-Waaren und Bekleidungsgegenstände</t>
  </si>
  <si>
    <t>Papier und Papier - Fabricate</t>
  </si>
  <si>
    <t>Schreibmaterialien</t>
  </si>
  <si>
    <t>Buchdruckerei und Buchbinderei</t>
  </si>
  <si>
    <t>Darstellende Arbeiten</t>
  </si>
  <si>
    <t>Arbeiten aus Holz , Elfenbein , Horn</t>
  </si>
  <si>
    <t>Arbeiten aus Stroh, Binsen , Schilf etc</t>
  </si>
  <si>
    <t>Verschiedene und kurze Waaren</t>
  </si>
  <si>
    <t>Chemische Producte , Consumtibilien , Farb- , Leim- und Lackware, Gärbemateriale</t>
  </si>
  <si>
    <t>Erzeugnisse aus Mineral-Stoffen</t>
  </si>
  <si>
    <t>Veredelte Thierproducte</t>
  </si>
  <si>
    <t>Leder und Lederwaaren</t>
  </si>
  <si>
    <t>Verschiedene Arbeiten aus thierischen Stoffen</t>
  </si>
  <si>
    <t>Berg- und Hüttenproducte , Metalle und Metallwaaren</t>
  </si>
  <si>
    <t>Instrumente und Erzeugnisse des Maschinenbaues</t>
  </si>
  <si>
    <t>Erzeugnisse aus Seide , Wolle , Baumwolle , Flachs , Hanf und anderen Spinn- und Webestoffen</t>
  </si>
  <si>
    <t>Papier- und Papier- Fabricate , Schreibmaterialien , Buchdruckerei und Buchbinderei , Steindruckerei , Kupferstich , Malerei etc.</t>
  </si>
  <si>
    <t>Arbeiten aus Holz, Stroh, Elfenbein, Horn; kurze Waaren</t>
  </si>
  <si>
    <t>Source: MITTHEILUNGEN AUS DEM GEBIETE DER STATISTIK. HERAUSGEGEBEN VON DER DIRECTION DER ADMINISTRATIVEN STATISTIK IM K. K. HANDELS- MINISTERIUM. VIERTER JAHRGANG. ― III. HEFT. (1855), Uebersichtstafeln zur Statistik der österreichischen Monarchie nach den Ergebnissen der Jahre 1851 bis 1855. II. [pp. 121 ff. of the pdf]</t>
  </si>
  <si>
    <t>Note: for pp. 159 ff., industries that are missing in Lombardy and Venetia, or are not disaggregated at the town level, are not inserted</t>
  </si>
  <si>
    <t>Verkehr</t>
  </si>
  <si>
    <t>-</t>
  </si>
  <si>
    <t>Totals by group</t>
  </si>
  <si>
    <t>Check</t>
  </si>
  <si>
    <t>Sonstige Gewerbe</t>
  </si>
  <si>
    <t>Industrie</t>
  </si>
  <si>
    <t>Industrie (w/o pers. serv.)</t>
  </si>
  <si>
    <t>Grand totals</t>
  </si>
  <si>
    <t>Total-Summe</t>
  </si>
  <si>
    <t>RCA Lombardy (industry only)</t>
  </si>
  <si>
    <t>RCA Veneto (industry only)</t>
  </si>
  <si>
    <t>Share in total Lombardy</t>
  </si>
  <si>
    <t>Share in total Veneto</t>
  </si>
  <si>
    <t>Share in total Austria</t>
  </si>
  <si>
    <t>Share in total Austria (industry)</t>
  </si>
  <si>
    <t>Share in total Lombardy (industry)</t>
  </si>
  <si>
    <t>Share in total Veneto (industry)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</si>
</sst>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</cellXfs>
  <cellStyles count="1">
    <cellStyle name="Normal" xfId="0" builtinId="0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7"/>
  <sheetViews>
    <sheetView tabSelected="1" workbookViewId="0">
      <pane ySplit="1" topLeftCell="A44" activePane="bottomLeft" state="frozen"/>
      <selection pane="bottomLeft" activeCell="L56" sqref="L56"/>
    </sheetView>
  </sheetViews>
  <sheetFormatPr defaultRowHeight="15" x14ac:dyDescent="0.25"/>
  <cols>
    <col min="5" max="5" width="9.7109375" bestFit="1" customWidth="1"/>
    <col min="9" max="9" width="9.140625" customWidth="1"/>
  </cols>
  <sheetData>
    <row r="1" spans="1:21" x14ac:dyDescent="0.25">
      <c r="A1" t="s">
        <v>183</v>
      </c>
      <c r="C1" t="s">
        <v>182</v>
      </c>
      <c r="E1" t="s">
        <v>185</v>
      </c>
      <c r="F1" t="s">
        <v>1</v>
      </c>
      <c r="G1" t="s">
        <v>42</v>
      </c>
      <c r="I1" t="s">
        <v>255</v>
      </c>
      <c r="J1" t="s">
        <v>253</v>
      </c>
      <c r="K1" t="s">
        <v>254</v>
      </c>
      <c r="M1" t="s">
        <v>256</v>
      </c>
      <c r="N1" t="s">
        <v>257</v>
      </c>
      <c r="O1" t="s">
        <v>258</v>
      </c>
      <c r="Q1" t="s">
        <v>194</v>
      </c>
      <c r="R1" t="s">
        <v>195</v>
      </c>
      <c r="T1" t="s">
        <v>251</v>
      </c>
      <c r="U1" t="s">
        <v>252</v>
      </c>
    </row>
    <row r="2" spans="1:21" x14ac:dyDescent="0.25">
      <c r="A2" t="s">
        <v>184</v>
      </c>
      <c r="B2" t="s">
        <v>231</v>
      </c>
      <c r="C2">
        <v>1</v>
      </c>
      <c r="D2" t="s">
        <v>196</v>
      </c>
      <c r="E2">
        <f>760+5922+42+876</f>
        <v>7600</v>
      </c>
      <c r="F2">
        <f>52+14+928+47+81+2413</f>
        <v>3535</v>
      </c>
      <c r="G2">
        <f>13+146+567+1+4+183+348</f>
        <v>1262</v>
      </c>
      <c r="I2" s="9">
        <f>100*E2/E$74</f>
        <v>1.5675500636301571</v>
      </c>
      <c r="J2" s="9">
        <f t="shared" ref="J2:J48" si="0">100*F2/F$74</f>
        <v>1.9831363287013402</v>
      </c>
      <c r="K2" s="9">
        <f t="shared" ref="K2:K48" si="1">100*G2/G$74</f>
        <v>1.2837597273790753</v>
      </c>
      <c r="M2" s="9">
        <f>100*E2/E$75</f>
        <v>1.9871151271753682</v>
      </c>
      <c r="N2" s="9">
        <f t="shared" ref="N2:N48" si="2">100*F2/F$75</f>
        <v>2.7178509372164901</v>
      </c>
      <c r="O2" s="9">
        <f t="shared" ref="O2:O48" si="3">100*G2/G$75</f>
        <v>1.9469900336326329</v>
      </c>
      <c r="Q2" s="9">
        <f>J2/$I2</f>
        <v>1.2651183363858642</v>
      </c>
      <c r="R2" s="9">
        <f t="shared" ref="R2:R48" si="4">K2/$I2</f>
        <v>0.81895931566365687</v>
      </c>
      <c r="T2" s="9">
        <f>IF($C2&lt;&gt;"", N2/$M2, "")</f>
        <v>1.3677370274362732</v>
      </c>
      <c r="U2" s="9">
        <f t="shared" ref="U2:U48" si="5">IF($C2&lt;&gt;"", O2/$M2, "")</f>
        <v>0.97980736345167274</v>
      </c>
    </row>
    <row r="3" spans="1:21" x14ac:dyDescent="0.25">
      <c r="A3" t="s">
        <v>184</v>
      </c>
      <c r="C3">
        <v>2</v>
      </c>
      <c r="D3" t="s">
        <v>197</v>
      </c>
      <c r="E3">
        <f>432+6195+745+763</f>
        <v>8135</v>
      </c>
      <c r="F3">
        <f>485+1132+10995+691+1244+52+1274+142</f>
        <v>16015</v>
      </c>
      <c r="G3">
        <f>312+467+2434+224+4302+18+204+182+160</f>
        <v>8303</v>
      </c>
      <c r="I3" s="9">
        <f t="shared" ref="I3:I66" si="6">100*E3/E$74</f>
        <v>1.6778973378462274</v>
      </c>
      <c r="J3" s="9">
        <f t="shared" si="0"/>
        <v>8.9844210195620828</v>
      </c>
      <c r="K3" s="9">
        <f t="shared" si="1"/>
        <v>8.4461624535883217</v>
      </c>
      <c r="M3" s="9">
        <f t="shared" ref="M3:M48" si="7">100*E3/E$75</f>
        <v>2.1269975736278446</v>
      </c>
      <c r="N3" s="9">
        <f t="shared" si="2"/>
        <v>12.312979564221241</v>
      </c>
      <c r="O3" s="9">
        <f t="shared" si="3"/>
        <v>12.809713351229597</v>
      </c>
      <c r="Q3" s="9">
        <f t="shared" ref="Q3:Q48" si="8">J3/$I3</f>
        <v>5.3545713536291863</v>
      </c>
      <c r="R3" s="9">
        <f t="shared" si="4"/>
        <v>5.0337778498593568</v>
      </c>
      <c r="T3" s="9">
        <f t="shared" ref="T3:T48" si="9">IF($C3&lt;&gt;"", N3/$M3, "")</f>
        <v>5.7889015563003232</v>
      </c>
      <c r="U3" s="9">
        <f t="shared" si="5"/>
        <v>6.0224390991575625</v>
      </c>
    </row>
    <row r="4" spans="1:21" x14ac:dyDescent="0.25">
      <c r="A4" t="s">
        <v>184</v>
      </c>
      <c r="C4">
        <v>3</v>
      </c>
      <c r="D4" t="s">
        <v>198</v>
      </c>
      <c r="E4">
        <f>3049</f>
        <v>3049</v>
      </c>
      <c r="F4">
        <f>6+284</f>
        <v>290</v>
      </c>
      <c r="G4">
        <f>4+527</f>
        <v>531</v>
      </c>
      <c r="I4" s="9">
        <f t="shared" si="6"/>
        <v>0.62887633473794069</v>
      </c>
      <c r="J4" s="9">
        <f t="shared" si="0"/>
        <v>0.16269010900237302</v>
      </c>
      <c r="K4" s="9">
        <f t="shared" si="1"/>
        <v>0.54015563806520528</v>
      </c>
      <c r="M4" s="9">
        <f t="shared" si="7"/>
        <v>0.79719921352074963</v>
      </c>
      <c r="N4" s="9">
        <f t="shared" si="2"/>
        <v>0.22296372610828349</v>
      </c>
      <c r="O4" s="9">
        <f t="shared" si="3"/>
        <v>0.81921688419883365</v>
      </c>
      <c r="Q4" s="9">
        <f t="shared" si="8"/>
        <v>0.25869968388962783</v>
      </c>
      <c r="R4" s="9">
        <f t="shared" si="4"/>
        <v>0.85892187100710948</v>
      </c>
      <c r="T4" s="9">
        <f t="shared" si="9"/>
        <v>0.27968382598320285</v>
      </c>
      <c r="U4" s="9">
        <f t="shared" si="5"/>
        <v>1.0276187812339217</v>
      </c>
    </row>
    <row r="5" spans="1:21" x14ac:dyDescent="0.25">
      <c r="A5" t="s">
        <v>184</v>
      </c>
      <c r="D5" t="s">
        <v>242</v>
      </c>
      <c r="E5">
        <v>1184</v>
      </c>
      <c r="F5">
        <f>150+484</f>
        <v>634</v>
      </c>
      <c r="G5">
        <f>76+106+120+100+9</f>
        <v>411</v>
      </c>
      <c r="I5" s="9">
        <f t="shared" si="6"/>
        <v>0.2442077993865929</v>
      </c>
      <c r="J5" s="9">
        <f t="shared" si="0"/>
        <v>0.35567423830173966</v>
      </c>
      <c r="K5" s="9">
        <f t="shared" si="1"/>
        <v>0.4180865673160063</v>
      </c>
      <c r="M5" s="9"/>
      <c r="N5" s="9"/>
      <c r="O5" s="9"/>
      <c r="Q5" s="9">
        <f t="shared" si="8"/>
        <v>1.456440945764758</v>
      </c>
      <c r="R5" s="9">
        <f t="shared" si="4"/>
        <v>1.7120115261108217</v>
      </c>
      <c r="T5" s="9" t="str">
        <f t="shared" si="9"/>
        <v/>
      </c>
      <c r="U5" s="9" t="str">
        <f t="shared" si="5"/>
        <v/>
      </c>
    </row>
    <row r="6" spans="1:21" x14ac:dyDescent="0.25">
      <c r="A6" t="s">
        <v>186</v>
      </c>
      <c r="B6" t="s">
        <v>230</v>
      </c>
      <c r="C6">
        <v>4</v>
      </c>
      <c r="D6" t="s">
        <v>199</v>
      </c>
      <c r="E6">
        <f>274+1075</f>
        <v>1349</v>
      </c>
      <c r="F6">
        <f>19+6+745</f>
        <v>770</v>
      </c>
      <c r="G6" s="8">
        <f>2+36+713+21</f>
        <v>772</v>
      </c>
      <c r="I6" s="9">
        <f t="shared" si="6"/>
        <v>0.2782401362943529</v>
      </c>
      <c r="J6" s="9">
        <f t="shared" si="0"/>
        <v>0.43197028942009391</v>
      </c>
      <c r="K6" s="9">
        <f t="shared" si="1"/>
        <v>0.78531102181984636</v>
      </c>
      <c r="M6" s="9">
        <f t="shared" si="7"/>
        <v>0.35271293507362783</v>
      </c>
      <c r="N6" s="9">
        <f t="shared" si="2"/>
        <v>0.5920071348392355</v>
      </c>
      <c r="O6" s="9">
        <f t="shared" si="3"/>
        <v>1.1910271838069673</v>
      </c>
      <c r="Q6" s="9">
        <f t="shared" si="8"/>
        <v>1.5525089053403438</v>
      </c>
      <c r="R6" s="9">
        <f t="shared" si="4"/>
        <v>2.8224217838545704</v>
      </c>
      <c r="T6" s="9">
        <f t="shared" si="9"/>
        <v>1.6784389682665188</v>
      </c>
      <c r="U6" s="9">
        <f t="shared" si="5"/>
        <v>3.3767607177727794</v>
      </c>
    </row>
    <row r="7" spans="1:21" x14ac:dyDescent="0.25">
      <c r="A7" t="s">
        <v>186</v>
      </c>
      <c r="C7">
        <v>5</v>
      </c>
      <c r="D7" t="s">
        <v>200</v>
      </c>
      <c r="E7">
        <f>3113+46+7</f>
        <v>3166</v>
      </c>
      <c r="F7">
        <f>674+136+228+288+49+17</f>
        <v>1392</v>
      </c>
      <c r="G7">
        <f>154+29+10+3+11+9</f>
        <v>216</v>
      </c>
      <c r="I7" s="9">
        <f t="shared" si="6"/>
        <v>0.65300835545435232</v>
      </c>
      <c r="J7" s="9">
        <f t="shared" si="0"/>
        <v>0.7809125232113906</v>
      </c>
      <c r="K7" s="9">
        <f t="shared" si="1"/>
        <v>0.21972432734855807</v>
      </c>
      <c r="M7" s="9">
        <f t="shared" si="7"/>
        <v>0.82779032797858099</v>
      </c>
      <c r="N7" s="9">
        <f t="shared" si="2"/>
        <v>1.0702258853197608</v>
      </c>
      <c r="O7" s="9">
        <f t="shared" si="3"/>
        <v>0.33324076645376283</v>
      </c>
      <c r="Q7" s="9">
        <f t="shared" si="8"/>
        <v>1.1958691136012261</v>
      </c>
      <c r="R7" s="9">
        <f t="shared" si="4"/>
        <v>0.33648011623936658</v>
      </c>
      <c r="T7" s="9">
        <f t="shared" si="9"/>
        <v>1.2928707296365667</v>
      </c>
      <c r="U7" s="9">
        <f t="shared" si="5"/>
        <v>0.40256663455771302</v>
      </c>
    </row>
    <row r="8" spans="1:21" x14ac:dyDescent="0.25">
      <c r="A8" t="s">
        <v>186</v>
      </c>
      <c r="C8">
        <v>6</v>
      </c>
      <c r="D8" t="s">
        <v>201</v>
      </c>
      <c r="E8">
        <f>40089+2059+467+12293+20775+57309</f>
        <v>132992</v>
      </c>
      <c r="F8">
        <f>3495+2264+43+173+46+93+1537+39+83+260+1346+494+5047+3221+756+1169+675+6418+839</f>
        <v>27998</v>
      </c>
      <c r="G8">
        <f>3162+1046+5+5+184+72+74+1528+19+2+267+91+1146+183+6+3069+267+1063+1993+4968+2935</f>
        <v>22085</v>
      </c>
      <c r="I8" s="9">
        <f t="shared" si="6"/>
        <v>27.430476060829193</v>
      </c>
      <c r="J8" s="9">
        <f t="shared" si="0"/>
        <v>15.70688852361531</v>
      </c>
      <c r="K8" s="9">
        <f t="shared" si="1"/>
        <v>22.465795229133818</v>
      </c>
      <c r="M8" s="9">
        <f t="shared" si="7"/>
        <v>34.772423025435074</v>
      </c>
      <c r="N8" s="9">
        <f t="shared" si="2"/>
        <v>21.525994495102488</v>
      </c>
      <c r="O8" s="9">
        <f t="shared" si="3"/>
        <v>34.072325588571076</v>
      </c>
      <c r="Q8" s="9">
        <f t="shared" si="8"/>
        <v>0.57260721574004314</v>
      </c>
      <c r="R8" s="9">
        <f t="shared" si="4"/>
        <v>0.81900857933760196</v>
      </c>
      <c r="T8" s="9">
        <f t="shared" si="9"/>
        <v>0.61905362417099352</v>
      </c>
      <c r="U8" s="9">
        <f t="shared" si="5"/>
        <v>0.97986630277815567</v>
      </c>
    </row>
    <row r="9" spans="1:21" x14ac:dyDescent="0.25">
      <c r="A9" t="s">
        <v>186</v>
      </c>
      <c r="C9">
        <v>7</v>
      </c>
      <c r="D9" t="s">
        <v>202</v>
      </c>
      <c r="E9">
        <f>111+52</f>
        <v>163</v>
      </c>
      <c r="F9">
        <v>0</v>
      </c>
      <c r="G9">
        <f>20+70</f>
        <v>90</v>
      </c>
      <c r="I9" s="9">
        <f t="shared" si="6"/>
        <v>3.3619823733120474E-2</v>
      </c>
      <c r="J9" s="9">
        <f t="shared" si="0"/>
        <v>0</v>
      </c>
      <c r="K9" s="9">
        <f t="shared" si="1"/>
        <v>9.1551803061899195E-2</v>
      </c>
      <c r="M9" s="9">
        <f t="shared" si="7"/>
        <v>4.2618390227576977E-2</v>
      </c>
      <c r="N9" s="9">
        <f t="shared" si="2"/>
        <v>0</v>
      </c>
      <c r="O9" s="9">
        <f t="shared" si="3"/>
        <v>0.13885031935573452</v>
      </c>
      <c r="Q9" s="9">
        <f t="shared" si="8"/>
        <v>0</v>
      </c>
      <c r="R9" s="9">
        <f t="shared" si="4"/>
        <v>2.72314940698833</v>
      </c>
      <c r="T9" s="9">
        <f t="shared" si="9"/>
        <v>0</v>
      </c>
      <c r="U9" s="9">
        <f t="shared" si="5"/>
        <v>3.2579907081025552</v>
      </c>
    </row>
    <row r="10" spans="1:21" x14ac:dyDescent="0.25">
      <c r="A10" t="s">
        <v>186</v>
      </c>
      <c r="C10">
        <v>8</v>
      </c>
      <c r="D10" t="s">
        <v>203</v>
      </c>
      <c r="E10">
        <f>341</f>
        <v>341</v>
      </c>
      <c r="F10">
        <f>10+36+74+72</f>
        <v>192</v>
      </c>
      <c r="G10">
        <f>80</f>
        <v>80</v>
      </c>
      <c r="I10" s="9">
        <f t="shared" si="6"/>
        <v>7.0333496276037313E-2</v>
      </c>
      <c r="J10" s="9">
        <f t="shared" si="0"/>
        <v>0.10771207216708835</v>
      </c>
      <c r="K10" s="9">
        <f t="shared" si="1"/>
        <v>8.1379380499465942E-2</v>
      </c>
      <c r="M10" s="9">
        <f t="shared" si="7"/>
        <v>8.9158718206157964E-2</v>
      </c>
      <c r="N10" s="9">
        <f t="shared" si="2"/>
        <v>0.1476173634923808</v>
      </c>
      <c r="O10" s="9">
        <f t="shared" si="3"/>
        <v>0.12342250609398624</v>
      </c>
      <c r="Q10" s="9">
        <f t="shared" si="8"/>
        <v>1.5314477151022272</v>
      </c>
      <c r="R10" s="9">
        <f t="shared" si="4"/>
        <v>1.1570501227477294</v>
      </c>
      <c r="T10" s="9">
        <f t="shared" si="9"/>
        <v>1.6556694226026374</v>
      </c>
      <c r="U10" s="9">
        <f t="shared" si="5"/>
        <v>1.3843010372648197</v>
      </c>
    </row>
    <row r="11" spans="1:21" x14ac:dyDescent="0.25">
      <c r="A11" t="s">
        <v>186</v>
      </c>
      <c r="D11" t="s">
        <v>242</v>
      </c>
      <c r="E11">
        <v>52235</v>
      </c>
      <c r="F11">
        <f>36+838+32+207+959+779+184+1160+103+403+1627+191+49+3339+956</f>
        <v>10863</v>
      </c>
      <c r="G11">
        <f>63+12+3029+567+83+52+1421+612+1181+560+214+34+123+2100+224+187+601+36+492+7+2056</f>
        <v>13654</v>
      </c>
      <c r="I11" s="9">
        <f t="shared" si="6"/>
        <v>10.773812838647535</v>
      </c>
      <c r="J11" s="9">
        <f t="shared" si="0"/>
        <v>6.0941470830785454</v>
      </c>
      <c r="K11" s="9">
        <f t="shared" si="1"/>
        <v>13.889425766746351</v>
      </c>
      <c r="M11" s="9"/>
      <c r="N11" s="9"/>
      <c r="O11" s="9"/>
      <c r="Q11" s="9">
        <f t="shared" si="8"/>
        <v>0.5656444171016024</v>
      </c>
      <c r="R11" s="9">
        <f t="shared" si="4"/>
        <v>1.2891838734122587</v>
      </c>
      <c r="T11" s="9" t="str">
        <f t="shared" si="9"/>
        <v/>
      </c>
      <c r="U11" s="9" t="str">
        <f t="shared" si="5"/>
        <v/>
      </c>
    </row>
    <row r="12" spans="1:21" x14ac:dyDescent="0.25">
      <c r="A12" t="s">
        <v>187</v>
      </c>
      <c r="B12" t="s">
        <v>232</v>
      </c>
      <c r="C12">
        <v>9</v>
      </c>
      <c r="D12" t="s">
        <v>204</v>
      </c>
      <c r="E12">
        <v>3711</v>
      </c>
      <c r="F12">
        <v>47</v>
      </c>
      <c r="G12">
        <v>33</v>
      </c>
      <c r="I12" s="9">
        <f t="shared" si="6"/>
        <v>0.76541819554362023</v>
      </c>
      <c r="J12" s="9">
        <f t="shared" si="0"/>
        <v>2.6367017665901837E-2</v>
      </c>
      <c r="K12" s="9">
        <f t="shared" si="1"/>
        <v>3.3568994456029705E-2</v>
      </c>
      <c r="M12" s="9">
        <f t="shared" si="7"/>
        <v>0.97028739959839361</v>
      </c>
      <c r="N12" s="9">
        <f t="shared" si="2"/>
        <v>3.613550043823905E-2</v>
      </c>
      <c r="O12" s="9">
        <f t="shared" si="3"/>
        <v>5.0911783763769321E-2</v>
      </c>
      <c r="Q12" s="9">
        <f t="shared" si="8"/>
        <v>3.4447858464058699E-2</v>
      </c>
      <c r="R12" s="9">
        <f t="shared" si="4"/>
        <v>4.3857063565346938E-2</v>
      </c>
      <c r="T12" s="9">
        <f t="shared" si="9"/>
        <v>3.724205885101229E-2</v>
      </c>
      <c r="U12" s="9">
        <f t="shared" si="5"/>
        <v>5.2470828524457745E-2</v>
      </c>
    </row>
    <row r="13" spans="1:21" x14ac:dyDescent="0.25">
      <c r="A13" t="s">
        <v>187</v>
      </c>
      <c r="C13">
        <v>10</v>
      </c>
      <c r="D13" t="s">
        <v>233</v>
      </c>
      <c r="E13">
        <f>5096+45468</f>
        <v>50564</v>
      </c>
      <c r="F13">
        <f>204+365+130+58+6202+333+62</f>
        <v>7354</v>
      </c>
      <c r="G13">
        <f>6+67+172+23+3726+43+156+19</f>
        <v>4212</v>
      </c>
      <c r="I13" s="9">
        <f t="shared" si="6"/>
        <v>10.429158081236219</v>
      </c>
      <c r="J13" s="9">
        <f t="shared" si="0"/>
        <v>4.1255967641498321</v>
      </c>
      <c r="K13" s="9">
        <f t="shared" si="1"/>
        <v>4.2846243832968822</v>
      </c>
      <c r="M13" s="9">
        <f t="shared" si="7"/>
        <v>13.220590696117805</v>
      </c>
      <c r="N13" s="9">
        <f t="shared" si="2"/>
        <v>5.6540525579321264</v>
      </c>
      <c r="O13" s="9">
        <f t="shared" si="3"/>
        <v>6.4981949458483754</v>
      </c>
      <c r="Q13" s="9">
        <f t="shared" si="8"/>
        <v>0.39558291589926742</v>
      </c>
      <c r="R13" s="9">
        <f t="shared" si="4"/>
        <v>0.41083128186594758</v>
      </c>
      <c r="T13" s="9">
        <f t="shared" si="9"/>
        <v>0.42767019174055704</v>
      </c>
      <c r="U13" s="9">
        <f t="shared" si="5"/>
        <v>0.49152077204512162</v>
      </c>
    </row>
    <row r="14" spans="1:21" x14ac:dyDescent="0.25">
      <c r="A14" t="s">
        <v>187</v>
      </c>
      <c r="C14">
        <v>11</v>
      </c>
      <c r="D14" t="s">
        <v>234</v>
      </c>
      <c r="E14">
        <f>2449</f>
        <v>2449</v>
      </c>
      <c r="F14">
        <f>164+45</f>
        <v>209</v>
      </c>
      <c r="G14">
        <f>329+7</f>
        <v>336</v>
      </c>
      <c r="I14" s="9">
        <f t="shared" si="6"/>
        <v>0.5051223823460862</v>
      </c>
      <c r="J14" s="9">
        <f t="shared" si="0"/>
        <v>0.11724907855688263</v>
      </c>
      <c r="K14" s="9">
        <f t="shared" si="1"/>
        <v>0.341793398097757</v>
      </c>
      <c r="M14" s="9">
        <f t="shared" si="7"/>
        <v>0.64032170348058903</v>
      </c>
      <c r="N14" s="9">
        <f t="shared" si="2"/>
        <v>0.16068765088493533</v>
      </c>
      <c r="O14" s="9">
        <f t="shared" si="3"/>
        <v>0.51837452559474217</v>
      </c>
      <c r="Q14" s="9">
        <f t="shared" si="8"/>
        <v>0.23212014089003297</v>
      </c>
      <c r="R14" s="9">
        <f t="shared" si="4"/>
        <v>0.67665462874614046</v>
      </c>
      <c r="T14" s="9">
        <f t="shared" si="9"/>
        <v>0.25094831240529158</v>
      </c>
      <c r="U14" s="9">
        <f t="shared" si="5"/>
        <v>0.80955326483081858</v>
      </c>
    </row>
    <row r="15" spans="1:21" x14ac:dyDescent="0.25">
      <c r="A15" t="s">
        <v>187</v>
      </c>
      <c r="D15" t="s">
        <v>242</v>
      </c>
      <c r="E15">
        <v>1806</v>
      </c>
      <c r="F15">
        <f>279+349+21</f>
        <v>649</v>
      </c>
      <c r="G15">
        <f>172+131+23+1</f>
        <v>327</v>
      </c>
      <c r="I15" s="9">
        <f t="shared" si="6"/>
        <v>0.37249939669948207</v>
      </c>
      <c r="J15" s="9">
        <f t="shared" si="0"/>
        <v>0.36408924393979342</v>
      </c>
      <c r="K15" s="9">
        <f t="shared" si="1"/>
        <v>0.33263821779156705</v>
      </c>
      <c r="M15" s="9"/>
      <c r="N15" s="9"/>
      <c r="O15" s="9"/>
      <c r="Q15" s="9">
        <f t="shared" si="8"/>
        <v>0.97742237213212557</v>
      </c>
      <c r="R15" s="9">
        <f t="shared" si="4"/>
        <v>0.89298995042380314</v>
      </c>
      <c r="T15" s="9" t="str">
        <f t="shared" si="9"/>
        <v/>
      </c>
      <c r="U15" s="9" t="str">
        <f t="shared" si="5"/>
        <v/>
      </c>
    </row>
    <row r="16" spans="1:21" x14ac:dyDescent="0.25">
      <c r="A16" t="s">
        <v>188</v>
      </c>
      <c r="B16" t="s">
        <v>235</v>
      </c>
      <c r="C16">
        <v>12</v>
      </c>
      <c r="D16" t="s">
        <v>205</v>
      </c>
      <c r="E16">
        <f>28</f>
        <v>28</v>
      </c>
      <c r="F16">
        <v>3115</v>
      </c>
      <c r="G16" s="8">
        <v>269</v>
      </c>
      <c r="I16" s="9">
        <f t="shared" si="6"/>
        <v>5.7751844449532106E-3</v>
      </c>
      <c r="J16" s="9">
        <f t="shared" si="0"/>
        <v>1.7475161708358344</v>
      </c>
      <c r="K16" s="9">
        <f t="shared" si="1"/>
        <v>0.27363816692945425</v>
      </c>
      <c r="M16" s="9">
        <f t="shared" si="7"/>
        <v>7.3209504685408299E-3</v>
      </c>
      <c r="N16" s="9">
        <f t="shared" si="2"/>
        <v>2.3949379545769069</v>
      </c>
      <c r="O16" s="9">
        <f t="shared" si="3"/>
        <v>0.41500817674102874</v>
      </c>
      <c r="Q16" s="9">
        <f t="shared" si="8"/>
        <v>302.59053844816077</v>
      </c>
      <c r="R16" s="9">
        <f t="shared" si="4"/>
        <v>47.381719066752893</v>
      </c>
      <c r="T16" s="9">
        <f t="shared" si="9"/>
        <v>327.13483923546505</v>
      </c>
      <c r="U16" s="9">
        <f t="shared" si="5"/>
        <v>56.687745467528863</v>
      </c>
    </row>
    <row r="17" spans="1:21" x14ac:dyDescent="0.25">
      <c r="A17" t="s">
        <v>188</v>
      </c>
      <c r="C17">
        <v>13</v>
      </c>
      <c r="D17" t="s">
        <v>206</v>
      </c>
      <c r="E17">
        <f>410+5+80+20603+6411+2584+2130+689</f>
        <v>32912</v>
      </c>
      <c r="F17">
        <f>33+674+962+3579+45+71+9+115+334</f>
        <v>5822</v>
      </c>
      <c r="G17">
        <f>5+301+321+2853+18+33+3+132+434</f>
        <v>4100</v>
      </c>
      <c r="I17" s="9">
        <f t="shared" si="6"/>
        <v>6.7883168018678592</v>
      </c>
      <c r="J17" s="9">
        <f t="shared" si="0"/>
        <v>3.266144188316606</v>
      </c>
      <c r="K17" s="9">
        <f t="shared" si="1"/>
        <v>4.1706932505976297</v>
      </c>
      <c r="M17" s="9">
        <f t="shared" si="7"/>
        <v>8.6052543507362778</v>
      </c>
      <c r="N17" s="9">
        <f t="shared" si="2"/>
        <v>4.4761890117325054</v>
      </c>
      <c r="O17" s="9">
        <f t="shared" si="3"/>
        <v>6.3254034373167949</v>
      </c>
      <c r="Q17" s="9">
        <f t="shared" si="8"/>
        <v>0.48114198020603582</v>
      </c>
      <c r="R17" s="9">
        <f t="shared" si="4"/>
        <v>0.6143928417498179</v>
      </c>
      <c r="T17" s="9">
        <f t="shared" si="9"/>
        <v>0.52016928603040258</v>
      </c>
      <c r="U17" s="9">
        <f t="shared" si="5"/>
        <v>0.73506292545270135</v>
      </c>
    </row>
    <row r="18" spans="1:21" x14ac:dyDescent="0.25">
      <c r="A18" t="s">
        <v>188</v>
      </c>
      <c r="C18">
        <v>14</v>
      </c>
      <c r="D18" t="s">
        <v>207</v>
      </c>
      <c r="E18">
        <v>2106</v>
      </c>
      <c r="F18">
        <f>148+664+77+129+121+31+178</f>
        <v>1348</v>
      </c>
      <c r="G18">
        <f>5+576+93+56+44+33+29</f>
        <v>836</v>
      </c>
      <c r="I18" s="9">
        <f t="shared" si="6"/>
        <v>0.43437637289540937</v>
      </c>
      <c r="J18" s="9">
        <f t="shared" si="0"/>
        <v>0.75622850667309949</v>
      </c>
      <c r="K18" s="9">
        <f t="shared" si="1"/>
        <v>0.85041452621941915</v>
      </c>
      <c r="M18" s="9">
        <f t="shared" si="7"/>
        <v>0.5506400602409639</v>
      </c>
      <c r="N18" s="9">
        <f t="shared" si="2"/>
        <v>1.03639690618609</v>
      </c>
      <c r="O18" s="9">
        <f t="shared" si="3"/>
        <v>1.2897651886821562</v>
      </c>
      <c r="Q18" s="9">
        <f t="shared" si="8"/>
        <v>1.7409522107114854</v>
      </c>
      <c r="R18" s="9">
        <f t="shared" si="4"/>
        <v>1.9577826495277286</v>
      </c>
      <c r="T18" s="9">
        <f t="shared" si="9"/>
        <v>1.8821676463796615</v>
      </c>
      <c r="U18" s="9">
        <f t="shared" si="5"/>
        <v>2.342301771719526</v>
      </c>
    </row>
    <row r="19" spans="1:21" x14ac:dyDescent="0.25">
      <c r="A19" t="s">
        <v>188</v>
      </c>
      <c r="C19">
        <v>15</v>
      </c>
      <c r="D19" t="s">
        <v>208</v>
      </c>
      <c r="E19">
        <v>1339</v>
      </c>
      <c r="F19">
        <f>393+27</f>
        <v>420</v>
      </c>
      <c r="G19">
        <f>265+23+6</f>
        <v>294</v>
      </c>
      <c r="I19" s="9">
        <f t="shared" si="6"/>
        <v>0.27617757042115532</v>
      </c>
      <c r="J19" s="9">
        <f t="shared" si="0"/>
        <v>0.23562015786550577</v>
      </c>
      <c r="K19" s="9">
        <f t="shared" si="1"/>
        <v>0.29906922333553737</v>
      </c>
      <c r="M19" s="9">
        <f t="shared" si="7"/>
        <v>0.35009830990629182</v>
      </c>
      <c r="N19" s="9">
        <f t="shared" si="2"/>
        <v>0.32291298263958296</v>
      </c>
      <c r="O19" s="9">
        <f t="shared" si="3"/>
        <v>0.45357770989539942</v>
      </c>
      <c r="Q19" s="9">
        <f t="shared" si="8"/>
        <v>0.85314733381931862</v>
      </c>
      <c r="R19" s="9">
        <f t="shared" si="4"/>
        <v>1.082887444043604</v>
      </c>
      <c r="T19" s="9">
        <f t="shared" si="9"/>
        <v>0.92234944729100421</v>
      </c>
      <c r="U19" s="9">
        <f t="shared" si="5"/>
        <v>1.2955724065529055</v>
      </c>
    </row>
    <row r="20" spans="1:21" x14ac:dyDescent="0.25">
      <c r="A20" t="s">
        <v>188</v>
      </c>
      <c r="C20">
        <v>16</v>
      </c>
      <c r="D20" t="s">
        <v>209</v>
      </c>
      <c r="E20">
        <f>332</f>
        <v>332</v>
      </c>
      <c r="F20">
        <f>78</f>
        <v>78</v>
      </c>
      <c r="G20">
        <f>61+41</f>
        <v>102</v>
      </c>
      <c r="I20" s="9">
        <f t="shared" si="6"/>
        <v>6.8477186990159492E-2</v>
      </c>
      <c r="J20" s="9">
        <f t="shared" si="0"/>
        <v>4.3758029317879643E-2</v>
      </c>
      <c r="K20" s="9">
        <f t="shared" si="1"/>
        <v>0.10375871013681909</v>
      </c>
      <c r="M20" s="9">
        <f t="shared" si="7"/>
        <v>8.6805555555555552E-2</v>
      </c>
      <c r="N20" s="9">
        <f t="shared" si="2"/>
        <v>5.9969553918779693E-2</v>
      </c>
      <c r="O20" s="9">
        <f t="shared" si="3"/>
        <v>0.15736369526983246</v>
      </c>
      <c r="Q20" s="9">
        <f t="shared" si="8"/>
        <v>0.63901616350227541</v>
      </c>
      <c r="R20" s="9">
        <f t="shared" si="4"/>
        <v>1.5152303226435064</v>
      </c>
      <c r="T20" s="9">
        <f t="shared" si="9"/>
        <v>0.69084926114434209</v>
      </c>
      <c r="U20" s="9">
        <f t="shared" si="5"/>
        <v>1.8128297695084701</v>
      </c>
    </row>
    <row r="21" spans="1:21" x14ac:dyDescent="0.25">
      <c r="A21" t="s">
        <v>188</v>
      </c>
      <c r="D21" t="s">
        <v>242</v>
      </c>
      <c r="E21">
        <v>1462</v>
      </c>
      <c r="F21">
        <v>563</v>
      </c>
      <c r="G21">
        <f>2+365</f>
        <v>367</v>
      </c>
      <c r="I21" s="9">
        <f t="shared" si="6"/>
        <v>0.30154713066148547</v>
      </c>
      <c r="J21" s="9">
        <f t="shared" si="0"/>
        <v>0.31584321161495177</v>
      </c>
      <c r="K21" s="9">
        <f t="shared" si="1"/>
        <v>0.37332790804130006</v>
      </c>
      <c r="M21" s="9"/>
      <c r="N21" s="9"/>
      <c r="O21" s="9"/>
      <c r="Q21" s="9">
        <f t="shared" si="8"/>
        <v>1.047409109554801</v>
      </c>
      <c r="R21" s="9">
        <f t="shared" si="4"/>
        <v>1.2380416528001892</v>
      </c>
      <c r="T21" s="9" t="str">
        <f t="shared" si="9"/>
        <v/>
      </c>
      <c r="U21" s="9" t="str">
        <f t="shared" si="5"/>
        <v/>
      </c>
    </row>
    <row r="22" spans="1:21" x14ac:dyDescent="0.25">
      <c r="A22" t="s">
        <v>189</v>
      </c>
      <c r="B22" t="s">
        <v>236</v>
      </c>
      <c r="C22">
        <v>17</v>
      </c>
      <c r="D22" t="s">
        <v>210</v>
      </c>
      <c r="E22">
        <v>16</v>
      </c>
      <c r="F22">
        <v>0</v>
      </c>
      <c r="G22">
        <v>16</v>
      </c>
      <c r="I22" s="9">
        <f t="shared" si="6"/>
        <v>3.3001053971161206E-3</v>
      </c>
      <c r="J22" s="9">
        <f t="shared" si="0"/>
        <v>0</v>
      </c>
      <c r="K22" s="9">
        <f t="shared" si="1"/>
        <v>1.6275876099893189E-2</v>
      </c>
      <c r="M22" s="9">
        <f t="shared" si="7"/>
        <v>4.1834002677376171E-3</v>
      </c>
      <c r="N22" s="9">
        <f t="shared" si="2"/>
        <v>0</v>
      </c>
      <c r="O22" s="9">
        <f t="shared" si="3"/>
        <v>2.4684501218797249E-2</v>
      </c>
      <c r="Q22" s="9">
        <f t="shared" si="8"/>
        <v>0</v>
      </c>
      <c r="R22" s="9">
        <f t="shared" si="4"/>
        <v>4.9319261482121961</v>
      </c>
      <c r="T22" s="9">
        <f t="shared" si="9"/>
        <v>0</v>
      </c>
      <c r="U22" s="9">
        <f t="shared" si="5"/>
        <v>5.9005831713412942</v>
      </c>
    </row>
    <row r="23" spans="1:21" x14ac:dyDescent="0.25">
      <c r="A23" t="s">
        <v>189</v>
      </c>
      <c r="C23">
        <v>18</v>
      </c>
      <c r="D23" t="s">
        <v>211</v>
      </c>
      <c r="E23">
        <v>2097</v>
      </c>
      <c r="F23">
        <f>39+171</f>
        <v>210</v>
      </c>
      <c r="G23">
        <f>20+135</f>
        <v>155</v>
      </c>
      <c r="I23" s="9">
        <f t="shared" si="6"/>
        <v>0.43252006360953155</v>
      </c>
      <c r="J23" s="9">
        <f t="shared" si="0"/>
        <v>0.11781007893275289</v>
      </c>
      <c r="K23" s="9">
        <f t="shared" si="1"/>
        <v>0.15767254971771527</v>
      </c>
      <c r="M23" s="9">
        <f t="shared" si="7"/>
        <v>0.54828689759036142</v>
      </c>
      <c r="N23" s="9">
        <f t="shared" si="2"/>
        <v>0.16145649131979148</v>
      </c>
      <c r="O23" s="9">
        <f t="shared" si="3"/>
        <v>0.23913110555709835</v>
      </c>
      <c r="Q23" s="9">
        <f t="shared" si="8"/>
        <v>0.27238061039200467</v>
      </c>
      <c r="R23" s="9">
        <f t="shared" si="4"/>
        <v>0.3645438974596521</v>
      </c>
      <c r="T23" s="9">
        <f t="shared" si="9"/>
        <v>0.29447446588523002</v>
      </c>
      <c r="U23" s="9">
        <f t="shared" si="5"/>
        <v>0.43614229449589925</v>
      </c>
    </row>
    <row r="24" spans="1:21" x14ac:dyDescent="0.25">
      <c r="A24" t="s">
        <v>189</v>
      </c>
      <c r="C24">
        <v>19</v>
      </c>
      <c r="D24" t="s">
        <v>212</v>
      </c>
      <c r="E24">
        <v>755</v>
      </c>
      <c r="F24">
        <v>155</v>
      </c>
      <c r="G24">
        <v>25</v>
      </c>
      <c r="I24" s="9">
        <f t="shared" si="6"/>
        <v>0.15572372342641694</v>
      </c>
      <c r="J24" s="9">
        <f t="shared" si="0"/>
        <v>8.6955058259889029E-2</v>
      </c>
      <c r="K24" s="9">
        <f t="shared" si="1"/>
        <v>2.5431056406083109E-2</v>
      </c>
      <c r="M24" s="9">
        <f t="shared" si="7"/>
        <v>0.19740420013386881</v>
      </c>
      <c r="N24" s="9">
        <f t="shared" si="2"/>
        <v>0.11917026740270324</v>
      </c>
      <c r="O24" s="9">
        <f t="shared" si="3"/>
        <v>3.85695331543707E-2</v>
      </c>
      <c r="Q24" s="9">
        <f t="shared" si="8"/>
        <v>0.55839313591148043</v>
      </c>
      <c r="R24" s="9">
        <f t="shared" si="4"/>
        <v>0.1633088128547085</v>
      </c>
      <c r="T24" s="9">
        <f t="shared" si="9"/>
        <v>0.6036865847934767</v>
      </c>
      <c r="U24" s="9">
        <f t="shared" si="5"/>
        <v>0.1953835487199104</v>
      </c>
    </row>
    <row r="25" spans="1:21" x14ac:dyDescent="0.25">
      <c r="A25" t="s">
        <v>189</v>
      </c>
      <c r="C25">
        <v>20</v>
      </c>
      <c r="D25" t="s">
        <v>213</v>
      </c>
      <c r="E25">
        <f>87+145</f>
        <v>232</v>
      </c>
      <c r="F25">
        <v>131</v>
      </c>
      <c r="G25">
        <v>0</v>
      </c>
      <c r="I25" s="9">
        <f t="shared" si="6"/>
        <v>4.7851528258183743E-2</v>
      </c>
      <c r="J25" s="9">
        <f t="shared" si="0"/>
        <v>7.3491049239002987E-2</v>
      </c>
      <c r="K25" s="9">
        <f t="shared" si="1"/>
        <v>0</v>
      </c>
      <c r="M25" s="9">
        <f t="shared" si="7"/>
        <v>6.0659303882195446E-2</v>
      </c>
      <c r="N25" s="9">
        <f t="shared" si="2"/>
        <v>0.10071809696615565</v>
      </c>
      <c r="O25" s="9">
        <f t="shared" si="3"/>
        <v>0</v>
      </c>
      <c r="Q25" s="9">
        <f t="shared" si="8"/>
        <v>1.5358140463661007</v>
      </c>
      <c r="R25" s="9">
        <f t="shared" si="4"/>
        <v>0</v>
      </c>
      <c r="T25" s="9">
        <f t="shared" si="9"/>
        <v>1.6603899240544722</v>
      </c>
      <c r="U25" s="9">
        <f t="shared" si="5"/>
        <v>0</v>
      </c>
    </row>
    <row r="26" spans="1:21" x14ac:dyDescent="0.25">
      <c r="A26" t="s">
        <v>189</v>
      </c>
      <c r="C26">
        <v>21</v>
      </c>
      <c r="D26" t="s">
        <v>214</v>
      </c>
      <c r="E26">
        <v>88</v>
      </c>
      <c r="F26">
        <v>0</v>
      </c>
      <c r="G26">
        <v>53</v>
      </c>
      <c r="I26" s="9">
        <f t="shared" si="6"/>
        <v>1.8150579684138662E-2</v>
      </c>
      <c r="J26" s="9">
        <f t="shared" si="0"/>
        <v>0</v>
      </c>
      <c r="K26" s="9">
        <f t="shared" si="1"/>
        <v>5.391383958089619E-2</v>
      </c>
      <c r="M26" s="9">
        <f t="shared" si="7"/>
        <v>2.3008701472556896E-2</v>
      </c>
      <c r="N26" s="9">
        <f t="shared" si="2"/>
        <v>0</v>
      </c>
      <c r="O26" s="9">
        <f t="shared" si="3"/>
        <v>8.1767410287265876E-2</v>
      </c>
      <c r="Q26" s="9">
        <f t="shared" si="8"/>
        <v>0</v>
      </c>
      <c r="R26" s="9">
        <f t="shared" si="4"/>
        <v>2.9703646119914366</v>
      </c>
      <c r="T26" s="9">
        <f t="shared" si="9"/>
        <v>0</v>
      </c>
      <c r="U26" s="9">
        <f t="shared" si="5"/>
        <v>3.5537603191032789</v>
      </c>
    </row>
    <row r="27" spans="1:21" x14ac:dyDescent="0.25">
      <c r="A27" t="s">
        <v>189</v>
      </c>
      <c r="C27">
        <v>22</v>
      </c>
      <c r="D27" t="s">
        <v>215</v>
      </c>
      <c r="E27">
        <v>419</v>
      </c>
      <c r="F27">
        <f>2652+187</f>
        <v>2839</v>
      </c>
      <c r="G27">
        <f>470+48</f>
        <v>518</v>
      </c>
      <c r="I27" s="9">
        <f t="shared" si="6"/>
        <v>8.6421510086978404E-2</v>
      </c>
      <c r="J27" s="9">
        <f t="shared" si="0"/>
        <v>1.5926800670956449</v>
      </c>
      <c r="K27" s="9">
        <f t="shared" si="1"/>
        <v>0.52693148873404205</v>
      </c>
      <c r="M27" s="9">
        <f t="shared" si="7"/>
        <v>0.10955279451137885</v>
      </c>
      <c r="N27" s="9">
        <f t="shared" si="2"/>
        <v>2.1827379945566099</v>
      </c>
      <c r="O27" s="9">
        <f t="shared" si="3"/>
        <v>0.79916072695856089</v>
      </c>
      <c r="Q27" s="9">
        <f t="shared" si="8"/>
        <v>18.429208949169041</v>
      </c>
      <c r="R27" s="9">
        <f t="shared" si="4"/>
        <v>6.0972261211788021</v>
      </c>
      <c r="T27" s="9">
        <f t="shared" si="9"/>
        <v>19.924074089501175</v>
      </c>
      <c r="U27" s="9">
        <f t="shared" si="5"/>
        <v>7.2947543741164447</v>
      </c>
    </row>
    <row r="28" spans="1:21" x14ac:dyDescent="0.25">
      <c r="A28" t="s">
        <v>189</v>
      </c>
      <c r="C28">
        <v>23</v>
      </c>
      <c r="D28" t="s">
        <v>216</v>
      </c>
      <c r="E28">
        <f>8200</f>
        <v>8200</v>
      </c>
      <c r="F28">
        <f>278</f>
        <v>278</v>
      </c>
      <c r="G28">
        <f>1+88</f>
        <v>89</v>
      </c>
      <c r="I28" s="9">
        <f t="shared" si="6"/>
        <v>1.6913040160220116</v>
      </c>
      <c r="J28" s="9">
        <f t="shared" si="0"/>
        <v>0.15595810449193001</v>
      </c>
      <c r="K28" s="9">
        <f t="shared" si="1"/>
        <v>9.0534560805655862E-2</v>
      </c>
      <c r="M28" s="9">
        <f t="shared" si="7"/>
        <v>2.1439926372155287</v>
      </c>
      <c r="N28" s="9">
        <f t="shared" si="2"/>
        <v>0.21373764089000968</v>
      </c>
      <c r="O28" s="9">
        <f t="shared" si="3"/>
        <v>0.13730753802955969</v>
      </c>
      <c r="Q28" s="9">
        <f t="shared" si="8"/>
        <v>9.2211750823336477E-2</v>
      </c>
      <c r="R28" s="9">
        <f t="shared" si="4"/>
        <v>5.3529442340351889E-2</v>
      </c>
      <c r="T28" s="9">
        <f t="shared" si="9"/>
        <v>9.9691406201654467E-2</v>
      </c>
      <c r="U28" s="9">
        <f t="shared" si="5"/>
        <v>6.4042914908460397E-2</v>
      </c>
    </row>
    <row r="29" spans="1:21" x14ac:dyDescent="0.25">
      <c r="A29" t="s">
        <v>189</v>
      </c>
      <c r="D29" t="s">
        <v>242</v>
      </c>
      <c r="E29">
        <v>165</v>
      </c>
      <c r="F29">
        <v>221</v>
      </c>
      <c r="G29">
        <v>11</v>
      </c>
      <c r="I29" s="9">
        <f t="shared" si="6"/>
        <v>3.4032336907759989E-2</v>
      </c>
      <c r="J29" s="9">
        <f t="shared" si="0"/>
        <v>0.12398108306732565</v>
      </c>
      <c r="K29" s="9">
        <f t="shared" si="1"/>
        <v>1.1189664818676568E-2</v>
      </c>
      <c r="M29" s="9"/>
      <c r="N29" s="9"/>
      <c r="O29" s="9"/>
      <c r="Q29" s="9">
        <f t="shared" si="8"/>
        <v>3.6430376028351943</v>
      </c>
      <c r="R29" s="9">
        <f t="shared" si="4"/>
        <v>0.3287950765474798</v>
      </c>
      <c r="T29" s="9" t="str">
        <f t="shared" si="9"/>
        <v/>
      </c>
      <c r="U29" s="9" t="str">
        <f t="shared" si="5"/>
        <v/>
      </c>
    </row>
    <row r="30" spans="1:21" x14ac:dyDescent="0.25">
      <c r="A30" t="s">
        <v>190</v>
      </c>
      <c r="B30" t="s">
        <v>237</v>
      </c>
      <c r="C30">
        <v>24</v>
      </c>
      <c r="D30" t="s">
        <v>217</v>
      </c>
      <c r="E30">
        <v>1165</v>
      </c>
      <c r="F30" s="8">
        <v>68</v>
      </c>
      <c r="G30">
        <v>18</v>
      </c>
      <c r="I30" s="9">
        <f t="shared" si="6"/>
        <v>0.24028892422751752</v>
      </c>
      <c r="J30" s="9">
        <f t="shared" si="0"/>
        <v>3.8148025559177123E-2</v>
      </c>
      <c r="K30" s="9">
        <f t="shared" si="1"/>
        <v>1.8310360612379839E-2</v>
      </c>
      <c r="M30" s="9">
        <f t="shared" si="7"/>
        <v>0.30460383199464525</v>
      </c>
      <c r="N30" s="9">
        <f t="shared" si="2"/>
        <v>5.2281149570218198E-2</v>
      </c>
      <c r="O30" s="9">
        <f t="shared" si="3"/>
        <v>2.7770063871146902E-2</v>
      </c>
      <c r="Q30" s="9">
        <f t="shared" si="8"/>
        <v>0.15875898434276842</v>
      </c>
      <c r="R30" s="9">
        <f t="shared" si="4"/>
        <v>7.6201434049630506E-2</v>
      </c>
      <c r="T30" s="9">
        <f t="shared" si="9"/>
        <v>0.17163654583024834</v>
      </c>
      <c r="U30" s="9">
        <f t="shared" si="5"/>
        <v>9.116780865591699E-2</v>
      </c>
    </row>
    <row r="31" spans="1:21" x14ac:dyDescent="0.25">
      <c r="A31" t="s">
        <v>190</v>
      </c>
      <c r="C31">
        <v>25</v>
      </c>
      <c r="D31" t="s">
        <v>218</v>
      </c>
      <c r="E31">
        <f>350+725</f>
        <v>1075</v>
      </c>
      <c r="F31">
        <f>2164+14892+167</f>
        <v>17223</v>
      </c>
      <c r="G31">
        <f>66+1608+15</f>
        <v>1689</v>
      </c>
      <c r="I31" s="9">
        <f t="shared" si="6"/>
        <v>0.22172583136873933</v>
      </c>
      <c r="J31" s="9">
        <f t="shared" si="0"/>
        <v>9.6621094736133468</v>
      </c>
      <c r="K31" s="9">
        <f t="shared" si="1"/>
        <v>1.7181221707949748</v>
      </c>
      <c r="M31" s="9">
        <f t="shared" si="7"/>
        <v>0.28107220548862116</v>
      </c>
      <c r="N31" s="9">
        <f t="shared" si="2"/>
        <v>13.241738809527471</v>
      </c>
      <c r="O31" s="9">
        <f t="shared" si="3"/>
        <v>2.6057576599092847</v>
      </c>
      <c r="Q31" s="9">
        <f t="shared" si="8"/>
        <v>43.576832766701209</v>
      </c>
      <c r="R31" s="9">
        <f t="shared" si="4"/>
        <v>7.7488588505399072</v>
      </c>
      <c r="T31" s="9">
        <f t="shared" si="9"/>
        <v>47.111519926019668</v>
      </c>
      <c r="U31" s="9">
        <f t="shared" si="5"/>
        <v>9.2707767222283213</v>
      </c>
    </row>
    <row r="32" spans="1:21" x14ac:dyDescent="0.25">
      <c r="A32" t="s">
        <v>190</v>
      </c>
      <c r="C32">
        <v>26</v>
      </c>
      <c r="D32" t="s">
        <v>219</v>
      </c>
      <c r="E32">
        <f>121+7028+484</f>
        <v>7633</v>
      </c>
      <c r="F32">
        <f>10+110+28+187</f>
        <v>335</v>
      </c>
      <c r="G32">
        <f>5+51+40+127</f>
        <v>223</v>
      </c>
      <c r="I32" s="9">
        <f t="shared" si="6"/>
        <v>1.5743565310117091</v>
      </c>
      <c r="J32" s="9">
        <f t="shared" si="0"/>
        <v>0.18793512591653436</v>
      </c>
      <c r="K32" s="9">
        <f t="shared" si="1"/>
        <v>0.22684502314226132</v>
      </c>
      <c r="M32" s="9">
        <f t="shared" si="7"/>
        <v>1.995743390227577</v>
      </c>
      <c r="N32" s="9">
        <f t="shared" si="2"/>
        <v>0.25756154567681022</v>
      </c>
      <c r="O32" s="9">
        <f t="shared" si="3"/>
        <v>0.34404023573698667</v>
      </c>
      <c r="Q32" s="9">
        <f t="shared" si="8"/>
        <v>0.11937265937834549</v>
      </c>
      <c r="R32" s="9">
        <f t="shared" si="4"/>
        <v>0.14408745330162712</v>
      </c>
      <c r="T32" s="9">
        <f t="shared" si="9"/>
        <v>0.1290554421665604</v>
      </c>
      <c r="U32" s="9">
        <f t="shared" si="5"/>
        <v>0.17238700998416201</v>
      </c>
    </row>
    <row r="33" spans="1:21" x14ac:dyDescent="0.25">
      <c r="A33" t="s">
        <v>190</v>
      </c>
      <c r="C33">
        <v>27</v>
      </c>
      <c r="D33" t="s">
        <v>220</v>
      </c>
      <c r="E33">
        <f>317+24099</f>
        <v>24416</v>
      </c>
      <c r="F33">
        <f>192+53+19</f>
        <v>264</v>
      </c>
      <c r="G33">
        <f>2+23</f>
        <v>25</v>
      </c>
      <c r="I33" s="9">
        <f t="shared" si="6"/>
        <v>5.0359608359991999</v>
      </c>
      <c r="J33" s="9">
        <f t="shared" si="0"/>
        <v>0.14810409922974649</v>
      </c>
      <c r="K33" s="9">
        <f t="shared" si="1"/>
        <v>2.5431056406083109E-2</v>
      </c>
      <c r="M33" s="9">
        <f t="shared" si="7"/>
        <v>6.3838688085676036</v>
      </c>
      <c r="N33" s="9">
        <f t="shared" si="2"/>
        <v>0.20297387480202359</v>
      </c>
      <c r="O33" s="9">
        <f t="shared" si="3"/>
        <v>3.85695331543707E-2</v>
      </c>
      <c r="Q33" s="9">
        <f t="shared" si="8"/>
        <v>2.9409303219960551E-2</v>
      </c>
      <c r="R33" s="9">
        <f t="shared" si="4"/>
        <v>5.0498916163706142E-3</v>
      </c>
      <c r="T33" s="9">
        <f t="shared" si="9"/>
        <v>3.1794806705554207E-2</v>
      </c>
      <c r="U33" s="9">
        <f t="shared" si="5"/>
        <v>6.041717696737072E-3</v>
      </c>
    </row>
    <row r="34" spans="1:21" x14ac:dyDescent="0.25">
      <c r="A34" t="s">
        <v>190</v>
      </c>
      <c r="C34">
        <v>28</v>
      </c>
      <c r="D34" t="s">
        <v>221</v>
      </c>
      <c r="E34">
        <f>175+4676+407</f>
        <v>5258</v>
      </c>
      <c r="F34">
        <f>487+4349+397+56+4168+108</f>
        <v>9565</v>
      </c>
      <c r="G34">
        <f>14+2398+26+30+78+205</f>
        <v>2751</v>
      </c>
      <c r="I34" s="9">
        <f t="shared" si="6"/>
        <v>1.084497136127285</v>
      </c>
      <c r="J34" s="9">
        <f t="shared" si="0"/>
        <v>5.3659685951989591</v>
      </c>
      <c r="K34" s="9">
        <f t="shared" si="1"/>
        <v>2.7984334469253853</v>
      </c>
      <c r="M34" s="9">
        <f t="shared" si="7"/>
        <v>1.3747699129852744</v>
      </c>
      <c r="N34" s="9">
        <f t="shared" si="2"/>
        <v>7.3539587593990747</v>
      </c>
      <c r="O34" s="9">
        <f t="shared" si="3"/>
        <v>4.2441914283069515</v>
      </c>
      <c r="Q34" s="9">
        <f t="shared" si="8"/>
        <v>4.9478863672805193</v>
      </c>
      <c r="R34" s="9">
        <f t="shared" si="4"/>
        <v>2.58039726773141</v>
      </c>
      <c r="T34" s="9">
        <f t="shared" si="9"/>
        <v>5.3492287618006991</v>
      </c>
      <c r="U34" s="9">
        <f t="shared" si="5"/>
        <v>3.0872012750779572</v>
      </c>
    </row>
    <row r="35" spans="1:21" x14ac:dyDescent="0.25">
      <c r="A35" t="s">
        <v>190</v>
      </c>
      <c r="C35">
        <v>29</v>
      </c>
      <c r="D35" t="s">
        <v>222</v>
      </c>
      <c r="E35">
        <f>2605+2021+416+34729+223</f>
        <v>39994</v>
      </c>
      <c r="F35">
        <f>512+114+64+94+62+3964+214+215+1352</f>
        <v>6591</v>
      </c>
      <c r="G35">
        <f>322+3+17+70+31+3281+15+120+701</f>
        <v>4560</v>
      </c>
      <c r="I35" s="9">
        <f t="shared" si="6"/>
        <v>8.2490259532663828</v>
      </c>
      <c r="J35" s="9">
        <f t="shared" si="0"/>
        <v>3.6975534773608296</v>
      </c>
      <c r="K35" s="9">
        <f t="shared" si="1"/>
        <v>4.6386246884695588</v>
      </c>
      <c r="M35" s="9">
        <f t="shared" si="7"/>
        <v>10.456931894243642</v>
      </c>
      <c r="N35" s="9">
        <f t="shared" si="2"/>
        <v>5.0674273061368842</v>
      </c>
      <c r="O35" s="9">
        <f t="shared" si="3"/>
        <v>7.0350828473572156</v>
      </c>
      <c r="Q35" s="9">
        <f t="shared" si="8"/>
        <v>0.44824122245568909</v>
      </c>
      <c r="R35" s="9">
        <f t="shared" si="4"/>
        <v>0.56232392948561327</v>
      </c>
      <c r="T35" s="9">
        <f t="shared" si="9"/>
        <v>0.48459981927647577</v>
      </c>
      <c r="U35" s="9">
        <f t="shared" si="5"/>
        <v>0.67276739664240381</v>
      </c>
    </row>
    <row r="36" spans="1:21" x14ac:dyDescent="0.25">
      <c r="A36" t="s">
        <v>190</v>
      </c>
      <c r="D36" t="s">
        <v>242</v>
      </c>
      <c r="E36">
        <v>9247</v>
      </c>
      <c r="F36">
        <f>550+386+547+791+1045+131+44</f>
        <v>3494</v>
      </c>
      <c r="G36">
        <f>154+289+334+94+54+270+27+275+359+103</f>
        <v>1959</v>
      </c>
      <c r="I36" s="9">
        <f t="shared" si="6"/>
        <v>1.9072546629457978</v>
      </c>
      <c r="J36" s="9">
        <f t="shared" si="0"/>
        <v>1.9601353132906598</v>
      </c>
      <c r="K36" s="9">
        <f t="shared" si="1"/>
        <v>1.9927775799806724</v>
      </c>
      <c r="M36" s="9"/>
      <c r="N36" s="9"/>
      <c r="O36" s="9"/>
      <c r="Q36" s="9">
        <f t="shared" si="8"/>
        <v>1.0277260563952098</v>
      </c>
      <c r="R36" s="9">
        <f t="shared" si="4"/>
        <v>1.044840848312717</v>
      </c>
      <c r="T36" s="9" t="str">
        <f t="shared" si="9"/>
        <v/>
      </c>
      <c r="U36" s="9" t="str">
        <f t="shared" si="5"/>
        <v/>
      </c>
    </row>
    <row r="37" spans="1:21" x14ac:dyDescent="0.25">
      <c r="A37" t="s">
        <v>191</v>
      </c>
      <c r="B37" t="s">
        <v>238</v>
      </c>
      <c r="C37">
        <v>30</v>
      </c>
      <c r="D37" t="s">
        <v>223</v>
      </c>
      <c r="E37">
        <v>230</v>
      </c>
      <c r="F37">
        <f>143+426</f>
        <v>569</v>
      </c>
      <c r="G37">
        <f>53+299</f>
        <v>352</v>
      </c>
      <c r="I37" s="9">
        <f t="shared" si="6"/>
        <v>4.7439015083544228E-2</v>
      </c>
      <c r="J37" s="9">
        <f t="shared" si="0"/>
        <v>0.31920921387017331</v>
      </c>
      <c r="K37" s="9">
        <f t="shared" si="1"/>
        <v>0.35806927419765017</v>
      </c>
      <c r="M37" s="9">
        <f t="shared" si="7"/>
        <v>6.0136378848728245E-2</v>
      </c>
      <c r="N37" s="9">
        <f t="shared" si="2"/>
        <v>0.43747020743314935</v>
      </c>
      <c r="O37" s="9">
        <f t="shared" si="3"/>
        <v>0.54305902681353946</v>
      </c>
      <c r="Q37" s="9">
        <f t="shared" si="8"/>
        <v>6.7288330777529453</v>
      </c>
      <c r="R37" s="9">
        <f t="shared" si="4"/>
        <v>7.5479913224812751</v>
      </c>
      <c r="T37" s="9">
        <f t="shared" si="9"/>
        <v>7.2746350180744361</v>
      </c>
      <c r="U37" s="9">
        <f t="shared" si="5"/>
        <v>9.0304577230962426</v>
      </c>
    </row>
    <row r="38" spans="1:21" x14ac:dyDescent="0.25">
      <c r="A38" t="s">
        <v>191</v>
      </c>
      <c r="C38">
        <v>31</v>
      </c>
      <c r="D38" t="s">
        <v>224</v>
      </c>
      <c r="E38">
        <v>48</v>
      </c>
      <c r="F38">
        <v>0</v>
      </c>
      <c r="G38">
        <v>21</v>
      </c>
      <c r="I38" s="9">
        <f t="shared" si="6"/>
        <v>9.9003161913483618E-3</v>
      </c>
      <c r="J38" s="9">
        <f t="shared" si="0"/>
        <v>0</v>
      </c>
      <c r="K38" s="9">
        <f t="shared" si="1"/>
        <v>2.1362087381109812E-2</v>
      </c>
      <c r="M38" s="9">
        <f t="shared" si="7"/>
        <v>1.2550200803212851E-2</v>
      </c>
      <c r="N38" s="9">
        <f t="shared" si="2"/>
        <v>0</v>
      </c>
      <c r="O38" s="9">
        <f t="shared" si="3"/>
        <v>3.2398407849671386E-2</v>
      </c>
      <c r="Q38" s="9">
        <f t="shared" si="8"/>
        <v>0</v>
      </c>
      <c r="R38" s="9">
        <f t="shared" si="4"/>
        <v>2.1577176898428361</v>
      </c>
      <c r="T38" s="9">
        <f t="shared" si="9"/>
        <v>0</v>
      </c>
      <c r="U38" s="9">
        <f t="shared" si="5"/>
        <v>2.5815051374618161</v>
      </c>
    </row>
    <row r="39" spans="1:21" x14ac:dyDescent="0.25">
      <c r="A39" t="s">
        <v>191</v>
      </c>
      <c r="C39">
        <v>32</v>
      </c>
      <c r="D39" t="s">
        <v>225</v>
      </c>
      <c r="E39">
        <v>1495</v>
      </c>
      <c r="F39">
        <f>94+135</f>
        <v>229</v>
      </c>
      <c r="G39">
        <f>70+101</f>
        <v>171</v>
      </c>
      <c r="I39" s="9">
        <f t="shared" si="6"/>
        <v>0.30835359804303752</v>
      </c>
      <c r="J39" s="9">
        <f t="shared" si="0"/>
        <v>0.12846908607428767</v>
      </c>
      <c r="K39" s="9">
        <f t="shared" si="1"/>
        <v>0.17394842581760847</v>
      </c>
      <c r="M39" s="9">
        <f t="shared" si="7"/>
        <v>0.39088646251673359</v>
      </c>
      <c r="N39" s="9">
        <f t="shared" si="2"/>
        <v>0.17606445958205835</v>
      </c>
      <c r="O39" s="9">
        <f t="shared" si="3"/>
        <v>0.26381560677589561</v>
      </c>
      <c r="Q39" s="9">
        <f t="shared" si="8"/>
        <v>0.41662911310137196</v>
      </c>
      <c r="R39" s="9">
        <f t="shared" si="4"/>
        <v>0.56411998083229808</v>
      </c>
      <c r="T39" s="9">
        <f t="shared" si="9"/>
        <v>0.45042352822469811</v>
      </c>
      <c r="U39" s="9">
        <f t="shared" si="5"/>
        <v>0.67491620220693072</v>
      </c>
    </row>
    <row r="40" spans="1:21" x14ac:dyDescent="0.25">
      <c r="A40" t="s">
        <v>191</v>
      </c>
      <c r="C40">
        <v>33</v>
      </c>
      <c r="D40" t="s">
        <v>226</v>
      </c>
      <c r="E40">
        <f>855+105</f>
        <v>960</v>
      </c>
      <c r="F40">
        <f>63+8+390</f>
        <v>461</v>
      </c>
      <c r="G40">
        <f>13+13+190+19</f>
        <v>235</v>
      </c>
      <c r="I40" s="9">
        <f t="shared" si="6"/>
        <v>0.19800632382696723</v>
      </c>
      <c r="J40" s="9">
        <f t="shared" si="0"/>
        <v>0.25862117327618611</v>
      </c>
      <c r="K40" s="9">
        <f t="shared" si="1"/>
        <v>0.23905193021718121</v>
      </c>
      <c r="M40" s="9">
        <f t="shared" si="7"/>
        <v>0.25100401606425704</v>
      </c>
      <c r="N40" s="9">
        <f t="shared" si="2"/>
        <v>0.35443544046868514</v>
      </c>
      <c r="O40" s="9">
        <f t="shared" si="3"/>
        <v>0.36255361165108457</v>
      </c>
      <c r="Q40" s="9">
        <f t="shared" si="8"/>
        <v>1.3061258260730535</v>
      </c>
      <c r="R40" s="9">
        <f t="shared" si="4"/>
        <v>1.2072944216977772</v>
      </c>
      <c r="T40" s="9">
        <f t="shared" si="9"/>
        <v>1.4120707948272415</v>
      </c>
      <c r="U40" s="9">
        <f t="shared" si="5"/>
        <v>1.4444135888179208</v>
      </c>
    </row>
    <row r="41" spans="1:21" x14ac:dyDescent="0.25">
      <c r="A41" t="s">
        <v>191</v>
      </c>
      <c r="D41" t="s">
        <v>242</v>
      </c>
      <c r="E41">
        <v>617</v>
      </c>
      <c r="F41">
        <f>263+133</f>
        <v>396</v>
      </c>
      <c r="G41">
        <f>204+24+74</f>
        <v>302</v>
      </c>
      <c r="I41" s="9">
        <f t="shared" si="6"/>
        <v>0.1272603143762904</v>
      </c>
      <c r="J41" s="9">
        <f t="shared" si="0"/>
        <v>0.22215614884461973</v>
      </c>
      <c r="K41" s="9">
        <f t="shared" si="1"/>
        <v>0.30720716138548393</v>
      </c>
      <c r="M41" s="9"/>
      <c r="N41" s="9"/>
      <c r="O41" s="9"/>
      <c r="Q41" s="9">
        <f t="shared" si="8"/>
        <v>1.7456828543400893</v>
      </c>
      <c r="R41" s="9">
        <f t="shared" si="4"/>
        <v>2.4140059915074281</v>
      </c>
      <c r="T41" s="9" t="str">
        <f t="shared" si="9"/>
        <v/>
      </c>
      <c r="U41" s="9" t="str">
        <f t="shared" si="5"/>
        <v/>
      </c>
    </row>
    <row r="42" spans="1:21" x14ac:dyDescent="0.25">
      <c r="A42" t="s">
        <v>192</v>
      </c>
      <c r="B42" t="s">
        <v>239</v>
      </c>
      <c r="C42">
        <v>34</v>
      </c>
      <c r="D42" t="s">
        <v>227</v>
      </c>
      <c r="E42">
        <f>1858+14702+2974+9012</f>
        <v>28546</v>
      </c>
      <c r="F42">
        <f>217+3492+91+57+255+296+160</f>
        <v>4568</v>
      </c>
      <c r="G42">
        <f>167+217+87+51+332+187</f>
        <v>1041</v>
      </c>
      <c r="I42" s="9">
        <f t="shared" si="6"/>
        <v>5.8878005416297983</v>
      </c>
      <c r="J42" s="9">
        <f t="shared" si="0"/>
        <v>2.5626497169753102</v>
      </c>
      <c r="K42" s="9">
        <f t="shared" si="1"/>
        <v>1.0589491887493006</v>
      </c>
      <c r="M42" s="9">
        <f t="shared" si="7"/>
        <v>7.4637090026773762</v>
      </c>
      <c r="N42" s="9">
        <f t="shared" si="2"/>
        <v>3.5120631064228931</v>
      </c>
      <c r="O42" s="9">
        <f t="shared" si="3"/>
        <v>1.606035360547996</v>
      </c>
      <c r="Q42" s="9">
        <f t="shared" si="8"/>
        <v>0.43524737274234238</v>
      </c>
      <c r="R42" s="9">
        <f t="shared" si="4"/>
        <v>0.17985479998209544</v>
      </c>
      <c r="T42" s="9">
        <f t="shared" si="9"/>
        <v>0.47055198764622902</v>
      </c>
      <c r="U42" s="9">
        <f t="shared" si="5"/>
        <v>0.21517925738689439</v>
      </c>
    </row>
    <row r="43" spans="1:21" x14ac:dyDescent="0.25">
      <c r="A43" t="s">
        <v>192</v>
      </c>
      <c r="C43">
        <v>35</v>
      </c>
      <c r="D43" t="s">
        <v>228</v>
      </c>
      <c r="E43">
        <v>502</v>
      </c>
      <c r="F43">
        <f>63+312</f>
        <v>375</v>
      </c>
      <c r="G43">
        <f>462+194</f>
        <v>656</v>
      </c>
      <c r="I43" s="9">
        <f t="shared" si="6"/>
        <v>0.10354080683451827</v>
      </c>
      <c r="J43" s="9">
        <f t="shared" si="0"/>
        <v>0.21037514095134444</v>
      </c>
      <c r="K43" s="9">
        <f t="shared" si="1"/>
        <v>0.66731092009562076</v>
      </c>
      <c r="M43" s="9">
        <f t="shared" si="7"/>
        <v>0.13125418340026773</v>
      </c>
      <c r="N43" s="9">
        <f t="shared" si="2"/>
        <v>0.28831516307105626</v>
      </c>
      <c r="O43" s="9">
        <f t="shared" si="3"/>
        <v>1.0120645499706871</v>
      </c>
      <c r="Q43" s="9">
        <f t="shared" si="8"/>
        <v>2.031808978343888</v>
      </c>
      <c r="R43" s="9">
        <f t="shared" si="4"/>
        <v>6.4449074765482095</v>
      </c>
      <c r="T43" s="9">
        <f t="shared" si="9"/>
        <v>2.1966169428049493</v>
      </c>
      <c r="U43" s="9">
        <f t="shared" si="5"/>
        <v>7.7107222318722881</v>
      </c>
    </row>
    <row r="44" spans="1:21" x14ac:dyDescent="0.25">
      <c r="A44" t="s">
        <v>192</v>
      </c>
      <c r="C44">
        <v>36</v>
      </c>
      <c r="D44" t="s">
        <v>229</v>
      </c>
      <c r="E44">
        <f>1567</f>
        <v>1567</v>
      </c>
      <c r="F44">
        <f>165+57+83+18</f>
        <v>323</v>
      </c>
      <c r="G44">
        <f>46+59+27+32+22</f>
        <v>186</v>
      </c>
      <c r="I44" s="9">
        <f t="shared" si="6"/>
        <v>0.32320407233006004</v>
      </c>
      <c r="J44" s="9">
        <f t="shared" si="0"/>
        <v>0.18120312140609135</v>
      </c>
      <c r="K44" s="9">
        <f t="shared" si="1"/>
        <v>0.18920705966125834</v>
      </c>
      <c r="M44" s="9">
        <f t="shared" si="7"/>
        <v>0.40971176372155288</v>
      </c>
      <c r="N44" s="9">
        <f t="shared" si="2"/>
        <v>0.24833546045853644</v>
      </c>
      <c r="O44" s="9">
        <f t="shared" si="3"/>
        <v>0.28695732666851803</v>
      </c>
      <c r="Q44" s="9">
        <f t="shared" si="8"/>
        <v>0.56064615801327045</v>
      </c>
      <c r="R44" s="9">
        <f t="shared" si="4"/>
        <v>0.58541050642467685</v>
      </c>
      <c r="T44" s="9">
        <f t="shared" si="9"/>
        <v>0.6061223583204447</v>
      </c>
      <c r="U44" s="9">
        <f t="shared" si="5"/>
        <v>0.70038830240553973</v>
      </c>
    </row>
    <row r="45" spans="1:21" x14ac:dyDescent="0.25">
      <c r="A45" t="s">
        <v>192</v>
      </c>
      <c r="D45" t="s">
        <v>242</v>
      </c>
      <c r="E45">
        <v>22564</v>
      </c>
      <c r="F45">
        <f>242+436+716+167</f>
        <v>1561</v>
      </c>
      <c r="G45">
        <f>172+40+427+34+10</f>
        <v>683</v>
      </c>
      <c r="I45" s="9">
        <f t="shared" si="6"/>
        <v>4.6539736362830091</v>
      </c>
      <c r="J45" s="9">
        <f t="shared" si="0"/>
        <v>0.87572158673346312</v>
      </c>
      <c r="K45" s="9">
        <f t="shared" si="1"/>
        <v>0.69477646101419055</v>
      </c>
      <c r="M45" s="9"/>
      <c r="N45" s="9"/>
      <c r="O45" s="9"/>
      <c r="Q45" s="9">
        <f t="shared" si="8"/>
        <v>0.18816642619249471</v>
      </c>
      <c r="R45" s="9">
        <f t="shared" si="4"/>
        <v>0.14928672040546578</v>
      </c>
      <c r="T45" s="9" t="str">
        <f t="shared" si="9"/>
        <v/>
      </c>
      <c r="U45" s="9" t="str">
        <f t="shared" si="5"/>
        <v/>
      </c>
    </row>
    <row r="46" spans="1:21" x14ac:dyDescent="0.25">
      <c r="A46" t="s">
        <v>246</v>
      </c>
      <c r="C46" t="s">
        <v>243</v>
      </c>
      <c r="E46">
        <f>1615+4307+706+904</f>
        <v>7532</v>
      </c>
      <c r="F46" s="8">
        <f>121+2405+277+620+2382+1177+10315</f>
        <v>17297</v>
      </c>
      <c r="G46">
        <f>24+1178+51+2615+1491+142+3+3009</f>
        <v>8513</v>
      </c>
      <c r="I46" s="9">
        <f t="shared" si="6"/>
        <v>1.5535246156924136</v>
      </c>
      <c r="J46" s="9">
        <f t="shared" si="0"/>
        <v>9.7036235014277459</v>
      </c>
      <c r="K46" s="9">
        <f t="shared" si="1"/>
        <v>8.6597833273994205</v>
      </c>
      <c r="M46" s="9">
        <f t="shared" si="7"/>
        <v>1.9693356760374832</v>
      </c>
      <c r="N46" s="9">
        <f t="shared" si="2"/>
        <v>13.298633001706825</v>
      </c>
      <c r="O46" s="9">
        <f t="shared" si="3"/>
        <v>13.133697429726311</v>
      </c>
      <c r="Q46" s="9">
        <f t="shared" si="8"/>
        <v>6.2461987427877306</v>
      </c>
      <c r="R46" s="9">
        <f t="shared" si="4"/>
        <v>5.574281372773557</v>
      </c>
      <c r="T46" s="9">
        <f t="shared" si="9"/>
        <v>6.7528523265597444</v>
      </c>
      <c r="U46" s="9">
        <f t="shared" si="5"/>
        <v>6.6691004431264522</v>
      </c>
    </row>
    <row r="47" spans="1:21" x14ac:dyDescent="0.25">
      <c r="A47" t="s">
        <v>246</v>
      </c>
      <c r="D47" t="s">
        <v>242</v>
      </c>
      <c r="E47">
        <f>167+7808</f>
        <v>7975</v>
      </c>
      <c r="F47" s="8">
        <f>76+383+325+808+3944</f>
        <v>5536</v>
      </c>
      <c r="G47">
        <f>88+443+381+506+3638</f>
        <v>5056</v>
      </c>
      <c r="I47" s="9">
        <f t="shared" si="6"/>
        <v>1.6448962838750663</v>
      </c>
      <c r="J47" s="9">
        <f t="shared" si="0"/>
        <v>3.1056980808177141</v>
      </c>
      <c r="K47" s="9">
        <f t="shared" si="1"/>
        <v>5.1431768475662478</v>
      </c>
      <c r="M47" s="9"/>
      <c r="N47" s="9"/>
      <c r="O47" s="9"/>
      <c r="Q47" s="9">
        <f t="shared" si="8"/>
        <v>1.8880814014007459</v>
      </c>
      <c r="R47" s="9">
        <f t="shared" si="4"/>
        <v>3.1267484144653124</v>
      </c>
      <c r="T47" s="9" t="str">
        <f t="shared" si="9"/>
        <v/>
      </c>
      <c r="U47" s="9" t="str">
        <f t="shared" si="5"/>
        <v/>
      </c>
    </row>
    <row r="48" spans="1:21" x14ac:dyDescent="0.25">
      <c r="A48" t="s">
        <v>193</v>
      </c>
      <c r="E48">
        <f>534+1604+689+549+233+628+64+617+196</f>
        <v>5114</v>
      </c>
      <c r="F48">
        <f>1179+471+11511+865+1027+236+199+540+712+17+1378+62+31+17+33+15+589+346+345+711+961+3025</f>
        <v>24270</v>
      </c>
      <c r="G48">
        <f>1395+346+1145+200+822+42+62+67+167+657+522+385+62+24+1+26+8+891+126+1004+349+78+2338</f>
        <v>10717</v>
      </c>
      <c r="I48" s="9">
        <f t="shared" si="6"/>
        <v>1.0547961875532399</v>
      </c>
      <c r="J48" s="9">
        <f t="shared" si="0"/>
        <v>13.615479122371012</v>
      </c>
      <c r="K48" s="9">
        <f t="shared" si="1"/>
        <v>10.901785260159707</v>
      </c>
      <c r="M48" s="9"/>
      <c r="N48" s="9"/>
      <c r="O48" s="9"/>
      <c r="Q48" s="9">
        <f t="shared" si="8"/>
        <v>12.908161105468333</v>
      </c>
      <c r="R48" s="9">
        <f t="shared" si="4"/>
        <v>10.335442418926499</v>
      </c>
      <c r="T48" s="9" t="str">
        <f t="shared" si="9"/>
        <v/>
      </c>
      <c r="U48" s="9" t="str">
        <f t="shared" si="5"/>
        <v/>
      </c>
    </row>
    <row r="49" spans="1:21" x14ac:dyDescent="0.25">
      <c r="Q49" s="9"/>
      <c r="R49" s="9"/>
      <c r="T49" s="9"/>
      <c r="U49" s="9"/>
    </row>
    <row r="50" spans="1:21" x14ac:dyDescent="0.25">
      <c r="A50" s="10" t="s">
        <v>244</v>
      </c>
      <c r="I50" s="9"/>
    </row>
    <row r="51" spans="1:21" x14ac:dyDescent="0.25">
      <c r="A51" t="s">
        <v>184</v>
      </c>
      <c r="B51" t="s">
        <v>231</v>
      </c>
      <c r="E51">
        <f>SUMIFS(E$2:E$48,$A$2:$A$48,$A51)-E52</f>
        <v>18784</v>
      </c>
      <c r="F51">
        <f t="shared" ref="F51:G51" si="10">SUMIFS(F$2:F$48,$A$2:$A$48,$A51)-F52</f>
        <v>19840</v>
      </c>
      <c r="G51">
        <f>SUMIFS(G$2:G$48,$A$2:$A$48,$A51)-G52</f>
        <v>10096</v>
      </c>
      <c r="I51" s="9">
        <f t="shared" si="6"/>
        <v>3.8743237362143255</v>
      </c>
      <c r="J51" s="9">
        <f t="shared" ref="J51:J69" si="11">100*F51/F$74</f>
        <v>11.130247457265796</v>
      </c>
      <c r="K51" s="9">
        <f t="shared" ref="K51:K69" si="12">100*G51/G$74</f>
        <v>10.270077819032602</v>
      </c>
      <c r="M51" s="9">
        <f t="shared" ref="M51:O69" si="13">100*E51/E$75</f>
        <v>4.9113119143239627</v>
      </c>
      <c r="N51" s="9">
        <f t="shared" si="13"/>
        <v>15.253794227546015</v>
      </c>
      <c r="O51" s="9">
        <f t="shared" si="13"/>
        <v>15.575920269061063</v>
      </c>
      <c r="Q51" s="9">
        <f>J51/$I51</f>
        <v>2.8728232886757601</v>
      </c>
      <c r="R51" s="9">
        <f t="shared" ref="R51:R69" si="14">K51/$I51</f>
        <v>2.6508052806830458</v>
      </c>
      <c r="S51" s="9"/>
      <c r="T51" s="9">
        <f>IF($D51="", N51/$M51, "")</f>
        <v>3.1058492096700165</v>
      </c>
      <c r="U51" s="9">
        <f t="shared" ref="U51:U69" si="15">IF($D51="", O51/$M51, "")</f>
        <v>3.1714378033359085</v>
      </c>
    </row>
    <row r="52" spans="1:21" x14ac:dyDescent="0.25">
      <c r="D52" t="s">
        <v>242</v>
      </c>
      <c r="E52">
        <f>SUMIFS(E$2:E$48,$A$2:$A$48,$A51,$D$2:$D$48,"Verkehr")</f>
        <v>1184</v>
      </c>
      <c r="F52">
        <f t="shared" ref="F52:G52" si="16">SUMIFS(F$2:F$48,$A$2:$A$48,$A51,$D$2:$D$48,"Verkehr")</f>
        <v>634</v>
      </c>
      <c r="G52">
        <f t="shared" si="16"/>
        <v>411</v>
      </c>
      <c r="I52" s="9">
        <f t="shared" si="6"/>
        <v>0.2442077993865929</v>
      </c>
      <c r="J52" s="9">
        <f t="shared" si="11"/>
        <v>0.35567423830173966</v>
      </c>
      <c r="K52" s="9">
        <f t="shared" si="12"/>
        <v>0.4180865673160063</v>
      </c>
      <c r="Q52" s="9">
        <f t="shared" ref="Q52:Q69" si="17">J52/$I52</f>
        <v>1.456440945764758</v>
      </c>
      <c r="R52" s="9">
        <f t="shared" si="14"/>
        <v>1.7120115261108217</v>
      </c>
      <c r="S52" s="9"/>
      <c r="T52" s="9" t="str">
        <f t="shared" ref="T52:T69" si="18">IF($D52="", N52/$M52, "")</f>
        <v/>
      </c>
      <c r="U52" s="9" t="str">
        <f t="shared" si="15"/>
        <v/>
      </c>
    </row>
    <row r="53" spans="1:21" x14ac:dyDescent="0.25">
      <c r="A53" t="s">
        <v>186</v>
      </c>
      <c r="B53" t="s">
        <v>230</v>
      </c>
      <c r="E53">
        <f>SUMIFS(E$2:E$48,$A$2:$A$48,$A53)-E54</f>
        <v>138011</v>
      </c>
      <c r="F53">
        <f t="shared" ref="F53:G53" si="19">SUMIFS(F$2:F$48,$A$2:$A$48,$A53)-F54</f>
        <v>30352</v>
      </c>
      <c r="G53">
        <f t="shared" si="19"/>
        <v>23243</v>
      </c>
      <c r="I53" s="9">
        <f t="shared" si="6"/>
        <v>28.465677872587055</v>
      </c>
      <c r="J53" s="9">
        <f t="shared" si="11"/>
        <v>17.027483408413882</v>
      </c>
      <c r="K53" s="9">
        <f t="shared" si="12"/>
        <v>23.643761761863587</v>
      </c>
      <c r="M53" s="9">
        <f t="shared" si="13"/>
        <v>36.084703396921014</v>
      </c>
      <c r="N53" s="9">
        <f t="shared" si="13"/>
        <v>23.335844878753864</v>
      </c>
      <c r="O53" s="9">
        <f t="shared" si="13"/>
        <v>35.858866364281525</v>
      </c>
      <c r="Q53" s="9">
        <f t="shared" si="17"/>
        <v>0.59817593259606328</v>
      </c>
      <c r="R53" s="9">
        <f t="shared" si="14"/>
        <v>0.83060596229935357</v>
      </c>
      <c r="S53" s="9"/>
      <c r="T53" s="9">
        <f t="shared" si="18"/>
        <v>0.64669631954755191</v>
      </c>
      <c r="U53" s="9">
        <f t="shared" si="15"/>
        <v>0.99374147460337003</v>
      </c>
    </row>
    <row r="54" spans="1:21" x14ac:dyDescent="0.25">
      <c r="D54" t="s">
        <v>242</v>
      </c>
      <c r="E54">
        <f>SUMIFS(E$2:E$48,$A$2:$A$48,$A53,$D$2:$D$48,"Verkehr")</f>
        <v>52235</v>
      </c>
      <c r="F54">
        <f t="shared" ref="F54:G54" si="20">SUMIFS(F$2:F$48,$A$2:$A$48,$A53,$D$2:$D$48,"Verkehr")</f>
        <v>10863</v>
      </c>
      <c r="G54">
        <f t="shared" si="20"/>
        <v>13654</v>
      </c>
      <c r="I54" s="9">
        <f t="shared" si="6"/>
        <v>10.773812838647535</v>
      </c>
      <c r="J54" s="9">
        <f t="shared" si="11"/>
        <v>6.0941470830785454</v>
      </c>
      <c r="K54" s="9">
        <f t="shared" si="12"/>
        <v>13.889425766746351</v>
      </c>
      <c r="Q54" s="9">
        <f t="shared" si="17"/>
        <v>0.5656444171016024</v>
      </c>
      <c r="R54" s="9">
        <f t="shared" si="14"/>
        <v>1.2891838734122587</v>
      </c>
      <c r="S54" s="9"/>
      <c r="T54" s="9" t="str">
        <f t="shared" si="18"/>
        <v/>
      </c>
      <c r="U54" s="9" t="str">
        <f t="shared" si="15"/>
        <v/>
      </c>
    </row>
    <row r="55" spans="1:21" x14ac:dyDescent="0.25">
      <c r="A55" t="s">
        <v>187</v>
      </c>
      <c r="B55" t="s">
        <v>232</v>
      </c>
      <c r="E55">
        <f>SUMIFS(E$2:E$48,$A$2:$A$48,$A55)-E56</f>
        <v>56724</v>
      </c>
      <c r="F55">
        <f t="shared" ref="F55:G55" si="21">SUMIFS(F$2:F$48,$A$2:$A$48,$A55)-F56</f>
        <v>7610</v>
      </c>
      <c r="G55">
        <f t="shared" si="21"/>
        <v>4581</v>
      </c>
      <c r="I55" s="9">
        <f t="shared" si="6"/>
        <v>11.699698659125925</v>
      </c>
      <c r="J55" s="9">
        <f t="shared" si="11"/>
        <v>4.2692128603726163</v>
      </c>
      <c r="K55" s="9">
        <f t="shared" si="12"/>
        <v>4.659986775850669</v>
      </c>
      <c r="M55" s="9">
        <f t="shared" si="13"/>
        <v>14.831199799196787</v>
      </c>
      <c r="N55" s="9">
        <f t="shared" si="13"/>
        <v>5.850875709255301</v>
      </c>
      <c r="O55" s="9">
        <f t="shared" si="13"/>
        <v>7.0674812552068866</v>
      </c>
      <c r="Q55" s="9">
        <f t="shared" si="17"/>
        <v>0.36489938627971175</v>
      </c>
      <c r="R55" s="9">
        <f t="shared" si="14"/>
        <v>0.39829972648191375</v>
      </c>
      <c r="S55" s="9"/>
      <c r="T55" s="9">
        <f t="shared" si="18"/>
        <v>0.39449780115376554</v>
      </c>
      <c r="U55" s="9">
        <f t="shared" si="15"/>
        <v>0.47652795127132197</v>
      </c>
    </row>
    <row r="56" spans="1:21" x14ac:dyDescent="0.25">
      <c r="D56" t="s">
        <v>242</v>
      </c>
      <c r="E56">
        <f>SUMIFS(E$2:E$48,$A$2:$A$48,$A55,$D$2:$D$48,"Verkehr")</f>
        <v>1806</v>
      </c>
      <c r="F56">
        <f t="shared" ref="F56:G56" si="22">SUMIFS(F$2:F$48,$A$2:$A$48,$A55,$D$2:$D$48,"Verkehr")</f>
        <v>649</v>
      </c>
      <c r="G56">
        <f t="shared" si="22"/>
        <v>327</v>
      </c>
      <c r="I56" s="9">
        <f t="shared" si="6"/>
        <v>0.37249939669948207</v>
      </c>
      <c r="J56" s="9">
        <f t="shared" si="11"/>
        <v>0.36408924393979342</v>
      </c>
      <c r="K56" s="9">
        <f t="shared" si="12"/>
        <v>0.33263821779156705</v>
      </c>
      <c r="Q56" s="9">
        <f t="shared" si="17"/>
        <v>0.97742237213212557</v>
      </c>
      <c r="R56" s="9">
        <f t="shared" si="14"/>
        <v>0.89298995042380314</v>
      </c>
      <c r="S56" s="9"/>
      <c r="T56" s="9" t="str">
        <f t="shared" si="18"/>
        <v/>
      </c>
      <c r="U56" s="9" t="str">
        <f t="shared" si="15"/>
        <v/>
      </c>
    </row>
    <row r="57" spans="1:21" x14ac:dyDescent="0.25">
      <c r="A57" t="s">
        <v>188</v>
      </c>
      <c r="B57" t="s">
        <v>235</v>
      </c>
      <c r="E57">
        <f>SUMIFS(E$2:E$48,$A$2:$A$48,$A57)-E58</f>
        <v>36717</v>
      </c>
      <c r="F57">
        <f t="shared" ref="F57:G57" si="23">SUMIFS(F$2:F$48,$A$2:$A$48,$A57)-F58</f>
        <v>10783</v>
      </c>
      <c r="G57">
        <f t="shared" si="23"/>
        <v>5601</v>
      </c>
      <c r="I57" s="9">
        <f t="shared" si="6"/>
        <v>7.573123116619537</v>
      </c>
      <c r="J57" s="9">
        <f t="shared" si="11"/>
        <v>6.0492670530089256</v>
      </c>
      <c r="K57" s="9">
        <f t="shared" si="12"/>
        <v>5.6975738772188596</v>
      </c>
      <c r="M57" s="9">
        <f t="shared" si="13"/>
        <v>9.6001192269076299</v>
      </c>
      <c r="N57" s="9">
        <f t="shared" si="13"/>
        <v>8.2904064090538654</v>
      </c>
      <c r="O57" s="9">
        <f t="shared" si="13"/>
        <v>8.6411182079052118</v>
      </c>
      <c r="Q57" s="9">
        <f t="shared" si="17"/>
        <v>0.7987810259856406</v>
      </c>
      <c r="R57" s="9">
        <f t="shared" si="14"/>
        <v>0.7523413774583031</v>
      </c>
      <c r="S57" s="9"/>
      <c r="T57" s="9">
        <f t="shared" si="18"/>
        <v>0.86357327582111221</v>
      </c>
      <c r="U57" s="9">
        <f t="shared" si="15"/>
        <v>0.9001053011597514</v>
      </c>
    </row>
    <row r="58" spans="1:21" x14ac:dyDescent="0.25">
      <c r="D58" t="s">
        <v>242</v>
      </c>
      <c r="E58">
        <f>SUMIFS(E$2:E$48,$A$2:$A$48,$A57,$D$2:$D$48,"Verkehr")</f>
        <v>1462</v>
      </c>
      <c r="F58">
        <f t="shared" ref="F58:G58" si="24">SUMIFS(F$2:F$48,$A$2:$A$48,$A57,$D$2:$D$48,"Verkehr")</f>
        <v>563</v>
      </c>
      <c r="G58">
        <f t="shared" si="24"/>
        <v>367</v>
      </c>
      <c r="I58" s="9">
        <f t="shared" si="6"/>
        <v>0.30154713066148547</v>
      </c>
      <c r="J58" s="9">
        <f t="shared" si="11"/>
        <v>0.31584321161495177</v>
      </c>
      <c r="K58" s="9">
        <f t="shared" si="12"/>
        <v>0.37332790804130006</v>
      </c>
      <c r="Q58" s="9">
        <f t="shared" si="17"/>
        <v>1.047409109554801</v>
      </c>
      <c r="R58" s="9">
        <f t="shared" si="14"/>
        <v>1.2380416528001892</v>
      </c>
      <c r="S58" s="9"/>
      <c r="T58" s="9" t="str">
        <f t="shared" si="18"/>
        <v/>
      </c>
      <c r="U58" s="9" t="str">
        <f t="shared" si="15"/>
        <v/>
      </c>
    </row>
    <row r="59" spans="1:21" x14ac:dyDescent="0.25">
      <c r="A59" t="s">
        <v>189</v>
      </c>
      <c r="B59" t="s">
        <v>236</v>
      </c>
      <c r="E59">
        <f>SUMIFS(E$2:E$48,$A$2:$A$48,$A59)-E60</f>
        <v>11807</v>
      </c>
      <c r="F59">
        <f t="shared" ref="F59:G59" si="25">SUMIFS(F$2:F$48,$A$2:$A$48,$A59)-F60</f>
        <v>3613</v>
      </c>
      <c r="G59">
        <f t="shared" si="25"/>
        <v>856</v>
      </c>
      <c r="I59" s="9">
        <f t="shared" si="6"/>
        <v>2.4352715264843772</v>
      </c>
      <c r="J59" s="9">
        <f t="shared" si="11"/>
        <v>2.02689435801922</v>
      </c>
      <c r="K59" s="9">
        <f t="shared" si="12"/>
        <v>0.8707593713442856</v>
      </c>
      <c r="M59" s="9">
        <f t="shared" si="13"/>
        <v>3.0870879350736278</v>
      </c>
      <c r="N59" s="9">
        <f t="shared" si="13"/>
        <v>2.77782049113527</v>
      </c>
      <c r="O59" s="9">
        <f t="shared" si="13"/>
        <v>1.3206208152056527</v>
      </c>
      <c r="Q59" s="9">
        <f t="shared" si="17"/>
        <v>0.83230733656435374</v>
      </c>
      <c r="R59" s="9">
        <f t="shared" si="14"/>
        <v>0.35756151290502586</v>
      </c>
      <c r="S59" s="9"/>
      <c r="T59" s="9">
        <f t="shared" si="18"/>
        <v>0.89981903643733374</v>
      </c>
      <c r="U59" s="9">
        <f t="shared" si="15"/>
        <v>0.42778853177506121</v>
      </c>
    </row>
    <row r="60" spans="1:21" x14ac:dyDescent="0.25">
      <c r="D60" t="s">
        <v>242</v>
      </c>
      <c r="E60">
        <f>SUMIFS(E$2:E$48,$A$2:$A$48,$A59,$D$2:$D$48,"Verkehr")</f>
        <v>165</v>
      </c>
      <c r="F60">
        <f t="shared" ref="F60:G60" si="26">SUMIFS(F$2:F$48,$A$2:$A$48,$A59,$D$2:$D$48,"Verkehr")</f>
        <v>221</v>
      </c>
      <c r="G60">
        <f t="shared" si="26"/>
        <v>11</v>
      </c>
      <c r="I60" s="9">
        <f t="shared" si="6"/>
        <v>3.4032336907759989E-2</v>
      </c>
      <c r="J60" s="9">
        <f t="shared" si="11"/>
        <v>0.12398108306732565</v>
      </c>
      <c r="K60" s="9">
        <f t="shared" si="12"/>
        <v>1.1189664818676568E-2</v>
      </c>
      <c r="Q60" s="9">
        <f t="shared" si="17"/>
        <v>3.6430376028351943</v>
      </c>
      <c r="R60" s="9">
        <f t="shared" si="14"/>
        <v>0.3287950765474798</v>
      </c>
      <c r="S60" s="9"/>
      <c r="T60" s="9" t="str">
        <f t="shared" si="18"/>
        <v/>
      </c>
      <c r="U60" s="9" t="str">
        <f t="shared" si="15"/>
        <v/>
      </c>
    </row>
    <row r="61" spans="1:21" x14ac:dyDescent="0.25">
      <c r="A61" t="s">
        <v>190</v>
      </c>
      <c r="B61" t="s">
        <v>237</v>
      </c>
      <c r="E61">
        <f>SUMIFS(E$2:E$48,$A$2:$A$48,$A61)-E62</f>
        <v>79541</v>
      </c>
      <c r="F61">
        <f t="shared" ref="F61:G61" si="27">SUMIFS(F$2:F$48,$A$2:$A$48,$A61)-F62</f>
        <v>34046</v>
      </c>
      <c r="G61">
        <f t="shared" si="27"/>
        <v>9266</v>
      </c>
      <c r="I61" s="9">
        <f t="shared" si="6"/>
        <v>16.405855212000834</v>
      </c>
      <c r="J61" s="9">
        <f t="shared" si="11"/>
        <v>19.099818796878594</v>
      </c>
      <c r="K61" s="9">
        <f t="shared" si="12"/>
        <v>9.4257667463506429</v>
      </c>
      <c r="M61" s="9">
        <f t="shared" si="13"/>
        <v>20.796990043507364</v>
      </c>
      <c r="N61" s="9">
        <f t="shared" si="13"/>
        <v>26.175941445112482</v>
      </c>
      <c r="O61" s="9">
        <f t="shared" si="13"/>
        <v>14.295411768335956</v>
      </c>
      <c r="Q61" s="9">
        <f t="shared" si="17"/>
        <v>1.1642074460651788</v>
      </c>
      <c r="R61" s="9">
        <f t="shared" si="14"/>
        <v>0.57453675072395638</v>
      </c>
      <c r="S61" s="9"/>
      <c r="T61" s="9">
        <f t="shared" si="18"/>
        <v>1.2586408605453163</v>
      </c>
      <c r="U61" s="9">
        <f t="shared" si="15"/>
        <v>0.68737888215698106</v>
      </c>
    </row>
    <row r="62" spans="1:21" x14ac:dyDescent="0.25">
      <c r="D62" t="s">
        <v>242</v>
      </c>
      <c r="E62">
        <f>SUMIFS(E$2:E$48,$A$2:$A$48,$A61,$D$2:$D$48,"Verkehr")</f>
        <v>9247</v>
      </c>
      <c r="F62">
        <f t="shared" ref="F62:G62" si="28">SUMIFS(F$2:F$48,$A$2:$A$48,$A61,$D$2:$D$48,"Verkehr")</f>
        <v>3494</v>
      </c>
      <c r="G62">
        <f t="shared" si="28"/>
        <v>1959</v>
      </c>
      <c r="I62" s="9">
        <f t="shared" si="6"/>
        <v>1.9072546629457978</v>
      </c>
      <c r="J62" s="9">
        <f t="shared" si="11"/>
        <v>1.9601353132906598</v>
      </c>
      <c r="K62" s="9">
        <f t="shared" si="12"/>
        <v>1.9927775799806724</v>
      </c>
      <c r="Q62" s="9">
        <f t="shared" si="17"/>
        <v>1.0277260563952098</v>
      </c>
      <c r="R62" s="9">
        <f t="shared" si="14"/>
        <v>1.044840848312717</v>
      </c>
      <c r="S62" s="9"/>
      <c r="T62" s="9" t="str">
        <f t="shared" si="18"/>
        <v/>
      </c>
      <c r="U62" s="9" t="str">
        <f t="shared" si="15"/>
        <v/>
      </c>
    </row>
    <row r="63" spans="1:21" x14ac:dyDescent="0.25">
      <c r="A63" t="s">
        <v>191</v>
      </c>
      <c r="B63" t="s">
        <v>238</v>
      </c>
      <c r="E63">
        <f>SUMIFS(E$2:E$48,$A$2:$A$48,$A63)-E64</f>
        <v>2733</v>
      </c>
      <c r="F63">
        <f t="shared" ref="F63:G63" si="29">SUMIFS(F$2:F$48,$A$2:$A$48,$A63)-F64</f>
        <v>1259</v>
      </c>
      <c r="G63">
        <f t="shared" si="29"/>
        <v>779</v>
      </c>
      <c r="I63" s="9">
        <f t="shared" si="6"/>
        <v>0.56369925314489733</v>
      </c>
      <c r="J63" s="9">
        <f t="shared" si="11"/>
        <v>0.70629947322064701</v>
      </c>
      <c r="K63" s="9">
        <f t="shared" si="12"/>
        <v>0.79243171761354969</v>
      </c>
      <c r="M63" s="9">
        <f t="shared" si="13"/>
        <v>0.71457705823293172</v>
      </c>
      <c r="N63" s="9">
        <f t="shared" si="13"/>
        <v>0.96797010748389278</v>
      </c>
      <c r="O63" s="9">
        <f t="shared" si="13"/>
        <v>1.2018266530901911</v>
      </c>
      <c r="Q63" s="9">
        <f t="shared" si="17"/>
        <v>1.2529721642882765</v>
      </c>
      <c r="R63" s="9">
        <f t="shared" si="14"/>
        <v>1.4057703876536045</v>
      </c>
      <c r="S63" s="9"/>
      <c r="T63" s="9">
        <f t="shared" si="18"/>
        <v>1.3546056318650552</v>
      </c>
      <c r="U63" s="9">
        <f t="shared" si="15"/>
        <v>1.681871310089597</v>
      </c>
    </row>
    <row r="64" spans="1:21" x14ac:dyDescent="0.25">
      <c r="D64" t="s">
        <v>242</v>
      </c>
      <c r="E64">
        <f>SUMIFS(E$2:E$48,$A$2:$A$48,$A63,$D$2:$D$48,"Verkehr")</f>
        <v>617</v>
      </c>
      <c r="F64">
        <f t="shared" ref="F64:G64" si="30">SUMIFS(F$2:F$48,$A$2:$A$48,$A63,$D$2:$D$48,"Verkehr")</f>
        <v>396</v>
      </c>
      <c r="G64">
        <f t="shared" si="30"/>
        <v>302</v>
      </c>
      <c r="I64" s="9">
        <f t="shared" si="6"/>
        <v>0.1272603143762904</v>
      </c>
      <c r="J64" s="9">
        <f t="shared" si="11"/>
        <v>0.22215614884461973</v>
      </c>
      <c r="K64" s="9">
        <f t="shared" si="12"/>
        <v>0.30720716138548393</v>
      </c>
      <c r="Q64" s="9">
        <f t="shared" si="17"/>
        <v>1.7456828543400893</v>
      </c>
      <c r="R64" s="9">
        <f t="shared" si="14"/>
        <v>2.4140059915074281</v>
      </c>
      <c r="S64" s="9"/>
      <c r="T64" s="9" t="str">
        <f t="shared" si="18"/>
        <v/>
      </c>
      <c r="U64" s="9" t="str">
        <f t="shared" si="15"/>
        <v/>
      </c>
    </row>
    <row r="65" spans="1:21" x14ac:dyDescent="0.25">
      <c r="A65" t="s">
        <v>192</v>
      </c>
      <c r="B65" t="s">
        <v>239</v>
      </c>
      <c r="E65">
        <f>SUMIFS(E$2:E$48,$A$2:$A$48,$A65)-E66</f>
        <v>30615</v>
      </c>
      <c r="F65">
        <f t="shared" ref="F65:G65" si="31">SUMIFS(F$2:F$48,$A$2:$A$48,$A65)-F66</f>
        <v>5266</v>
      </c>
      <c r="G65">
        <f t="shared" si="31"/>
        <v>1883</v>
      </c>
      <c r="I65" s="9">
        <f t="shared" si="6"/>
        <v>6.314545420794377</v>
      </c>
      <c r="J65" s="9">
        <f t="shared" si="11"/>
        <v>2.9542279793327459</v>
      </c>
      <c r="K65" s="9">
        <f t="shared" si="12"/>
        <v>1.9154671685061797</v>
      </c>
      <c r="M65" s="9">
        <f t="shared" si="13"/>
        <v>8.0046749497991971</v>
      </c>
      <c r="N65" s="9">
        <f t="shared" si="13"/>
        <v>4.0487137299524854</v>
      </c>
      <c r="O65" s="9">
        <f t="shared" si="13"/>
        <v>2.9050572371872012</v>
      </c>
      <c r="Q65" s="9">
        <f t="shared" si="17"/>
        <v>0.46784491716604054</v>
      </c>
      <c r="R65" s="9">
        <f t="shared" si="14"/>
        <v>0.30334205249333873</v>
      </c>
      <c r="S65" s="9"/>
      <c r="T65" s="9">
        <f t="shared" si="18"/>
        <v>0.5057936462559357</v>
      </c>
      <c r="U65" s="9">
        <f t="shared" si="15"/>
        <v>0.36292007550663585</v>
      </c>
    </row>
    <row r="66" spans="1:21" x14ac:dyDescent="0.25">
      <c r="D66" t="s">
        <v>242</v>
      </c>
      <c r="E66">
        <f>SUMIFS(E$2:E$48,$A$2:$A$48,$A65,$D$2:$D$48,"Verkehr")</f>
        <v>22564</v>
      </c>
      <c r="F66">
        <f t="shared" ref="F66:G66" si="32">SUMIFS(F$2:F$48,$A$2:$A$48,$A65,$D$2:$D$48,"Verkehr")</f>
        <v>1561</v>
      </c>
      <c r="G66">
        <f t="shared" si="32"/>
        <v>683</v>
      </c>
      <c r="I66" s="9">
        <f t="shared" si="6"/>
        <v>4.6539736362830091</v>
      </c>
      <c r="J66" s="9">
        <f t="shared" si="11"/>
        <v>0.87572158673346312</v>
      </c>
      <c r="K66" s="9">
        <f t="shared" si="12"/>
        <v>0.69477646101419055</v>
      </c>
      <c r="Q66" s="9">
        <f t="shared" si="17"/>
        <v>0.18816642619249471</v>
      </c>
      <c r="R66" s="9">
        <f t="shared" si="14"/>
        <v>0.14928672040546578</v>
      </c>
      <c r="S66" s="9"/>
      <c r="T66" s="9" t="str">
        <f t="shared" si="18"/>
        <v/>
      </c>
      <c r="U66" s="9" t="str">
        <f t="shared" si="15"/>
        <v/>
      </c>
    </row>
    <row r="67" spans="1:21" x14ac:dyDescent="0.25">
      <c r="A67" t="s">
        <v>246</v>
      </c>
      <c r="E67">
        <f>SUMIFS(E$2:E$48,$A$2:$A$48,$A67)-E68</f>
        <v>7532</v>
      </c>
      <c r="F67">
        <f t="shared" ref="F67:G67" si="33">SUMIFS(F$2:F$48,$A$2:$A$48,$A67)-F68</f>
        <v>17297</v>
      </c>
      <c r="G67">
        <f t="shared" si="33"/>
        <v>8513</v>
      </c>
      <c r="I67" s="9">
        <f t="shared" ref="I67:I69" si="34">100*E67/E$74</f>
        <v>1.5535246156924136</v>
      </c>
      <c r="J67" s="9">
        <f t="shared" si="11"/>
        <v>9.7036235014277459</v>
      </c>
      <c r="K67" s="9">
        <f t="shared" si="12"/>
        <v>8.6597833273994205</v>
      </c>
      <c r="M67" s="9">
        <f t="shared" si="13"/>
        <v>1.9693356760374832</v>
      </c>
      <c r="N67" s="9">
        <f t="shared" si="13"/>
        <v>13.298633001706825</v>
      </c>
      <c r="O67" s="9">
        <f t="shared" si="13"/>
        <v>13.133697429726311</v>
      </c>
      <c r="Q67" s="9">
        <f t="shared" si="17"/>
        <v>6.2461987427877306</v>
      </c>
      <c r="R67" s="9">
        <f t="shared" si="14"/>
        <v>5.574281372773557</v>
      </c>
      <c r="S67" s="9"/>
      <c r="T67" s="9">
        <f t="shared" si="18"/>
        <v>6.7528523265597444</v>
      </c>
      <c r="U67" s="9">
        <f t="shared" si="15"/>
        <v>6.6691004431264522</v>
      </c>
    </row>
    <row r="68" spans="1:21" x14ac:dyDescent="0.25">
      <c r="D68" t="s">
        <v>242</v>
      </c>
      <c r="E68">
        <f>SUMIFS(E$2:E$48,$A$2:$A$48,$A67,$D$2:$D$48,"Verkehr")</f>
        <v>7975</v>
      </c>
      <c r="F68">
        <f t="shared" ref="F68:G68" si="35">SUMIFS(F$2:F$48,$A$2:$A$48,$A67,$D$2:$D$48,"Verkehr")</f>
        <v>5536</v>
      </c>
      <c r="G68">
        <f t="shared" si="35"/>
        <v>5056</v>
      </c>
      <c r="I68" s="9">
        <f t="shared" si="34"/>
        <v>1.6448962838750663</v>
      </c>
      <c r="J68" s="9">
        <f t="shared" si="11"/>
        <v>3.1056980808177141</v>
      </c>
      <c r="K68" s="9">
        <f t="shared" si="12"/>
        <v>5.1431768475662478</v>
      </c>
      <c r="Q68" s="9">
        <f t="shared" si="17"/>
        <v>1.8880814014007459</v>
      </c>
      <c r="R68" s="9">
        <f t="shared" si="14"/>
        <v>3.1267484144653124</v>
      </c>
      <c r="S68" s="9"/>
      <c r="T68" s="9" t="str">
        <f t="shared" si="18"/>
        <v/>
      </c>
      <c r="U68" s="9" t="str">
        <f t="shared" si="15"/>
        <v/>
      </c>
    </row>
    <row r="69" spans="1:21" x14ac:dyDescent="0.25">
      <c r="A69" t="s">
        <v>193</v>
      </c>
      <c r="D69" t="s">
        <v>243</v>
      </c>
      <c r="E69">
        <f>SUMIFS(E$2:E$48,$A$2:$A$48,$A69)-E70</f>
        <v>5114</v>
      </c>
      <c r="F69">
        <f>SUMIFS(F$2:F$48,$A$2:$A$48,$A69)-F70</f>
        <v>24270</v>
      </c>
      <c r="G69">
        <f>SUMIFS(G$2:G$48,$A$2:$A$48,$A69)-G70</f>
        <v>10717</v>
      </c>
      <c r="I69" s="9">
        <f t="shared" si="34"/>
        <v>1.0547961875532399</v>
      </c>
      <c r="J69" s="9">
        <f t="shared" si="11"/>
        <v>13.615479122371012</v>
      </c>
      <c r="K69" s="9">
        <f t="shared" si="12"/>
        <v>10.901785260159707</v>
      </c>
      <c r="M69" s="9"/>
      <c r="Q69" s="9">
        <f t="shared" si="17"/>
        <v>12.908161105468333</v>
      </c>
      <c r="R69" s="9">
        <f t="shared" si="14"/>
        <v>10.335442418926499</v>
      </c>
      <c r="S69" s="9"/>
      <c r="T69" s="9" t="str">
        <f t="shared" si="18"/>
        <v/>
      </c>
      <c r="U69" s="9" t="str">
        <f t="shared" si="15"/>
        <v/>
      </c>
    </row>
    <row r="71" spans="1:21" x14ac:dyDescent="0.25">
      <c r="A71" s="10" t="s">
        <v>249</v>
      </c>
    </row>
    <row r="72" spans="1:21" x14ac:dyDescent="0.25">
      <c r="A72" t="s">
        <v>247</v>
      </c>
      <c r="E72">
        <f>E74-E73</f>
        <v>387578</v>
      </c>
      <c r="F72">
        <f>F74-F73</f>
        <v>154336</v>
      </c>
      <c r="G72">
        <f>G74-G73</f>
        <v>75535</v>
      </c>
      <c r="Q72" s="9"/>
      <c r="R72" s="9"/>
      <c r="T72" s="9"/>
      <c r="U72" s="9"/>
    </row>
    <row r="73" spans="1:21" x14ac:dyDescent="0.25">
      <c r="A73" t="s">
        <v>242</v>
      </c>
      <c r="E73">
        <f>SUMIFS(E$2:E$48,$D$2:$D$48,"Verkehr")</f>
        <v>97255</v>
      </c>
      <c r="F73">
        <f>SUMIFS(F$2:F$48,$D$2:$D$48,"Verkehr")</f>
        <v>23917</v>
      </c>
      <c r="G73">
        <f>SUMIFS(G$2:G$48,$D$2:$D$48,"Verkehr")</f>
        <v>22770</v>
      </c>
      <c r="Q73" s="9"/>
      <c r="R73" s="9"/>
      <c r="T73" s="9"/>
      <c r="U73" s="9"/>
    </row>
    <row r="74" spans="1:21" s="12" customFormat="1" x14ac:dyDescent="0.25">
      <c r="A74" s="12" t="s">
        <v>250</v>
      </c>
      <c r="E74" s="12">
        <f>SUM(E$2:E$48)</f>
        <v>484833</v>
      </c>
      <c r="F74" s="12">
        <f>SUM(F$2:F$48)</f>
        <v>178253</v>
      </c>
      <c r="G74" s="12">
        <f>SUM(G$2:G$48)</f>
        <v>98305</v>
      </c>
      <c r="Q74" s="13"/>
      <c r="R74" s="13"/>
      <c r="T74" s="13"/>
      <c r="U74" s="13"/>
    </row>
    <row r="75" spans="1:21" s="15" customFormat="1" x14ac:dyDescent="0.25">
      <c r="A75" s="14" t="s">
        <v>248</v>
      </c>
      <c r="E75" s="14">
        <f>E72-E48</f>
        <v>382464</v>
      </c>
      <c r="F75" s="14">
        <f>F72-F48</f>
        <v>130066</v>
      </c>
      <c r="G75" s="14">
        <f>G72-G48</f>
        <v>64818</v>
      </c>
      <c r="Q75" s="16"/>
      <c r="R75" s="16"/>
      <c r="T75" s="16"/>
      <c r="U75" s="16"/>
    </row>
    <row r="77" spans="1:21" s="11" customFormat="1" x14ac:dyDescent="0.25">
      <c r="A77" s="11" t="s">
        <v>245</v>
      </c>
      <c r="E77" s="11">
        <f>SUM(E50:E69)-SUM(E2:E48)</f>
        <v>0</v>
      </c>
      <c r="F77" s="11">
        <f>SUM(F50:F69)-SUM(F2:F48)</f>
        <v>0</v>
      </c>
      <c r="G77" s="11">
        <f>SUM(G50:G69)-SUM(G2:G48)</f>
        <v>0</v>
      </c>
    </row>
  </sheetData>
  <conditionalFormatting sqref="Q72:R75 T72:U75 Q2:R49 T2:U49">
    <cfRule type="cellIs" dxfId="6" priority="7" operator="greaterThanOrEqual">
      <formula>1</formula>
    </cfRule>
  </conditionalFormatting>
  <conditionalFormatting sqref="Q51:S69">
    <cfRule type="cellIs" dxfId="5" priority="3" operator="greaterThanOrEqual">
      <formula>1</formula>
    </cfRule>
  </conditionalFormatting>
  <conditionalFormatting sqref="T51:U69">
    <cfRule type="cellIs" dxfId="4" priority="2" operator="greaterThanOrEqual">
      <formula>1</formula>
    </cfRule>
  </conditionalFormatting>
  <conditionalFormatting sqref="T51:U69">
    <cfRule type="cellIs" dxfId="3" priority="1" operator="greaterThanOr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3"/>
  <sheetViews>
    <sheetView workbookViewId="0">
      <pane ySplit="1" topLeftCell="A2" activePane="bottomLeft" state="frozen"/>
      <selection activeCell="B1" sqref="B1"/>
      <selection pane="bottomLeft" activeCell="E19" sqref="E19"/>
    </sheetView>
  </sheetViews>
  <sheetFormatPr defaultRowHeight="15" x14ac:dyDescent="0.25"/>
  <cols>
    <col min="1" max="1" width="50" bestFit="1" customWidth="1"/>
    <col min="2" max="2" width="10.42578125" bestFit="1" customWidth="1"/>
    <col min="3" max="3" width="14.85546875" bestFit="1" customWidth="1"/>
    <col min="4" max="13" width="14.85546875" customWidth="1"/>
    <col min="14" max="14" width="9.140625" customWidth="1"/>
    <col min="15" max="15" width="9.140625" style="5" customWidth="1"/>
    <col min="16" max="20" width="9.140625" customWidth="1"/>
  </cols>
  <sheetData>
    <row r="1" spans="1:24" x14ac:dyDescent="0.25"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174</v>
      </c>
      <c r="K1" t="s">
        <v>175</v>
      </c>
      <c r="L1" t="s">
        <v>176</v>
      </c>
      <c r="M1" t="s">
        <v>180</v>
      </c>
      <c r="N1" t="s">
        <v>5</v>
      </c>
      <c r="O1" s="5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132</v>
      </c>
      <c r="V1" t="s">
        <v>133</v>
      </c>
      <c r="W1" t="s">
        <v>134</v>
      </c>
      <c r="X1" t="s">
        <v>135</v>
      </c>
    </row>
    <row r="2" spans="1:24" x14ac:dyDescent="0.25">
      <c r="A2" t="s">
        <v>149</v>
      </c>
      <c r="B2" t="s">
        <v>1</v>
      </c>
      <c r="C2" t="s">
        <v>150</v>
      </c>
      <c r="D2">
        <v>1</v>
      </c>
      <c r="F2">
        <v>2</v>
      </c>
      <c r="G2">
        <v>10</v>
      </c>
      <c r="I2" t="s">
        <v>161</v>
      </c>
    </row>
    <row r="3" spans="1:24" x14ac:dyDescent="0.25">
      <c r="A3" t="s">
        <v>149</v>
      </c>
      <c r="B3" t="s">
        <v>1</v>
      </c>
      <c r="C3" t="s">
        <v>151</v>
      </c>
      <c r="D3">
        <v>1</v>
      </c>
      <c r="F3">
        <v>1</v>
      </c>
      <c r="G3">
        <v>10</v>
      </c>
      <c r="I3" t="s">
        <v>162</v>
      </c>
    </row>
    <row r="4" spans="1:24" x14ac:dyDescent="0.25">
      <c r="A4" t="s">
        <v>149</v>
      </c>
      <c r="B4" t="s">
        <v>1</v>
      </c>
      <c r="C4" t="s">
        <v>152</v>
      </c>
      <c r="D4">
        <v>1</v>
      </c>
      <c r="F4">
        <v>1</v>
      </c>
      <c r="G4">
        <v>6</v>
      </c>
      <c r="I4" t="s">
        <v>163</v>
      </c>
    </row>
    <row r="5" spans="1:24" x14ac:dyDescent="0.25">
      <c r="A5" t="s">
        <v>149</v>
      </c>
      <c r="B5" t="s">
        <v>1</v>
      </c>
      <c r="C5" t="s">
        <v>153</v>
      </c>
      <c r="D5">
        <v>1</v>
      </c>
      <c r="F5">
        <v>1</v>
      </c>
      <c r="G5">
        <v>4</v>
      </c>
      <c r="I5" t="s">
        <v>172</v>
      </c>
    </row>
    <row r="6" spans="1:24" x14ac:dyDescent="0.25">
      <c r="A6" t="s">
        <v>149</v>
      </c>
      <c r="B6" t="s">
        <v>1</v>
      </c>
      <c r="C6" t="s">
        <v>154</v>
      </c>
      <c r="D6">
        <v>1</v>
      </c>
      <c r="F6">
        <v>1</v>
      </c>
      <c r="G6">
        <v>4</v>
      </c>
      <c r="I6" t="s">
        <v>164</v>
      </c>
    </row>
    <row r="7" spans="1:24" x14ac:dyDescent="0.25">
      <c r="A7" t="s">
        <v>149</v>
      </c>
      <c r="B7" t="s">
        <v>1</v>
      </c>
      <c r="C7" t="s">
        <v>131</v>
      </c>
      <c r="D7">
        <v>1</v>
      </c>
      <c r="F7">
        <v>1</v>
      </c>
      <c r="G7">
        <v>6</v>
      </c>
      <c r="I7" t="s">
        <v>165</v>
      </c>
    </row>
    <row r="8" spans="1:24" x14ac:dyDescent="0.25">
      <c r="A8" t="s">
        <v>149</v>
      </c>
      <c r="B8" t="s">
        <v>42</v>
      </c>
      <c r="C8" t="s">
        <v>42</v>
      </c>
      <c r="F8">
        <v>8</v>
      </c>
      <c r="G8">
        <v>36</v>
      </c>
      <c r="H8" t="s">
        <v>169</v>
      </c>
      <c r="I8" t="s">
        <v>170</v>
      </c>
    </row>
    <row r="9" spans="1:24" x14ac:dyDescent="0.25">
      <c r="A9" t="s">
        <v>149</v>
      </c>
      <c r="B9" t="s">
        <v>42</v>
      </c>
      <c r="C9" t="s">
        <v>166</v>
      </c>
      <c r="F9">
        <v>17</v>
      </c>
      <c r="G9">
        <v>42</v>
      </c>
    </row>
    <row r="10" spans="1:24" x14ac:dyDescent="0.25">
      <c r="A10" t="s">
        <v>149</v>
      </c>
      <c r="B10" t="s">
        <v>42</v>
      </c>
      <c r="C10" t="s">
        <v>167</v>
      </c>
      <c r="D10">
        <v>1</v>
      </c>
      <c r="F10">
        <v>1</v>
      </c>
      <c r="G10">
        <v>5</v>
      </c>
      <c r="I10" t="s">
        <v>171</v>
      </c>
    </row>
    <row r="11" spans="1:24" x14ac:dyDescent="0.25">
      <c r="A11" t="s">
        <v>149</v>
      </c>
      <c r="B11" t="s">
        <v>42</v>
      </c>
      <c r="C11" t="s">
        <v>168</v>
      </c>
      <c r="E11">
        <v>1</v>
      </c>
      <c r="F11">
        <v>1</v>
      </c>
      <c r="G11">
        <v>6</v>
      </c>
    </row>
    <row r="12" spans="1:24" x14ac:dyDescent="0.25">
      <c r="A12" t="s">
        <v>173</v>
      </c>
      <c r="B12" t="s">
        <v>42</v>
      </c>
      <c r="C12" t="s">
        <v>42</v>
      </c>
      <c r="J12" t="s">
        <v>177</v>
      </c>
      <c r="K12">
        <v>8000</v>
      </c>
      <c r="L12" t="s">
        <v>178</v>
      </c>
    </row>
    <row r="13" spans="1:24" x14ac:dyDescent="0.25">
      <c r="A13" t="s">
        <v>173</v>
      </c>
      <c r="B13" t="s">
        <v>42</v>
      </c>
      <c r="C13" t="s">
        <v>142</v>
      </c>
      <c r="J13" t="s">
        <v>177</v>
      </c>
      <c r="K13">
        <v>1200</v>
      </c>
      <c r="L13" t="s">
        <v>178</v>
      </c>
    </row>
    <row r="14" spans="1:24" x14ac:dyDescent="0.25">
      <c r="A14" t="s">
        <v>173</v>
      </c>
      <c r="B14" t="s">
        <v>42</v>
      </c>
      <c r="C14" t="s">
        <v>141</v>
      </c>
      <c r="J14" t="s">
        <v>177</v>
      </c>
      <c r="K14">
        <v>4600</v>
      </c>
      <c r="L14" t="s">
        <v>178</v>
      </c>
    </row>
    <row r="15" spans="1:24" x14ac:dyDescent="0.25">
      <c r="A15" t="s">
        <v>173</v>
      </c>
      <c r="B15" t="s">
        <v>42</v>
      </c>
      <c r="C15" t="s">
        <v>139</v>
      </c>
      <c r="J15" t="s">
        <v>177</v>
      </c>
      <c r="K15">
        <v>2520</v>
      </c>
      <c r="L15" t="s">
        <v>178</v>
      </c>
    </row>
    <row r="16" spans="1:24" x14ac:dyDescent="0.25">
      <c r="A16" t="s">
        <v>173</v>
      </c>
      <c r="B16" t="s">
        <v>42</v>
      </c>
      <c r="C16" t="s">
        <v>168</v>
      </c>
      <c r="J16" t="s">
        <v>177</v>
      </c>
      <c r="K16">
        <v>2200</v>
      </c>
      <c r="L16" t="s">
        <v>178</v>
      </c>
    </row>
    <row r="17" spans="1:16" x14ac:dyDescent="0.25">
      <c r="A17" t="s">
        <v>173</v>
      </c>
      <c r="B17" t="s">
        <v>42</v>
      </c>
      <c r="C17" t="s">
        <v>145</v>
      </c>
      <c r="J17" t="s">
        <v>177</v>
      </c>
      <c r="K17">
        <v>1000</v>
      </c>
      <c r="L17" t="s">
        <v>178</v>
      </c>
    </row>
    <row r="18" spans="1:16" x14ac:dyDescent="0.25">
      <c r="A18" t="s">
        <v>173</v>
      </c>
      <c r="B18" t="s">
        <v>1</v>
      </c>
      <c r="C18" t="s">
        <v>125</v>
      </c>
      <c r="J18" t="s">
        <v>177</v>
      </c>
      <c r="K18">
        <v>15200</v>
      </c>
      <c r="L18" t="s">
        <v>178</v>
      </c>
    </row>
    <row r="19" spans="1:16" x14ac:dyDescent="0.25">
      <c r="A19" t="s">
        <v>179</v>
      </c>
      <c r="B19" t="s">
        <v>1</v>
      </c>
      <c r="C19" t="s">
        <v>125</v>
      </c>
      <c r="M19">
        <v>55000</v>
      </c>
    </row>
    <row r="20" spans="1:16" x14ac:dyDescent="0.25">
      <c r="A20" t="s">
        <v>179</v>
      </c>
      <c r="B20" t="s">
        <v>42</v>
      </c>
      <c r="C20" t="s">
        <v>141</v>
      </c>
      <c r="M20">
        <v>22000</v>
      </c>
    </row>
    <row r="21" spans="1:16" x14ac:dyDescent="0.25">
      <c r="A21" t="s">
        <v>179</v>
      </c>
      <c r="B21" t="s">
        <v>42</v>
      </c>
      <c r="C21" t="s">
        <v>145</v>
      </c>
      <c r="M21">
        <v>35000</v>
      </c>
    </row>
    <row r="22" spans="1:16" x14ac:dyDescent="0.25">
      <c r="A22" t="s">
        <v>179</v>
      </c>
      <c r="B22" t="s">
        <v>42</v>
      </c>
      <c r="C22" t="s">
        <v>42</v>
      </c>
      <c r="M22">
        <v>50000</v>
      </c>
    </row>
    <row r="23" spans="1:16" x14ac:dyDescent="0.25">
      <c r="A23" t="s">
        <v>0</v>
      </c>
      <c r="B23" t="s">
        <v>1</v>
      </c>
      <c r="C23" t="s">
        <v>2</v>
      </c>
      <c r="N23">
        <v>4132</v>
      </c>
    </row>
    <row r="24" spans="1:16" x14ac:dyDescent="0.25">
      <c r="A24" t="s">
        <v>0</v>
      </c>
      <c r="B24" t="s">
        <v>1</v>
      </c>
      <c r="C24" t="s">
        <v>3</v>
      </c>
      <c r="N24">
        <v>5612</v>
      </c>
    </row>
    <row r="25" spans="1:16" x14ac:dyDescent="0.25">
      <c r="A25" t="s">
        <v>0</v>
      </c>
      <c r="B25" t="s">
        <v>1</v>
      </c>
      <c r="C25" t="s">
        <v>4</v>
      </c>
      <c r="N25">
        <v>2000</v>
      </c>
    </row>
    <row r="26" spans="1:16" x14ac:dyDescent="0.25">
      <c r="A26" t="s">
        <v>8</v>
      </c>
      <c r="B26" t="s">
        <v>1</v>
      </c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3">
        <v>6740</v>
      </c>
      <c r="O26" s="5">
        <f>100</f>
        <v>100</v>
      </c>
    </row>
    <row r="27" spans="1:16" x14ac:dyDescent="0.25">
      <c r="A27" t="s">
        <v>8</v>
      </c>
      <c r="B27" t="s">
        <v>1</v>
      </c>
      <c r="C27" s="2" t="s">
        <v>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>
        <v>1764</v>
      </c>
      <c r="O27" s="5">
        <v>20</v>
      </c>
    </row>
    <row r="28" spans="1:16" x14ac:dyDescent="0.25">
      <c r="A28" t="s">
        <v>8</v>
      </c>
      <c r="B28" t="s">
        <v>1</v>
      </c>
      <c r="C28" s="2" t="s">
        <v>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3">
        <v>1500</v>
      </c>
      <c r="O28" s="5">
        <v>20</v>
      </c>
    </row>
    <row r="29" spans="1:16" x14ac:dyDescent="0.25">
      <c r="A29" t="s">
        <v>8</v>
      </c>
      <c r="B29" t="s">
        <v>1</v>
      </c>
      <c r="C29" s="2" t="s">
        <v>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3">
        <v>2360</v>
      </c>
      <c r="O29" s="6" t="s">
        <v>37</v>
      </c>
      <c r="P29" s="1"/>
    </row>
    <row r="30" spans="1:16" x14ac:dyDescent="0.25">
      <c r="A30" t="s">
        <v>8</v>
      </c>
      <c r="B30" t="s">
        <v>1</v>
      </c>
      <c r="C30" s="2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3">
        <v>1722</v>
      </c>
      <c r="O30" s="7" t="s">
        <v>30</v>
      </c>
    </row>
    <row r="31" spans="1:16" x14ac:dyDescent="0.25">
      <c r="A31" t="s">
        <v>8</v>
      </c>
      <c r="B31" t="s">
        <v>1</v>
      </c>
      <c r="C31" s="2" t="s">
        <v>15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3">
        <v>4400</v>
      </c>
      <c r="O31" s="7" t="s">
        <v>30</v>
      </c>
      <c r="P31" s="1"/>
    </row>
    <row r="32" spans="1:16" x14ac:dyDescent="0.25">
      <c r="A32" t="s">
        <v>8</v>
      </c>
      <c r="B32" t="s">
        <v>1</v>
      </c>
      <c r="C32" s="2" t="s">
        <v>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3">
        <v>1944</v>
      </c>
      <c r="O32" s="7" t="s">
        <v>30</v>
      </c>
      <c r="P32" s="1"/>
    </row>
    <row r="33" spans="1:16" x14ac:dyDescent="0.25">
      <c r="A33" t="s">
        <v>8</v>
      </c>
      <c r="B33" t="s">
        <v>1</v>
      </c>
      <c r="C33" s="2" t="s">
        <v>17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3">
        <v>5520</v>
      </c>
      <c r="O33" s="7" t="s">
        <v>30</v>
      </c>
    </row>
    <row r="34" spans="1:16" x14ac:dyDescent="0.25">
      <c r="A34" t="s">
        <v>8</v>
      </c>
      <c r="B34" t="s">
        <v>1</v>
      </c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3">
        <v>1810</v>
      </c>
      <c r="O34" s="7" t="s">
        <v>30</v>
      </c>
      <c r="P34" s="1"/>
    </row>
    <row r="35" spans="1:16" x14ac:dyDescent="0.25">
      <c r="A35" t="s">
        <v>8</v>
      </c>
      <c r="B35" t="s">
        <v>1</v>
      </c>
      <c r="C35" s="2" t="s">
        <v>11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3">
        <v>8256</v>
      </c>
      <c r="O35" s="7" t="s">
        <v>30</v>
      </c>
    </row>
    <row r="36" spans="1:16" x14ac:dyDescent="0.25">
      <c r="A36" t="s">
        <v>8</v>
      </c>
      <c r="B36" t="s">
        <v>1</v>
      </c>
      <c r="C36" s="2" t="s">
        <v>11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4">
        <v>456</v>
      </c>
      <c r="O36" s="7" t="s">
        <v>30</v>
      </c>
    </row>
    <row r="37" spans="1:16" x14ac:dyDescent="0.25">
      <c r="A37" t="s">
        <v>8</v>
      </c>
      <c r="B37" t="s">
        <v>1</v>
      </c>
      <c r="C37" s="2" t="s">
        <v>19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3">
        <v>5020</v>
      </c>
      <c r="O37" s="7" t="s">
        <v>30</v>
      </c>
    </row>
    <row r="38" spans="1:16" x14ac:dyDescent="0.25">
      <c r="A38" t="s">
        <v>8</v>
      </c>
      <c r="B38" t="s">
        <v>1</v>
      </c>
      <c r="C38" s="2" t="s">
        <v>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3">
        <v>6204</v>
      </c>
      <c r="O38" s="7" t="s">
        <v>30</v>
      </c>
    </row>
    <row r="39" spans="1:16" x14ac:dyDescent="0.25">
      <c r="A39" t="s">
        <v>8</v>
      </c>
      <c r="B39" t="s">
        <v>1</v>
      </c>
      <c r="C39" s="2" t="s">
        <v>21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4">
        <v>808</v>
      </c>
      <c r="O39" s="7" t="s">
        <v>30</v>
      </c>
    </row>
    <row r="40" spans="1:16" x14ac:dyDescent="0.25">
      <c r="A40" t="s">
        <v>8</v>
      </c>
      <c r="B40" t="s">
        <v>1</v>
      </c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>
        <v>6132</v>
      </c>
      <c r="O40" s="7" t="s">
        <v>29</v>
      </c>
    </row>
    <row r="41" spans="1:16" x14ac:dyDescent="0.25">
      <c r="A41" t="s">
        <v>8</v>
      </c>
      <c r="B41" t="s">
        <v>1</v>
      </c>
      <c r="C41" s="2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3">
        <v>1600</v>
      </c>
      <c r="O41" s="7" t="s">
        <v>29</v>
      </c>
    </row>
    <row r="42" spans="1:16" x14ac:dyDescent="0.25">
      <c r="A42" t="s">
        <v>8</v>
      </c>
      <c r="B42" t="s">
        <v>1</v>
      </c>
      <c r="C42" s="2" t="s">
        <v>12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3">
        <v>2000</v>
      </c>
      <c r="O42" s="7" t="s">
        <v>31</v>
      </c>
    </row>
    <row r="43" spans="1:16" x14ac:dyDescent="0.25">
      <c r="A43" t="s">
        <v>8</v>
      </c>
      <c r="B43" t="s">
        <v>1</v>
      </c>
      <c r="C43" s="2" t="s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3">
        <v>4944</v>
      </c>
      <c r="O43" s="7" t="s">
        <v>32</v>
      </c>
    </row>
    <row r="44" spans="1:16" x14ac:dyDescent="0.25">
      <c r="A44" t="s">
        <v>8</v>
      </c>
      <c r="B44" t="s">
        <v>1</v>
      </c>
      <c r="C44" s="2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3">
        <v>5644</v>
      </c>
      <c r="O44" s="7" t="s">
        <v>33</v>
      </c>
    </row>
    <row r="45" spans="1:16" x14ac:dyDescent="0.25">
      <c r="A45" t="s">
        <v>8</v>
      </c>
      <c r="B45" t="s">
        <v>1</v>
      </c>
      <c r="C45" s="2" t="s">
        <v>13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1025</v>
      </c>
      <c r="O45" s="7" t="s">
        <v>30</v>
      </c>
    </row>
    <row r="46" spans="1:16" x14ac:dyDescent="0.25">
      <c r="A46" t="s">
        <v>8</v>
      </c>
      <c r="B46" t="s">
        <v>1</v>
      </c>
      <c r="C46" s="2" t="s">
        <v>14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4049</v>
      </c>
      <c r="O46" s="7" t="s">
        <v>30</v>
      </c>
    </row>
    <row r="47" spans="1:16" x14ac:dyDescent="0.25">
      <c r="A47" t="s">
        <v>8</v>
      </c>
      <c r="B47" t="s">
        <v>1</v>
      </c>
      <c r="C47" s="2" t="s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8168</v>
      </c>
      <c r="O47" s="7" t="s">
        <v>30</v>
      </c>
    </row>
    <row r="48" spans="1:16" x14ac:dyDescent="0.25">
      <c r="A48" t="s">
        <v>8</v>
      </c>
      <c r="B48" t="s">
        <v>1</v>
      </c>
      <c r="C48" s="2" t="s">
        <v>38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3528</v>
      </c>
      <c r="O48" s="7" t="s">
        <v>34</v>
      </c>
    </row>
    <row r="49" spans="1:20" x14ac:dyDescent="0.25">
      <c r="A49" t="s">
        <v>8</v>
      </c>
      <c r="B49" t="s">
        <v>1</v>
      </c>
      <c r="C49" s="2" t="s">
        <v>23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8788</v>
      </c>
      <c r="O49" s="7" t="s">
        <v>34</v>
      </c>
    </row>
    <row r="50" spans="1:20" x14ac:dyDescent="0.25">
      <c r="A50" t="s">
        <v>8</v>
      </c>
      <c r="B50" t="s">
        <v>1</v>
      </c>
      <c r="C50" s="2" t="s">
        <v>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11000</v>
      </c>
      <c r="O50" s="6" t="s">
        <v>37</v>
      </c>
    </row>
    <row r="51" spans="1:20" x14ac:dyDescent="0.25">
      <c r="A51" t="s">
        <v>8</v>
      </c>
      <c r="B51" t="s">
        <v>1</v>
      </c>
      <c r="C51" s="2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5528</v>
      </c>
      <c r="O51" s="7" t="s">
        <v>41</v>
      </c>
    </row>
    <row r="52" spans="1:20" x14ac:dyDescent="0.25">
      <c r="A52" t="s">
        <v>8</v>
      </c>
      <c r="B52" t="s">
        <v>1</v>
      </c>
      <c r="C52" s="2" t="s">
        <v>40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3100</v>
      </c>
      <c r="O52" s="7" t="s">
        <v>33</v>
      </c>
    </row>
    <row r="53" spans="1:20" x14ac:dyDescent="0.25">
      <c r="A53" t="s">
        <v>8</v>
      </c>
      <c r="B53" t="s">
        <v>1</v>
      </c>
      <c r="C53" s="2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3">
        <v>3400</v>
      </c>
      <c r="O53" s="7" t="s">
        <v>30</v>
      </c>
    </row>
    <row r="54" spans="1:20" x14ac:dyDescent="0.25">
      <c r="A54" t="s">
        <v>8</v>
      </c>
      <c r="B54" t="s">
        <v>1</v>
      </c>
      <c r="C54" s="2" t="s"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3">
        <v>3068</v>
      </c>
      <c r="O54" s="7" t="s">
        <v>34</v>
      </c>
    </row>
    <row r="55" spans="1:20" x14ac:dyDescent="0.25">
      <c r="A55" t="s">
        <v>8</v>
      </c>
      <c r="B55" t="s">
        <v>1</v>
      </c>
      <c r="C55" s="2" t="s">
        <v>27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3">
        <v>8568</v>
      </c>
      <c r="O55" s="7" t="s">
        <v>28</v>
      </c>
    </row>
    <row r="56" spans="1:20" x14ac:dyDescent="0.25">
      <c r="A56" t="s">
        <v>8</v>
      </c>
      <c r="B56" t="s">
        <v>42</v>
      </c>
      <c r="C56" t="s">
        <v>43</v>
      </c>
      <c r="N56">
        <v>9.9719999999999995</v>
      </c>
      <c r="O56" s="6" t="s">
        <v>32</v>
      </c>
    </row>
    <row r="57" spans="1:20" x14ac:dyDescent="0.25">
      <c r="A57" t="s">
        <v>8</v>
      </c>
      <c r="B57" t="s">
        <v>42</v>
      </c>
      <c r="C57" t="s">
        <v>44</v>
      </c>
      <c r="N57">
        <v>18.492000000000001</v>
      </c>
      <c r="O57" s="6" t="s">
        <v>32</v>
      </c>
    </row>
    <row r="58" spans="1:20" x14ac:dyDescent="0.25">
      <c r="A58" t="s">
        <v>181</v>
      </c>
      <c r="B58" t="s">
        <v>1</v>
      </c>
      <c r="C58" t="s">
        <v>73</v>
      </c>
      <c r="P58">
        <v>1</v>
      </c>
      <c r="R58">
        <v>3</v>
      </c>
      <c r="T58" t="s">
        <v>91</v>
      </c>
    </row>
    <row r="59" spans="1:20" x14ac:dyDescent="0.25">
      <c r="A59" t="s">
        <v>181</v>
      </c>
      <c r="B59" t="s">
        <v>1</v>
      </c>
      <c r="C59" t="s">
        <v>45</v>
      </c>
      <c r="P59">
        <v>1</v>
      </c>
      <c r="Q59" s="5"/>
      <c r="R59">
        <v>1</v>
      </c>
      <c r="T59" t="s">
        <v>91</v>
      </c>
    </row>
    <row r="60" spans="1:20" x14ac:dyDescent="0.25">
      <c r="A60" t="s">
        <v>181</v>
      </c>
      <c r="B60" t="s">
        <v>1</v>
      </c>
      <c r="C60" s="1" t="s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  <c r="P60">
        <v>1</v>
      </c>
      <c r="Q60" s="5"/>
      <c r="R60">
        <v>1</v>
      </c>
      <c r="T60" t="s">
        <v>91</v>
      </c>
    </row>
    <row r="61" spans="1:20" x14ac:dyDescent="0.25">
      <c r="A61" t="s">
        <v>181</v>
      </c>
      <c r="B61" t="s">
        <v>1</v>
      </c>
      <c r="C61" s="1" t="s">
        <v>74</v>
      </c>
      <c r="D61" s="1"/>
      <c r="E61" s="1"/>
      <c r="F61" s="1"/>
      <c r="G61" s="1"/>
      <c r="H61" s="1"/>
      <c r="I61" s="1"/>
      <c r="J61" s="1"/>
      <c r="K61" s="1"/>
      <c r="L61" s="1"/>
      <c r="M61" s="1"/>
      <c r="P61">
        <v>1</v>
      </c>
      <c r="Q61" s="5"/>
      <c r="R61">
        <v>2</v>
      </c>
      <c r="T61" t="s">
        <v>91</v>
      </c>
    </row>
    <row r="62" spans="1:20" x14ac:dyDescent="0.25">
      <c r="A62" t="s">
        <v>181</v>
      </c>
      <c r="B62" t="s">
        <v>1</v>
      </c>
      <c r="C62" t="s">
        <v>47</v>
      </c>
      <c r="P62">
        <v>1</v>
      </c>
      <c r="Q62" s="5"/>
      <c r="R62">
        <v>1</v>
      </c>
      <c r="T62" t="s">
        <v>91</v>
      </c>
    </row>
    <row r="63" spans="1:20" x14ac:dyDescent="0.25">
      <c r="A63" t="s">
        <v>181</v>
      </c>
      <c r="B63" t="s">
        <v>1</v>
      </c>
      <c r="C63" t="s">
        <v>75</v>
      </c>
      <c r="P63">
        <v>1</v>
      </c>
      <c r="Q63" s="5"/>
      <c r="R63">
        <v>1</v>
      </c>
      <c r="T63" t="s">
        <v>92</v>
      </c>
    </row>
    <row r="64" spans="1:20" x14ac:dyDescent="0.25">
      <c r="A64" t="s">
        <v>181</v>
      </c>
      <c r="B64" t="s">
        <v>1</v>
      </c>
      <c r="C64" t="s">
        <v>48</v>
      </c>
      <c r="P64">
        <v>1</v>
      </c>
      <c r="Q64" s="5"/>
      <c r="R64">
        <v>4</v>
      </c>
      <c r="T64" t="s">
        <v>93</v>
      </c>
    </row>
    <row r="65" spans="1:20" x14ac:dyDescent="0.25">
      <c r="A65" t="s">
        <v>181</v>
      </c>
      <c r="B65" t="s">
        <v>1</v>
      </c>
      <c r="C65" t="s">
        <v>49</v>
      </c>
      <c r="P65">
        <v>1</v>
      </c>
      <c r="Q65" s="5"/>
      <c r="R65">
        <v>2</v>
      </c>
      <c r="T65" t="s">
        <v>92</v>
      </c>
    </row>
    <row r="66" spans="1:20" x14ac:dyDescent="0.25">
      <c r="A66" t="s">
        <v>181</v>
      </c>
      <c r="B66" t="s">
        <v>1</v>
      </c>
      <c r="C66" t="s">
        <v>50</v>
      </c>
      <c r="P66">
        <v>1</v>
      </c>
      <c r="Q66" s="5"/>
      <c r="R66">
        <v>3</v>
      </c>
      <c r="T66" t="s">
        <v>94</v>
      </c>
    </row>
    <row r="67" spans="1:20" x14ac:dyDescent="0.25">
      <c r="A67" t="s">
        <v>181</v>
      </c>
      <c r="B67" t="s">
        <v>1</v>
      </c>
      <c r="C67" t="s">
        <v>76</v>
      </c>
      <c r="Q67" s="5">
        <v>1</v>
      </c>
      <c r="S67">
        <v>1</v>
      </c>
      <c r="T67" t="s">
        <v>95</v>
      </c>
    </row>
    <row r="68" spans="1:20" x14ac:dyDescent="0.25">
      <c r="A68" t="s">
        <v>181</v>
      </c>
      <c r="B68" t="s">
        <v>1</v>
      </c>
      <c r="C68" t="s">
        <v>76</v>
      </c>
      <c r="P68">
        <v>1</v>
      </c>
      <c r="Q68" s="5"/>
      <c r="R68">
        <v>5</v>
      </c>
      <c r="T68" t="s">
        <v>96</v>
      </c>
    </row>
    <row r="69" spans="1:20" x14ac:dyDescent="0.25">
      <c r="A69" t="s">
        <v>181</v>
      </c>
      <c r="B69" t="s">
        <v>1</v>
      </c>
      <c r="C69" t="s">
        <v>77</v>
      </c>
      <c r="P69">
        <v>1</v>
      </c>
      <c r="Q69" s="5"/>
      <c r="R69">
        <v>3</v>
      </c>
      <c r="T69" t="s">
        <v>96</v>
      </c>
    </row>
    <row r="70" spans="1:20" x14ac:dyDescent="0.25">
      <c r="A70" t="s">
        <v>181</v>
      </c>
      <c r="B70" t="s">
        <v>1</v>
      </c>
      <c r="C70" t="s">
        <v>51</v>
      </c>
      <c r="P70">
        <v>1</v>
      </c>
      <c r="Q70" s="5"/>
      <c r="R70">
        <v>2</v>
      </c>
      <c r="T70" t="s">
        <v>96</v>
      </c>
    </row>
    <row r="71" spans="1:20" x14ac:dyDescent="0.25">
      <c r="A71" t="s">
        <v>181</v>
      </c>
      <c r="B71" t="s">
        <v>1</v>
      </c>
      <c r="C71" t="s">
        <v>78</v>
      </c>
      <c r="P71">
        <v>1</v>
      </c>
      <c r="Q71" s="5"/>
      <c r="R71">
        <v>4</v>
      </c>
      <c r="T71" t="s">
        <v>97</v>
      </c>
    </row>
    <row r="72" spans="1:20" x14ac:dyDescent="0.25">
      <c r="A72" t="s">
        <v>181</v>
      </c>
      <c r="B72" t="s">
        <v>1</v>
      </c>
      <c r="C72" t="s">
        <v>78</v>
      </c>
      <c r="P72">
        <v>1</v>
      </c>
      <c r="Q72" s="5"/>
      <c r="R72">
        <v>2</v>
      </c>
      <c r="T72" t="s">
        <v>97</v>
      </c>
    </row>
    <row r="73" spans="1:20" x14ac:dyDescent="0.25">
      <c r="A73" t="s">
        <v>181</v>
      </c>
      <c r="B73" t="s">
        <v>1</v>
      </c>
      <c r="C73" t="s">
        <v>55</v>
      </c>
      <c r="P73">
        <v>1</v>
      </c>
      <c r="Q73" s="5"/>
      <c r="R73">
        <v>2</v>
      </c>
      <c r="T73" t="s">
        <v>97</v>
      </c>
    </row>
    <row r="74" spans="1:20" x14ac:dyDescent="0.25">
      <c r="A74" t="s">
        <v>181</v>
      </c>
      <c r="B74" t="s">
        <v>1</v>
      </c>
      <c r="C74" t="s">
        <v>79</v>
      </c>
      <c r="P74">
        <v>1</v>
      </c>
      <c r="Q74" s="5"/>
      <c r="R74">
        <v>5</v>
      </c>
      <c r="T74" t="s">
        <v>97</v>
      </c>
    </row>
    <row r="75" spans="1:20" x14ac:dyDescent="0.25">
      <c r="A75" t="s">
        <v>181</v>
      </c>
      <c r="B75" t="s">
        <v>1</v>
      </c>
      <c r="C75" t="s">
        <v>56</v>
      </c>
      <c r="P75">
        <v>1</v>
      </c>
      <c r="Q75" s="5"/>
      <c r="R75">
        <v>2</v>
      </c>
      <c r="T75" t="s">
        <v>97</v>
      </c>
    </row>
    <row r="76" spans="1:20" x14ac:dyDescent="0.25">
      <c r="A76" t="s">
        <v>181</v>
      </c>
      <c r="B76" t="s">
        <v>1</v>
      </c>
      <c r="C76" t="s">
        <v>57</v>
      </c>
      <c r="P76">
        <v>4</v>
      </c>
      <c r="Q76" s="5"/>
      <c r="R76">
        <v>8</v>
      </c>
      <c r="T76" t="s">
        <v>98</v>
      </c>
    </row>
    <row r="77" spans="1:20" x14ac:dyDescent="0.25">
      <c r="A77" t="s">
        <v>181</v>
      </c>
      <c r="B77" t="s">
        <v>1</v>
      </c>
      <c r="C77" t="s">
        <v>58</v>
      </c>
      <c r="P77">
        <v>28</v>
      </c>
      <c r="Q77" s="5"/>
      <c r="R77">
        <v>64</v>
      </c>
      <c r="T77" t="s">
        <v>99</v>
      </c>
    </row>
    <row r="78" spans="1:20" x14ac:dyDescent="0.25">
      <c r="A78" t="s">
        <v>181</v>
      </c>
      <c r="B78" t="s">
        <v>1</v>
      </c>
      <c r="C78" t="s">
        <v>59</v>
      </c>
      <c r="Q78" s="5"/>
      <c r="T78" t="s">
        <v>99</v>
      </c>
    </row>
    <row r="79" spans="1:20" x14ac:dyDescent="0.25">
      <c r="A79" t="s">
        <v>181</v>
      </c>
      <c r="B79" t="s">
        <v>1</v>
      </c>
      <c r="C79" t="s">
        <v>60</v>
      </c>
      <c r="P79">
        <v>3</v>
      </c>
      <c r="Q79" s="5"/>
      <c r="R79">
        <v>9</v>
      </c>
      <c r="T79" t="s">
        <v>99</v>
      </c>
    </row>
    <row r="80" spans="1:20" x14ac:dyDescent="0.25">
      <c r="A80" t="s">
        <v>181</v>
      </c>
      <c r="B80" t="s">
        <v>1</v>
      </c>
      <c r="C80" t="s">
        <v>80</v>
      </c>
      <c r="P80">
        <v>1</v>
      </c>
      <c r="Q80" s="5"/>
      <c r="R80">
        <v>4</v>
      </c>
      <c r="T80" t="s">
        <v>92</v>
      </c>
    </row>
    <row r="81" spans="1:20" x14ac:dyDescent="0.25">
      <c r="A81" t="s">
        <v>181</v>
      </c>
      <c r="B81" t="s">
        <v>1</v>
      </c>
      <c r="C81" t="s">
        <v>61</v>
      </c>
      <c r="P81">
        <v>5</v>
      </c>
      <c r="Q81" s="5"/>
      <c r="R81">
        <v>11</v>
      </c>
      <c r="T81" t="s">
        <v>92</v>
      </c>
    </row>
    <row r="82" spans="1:20" x14ac:dyDescent="0.25">
      <c r="A82" t="s">
        <v>181</v>
      </c>
      <c r="B82" t="s">
        <v>1</v>
      </c>
      <c r="C82" t="s">
        <v>62</v>
      </c>
      <c r="P82">
        <v>3</v>
      </c>
      <c r="Q82" s="5"/>
      <c r="R82">
        <v>6</v>
      </c>
      <c r="T82" t="s">
        <v>92</v>
      </c>
    </row>
    <row r="83" spans="1:20" x14ac:dyDescent="0.25">
      <c r="A83" t="s">
        <v>181</v>
      </c>
      <c r="B83" t="s">
        <v>1</v>
      </c>
      <c r="C83" t="s">
        <v>81</v>
      </c>
      <c r="P83">
        <v>2</v>
      </c>
      <c r="Q83" s="5"/>
      <c r="R83">
        <v>3</v>
      </c>
      <c r="T83" t="s">
        <v>92</v>
      </c>
    </row>
    <row r="84" spans="1:20" x14ac:dyDescent="0.25">
      <c r="A84" t="s">
        <v>181</v>
      </c>
      <c r="B84" t="s">
        <v>1</v>
      </c>
      <c r="C84" t="s">
        <v>63</v>
      </c>
      <c r="P84">
        <v>1</v>
      </c>
      <c r="Q84" s="5"/>
      <c r="R84">
        <v>2</v>
      </c>
      <c r="T84" t="s">
        <v>92</v>
      </c>
    </row>
    <row r="85" spans="1:20" x14ac:dyDescent="0.25">
      <c r="A85" t="s">
        <v>181</v>
      </c>
      <c r="B85" t="s">
        <v>1</v>
      </c>
      <c r="C85" t="s">
        <v>64</v>
      </c>
      <c r="P85">
        <v>1</v>
      </c>
      <c r="Q85" s="5"/>
      <c r="R85">
        <v>2</v>
      </c>
      <c r="T85" t="s">
        <v>92</v>
      </c>
    </row>
    <row r="86" spans="1:20" x14ac:dyDescent="0.25">
      <c r="A86" t="s">
        <v>181</v>
      </c>
      <c r="B86" t="s">
        <v>1</v>
      </c>
      <c r="C86" t="s">
        <v>65</v>
      </c>
      <c r="P86">
        <v>1</v>
      </c>
      <c r="Q86" s="5"/>
      <c r="R86">
        <v>2</v>
      </c>
      <c r="T86" t="s">
        <v>92</v>
      </c>
    </row>
    <row r="87" spans="1:20" x14ac:dyDescent="0.25">
      <c r="A87" t="s">
        <v>181</v>
      </c>
      <c r="B87" t="s">
        <v>1</v>
      </c>
      <c r="C87" t="s">
        <v>66</v>
      </c>
      <c r="P87">
        <v>2</v>
      </c>
      <c r="Q87" s="5"/>
      <c r="R87">
        <v>4</v>
      </c>
      <c r="T87" t="s">
        <v>92</v>
      </c>
    </row>
    <row r="88" spans="1:20" x14ac:dyDescent="0.25">
      <c r="A88" t="s">
        <v>181</v>
      </c>
      <c r="B88" t="s">
        <v>1</v>
      </c>
      <c r="C88" t="s">
        <v>67</v>
      </c>
      <c r="P88">
        <v>1</v>
      </c>
      <c r="Q88" s="5"/>
      <c r="R88">
        <v>6</v>
      </c>
      <c r="T88" t="s">
        <v>92</v>
      </c>
    </row>
    <row r="89" spans="1:20" x14ac:dyDescent="0.25">
      <c r="A89" t="s">
        <v>181</v>
      </c>
      <c r="B89" t="s">
        <v>1</v>
      </c>
      <c r="C89" t="s">
        <v>68</v>
      </c>
      <c r="P89">
        <v>3</v>
      </c>
      <c r="Q89" s="5"/>
      <c r="R89">
        <v>10</v>
      </c>
      <c r="T89" t="s">
        <v>92</v>
      </c>
    </row>
    <row r="90" spans="1:20" x14ac:dyDescent="0.25">
      <c r="A90" t="s">
        <v>181</v>
      </c>
      <c r="B90" t="s">
        <v>1</v>
      </c>
      <c r="C90" t="s">
        <v>69</v>
      </c>
      <c r="P90">
        <v>1</v>
      </c>
      <c r="Q90" s="5"/>
      <c r="R90">
        <v>2</v>
      </c>
      <c r="T90" t="s">
        <v>92</v>
      </c>
    </row>
    <row r="91" spans="1:20" x14ac:dyDescent="0.25">
      <c r="A91" t="s">
        <v>181</v>
      </c>
      <c r="B91" t="s">
        <v>1</v>
      </c>
      <c r="C91" t="s">
        <v>70</v>
      </c>
      <c r="P91">
        <v>1</v>
      </c>
      <c r="Q91" s="5"/>
      <c r="R91">
        <v>5</v>
      </c>
      <c r="T91" t="s">
        <v>92</v>
      </c>
    </row>
    <row r="92" spans="1:20" x14ac:dyDescent="0.25">
      <c r="A92" t="s">
        <v>181</v>
      </c>
      <c r="B92" t="s">
        <v>1</v>
      </c>
      <c r="C92" t="s">
        <v>71</v>
      </c>
      <c r="P92">
        <v>2</v>
      </c>
      <c r="Q92" s="5"/>
      <c r="R92">
        <v>5</v>
      </c>
      <c r="T92" t="s">
        <v>92</v>
      </c>
    </row>
    <row r="93" spans="1:20" x14ac:dyDescent="0.25">
      <c r="A93" t="s">
        <v>181</v>
      </c>
      <c r="B93" t="s">
        <v>1</v>
      </c>
      <c r="C93" t="s">
        <v>15</v>
      </c>
      <c r="Q93" s="5">
        <v>1</v>
      </c>
      <c r="S93">
        <v>1</v>
      </c>
      <c r="T93" t="s">
        <v>92</v>
      </c>
    </row>
    <row r="94" spans="1:20" x14ac:dyDescent="0.25">
      <c r="A94" t="s">
        <v>181</v>
      </c>
      <c r="B94" t="s">
        <v>1</v>
      </c>
      <c r="C94" t="s">
        <v>72</v>
      </c>
      <c r="Q94" s="5">
        <v>1</v>
      </c>
      <c r="S94">
        <v>1</v>
      </c>
      <c r="T94" t="s">
        <v>92</v>
      </c>
    </row>
    <row r="95" spans="1:20" x14ac:dyDescent="0.25">
      <c r="A95" t="s">
        <v>181</v>
      </c>
      <c r="B95" t="s">
        <v>1</v>
      </c>
      <c r="C95" t="s">
        <v>82</v>
      </c>
      <c r="P95">
        <v>1</v>
      </c>
      <c r="Q95" s="5"/>
      <c r="R95">
        <v>3</v>
      </c>
      <c r="T95" t="s">
        <v>92</v>
      </c>
    </row>
    <row r="96" spans="1:20" x14ac:dyDescent="0.25">
      <c r="A96" t="s">
        <v>181</v>
      </c>
      <c r="B96" t="s">
        <v>1</v>
      </c>
      <c r="C96" t="s">
        <v>82</v>
      </c>
      <c r="P96">
        <v>1</v>
      </c>
      <c r="Q96" s="5"/>
      <c r="R96">
        <v>2</v>
      </c>
      <c r="T96" t="s">
        <v>91</v>
      </c>
    </row>
    <row r="97" spans="1:20" x14ac:dyDescent="0.25">
      <c r="A97" t="s">
        <v>181</v>
      </c>
      <c r="B97" t="s">
        <v>1</v>
      </c>
      <c r="C97" t="s">
        <v>82</v>
      </c>
      <c r="P97">
        <v>1</v>
      </c>
      <c r="Q97" s="5"/>
      <c r="R97">
        <v>3</v>
      </c>
      <c r="T97" t="s">
        <v>91</v>
      </c>
    </row>
    <row r="98" spans="1:20" x14ac:dyDescent="0.25">
      <c r="A98" t="s">
        <v>181</v>
      </c>
      <c r="B98" t="s">
        <v>1</v>
      </c>
      <c r="C98" t="s">
        <v>82</v>
      </c>
      <c r="P98">
        <v>1</v>
      </c>
      <c r="Q98" s="5"/>
      <c r="R98">
        <v>2</v>
      </c>
      <c r="T98" t="s">
        <v>91</v>
      </c>
    </row>
    <row r="99" spans="1:20" x14ac:dyDescent="0.25">
      <c r="A99" t="s">
        <v>181</v>
      </c>
      <c r="B99" t="s">
        <v>1</v>
      </c>
      <c r="C99" t="s">
        <v>83</v>
      </c>
      <c r="P99">
        <v>1</v>
      </c>
      <c r="Q99" s="5"/>
      <c r="R99">
        <v>1</v>
      </c>
      <c r="T99" t="s">
        <v>91</v>
      </c>
    </row>
    <row r="100" spans="1:20" x14ac:dyDescent="0.25">
      <c r="A100" t="s">
        <v>181</v>
      </c>
      <c r="B100" t="s">
        <v>1</v>
      </c>
      <c r="C100" t="s">
        <v>52</v>
      </c>
      <c r="P100">
        <v>1</v>
      </c>
      <c r="Q100" s="5"/>
      <c r="R100">
        <v>1</v>
      </c>
      <c r="T100" t="s">
        <v>91</v>
      </c>
    </row>
    <row r="101" spans="1:20" x14ac:dyDescent="0.25">
      <c r="A101" t="s">
        <v>181</v>
      </c>
      <c r="B101" t="s">
        <v>1</v>
      </c>
      <c r="C101" t="s">
        <v>24</v>
      </c>
      <c r="Q101" s="5">
        <v>1</v>
      </c>
      <c r="S101">
        <v>2</v>
      </c>
      <c r="T101" t="s">
        <v>92</v>
      </c>
    </row>
    <row r="102" spans="1:20" x14ac:dyDescent="0.25">
      <c r="A102" t="s">
        <v>181</v>
      </c>
      <c r="B102" t="s">
        <v>1</v>
      </c>
      <c r="C102" t="s">
        <v>84</v>
      </c>
      <c r="P102">
        <v>1</v>
      </c>
      <c r="Q102" s="5"/>
      <c r="R102">
        <v>1</v>
      </c>
      <c r="T102" t="s">
        <v>91</v>
      </c>
    </row>
    <row r="103" spans="1:20" x14ac:dyDescent="0.25">
      <c r="A103" t="s">
        <v>181</v>
      </c>
      <c r="B103" t="s">
        <v>1</v>
      </c>
      <c r="C103" t="s">
        <v>53</v>
      </c>
      <c r="P103">
        <v>1</v>
      </c>
      <c r="Q103" s="5"/>
      <c r="R103">
        <v>1</v>
      </c>
      <c r="T103" t="s">
        <v>91</v>
      </c>
    </row>
    <row r="104" spans="1:20" x14ac:dyDescent="0.25">
      <c r="A104" t="s">
        <v>181</v>
      </c>
      <c r="B104" t="s">
        <v>1</v>
      </c>
      <c r="C104" t="s">
        <v>54</v>
      </c>
      <c r="Q104" s="5">
        <v>1</v>
      </c>
      <c r="R104">
        <v>4</v>
      </c>
      <c r="S104">
        <v>1</v>
      </c>
      <c r="T104" t="s">
        <v>92</v>
      </c>
    </row>
    <row r="105" spans="1:20" x14ac:dyDescent="0.25">
      <c r="A105" t="s">
        <v>181</v>
      </c>
      <c r="B105" t="s">
        <v>1</v>
      </c>
      <c r="C105" t="s">
        <v>27</v>
      </c>
      <c r="P105">
        <v>1</v>
      </c>
      <c r="Q105" s="5"/>
      <c r="R105">
        <v>3</v>
      </c>
      <c r="T105" t="s">
        <v>92</v>
      </c>
    </row>
    <row r="106" spans="1:20" x14ac:dyDescent="0.25">
      <c r="A106" t="s">
        <v>181</v>
      </c>
      <c r="B106" t="s">
        <v>42</v>
      </c>
      <c r="C106" t="s">
        <v>100</v>
      </c>
      <c r="P106">
        <v>1</v>
      </c>
      <c r="R106">
        <v>3</v>
      </c>
      <c r="T106" t="s">
        <v>104</v>
      </c>
    </row>
    <row r="107" spans="1:20" x14ac:dyDescent="0.25">
      <c r="A107" t="s">
        <v>181</v>
      </c>
      <c r="B107" t="s">
        <v>42</v>
      </c>
      <c r="C107" t="s">
        <v>101</v>
      </c>
      <c r="P107">
        <v>1</v>
      </c>
      <c r="R107">
        <v>3</v>
      </c>
      <c r="T107" t="s">
        <v>104</v>
      </c>
    </row>
    <row r="108" spans="1:20" x14ac:dyDescent="0.25">
      <c r="A108" t="s">
        <v>181</v>
      </c>
      <c r="B108" t="s">
        <v>42</v>
      </c>
      <c r="C108" t="s">
        <v>101</v>
      </c>
      <c r="Q108">
        <v>1</v>
      </c>
      <c r="S108">
        <v>1</v>
      </c>
      <c r="T108" t="s">
        <v>104</v>
      </c>
    </row>
    <row r="109" spans="1:20" x14ac:dyDescent="0.25">
      <c r="A109" t="s">
        <v>181</v>
      </c>
      <c r="B109" t="s">
        <v>42</v>
      </c>
      <c r="C109" t="s">
        <v>102</v>
      </c>
      <c r="P109">
        <v>1</v>
      </c>
      <c r="R109">
        <v>1</v>
      </c>
      <c r="T109" t="s">
        <v>104</v>
      </c>
    </row>
    <row r="110" spans="1:20" x14ac:dyDescent="0.25">
      <c r="A110" t="s">
        <v>181</v>
      </c>
      <c r="B110" t="s">
        <v>42</v>
      </c>
      <c r="C110" t="s">
        <v>103</v>
      </c>
      <c r="P110">
        <v>1</v>
      </c>
      <c r="R110">
        <v>3</v>
      </c>
      <c r="T110" t="s">
        <v>104</v>
      </c>
    </row>
    <row r="111" spans="1:20" x14ac:dyDescent="0.25">
      <c r="A111" t="s">
        <v>181</v>
      </c>
      <c r="B111" t="s">
        <v>42</v>
      </c>
      <c r="C111" t="s">
        <v>105</v>
      </c>
      <c r="P111">
        <v>1</v>
      </c>
      <c r="R111">
        <v>1</v>
      </c>
      <c r="T111" t="s">
        <v>104</v>
      </c>
    </row>
    <row r="112" spans="1:20" x14ac:dyDescent="0.25">
      <c r="A112" t="s">
        <v>181</v>
      </c>
      <c r="B112" t="s">
        <v>42</v>
      </c>
      <c r="C112" t="s">
        <v>106</v>
      </c>
      <c r="P112">
        <v>1</v>
      </c>
      <c r="R112">
        <v>2</v>
      </c>
      <c r="T112" t="s">
        <v>104</v>
      </c>
    </row>
    <row r="113" spans="1:24" x14ac:dyDescent="0.25">
      <c r="A113" t="s">
        <v>181</v>
      </c>
      <c r="B113" t="s">
        <v>42</v>
      </c>
      <c r="C113" t="s">
        <v>107</v>
      </c>
      <c r="P113">
        <v>1</v>
      </c>
      <c r="R113">
        <v>1</v>
      </c>
      <c r="T113" t="s">
        <v>104</v>
      </c>
    </row>
    <row r="114" spans="1:24" x14ac:dyDescent="0.25">
      <c r="A114" t="s">
        <v>181</v>
      </c>
      <c r="B114" t="s">
        <v>42</v>
      </c>
      <c r="C114" t="s">
        <v>108</v>
      </c>
      <c r="P114">
        <v>1</v>
      </c>
      <c r="R114">
        <v>1</v>
      </c>
      <c r="T114" t="s">
        <v>104</v>
      </c>
    </row>
    <row r="115" spans="1:24" x14ac:dyDescent="0.25">
      <c r="A115" t="s">
        <v>181</v>
      </c>
      <c r="B115" t="s">
        <v>42</v>
      </c>
      <c r="C115" t="s">
        <v>44</v>
      </c>
      <c r="P115">
        <v>1</v>
      </c>
      <c r="R115">
        <v>8</v>
      </c>
      <c r="T115" t="s">
        <v>114</v>
      </c>
    </row>
    <row r="116" spans="1:24" x14ac:dyDescent="0.25">
      <c r="A116" t="s">
        <v>181</v>
      </c>
      <c r="B116" t="s">
        <v>42</v>
      </c>
      <c r="C116" t="s">
        <v>109</v>
      </c>
      <c r="P116">
        <v>1</v>
      </c>
      <c r="R116">
        <v>3</v>
      </c>
      <c r="T116" t="s">
        <v>115</v>
      </c>
    </row>
    <row r="117" spans="1:24" x14ac:dyDescent="0.25">
      <c r="A117" t="s">
        <v>181</v>
      </c>
      <c r="B117" t="s">
        <v>42</v>
      </c>
      <c r="C117" t="s">
        <v>110</v>
      </c>
      <c r="Q117">
        <v>1</v>
      </c>
      <c r="R117">
        <v>6</v>
      </c>
      <c r="T117" t="s">
        <v>116</v>
      </c>
    </row>
    <row r="118" spans="1:24" x14ac:dyDescent="0.25">
      <c r="A118" t="s">
        <v>181</v>
      </c>
      <c r="B118" t="s">
        <v>42</v>
      </c>
      <c r="C118" t="s">
        <v>111</v>
      </c>
      <c r="P118">
        <v>1</v>
      </c>
      <c r="R118">
        <v>3</v>
      </c>
      <c r="T118" t="s">
        <v>92</v>
      </c>
    </row>
    <row r="119" spans="1:24" x14ac:dyDescent="0.25">
      <c r="A119" t="s">
        <v>181</v>
      </c>
      <c r="B119" t="s">
        <v>42</v>
      </c>
      <c r="C119" t="s">
        <v>112</v>
      </c>
      <c r="P119">
        <v>1</v>
      </c>
      <c r="R119">
        <v>3</v>
      </c>
      <c r="T119" t="s">
        <v>92</v>
      </c>
    </row>
    <row r="120" spans="1:24" x14ac:dyDescent="0.25">
      <c r="A120" t="s">
        <v>181</v>
      </c>
      <c r="B120" t="s">
        <v>42</v>
      </c>
      <c r="C120" t="s">
        <v>113</v>
      </c>
      <c r="P120">
        <v>1</v>
      </c>
      <c r="R120">
        <v>3</v>
      </c>
      <c r="T120" t="s">
        <v>92</v>
      </c>
    </row>
    <row r="121" spans="1:24" x14ac:dyDescent="0.25">
      <c r="A121" t="s">
        <v>117</v>
      </c>
      <c r="B121" t="s">
        <v>1</v>
      </c>
      <c r="C121" t="s">
        <v>125</v>
      </c>
      <c r="U121">
        <v>36</v>
      </c>
      <c r="V121" s="5">
        <v>13</v>
      </c>
      <c r="W121">
        <v>293</v>
      </c>
      <c r="X121">
        <v>12</v>
      </c>
    </row>
    <row r="122" spans="1:24" x14ac:dyDescent="0.25">
      <c r="A122" t="s">
        <v>117</v>
      </c>
      <c r="B122" t="s">
        <v>1</v>
      </c>
      <c r="C122" t="s">
        <v>129</v>
      </c>
      <c r="U122">
        <v>1</v>
      </c>
      <c r="V122" s="5"/>
      <c r="W122">
        <v>6</v>
      </c>
    </row>
    <row r="123" spans="1:24" x14ac:dyDescent="0.25">
      <c r="A123" t="s">
        <v>117</v>
      </c>
      <c r="B123" t="s">
        <v>1</v>
      </c>
      <c r="C123" t="s">
        <v>25</v>
      </c>
      <c r="U123">
        <v>1</v>
      </c>
      <c r="W123">
        <v>4</v>
      </c>
    </row>
    <row r="124" spans="1:24" x14ac:dyDescent="0.25">
      <c r="A124" t="s">
        <v>117</v>
      </c>
      <c r="B124" t="s">
        <v>1</v>
      </c>
      <c r="C124" t="s">
        <v>118</v>
      </c>
      <c r="U124">
        <v>2</v>
      </c>
      <c r="W124">
        <v>3</v>
      </c>
    </row>
    <row r="125" spans="1:24" x14ac:dyDescent="0.25">
      <c r="A125" t="s">
        <v>117</v>
      </c>
      <c r="B125" t="s">
        <v>1</v>
      </c>
      <c r="C125" t="s">
        <v>119</v>
      </c>
      <c r="U125">
        <v>1</v>
      </c>
      <c r="W125">
        <v>1</v>
      </c>
    </row>
    <row r="126" spans="1:24" x14ac:dyDescent="0.25">
      <c r="A126" t="s">
        <v>117</v>
      </c>
      <c r="B126" t="s">
        <v>1</v>
      </c>
      <c r="C126" t="s">
        <v>72</v>
      </c>
      <c r="U126">
        <v>1</v>
      </c>
      <c r="W126">
        <v>1</v>
      </c>
    </row>
    <row r="127" spans="1:24" x14ac:dyDescent="0.25">
      <c r="A127" t="s">
        <v>117</v>
      </c>
      <c r="B127" t="s">
        <v>1</v>
      </c>
      <c r="C127" t="s">
        <v>126</v>
      </c>
      <c r="U127">
        <v>1</v>
      </c>
      <c r="W127">
        <v>2</v>
      </c>
    </row>
    <row r="128" spans="1:24" x14ac:dyDescent="0.25">
      <c r="A128" t="s">
        <v>117</v>
      </c>
      <c r="B128" t="s">
        <v>1</v>
      </c>
      <c r="C128" t="s">
        <v>9</v>
      </c>
      <c r="U128">
        <v>6</v>
      </c>
      <c r="V128">
        <v>1</v>
      </c>
      <c r="W128">
        <v>7</v>
      </c>
    </row>
    <row r="129" spans="1:24" x14ac:dyDescent="0.25">
      <c r="A129" t="s">
        <v>117</v>
      </c>
      <c r="B129" t="s">
        <v>1</v>
      </c>
      <c r="C129" t="s">
        <v>120</v>
      </c>
      <c r="U129">
        <v>1</v>
      </c>
      <c r="W129">
        <v>1</v>
      </c>
    </row>
    <row r="130" spans="1:24" x14ac:dyDescent="0.25">
      <c r="A130" t="s">
        <v>117</v>
      </c>
      <c r="B130" t="s">
        <v>1</v>
      </c>
      <c r="C130" t="s">
        <v>57</v>
      </c>
      <c r="U130">
        <v>7</v>
      </c>
      <c r="V130">
        <v>2</v>
      </c>
      <c r="W130">
        <v>38</v>
      </c>
    </row>
    <row r="131" spans="1:24" x14ac:dyDescent="0.25">
      <c r="A131" t="s">
        <v>117</v>
      </c>
      <c r="B131" t="s">
        <v>1</v>
      </c>
      <c r="C131" t="s">
        <v>121</v>
      </c>
      <c r="U131">
        <v>1</v>
      </c>
      <c r="W131">
        <v>2</v>
      </c>
    </row>
    <row r="132" spans="1:24" x14ac:dyDescent="0.25">
      <c r="A132" t="s">
        <v>117</v>
      </c>
      <c r="B132" t="s">
        <v>1</v>
      </c>
      <c r="C132" t="s">
        <v>122</v>
      </c>
      <c r="U132">
        <v>1</v>
      </c>
      <c r="W132">
        <v>2</v>
      </c>
    </row>
    <row r="133" spans="1:24" x14ac:dyDescent="0.25">
      <c r="A133" t="s">
        <v>117</v>
      </c>
      <c r="B133" t="s">
        <v>1</v>
      </c>
      <c r="C133" t="s">
        <v>127</v>
      </c>
      <c r="U133">
        <v>1</v>
      </c>
      <c r="W133">
        <v>5</v>
      </c>
    </row>
    <row r="134" spans="1:24" x14ac:dyDescent="0.25">
      <c r="A134" t="s">
        <v>117</v>
      </c>
      <c r="B134" t="s">
        <v>1</v>
      </c>
      <c r="C134" t="s">
        <v>123</v>
      </c>
      <c r="U134">
        <v>1</v>
      </c>
      <c r="W134">
        <v>2</v>
      </c>
    </row>
    <row r="135" spans="1:24" x14ac:dyDescent="0.25">
      <c r="A135" t="s">
        <v>117</v>
      </c>
      <c r="B135" t="s">
        <v>1</v>
      </c>
      <c r="C135" t="s">
        <v>124</v>
      </c>
      <c r="U135">
        <v>1</v>
      </c>
      <c r="W135">
        <v>2</v>
      </c>
    </row>
    <row r="136" spans="1:24" x14ac:dyDescent="0.25">
      <c r="A136" t="s">
        <v>117</v>
      </c>
      <c r="B136" t="s">
        <v>1</v>
      </c>
      <c r="C136" t="s">
        <v>128</v>
      </c>
      <c r="U136">
        <v>2</v>
      </c>
      <c r="W136">
        <v>12</v>
      </c>
    </row>
    <row r="137" spans="1:24" x14ac:dyDescent="0.25">
      <c r="A137" t="s">
        <v>117</v>
      </c>
      <c r="B137" t="s">
        <v>1</v>
      </c>
      <c r="C137" t="s">
        <v>130</v>
      </c>
      <c r="U137">
        <v>1</v>
      </c>
      <c r="W137">
        <v>2</v>
      </c>
    </row>
    <row r="138" spans="1:24" x14ac:dyDescent="0.25">
      <c r="A138" t="s">
        <v>117</v>
      </c>
      <c r="B138" t="s">
        <v>1</v>
      </c>
      <c r="C138" t="s">
        <v>131</v>
      </c>
      <c r="U138">
        <v>1</v>
      </c>
      <c r="W138">
        <v>2</v>
      </c>
    </row>
    <row r="139" spans="1:24" x14ac:dyDescent="0.25">
      <c r="A139" t="s">
        <v>117</v>
      </c>
      <c r="B139" t="s">
        <v>42</v>
      </c>
      <c r="C139" t="s">
        <v>42</v>
      </c>
      <c r="U139">
        <v>29</v>
      </c>
      <c r="V139">
        <v>11</v>
      </c>
      <c r="W139">
        <v>163</v>
      </c>
      <c r="X139">
        <v>4</v>
      </c>
    </row>
    <row r="140" spans="1:24" x14ac:dyDescent="0.25">
      <c r="A140" t="s">
        <v>117</v>
      </c>
      <c r="B140" t="s">
        <v>136</v>
      </c>
      <c r="C140" t="s">
        <v>42</v>
      </c>
      <c r="U140">
        <v>1</v>
      </c>
      <c r="V140">
        <v>1</v>
      </c>
      <c r="W140">
        <v>10</v>
      </c>
    </row>
    <row r="141" spans="1:24" x14ac:dyDescent="0.25">
      <c r="A141" t="s">
        <v>117</v>
      </c>
      <c r="B141" t="s">
        <v>137</v>
      </c>
      <c r="C141" t="s">
        <v>42</v>
      </c>
      <c r="U141">
        <v>1</v>
      </c>
      <c r="W141">
        <v>2</v>
      </c>
    </row>
    <row r="142" spans="1:24" x14ac:dyDescent="0.25">
      <c r="A142" t="s">
        <v>117</v>
      </c>
      <c r="B142" t="s">
        <v>138</v>
      </c>
      <c r="C142" t="s">
        <v>42</v>
      </c>
      <c r="U142">
        <v>1</v>
      </c>
      <c r="W142">
        <v>4</v>
      </c>
    </row>
    <row r="143" spans="1:24" x14ac:dyDescent="0.25">
      <c r="A143" t="s">
        <v>117</v>
      </c>
      <c r="B143" t="s">
        <v>139</v>
      </c>
      <c r="C143" t="s">
        <v>42</v>
      </c>
      <c r="U143">
        <v>6</v>
      </c>
      <c r="V143">
        <v>2</v>
      </c>
      <c r="W143">
        <v>32</v>
      </c>
    </row>
    <row r="144" spans="1:24" x14ac:dyDescent="0.25">
      <c r="A144" t="s">
        <v>117</v>
      </c>
      <c r="B144" t="s">
        <v>140</v>
      </c>
      <c r="C144" t="s">
        <v>42</v>
      </c>
      <c r="U144">
        <v>1</v>
      </c>
      <c r="W144">
        <v>4</v>
      </c>
    </row>
    <row r="145" spans="1:24" x14ac:dyDescent="0.25">
      <c r="A145" t="s">
        <v>117</v>
      </c>
      <c r="B145" t="s">
        <v>141</v>
      </c>
      <c r="C145" t="s">
        <v>42</v>
      </c>
      <c r="U145">
        <v>8</v>
      </c>
      <c r="V145">
        <v>2</v>
      </c>
      <c r="W145">
        <v>60</v>
      </c>
      <c r="X145">
        <v>5</v>
      </c>
    </row>
    <row r="146" spans="1:24" x14ac:dyDescent="0.25">
      <c r="A146" t="s">
        <v>117</v>
      </c>
      <c r="B146" t="s">
        <v>142</v>
      </c>
      <c r="C146" t="s">
        <v>42</v>
      </c>
      <c r="U146">
        <v>4</v>
      </c>
      <c r="V146">
        <v>1</v>
      </c>
      <c r="W146">
        <v>20</v>
      </c>
    </row>
    <row r="147" spans="1:24" x14ac:dyDescent="0.25">
      <c r="A147" t="s">
        <v>117</v>
      </c>
      <c r="B147" t="s">
        <v>143</v>
      </c>
      <c r="C147" t="s">
        <v>42</v>
      </c>
      <c r="U147">
        <v>1</v>
      </c>
      <c r="W147">
        <v>5</v>
      </c>
    </row>
    <row r="148" spans="1:24" x14ac:dyDescent="0.25">
      <c r="A148" t="s">
        <v>117</v>
      </c>
      <c r="B148" t="s">
        <v>144</v>
      </c>
      <c r="C148" t="s">
        <v>42</v>
      </c>
      <c r="U148">
        <v>2</v>
      </c>
      <c r="W148">
        <v>18</v>
      </c>
    </row>
    <row r="149" spans="1:24" x14ac:dyDescent="0.25">
      <c r="A149" t="s">
        <v>117</v>
      </c>
      <c r="B149" t="s">
        <v>145</v>
      </c>
      <c r="C149" t="s">
        <v>42</v>
      </c>
      <c r="U149">
        <v>5</v>
      </c>
      <c r="V149">
        <v>1</v>
      </c>
      <c r="W149">
        <v>22</v>
      </c>
    </row>
    <row r="150" spans="1:24" x14ac:dyDescent="0.25">
      <c r="A150" t="s">
        <v>117</v>
      </c>
      <c r="B150" t="s">
        <v>146</v>
      </c>
      <c r="C150" t="s">
        <v>42</v>
      </c>
      <c r="U150">
        <v>1</v>
      </c>
      <c r="W150">
        <v>1</v>
      </c>
    </row>
    <row r="151" spans="1:24" x14ac:dyDescent="0.25">
      <c r="A151" t="s">
        <v>117</v>
      </c>
      <c r="B151" t="s">
        <v>44</v>
      </c>
      <c r="C151" t="s">
        <v>42</v>
      </c>
      <c r="U151">
        <v>1</v>
      </c>
      <c r="W151">
        <v>1</v>
      </c>
    </row>
    <row r="152" spans="1:24" x14ac:dyDescent="0.25">
      <c r="A152" t="s">
        <v>117</v>
      </c>
      <c r="B152" t="s">
        <v>147</v>
      </c>
      <c r="C152" t="s">
        <v>42</v>
      </c>
      <c r="U152">
        <v>1</v>
      </c>
      <c r="W152">
        <v>1</v>
      </c>
    </row>
    <row r="153" spans="1:24" x14ac:dyDescent="0.25">
      <c r="A153" t="s">
        <v>117</v>
      </c>
      <c r="B153" t="s">
        <v>148</v>
      </c>
      <c r="C153" t="s">
        <v>42</v>
      </c>
      <c r="U153">
        <v>1</v>
      </c>
      <c r="W15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sheetData>
    <row r="1" spans="1:1" x14ac:dyDescent="0.25">
      <c r="A1" t="s">
        <v>240</v>
      </c>
    </row>
    <row r="2" spans="1:1" x14ac:dyDescent="0.25">
      <c r="A2" t="s">
        <v>241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81505B058D246836E19FAAE35149D" ma:contentTypeVersion="16" ma:contentTypeDescription="Create a new document." ma:contentTypeScope="" ma:versionID="4d331c3ec03db8e3d45aa8d211ccdb8a">
  <xsd:schema xmlns:xsd="http://www.w3.org/2001/XMLSchema" xmlns:xs="http://www.w3.org/2001/XMLSchema" xmlns:p="http://schemas.microsoft.com/office/2006/metadata/properties" xmlns:ns3="849ba905-b147-4d5f-9c8c-24526156989e" xmlns:ns4="6e1ea3c6-49aa-46a0-abdd-da3db8966731" targetNamespace="http://schemas.microsoft.com/office/2006/metadata/properties" ma:root="true" ma:fieldsID="3a8779806608e9e8be67f7791cfedb9b" ns3:_="" ns4:_="">
    <xsd:import namespace="849ba905-b147-4d5f-9c8c-24526156989e"/>
    <xsd:import namespace="6e1ea3c6-49aa-46a0-abdd-da3db89667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a905-b147-4d5f-9c8c-245261569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a3c6-49aa-46a0-abdd-da3db89667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ba905-b147-4d5f-9c8c-2452615698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92A6EB-51FA-4D29-89B9-E9C0800E2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a905-b147-4d5f-9c8c-24526156989e"/>
    <ds:schemaRef ds:uri="6e1ea3c6-49aa-46a0-abdd-da3db8966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72452D-8BA1-4AC9-BA43-3950A925E71C}">
  <ds:schemaRefs>
    <ds:schemaRef ds:uri="http://schemas.microsoft.com/office/2006/documentManagement/types"/>
    <ds:schemaRef ds:uri="849ba905-b147-4d5f-9c8c-24526156989e"/>
    <ds:schemaRef ds:uri="http://purl.org/dc/dcmitype/"/>
    <ds:schemaRef ds:uri="http://purl.org/dc/elements/1.1/"/>
    <ds:schemaRef ds:uri="http://schemas.microsoft.com/office/infopath/2007/PartnerControls"/>
    <ds:schemaRef ds:uri="6e1ea3c6-49aa-46a0-abdd-da3db8966731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3F9E17-51B7-4277-BC53-B62A92A491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p133</vt:lpstr>
      <vt:lpstr>p159</vt:lpstr>
      <vt:lpstr>notes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Domini</dc:creator>
  <cp:lastModifiedBy>Domini, G. (Giacomo)</cp:lastModifiedBy>
  <dcterms:created xsi:type="dcterms:W3CDTF">2024-04-25T08:43:17Z</dcterms:created>
  <dcterms:modified xsi:type="dcterms:W3CDTF">2024-11-22T14:45:09Z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0x010100A8B81505B058D246836E19FAAE35149D</vt:lpwstr>
  </property>
</Properties>
</file>