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ataa/OneDrive/References/_My-publications/"/>
    </mc:Choice>
  </mc:AlternateContent>
  <bookViews>
    <workbookView xWindow="3040" yWindow="460" windowWidth="31700" windowHeight="18560" tabRatio="742"/>
  </bookViews>
  <sheets>
    <sheet name="Be-10 data" sheetId="8" r:id="rId1"/>
    <sheet name="CRONUS Feed" sheetId="18" r:id="rId2"/>
    <sheet name="Probability density" sheetId="27" r:id="rId3"/>
    <sheet name="Outlier- Deviation &amp; Strat." sheetId="23" r:id="rId4"/>
    <sheet name="Outlier- Chauvenet &amp; Peirce" sheetId="20" r:id="rId5"/>
    <sheet name="Outlier- Summary" sheetId="26" r:id="rId6"/>
    <sheet name="ELA estimation" sheetId="24" r:id="rId7"/>
    <sheet name="Be-10 ages with erosion" sheetId="19" r:id="rId8"/>
  </sheets>
  <calcPr calcId="150001" concurrentCalc="0"/>
  <customWorkbookViews>
    <customWorkbookView name="Microsoft Office User - Personal View" guid="{7E300709-2B24-5346-985F-C9582FDE5965}" mergeInterval="0" personalView="1" windowWidth="1725" windowHeight="617" tabRatio="742" activeSheetId="8"/>
    <customWorkbookView name="geo-user - Personal View" guid="{F8C1E1B3-17A0-4D5A-A664-2D5609CE131A}" mergeInterval="0" personalView="1" xWindow="1331" yWindow="5" windowWidth="1187" windowHeight="1006" tabRatio="742" activeSheetId="3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23" l="1"/>
  <c r="H12" i="24"/>
  <c r="I11" i="24"/>
  <c r="O40" i="26"/>
  <c r="P40" i="26"/>
  <c r="N10" i="23"/>
  <c r="F10" i="23"/>
  <c r="I10" i="23"/>
  <c r="H10" i="23"/>
  <c r="F14" i="23"/>
  <c r="H14" i="23"/>
  <c r="L10" i="23"/>
  <c r="L14" i="23"/>
  <c r="N14" i="23"/>
  <c r="F19" i="23"/>
  <c r="H19" i="23"/>
  <c r="L19" i="23"/>
  <c r="N19" i="23"/>
  <c r="F26" i="23"/>
  <c r="H26" i="23"/>
  <c r="L26" i="23"/>
  <c r="N26" i="23"/>
  <c r="J13" i="23"/>
  <c r="O7" i="26"/>
  <c r="P7" i="26"/>
  <c r="S7" i="26"/>
  <c r="J42" i="23"/>
  <c r="O19" i="23"/>
  <c r="P60" i="26"/>
  <c r="P54" i="26"/>
  <c r="P50" i="26"/>
  <c r="P47" i="26"/>
  <c r="P35" i="26"/>
  <c r="P23" i="26"/>
  <c r="P16" i="26"/>
  <c r="O47" i="26"/>
  <c r="O35" i="26"/>
  <c r="O16" i="26"/>
  <c r="O11" i="26"/>
  <c r="P11" i="26"/>
  <c r="L60" i="26"/>
  <c r="L57" i="26"/>
  <c r="L54" i="26"/>
  <c r="L50" i="26"/>
  <c r="L47" i="26"/>
  <c r="L40" i="26"/>
  <c r="L35" i="26"/>
  <c r="L23" i="26"/>
  <c r="L16" i="26"/>
  <c r="L11" i="26"/>
  <c r="W29" i="20"/>
  <c r="T69" i="20"/>
  <c r="T68" i="20"/>
  <c r="T67" i="20"/>
  <c r="T66" i="20"/>
  <c r="T65" i="20"/>
  <c r="T64" i="20"/>
  <c r="T63" i="20"/>
  <c r="T62" i="20"/>
  <c r="T61" i="20"/>
  <c r="T60" i="20"/>
  <c r="T59" i="20"/>
  <c r="T58" i="20"/>
  <c r="T56" i="20"/>
  <c r="T55" i="20"/>
  <c r="T54" i="20"/>
  <c r="T53" i="20"/>
  <c r="T52" i="20"/>
  <c r="T51" i="20"/>
  <c r="W49" i="20"/>
  <c r="T49" i="20"/>
  <c r="W48" i="20"/>
  <c r="T48" i="20"/>
  <c r="W47" i="20"/>
  <c r="T47" i="20"/>
  <c r="W46" i="20"/>
  <c r="T46" i="20"/>
  <c r="W45" i="20"/>
  <c r="T45" i="20"/>
  <c r="T44" i="20"/>
  <c r="W43" i="20"/>
  <c r="T43" i="20"/>
  <c r="W42" i="20"/>
  <c r="T42" i="20"/>
  <c r="W41" i="20"/>
  <c r="T41" i="20"/>
  <c r="W40" i="20"/>
  <c r="T40" i="20"/>
  <c r="T39" i="20"/>
  <c r="W30" i="20"/>
  <c r="T30" i="20"/>
  <c r="T29" i="20"/>
  <c r="W28" i="20"/>
  <c r="T28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27" i="20"/>
  <c r="T11" i="20"/>
  <c r="M50" i="23"/>
  <c r="L50" i="23"/>
  <c r="M43" i="23"/>
  <c r="L43" i="23"/>
  <c r="M38" i="23"/>
  <c r="L38" i="23"/>
  <c r="J68" i="23"/>
  <c r="K68" i="23"/>
  <c r="J67" i="23"/>
  <c r="K67" i="23"/>
  <c r="J66" i="23"/>
  <c r="K66" i="23"/>
  <c r="J65" i="23"/>
  <c r="K65" i="23"/>
  <c r="J64" i="23"/>
  <c r="K64" i="23"/>
  <c r="J63" i="23"/>
  <c r="K63" i="23"/>
  <c r="J59" i="23"/>
  <c r="K59" i="23"/>
  <c r="J58" i="23"/>
  <c r="K58" i="23"/>
  <c r="K57" i="23"/>
  <c r="J55" i="23"/>
  <c r="K55" i="23"/>
  <c r="J54" i="23"/>
  <c r="K54" i="23"/>
  <c r="J53" i="23"/>
  <c r="K53" i="23"/>
  <c r="J52" i="23"/>
  <c r="K52" i="23"/>
  <c r="J51" i="23"/>
  <c r="K51" i="23"/>
  <c r="J50" i="23"/>
  <c r="K50" i="23"/>
  <c r="J48" i="23"/>
  <c r="K48" i="23"/>
  <c r="J47" i="23"/>
  <c r="K47" i="23"/>
  <c r="J46" i="23"/>
  <c r="K46" i="23"/>
  <c r="J45" i="23"/>
  <c r="K45" i="23"/>
  <c r="J44" i="23"/>
  <c r="K44" i="23"/>
  <c r="J43" i="23"/>
  <c r="K43" i="23"/>
  <c r="K42" i="23"/>
  <c r="J41" i="23"/>
  <c r="K41" i="23"/>
  <c r="J40" i="23"/>
  <c r="K40" i="23"/>
  <c r="J39" i="23"/>
  <c r="K39" i="23"/>
  <c r="J38" i="23"/>
  <c r="K38" i="23"/>
  <c r="J29" i="23"/>
  <c r="K29" i="23"/>
  <c r="J28" i="23"/>
  <c r="K28" i="23"/>
  <c r="J27" i="23"/>
  <c r="K27" i="23"/>
  <c r="J26" i="23"/>
  <c r="K26" i="23"/>
  <c r="J24" i="23"/>
  <c r="K24" i="23"/>
  <c r="J23" i="23"/>
  <c r="K23" i="23"/>
  <c r="J22" i="23"/>
  <c r="K22" i="23"/>
  <c r="J21" i="23"/>
  <c r="K21" i="23"/>
  <c r="J20" i="23"/>
  <c r="K20" i="23"/>
  <c r="J19" i="23"/>
  <c r="K19" i="23"/>
  <c r="J18" i="23"/>
  <c r="K18" i="23"/>
  <c r="J17" i="23"/>
  <c r="K17" i="23"/>
  <c r="J16" i="23"/>
  <c r="K16" i="23"/>
  <c r="J15" i="23"/>
  <c r="K15" i="23"/>
  <c r="J14" i="23"/>
  <c r="K14" i="23"/>
  <c r="K13" i="23"/>
  <c r="J12" i="23"/>
  <c r="K12" i="23"/>
  <c r="J11" i="23"/>
  <c r="K11" i="23"/>
  <c r="J10" i="23"/>
  <c r="K10" i="23"/>
  <c r="N50" i="23"/>
  <c r="O50" i="23"/>
  <c r="N43" i="23"/>
  <c r="O43" i="23"/>
  <c r="N38" i="23"/>
  <c r="O38" i="23"/>
  <c r="M19" i="23"/>
  <c r="O14" i="23"/>
  <c r="M14" i="23"/>
  <c r="M10" i="23"/>
  <c r="O10" i="23"/>
  <c r="L7" i="26"/>
  <c r="L63" i="23"/>
  <c r="N63" i="23"/>
  <c r="O63" i="23"/>
  <c r="L57" i="23"/>
  <c r="N57" i="23"/>
  <c r="O57" i="23"/>
  <c r="L53" i="23"/>
  <c r="N53" i="23"/>
  <c r="O53" i="23"/>
  <c r="O26" i="23"/>
  <c r="F63" i="23"/>
  <c r="H63" i="23"/>
  <c r="I63" i="23"/>
  <c r="F60" i="23"/>
  <c r="H60" i="23"/>
  <c r="I60" i="23"/>
  <c r="F57" i="23"/>
  <c r="H57" i="23"/>
  <c r="I57" i="23"/>
  <c r="F53" i="23"/>
  <c r="H53" i="23"/>
  <c r="I53" i="23"/>
  <c r="F50" i="23"/>
  <c r="H50" i="23"/>
  <c r="I50" i="23"/>
  <c r="F43" i="23"/>
  <c r="H43" i="23"/>
  <c r="F38" i="23"/>
  <c r="H38" i="23"/>
  <c r="I43" i="23"/>
  <c r="I19" i="23"/>
  <c r="I38" i="23"/>
  <c r="I26" i="23"/>
  <c r="I14" i="23"/>
  <c r="O60" i="26"/>
  <c r="S60" i="26"/>
  <c r="O54" i="26"/>
  <c r="S54" i="26"/>
  <c r="O50" i="26"/>
  <c r="S50" i="26"/>
  <c r="S47" i="26"/>
  <c r="S40" i="26"/>
  <c r="S35" i="26"/>
  <c r="O23" i="26"/>
  <c r="S23" i="26"/>
  <c r="S16" i="26"/>
  <c r="S11" i="26"/>
  <c r="K16" i="26"/>
  <c r="M63" i="23"/>
  <c r="M57" i="23"/>
  <c r="M53" i="23"/>
  <c r="M26" i="23"/>
  <c r="G63" i="23"/>
  <c r="G60" i="23"/>
  <c r="G57" i="23"/>
  <c r="G53" i="23"/>
  <c r="G50" i="23"/>
  <c r="G43" i="23"/>
  <c r="G38" i="23"/>
  <c r="G35" i="23"/>
  <c r="F35" i="23"/>
  <c r="G26" i="23"/>
  <c r="G19" i="23"/>
  <c r="G14" i="23"/>
  <c r="G10" i="23"/>
  <c r="L69" i="20"/>
  <c r="L68" i="20"/>
  <c r="L67" i="20"/>
  <c r="L66" i="20"/>
  <c r="L65" i="20"/>
  <c r="L64" i="20"/>
  <c r="L63" i="20"/>
  <c r="L62" i="20"/>
  <c r="L61" i="20"/>
  <c r="L60" i="20"/>
  <c r="L59" i="20"/>
  <c r="L58" i="20"/>
  <c r="L56" i="20"/>
  <c r="L55" i="20"/>
  <c r="L54" i="20"/>
  <c r="L53" i="20"/>
  <c r="L52" i="20"/>
  <c r="L51" i="20"/>
  <c r="L49" i="20"/>
  <c r="L48" i="20"/>
  <c r="L47" i="20"/>
  <c r="L46" i="20"/>
  <c r="L45" i="20"/>
  <c r="L44" i="20"/>
  <c r="L43" i="20"/>
  <c r="L42" i="20"/>
  <c r="L41" i="20"/>
  <c r="L40" i="20"/>
  <c r="L39" i="20"/>
  <c r="L30" i="20"/>
  <c r="L29" i="20"/>
  <c r="L28" i="20"/>
  <c r="L27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J62" i="23"/>
  <c r="J61" i="23"/>
  <c r="J60" i="23"/>
  <c r="G11" i="20"/>
  <c r="H11" i="20"/>
  <c r="M13" i="20"/>
  <c r="K60" i="26"/>
  <c r="K57" i="26"/>
  <c r="K54" i="26"/>
  <c r="K50" i="26"/>
  <c r="K47" i="26"/>
  <c r="K40" i="26"/>
  <c r="K35" i="26"/>
  <c r="K23" i="26"/>
  <c r="K11" i="26"/>
  <c r="K7" i="26"/>
  <c r="Z44" i="20"/>
  <c r="Y44" i="20"/>
  <c r="Z15" i="20"/>
  <c r="Y15" i="20"/>
  <c r="H61" i="20"/>
  <c r="F44" i="20"/>
  <c r="H44" i="20"/>
  <c r="G44" i="20"/>
  <c r="H39" i="24"/>
  <c r="H40" i="24"/>
  <c r="H41" i="24"/>
  <c r="I40" i="24"/>
  <c r="I39" i="24"/>
  <c r="H34" i="24"/>
  <c r="H35" i="24"/>
  <c r="H36" i="24"/>
  <c r="H37" i="24"/>
  <c r="I36" i="24"/>
  <c r="I35" i="24"/>
  <c r="I34" i="24"/>
  <c r="H28" i="24"/>
  <c r="H29" i="24"/>
  <c r="H30" i="24"/>
  <c r="H32" i="24"/>
  <c r="I31" i="24"/>
  <c r="I30" i="24"/>
  <c r="I29" i="24"/>
  <c r="I28" i="24"/>
  <c r="H24" i="24"/>
  <c r="H25" i="24"/>
  <c r="H26" i="24"/>
  <c r="I25" i="24"/>
  <c r="I24" i="24"/>
  <c r="H22" i="24"/>
  <c r="H21" i="24"/>
  <c r="I21" i="24"/>
  <c r="I20" i="24"/>
  <c r="H14" i="24"/>
  <c r="H15" i="24"/>
  <c r="H16" i="24"/>
  <c r="H17" i="24"/>
  <c r="I16" i="24"/>
  <c r="I15" i="24"/>
  <c r="I14" i="24"/>
  <c r="I10" i="24"/>
  <c r="I9" i="24"/>
  <c r="I8" i="24"/>
  <c r="I7" i="24"/>
  <c r="Z58" i="20"/>
  <c r="Y58" i="20"/>
  <c r="H58" i="20"/>
  <c r="G58" i="20"/>
  <c r="F58" i="20"/>
  <c r="G64" i="20"/>
  <c r="Q69" i="20"/>
  <c r="H64" i="20"/>
  <c r="S64" i="20"/>
  <c r="F64" i="20"/>
  <c r="N69" i="20"/>
  <c r="O69" i="20"/>
  <c r="M69" i="20"/>
  <c r="K69" i="20"/>
  <c r="Q68" i="20"/>
  <c r="N68" i="20"/>
  <c r="O68" i="20"/>
  <c r="M68" i="20"/>
  <c r="K68" i="20"/>
  <c r="Q67" i="20"/>
  <c r="N67" i="20"/>
  <c r="O67" i="20"/>
  <c r="M67" i="20"/>
  <c r="K67" i="20"/>
  <c r="Q66" i="20"/>
  <c r="N66" i="20"/>
  <c r="O66" i="20"/>
  <c r="M66" i="20"/>
  <c r="K66" i="20"/>
  <c r="Q65" i="20"/>
  <c r="N65" i="20"/>
  <c r="O65" i="20"/>
  <c r="M65" i="20"/>
  <c r="K65" i="20"/>
  <c r="Z64" i="20"/>
  <c r="Y64" i="20"/>
  <c r="AA64" i="20"/>
  <c r="Q64" i="20"/>
  <c r="N64" i="20"/>
  <c r="O64" i="20"/>
  <c r="M64" i="20"/>
  <c r="K64" i="20"/>
  <c r="I64" i="20"/>
  <c r="G61" i="20"/>
  <c r="Q63" i="20"/>
  <c r="S61" i="20"/>
  <c r="F61" i="20"/>
  <c r="N63" i="20"/>
  <c r="O63" i="20"/>
  <c r="M63" i="20"/>
  <c r="K63" i="20"/>
  <c r="Q62" i="20"/>
  <c r="N62" i="20"/>
  <c r="O62" i="20"/>
  <c r="M62" i="20"/>
  <c r="K62" i="20"/>
  <c r="Z61" i="20"/>
  <c r="Y61" i="20"/>
  <c r="AA61" i="20"/>
  <c r="Q61" i="20"/>
  <c r="N61" i="20"/>
  <c r="O61" i="20"/>
  <c r="M61" i="20"/>
  <c r="K61" i="20"/>
  <c r="I61" i="20"/>
  <c r="Q60" i="20"/>
  <c r="S58" i="20"/>
  <c r="N60" i="20"/>
  <c r="O60" i="20"/>
  <c r="M60" i="20"/>
  <c r="K60" i="20"/>
  <c r="Q59" i="20"/>
  <c r="N59" i="20"/>
  <c r="O59" i="20"/>
  <c r="M59" i="20"/>
  <c r="K59" i="20"/>
  <c r="AA58" i="20"/>
  <c r="Q58" i="20"/>
  <c r="N58" i="20"/>
  <c r="O58" i="20"/>
  <c r="M58" i="20"/>
  <c r="K58" i="20"/>
  <c r="I58" i="20"/>
  <c r="G54" i="20"/>
  <c r="Q56" i="20"/>
  <c r="H54" i="20"/>
  <c r="S54" i="20"/>
  <c r="F54" i="20"/>
  <c r="N56" i="20"/>
  <c r="O56" i="20"/>
  <c r="M56" i="20"/>
  <c r="K56" i="20"/>
  <c r="Q55" i="20"/>
  <c r="N55" i="20"/>
  <c r="O55" i="20"/>
  <c r="M55" i="20"/>
  <c r="K55" i="20"/>
  <c r="Z54" i="20"/>
  <c r="Y54" i="20"/>
  <c r="AA54" i="20"/>
  <c r="Q54" i="20"/>
  <c r="N54" i="20"/>
  <c r="O54" i="20"/>
  <c r="M54" i="20"/>
  <c r="K54" i="20"/>
  <c r="I54" i="20"/>
  <c r="G51" i="20"/>
  <c r="Q53" i="20"/>
  <c r="H51" i="20"/>
  <c r="S51" i="20"/>
  <c r="F51" i="20"/>
  <c r="N53" i="20"/>
  <c r="O53" i="20"/>
  <c r="M53" i="20"/>
  <c r="K53" i="20"/>
  <c r="Q52" i="20"/>
  <c r="N52" i="20"/>
  <c r="O52" i="20"/>
  <c r="M52" i="20"/>
  <c r="K52" i="20"/>
  <c r="Z51" i="20"/>
  <c r="Y51" i="20"/>
  <c r="AA51" i="20"/>
  <c r="Q51" i="20"/>
  <c r="N51" i="20"/>
  <c r="O51" i="20"/>
  <c r="M51" i="20"/>
  <c r="K51" i="20"/>
  <c r="I51" i="20"/>
  <c r="V44" i="20"/>
  <c r="S44" i="20"/>
  <c r="Q49" i="20"/>
  <c r="N49" i="20"/>
  <c r="O49" i="20"/>
  <c r="M49" i="20"/>
  <c r="K49" i="20"/>
  <c r="Q48" i="20"/>
  <c r="N48" i="20"/>
  <c r="O48" i="20"/>
  <c r="M48" i="20"/>
  <c r="K48" i="20"/>
  <c r="Q47" i="20"/>
  <c r="N47" i="20"/>
  <c r="O47" i="20"/>
  <c r="M47" i="20"/>
  <c r="K47" i="20"/>
  <c r="Q46" i="20"/>
  <c r="N46" i="20"/>
  <c r="O46" i="20"/>
  <c r="M46" i="20"/>
  <c r="K46" i="20"/>
  <c r="Q45" i="20"/>
  <c r="N45" i="20"/>
  <c r="O45" i="20"/>
  <c r="M45" i="20"/>
  <c r="K45" i="20"/>
  <c r="AA44" i="20"/>
  <c r="Q44" i="20"/>
  <c r="N44" i="20"/>
  <c r="O44" i="20"/>
  <c r="M44" i="20"/>
  <c r="K44" i="20"/>
  <c r="I44" i="20"/>
  <c r="G39" i="20"/>
  <c r="Q43" i="20"/>
  <c r="H39" i="20"/>
  <c r="V39" i="20"/>
  <c r="S39" i="20"/>
  <c r="F39" i="20"/>
  <c r="N43" i="20"/>
  <c r="O43" i="20"/>
  <c r="M43" i="20"/>
  <c r="K43" i="20"/>
  <c r="Q42" i="20"/>
  <c r="N42" i="20"/>
  <c r="O42" i="20"/>
  <c r="M42" i="20"/>
  <c r="K42" i="20"/>
  <c r="Q41" i="20"/>
  <c r="N41" i="20"/>
  <c r="O41" i="20"/>
  <c r="M41" i="20"/>
  <c r="K41" i="20"/>
  <c r="Q40" i="20"/>
  <c r="N40" i="20"/>
  <c r="O40" i="20"/>
  <c r="M40" i="20"/>
  <c r="K40" i="20"/>
  <c r="Z39" i="20"/>
  <c r="Y39" i="20"/>
  <c r="AA39" i="20"/>
  <c r="Q39" i="20"/>
  <c r="N39" i="20"/>
  <c r="O39" i="20"/>
  <c r="M39" i="20"/>
  <c r="K39" i="20"/>
  <c r="I39" i="20"/>
  <c r="G27" i="20"/>
  <c r="Q30" i="20"/>
  <c r="H27" i="20"/>
  <c r="V27" i="20"/>
  <c r="S27" i="20"/>
  <c r="F27" i="20"/>
  <c r="N30" i="20"/>
  <c r="O30" i="20"/>
  <c r="M30" i="20"/>
  <c r="K30" i="20"/>
  <c r="Q29" i="20"/>
  <c r="N29" i="20"/>
  <c r="O29" i="20"/>
  <c r="M29" i="20"/>
  <c r="K29" i="20"/>
  <c r="Q28" i="20"/>
  <c r="N28" i="20"/>
  <c r="O28" i="20"/>
  <c r="M28" i="20"/>
  <c r="K28" i="20"/>
  <c r="Z27" i="20"/>
  <c r="Y27" i="20"/>
  <c r="AA27" i="20"/>
  <c r="Q27" i="20"/>
  <c r="N27" i="20"/>
  <c r="O27" i="20"/>
  <c r="M27" i="20"/>
  <c r="K27" i="20"/>
  <c r="I27" i="20"/>
  <c r="G20" i="20"/>
  <c r="Q25" i="20"/>
  <c r="S11" i="20"/>
  <c r="F20" i="20"/>
  <c r="H20" i="20"/>
  <c r="N25" i="20"/>
  <c r="O25" i="20"/>
  <c r="M25" i="20"/>
  <c r="K25" i="20"/>
  <c r="Q24" i="20"/>
  <c r="N24" i="20"/>
  <c r="O24" i="20"/>
  <c r="M24" i="20"/>
  <c r="K24" i="20"/>
  <c r="Q23" i="20"/>
  <c r="N23" i="20"/>
  <c r="O23" i="20"/>
  <c r="M23" i="20"/>
  <c r="K23" i="20"/>
  <c r="Q22" i="20"/>
  <c r="N22" i="20"/>
  <c r="O22" i="20"/>
  <c r="M22" i="20"/>
  <c r="K22" i="20"/>
  <c r="Q21" i="20"/>
  <c r="N21" i="20"/>
  <c r="O21" i="20"/>
  <c r="M21" i="20"/>
  <c r="K21" i="20"/>
  <c r="Z20" i="20"/>
  <c r="Y20" i="20"/>
  <c r="AA20" i="20"/>
  <c r="Q20" i="20"/>
  <c r="S20" i="20"/>
  <c r="N20" i="20"/>
  <c r="O20" i="20"/>
  <c r="M20" i="20"/>
  <c r="K20" i="20"/>
  <c r="I20" i="20"/>
  <c r="G15" i="20"/>
  <c r="Q19" i="20"/>
  <c r="H15" i="20"/>
  <c r="S15" i="20"/>
  <c r="F15" i="20"/>
  <c r="N19" i="20"/>
  <c r="O19" i="20"/>
  <c r="M19" i="20"/>
  <c r="K19" i="20"/>
  <c r="Q18" i="20"/>
  <c r="N18" i="20"/>
  <c r="O18" i="20"/>
  <c r="M18" i="20"/>
  <c r="K18" i="20"/>
  <c r="Q17" i="20"/>
  <c r="N17" i="20"/>
  <c r="O17" i="20"/>
  <c r="M17" i="20"/>
  <c r="K17" i="20"/>
  <c r="Q16" i="20"/>
  <c r="N16" i="20"/>
  <c r="O16" i="20"/>
  <c r="M16" i="20"/>
  <c r="K16" i="20"/>
  <c r="AA15" i="20"/>
  <c r="Q15" i="20"/>
  <c r="N15" i="20"/>
  <c r="O15" i="20"/>
  <c r="M15" i="20"/>
  <c r="K15" i="20"/>
  <c r="I15" i="20"/>
  <c r="Q14" i="20"/>
  <c r="F11" i="20"/>
  <c r="N14" i="20"/>
  <c r="O14" i="20"/>
  <c r="M14" i="20"/>
  <c r="K14" i="20"/>
  <c r="Q13" i="20"/>
  <c r="N13" i="20"/>
  <c r="O13" i="20"/>
  <c r="K13" i="20"/>
  <c r="Q12" i="20"/>
  <c r="N12" i="20"/>
  <c r="O12" i="20"/>
  <c r="M12" i="20"/>
  <c r="K12" i="20"/>
  <c r="Z11" i="20"/>
  <c r="Y11" i="20"/>
  <c r="AA11" i="20"/>
  <c r="Q11" i="20"/>
  <c r="N11" i="20"/>
  <c r="O11" i="20"/>
  <c r="M11" i="20"/>
  <c r="K11" i="20"/>
  <c r="I11" i="20"/>
  <c r="U74" i="18"/>
  <c r="U73" i="18"/>
  <c r="U72" i="18"/>
  <c r="U71" i="18"/>
  <c r="U70" i="18"/>
  <c r="U69" i="18"/>
  <c r="U68" i="18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1" i="8"/>
  <c r="S30" i="8"/>
  <c r="S29" i="8"/>
  <c r="S39" i="8"/>
  <c r="S38" i="8"/>
  <c r="S37" i="8"/>
  <c r="S36" i="8"/>
  <c r="S35" i="8"/>
  <c r="S34" i="8"/>
  <c r="S33" i="8"/>
  <c r="S32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1" i="8"/>
  <c r="Q30" i="8"/>
  <c r="Q29" i="8"/>
  <c r="Q39" i="8"/>
  <c r="Q38" i="8"/>
  <c r="Q37" i="8"/>
  <c r="Q36" i="8"/>
  <c r="Q35" i="8"/>
  <c r="Q34" i="8"/>
  <c r="Q33" i="8"/>
  <c r="Q32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</calcChain>
</file>

<file path=xl/sharedStrings.xml><?xml version="1.0" encoding="utf-8"?>
<sst xmlns="http://schemas.openxmlformats.org/spreadsheetml/2006/main" count="2235" uniqueCount="729">
  <si>
    <t>HN-JB-01A</t>
  </si>
  <si>
    <t>HN-JB-01B</t>
  </si>
  <si>
    <t>HN-JB-01C</t>
  </si>
  <si>
    <t>HN-JB-02A</t>
  </si>
  <si>
    <t>HN-JB-02B</t>
  </si>
  <si>
    <t>HN-JB-02C</t>
  </si>
  <si>
    <t>IB-JB-001</t>
  </si>
  <si>
    <t>IB-JB-003A</t>
  </si>
  <si>
    <t>IB-JB-003B</t>
  </si>
  <si>
    <t>IB-JB-003C</t>
  </si>
  <si>
    <t>IB-JB-003D</t>
  </si>
  <si>
    <t>IB-JB-003E</t>
  </si>
  <si>
    <t>SUT-IM-01A</t>
  </si>
  <si>
    <t>SUT-IM-01B</t>
  </si>
  <si>
    <t>SUT-IM-01C</t>
  </si>
  <si>
    <t>SUT-JB-04A</t>
  </si>
  <si>
    <t>SUT-JB-04B</t>
  </si>
  <si>
    <t>SUT-JB-02A</t>
  </si>
  <si>
    <t>SUT-JB-02B</t>
  </si>
  <si>
    <t>SUT-JB-02C</t>
  </si>
  <si>
    <t>SUT-JB-02D</t>
  </si>
  <si>
    <t>HN-JB-03A</t>
  </si>
  <si>
    <t>HN-JB-03B</t>
  </si>
  <si>
    <t>HN-JB-03C</t>
  </si>
  <si>
    <t>NIST_27900</t>
  </si>
  <si>
    <t>07KNSTD</t>
  </si>
  <si>
    <t>MOT98-CS-02</t>
  </si>
  <si>
    <t>MOT98-CS-04</t>
  </si>
  <si>
    <t>MOT98-CS-14</t>
  </si>
  <si>
    <t>MOT98-CS-19</t>
  </si>
  <si>
    <t>MOT98-CS-20</t>
  </si>
  <si>
    <t>MOT98-CS-21</t>
  </si>
  <si>
    <t>MOT98-CS-22</t>
  </si>
  <si>
    <t>MOT98-CS-23</t>
  </si>
  <si>
    <t>MOT98-CS-25</t>
  </si>
  <si>
    <t>MOT98-CS-08</t>
  </si>
  <si>
    <t>MOT98-CS-11a</t>
  </si>
  <si>
    <t>MOT98-CS-11b</t>
  </si>
  <si>
    <t>MOT98-CS-12</t>
  </si>
  <si>
    <t>DHC-98-3</t>
  </si>
  <si>
    <t>OT-AG-1</t>
  </si>
  <si>
    <t>OT-AG-2</t>
  </si>
  <si>
    <t>OT-AG-3</t>
  </si>
  <si>
    <t>DHC-98-5</t>
  </si>
  <si>
    <t>DHC-98-7</t>
  </si>
  <si>
    <t>MOT98-CS-05</t>
  </si>
  <si>
    <t>DHC-98-8</t>
  </si>
  <si>
    <t>DHC-98-10</t>
  </si>
  <si>
    <t>DHC-98-12</t>
  </si>
  <si>
    <t>DHC-98-13</t>
  </si>
  <si>
    <t>DHC-98-15</t>
  </si>
  <si>
    <t xml:space="preserve">DHC-98-17 </t>
  </si>
  <si>
    <t>DHC-98-18</t>
  </si>
  <si>
    <t>DHC-98-11</t>
  </si>
  <si>
    <t>Quartz vein in schist boulder</t>
  </si>
  <si>
    <t>Quartz vein in schist erratic</t>
  </si>
  <si>
    <t>GN-AG-01</t>
  </si>
  <si>
    <t>GN-AG-02</t>
  </si>
  <si>
    <t>GN-AG-03</t>
  </si>
  <si>
    <t>GN-AG-04</t>
  </si>
  <si>
    <t>GN-AG-05</t>
  </si>
  <si>
    <t>GN-AG-06</t>
  </si>
  <si>
    <t>GN-AG-07</t>
  </si>
  <si>
    <t>GN-AG-08</t>
  </si>
  <si>
    <t>GN-AG-10B</t>
  </si>
  <si>
    <t>GN-AG-11</t>
  </si>
  <si>
    <t>Shielding factor</t>
  </si>
  <si>
    <t>Spallation</t>
  </si>
  <si>
    <t>Muons</t>
  </si>
  <si>
    <t>Be carrier (mg)</t>
  </si>
  <si>
    <t>Age (ka)</t>
  </si>
  <si>
    <t>Site</t>
  </si>
  <si>
    <t>Group</t>
  </si>
  <si>
    <t>GN-JB-004</t>
  </si>
  <si>
    <t>GN-JB-005</t>
  </si>
  <si>
    <t>Thickness
(cm)</t>
  </si>
  <si>
    <t>Ih Bogd
(Gobi-Altai)</t>
  </si>
  <si>
    <t>Bumbat (Hangai)</t>
  </si>
  <si>
    <t>Otgontenger (Hangai)</t>
  </si>
  <si>
    <t>Gichginii (Gobi-Altai)</t>
  </si>
  <si>
    <t>Sutai (Gobi-Altai)</t>
  </si>
  <si>
    <t>Non-glacial deposits
at Sutai (Gobi-Altai)</t>
  </si>
  <si>
    <t>Latitude, ° N</t>
  </si>
  <si>
    <t>Longtiude, ° E</t>
  </si>
  <si>
    <t>Name of Be standard used</t>
  </si>
  <si>
    <t>Sample location</t>
  </si>
  <si>
    <t>Quartz mass (g)</t>
  </si>
  <si>
    <t>GN-JB-001</t>
  </si>
  <si>
    <t>GN-JB-002</t>
  </si>
  <si>
    <t>GN-JB-003</t>
  </si>
  <si>
    <t>Sample lithology</t>
  </si>
  <si>
    <t>Porphyroblastic schist bedrock</t>
  </si>
  <si>
    <t>Granitic boulder</t>
  </si>
  <si>
    <t>Porphyritic granitic boulder</t>
  </si>
  <si>
    <t>Sample ID</t>
  </si>
  <si>
    <t>THAR</t>
  </si>
  <si>
    <t>45.4031/97.0710</t>
  </si>
  <si>
    <t>45.4039/97.0703</t>
  </si>
  <si>
    <t>45.4015/97.0697</t>
  </si>
  <si>
    <t>45.4012/97.0697</t>
  </si>
  <si>
    <t>-</t>
  </si>
  <si>
    <t>MELM</t>
  </si>
  <si>
    <t>46.6132/93.5503</t>
  </si>
  <si>
    <t>Modern glacier</t>
  </si>
  <si>
    <t>46.6418/93.5659</t>
  </si>
  <si>
    <t>Modern ice cap</t>
  </si>
  <si>
    <t>44.9559/100.2639</t>
  </si>
  <si>
    <t>44.9563/100.2668</t>
  </si>
  <si>
    <t>47.6833/97.2067</t>
  </si>
  <si>
    <t>47.6835/97.2098</t>
  </si>
  <si>
    <t xml:space="preserve">MON-D-IV-I </t>
  </si>
  <si>
    <t>47.6883/97.2496</t>
  </si>
  <si>
    <t xml:space="preserve">MON-D-IV-II </t>
  </si>
  <si>
    <t xml:space="preserve">MON-D-IV-III </t>
  </si>
  <si>
    <t>47.5755/97.6677</t>
  </si>
  <si>
    <t>47.6035/97.6405</t>
  </si>
  <si>
    <t>47.4355/100.3471</t>
  </si>
  <si>
    <t>47.4180/100.3525</t>
  </si>
  <si>
    <t>References:</t>
  </si>
  <si>
    <t>Batbaatar, J., Gillespie, A.R., 2016. Outburst floods of the Maly Yenisei. Part II – new age constraints from Darhad basin. Int. Geol. Rev. 58, 1753–1779.</t>
  </si>
  <si>
    <t>Heisinger, B., Lal, D., Jull, A.J.T., Kubik, P., Ivy-Ochs, S., Neumaier, S., Knie, K., Lazarev, V., Nolte, E., 2002a. Production of selected cosmogenic radionuclides by muons: 1. Fast muons. Earth Planet. Sci. Lett. 200, 345–355.</t>
  </si>
  <si>
    <t>Heisinger, B., Lal, D., Jull, A.J.T., Kubik, P., Ivy-Ochs, S., Neumaier, S., Knie, K., Lazarev, V., Nolte, E., 2002b. Production of selected cosmogenic radionuclides by muons: 2. Capture of negative muons. Earth Planet. Sci. Lett. 200, 357–369.</t>
  </si>
  <si>
    <t>Heyman, J., 2014. Paleoglaciation of the Tibetan Plateau and surrounding mountains based on exposure ages and ELA depression estimates. Quat. Sci. Rev. 91, 30–41.</t>
  </si>
  <si>
    <t>Lal, D., 1991. Cosmic ray labeling of erosion surfaces: In situ nuclide production rates and erosion models. Earth Planet. Sci. Lett. 104, 424–439.</t>
  </si>
  <si>
    <t>Stone, J.O., 2000. Air pressure and cosmogenic isotope production. J. Geophys. Res. 105, 23753–23759.</t>
  </si>
  <si>
    <t>Sample collection date (M/DD/YY)</t>
  </si>
  <si>
    <t>IB-JB-002</t>
  </si>
  <si>
    <t>1σ external uncertainty in age (ka)</t>
  </si>
  <si>
    <t>Sample name (field)</t>
  </si>
  <si>
    <t>Latitude</t>
  </si>
  <si>
    <t>Longitude</t>
  </si>
  <si>
    <t>Elevation</t>
  </si>
  <si>
    <t>Thickness</t>
  </si>
  <si>
    <t>Density</t>
  </si>
  <si>
    <t>Erosion rate</t>
  </si>
  <si>
    <t>(DD)</t>
  </si>
  <si>
    <t>(m)</t>
  </si>
  <si>
    <t>(cm)</t>
  </si>
  <si>
    <t>Shielding correction</t>
  </si>
  <si>
    <t>Be AMS standard</t>
  </si>
  <si>
    <t>Al AMS standard</t>
  </si>
  <si>
    <t>(ka)</t>
  </si>
  <si>
    <t>std</t>
  </si>
  <si>
    <t>Results not dependent on spallogenic production rate model:</t>
  </si>
  <si>
    <t>Exposure ages -- constant production rate model:</t>
  </si>
  <si>
    <t>Scaling scheme for spallation: Lal(1991) / Stone(2000)</t>
  </si>
  <si>
    <t>Sample name</t>
  </si>
  <si>
    <t>DHC-98-17</t>
  </si>
  <si>
    <t>Exposure ages -- time-varying production models:</t>
  </si>
  <si>
    <t>Scaling scheme for spallation:</t>
  </si>
  <si>
    <t>Desilets and others (2003, 2006)</t>
  </si>
  <si>
    <t>Dunai (2001)</t>
  </si>
  <si>
    <t>Lifton and others (2005)</t>
  </si>
  <si>
    <t>Time-dependent Lal (1991)/Stone (2000)</t>
  </si>
  <si>
    <t>http://hess.ess.washington.edu/math/al_be_v22/alt_cal/Heyman_compilation_input_aspublished.html</t>
  </si>
  <si>
    <t>1σ internal uncertainty in age (ka)</t>
  </si>
  <si>
    <t>Estimated ELA (m asl)</t>
  </si>
  <si>
    <t>ELA method</t>
  </si>
  <si>
    <t>References</t>
  </si>
  <si>
    <t>Minimum ELA corresponding the local LGM (m asl) ==&gt;</t>
  </si>
  <si>
    <t>Recessional moraine</t>
  </si>
  <si>
    <t>Otgontenger, Bogd valley</t>
  </si>
  <si>
    <t>Otgontenger, Bitüüt valley</t>
  </si>
  <si>
    <t>Bumbat valley</t>
  </si>
  <si>
    <t>Sutai range, NE slope</t>
  </si>
  <si>
    <t>Sutai range, SW slope</t>
  </si>
  <si>
    <t>Altitude
(m asl)</t>
  </si>
  <si>
    <r>
      <t>Production rate
(atoms g</t>
    </r>
    <r>
      <rPr>
        <vertAlign val="superscript"/>
        <sz val="10"/>
        <color rgb="FF000000"/>
        <rFont val="Calibri"/>
        <family val="2"/>
      </rPr>
      <t>−1</t>
    </r>
    <r>
      <rPr>
        <sz val="10"/>
        <color rgb="FF000000"/>
        <rFont val="Calibri"/>
        <family val="2"/>
      </rPr>
      <t xml:space="preserve"> yr</t>
    </r>
    <r>
      <rPr>
        <vertAlign val="superscript"/>
        <sz val="10"/>
        <color rgb="FF000000"/>
        <rFont val="Calibri"/>
        <family val="2"/>
      </rPr>
      <t>−1</t>
    </r>
    <r>
      <rPr>
        <sz val="10"/>
        <color rgb="FF000000"/>
        <rFont val="Calibri"/>
        <family val="2"/>
      </rPr>
      <t>)</t>
    </r>
  </si>
  <si>
    <r>
      <t>10</t>
    </r>
    <r>
      <rPr>
        <sz val="10"/>
        <color rgb="FF000000"/>
        <rFont val="Calibri"/>
        <family val="2"/>
      </rPr>
      <t>Be/</t>
    </r>
    <r>
      <rPr>
        <vertAlign val="superscript"/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Be</t>
    </r>
  </si>
  <si>
    <r>
      <t xml:space="preserve">Uncertainty in </t>
    </r>
    <r>
      <rPr>
        <vertAlign val="superscript"/>
        <sz val="10"/>
        <color rgb="FF000000"/>
        <rFont val="Calibri"/>
        <family val="2"/>
      </rPr>
      <t>10</t>
    </r>
    <r>
      <rPr>
        <sz val="10"/>
        <color rgb="FF000000"/>
        <rFont val="Calibri"/>
        <family val="2"/>
      </rPr>
      <t>Be/</t>
    </r>
    <r>
      <rPr>
        <vertAlign val="superscript"/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Be</t>
    </r>
  </si>
  <si>
    <r>
      <t>10</t>
    </r>
    <r>
      <rPr>
        <sz val="10"/>
        <color rgb="FF000000"/>
        <rFont val="Calibri"/>
        <family val="2"/>
      </rPr>
      <t>Be concentration</t>
    </r>
  </si>
  <si>
    <r>
      <t xml:space="preserve">Uncertainty in </t>
    </r>
    <r>
      <rPr>
        <vertAlign val="superscript"/>
        <sz val="10"/>
        <color rgb="FF000000"/>
        <rFont val="Calibri"/>
        <family val="2"/>
      </rPr>
      <t>10</t>
    </r>
    <r>
      <rPr>
        <sz val="10"/>
        <color rgb="FF000000"/>
        <rFont val="Calibri"/>
        <family val="2"/>
      </rPr>
      <t>Be concentration</t>
    </r>
  </si>
  <si>
    <r>
      <t>(atoms/g SiO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)</t>
    </r>
  </si>
  <si>
    <r>
      <t xml:space="preserve">Balco, G., Stone, J.O., Lifton, N.A., Dunai, T.J., 2008. A complete and easily accessible means of calculating surface exposure ages or erosion rates from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 xml:space="preserve">Be and </t>
    </r>
    <r>
      <rPr>
        <vertAlign val="superscript"/>
        <sz val="12"/>
        <color theme="1"/>
        <rFont val="Calibri"/>
        <family val="2"/>
      </rPr>
      <t>26</t>
    </r>
    <r>
      <rPr>
        <sz val="12"/>
        <color theme="1"/>
        <rFont val="Calibri"/>
        <family val="2"/>
      </rPr>
      <t>Al measurements. Quat. Geochronol. 3, 174–195.</t>
    </r>
  </si>
  <si>
    <r>
      <t xml:space="preserve">Chmeleff, J., von Blanckenburg, F., Kossert, K., Jakob, D., 2010. Determination of the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half-life by multicollector ICP-MS and liquid scintillation counting. Nucl. Instr. Meth. Phys. Res. B. 268, 192–199.</t>
    </r>
  </si>
  <si>
    <r>
      <t xml:space="preserve">Fink, D., Smith, A., 2007. An inter-comparison of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 xml:space="preserve">Be and </t>
    </r>
    <r>
      <rPr>
        <vertAlign val="superscript"/>
        <sz val="12"/>
        <color theme="1"/>
        <rFont val="Calibri"/>
        <family val="2"/>
      </rPr>
      <t>26</t>
    </r>
    <r>
      <rPr>
        <sz val="12"/>
        <color theme="1"/>
        <rFont val="Calibri"/>
        <family val="2"/>
      </rPr>
      <t xml:space="preserve">Al AMS reference standards and the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half-life. Nucl. Instr. Meth. Phys. Res. B. 259, 600–609.</t>
    </r>
  </si>
  <si>
    <r>
      <t xml:space="preserve">Nishiizumi, K., Imamura, M., Caffee, M., Southon, J., Finkel, R., McAnich, J., 2007. Absolute calibration of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AMS standards. Nucl. Instr. Meth. Phys. Res. B. 258, 403–413.</t>
    </r>
  </si>
  <si>
    <t>Vein quartz erratic</t>
  </si>
  <si>
    <t>Quartz vein in green schist boulder</t>
  </si>
  <si>
    <t>Mean of the group (ka)</t>
  </si>
  <si>
    <t>* Criteria for identifying outliers:</t>
  </si>
  <si>
    <t>The probabilities were calculated by the Matlab code of Greg Balco (http://depts.washington.edu/cosmolab/pubs/gb_pubs/camelplot.m).</t>
  </si>
  <si>
    <t>Reference</t>
  </si>
  <si>
    <t>This study</t>
  </si>
  <si>
    <t xml:space="preserve">MON-D-II-I </t>
  </si>
  <si>
    <t xml:space="preserve">MON-D-II-II </t>
  </si>
  <si>
    <t xml:space="preserve">MON-D-II-III </t>
  </si>
  <si>
    <t xml:space="preserve">MON-F-I-I </t>
  </si>
  <si>
    <t xml:space="preserve">MON-F-I-II </t>
  </si>
  <si>
    <t xml:space="preserve">MON-F-I-IV </t>
  </si>
  <si>
    <t xml:space="preserve">MON-D-I-I </t>
  </si>
  <si>
    <t xml:space="preserve">MON-D-I-II </t>
  </si>
  <si>
    <t xml:space="preserve">MON-D-I-III </t>
  </si>
  <si>
    <t>m asl = std</t>
  </si>
  <si>
    <t>?</t>
  </si>
  <si>
    <t>Pass between ice caps #1 &amp; 2</t>
  </si>
  <si>
    <t>Margin of ice cap #3</t>
  </si>
  <si>
    <t>0.1 cm/kyr</t>
  </si>
  <si>
    <t>1 cm/kyr</t>
  </si>
  <si>
    <t>0.3 cm/kyr</t>
  </si>
  <si>
    <t>0.5 cm/kyr</t>
  </si>
  <si>
    <t>Saturated</t>
  </si>
  <si>
    <t>6.88 ± 0.44</t>
  </si>
  <si>
    <t>6.92 ± 0.45</t>
  </si>
  <si>
    <t>7.00 ± 0.46</t>
  </si>
  <si>
    <t>7.08 ± 0.47</t>
  </si>
  <si>
    <t>7.30 ± 0.50</t>
  </si>
  <si>
    <t>8.15 ± 0.48</t>
  </si>
  <si>
    <t>8.20 ± 0.49</t>
  </si>
  <si>
    <t>8.32 ± 0.50</t>
  </si>
  <si>
    <t>8.43 ± 0.52</t>
  </si>
  <si>
    <t>8.75 ± 0.56</t>
  </si>
  <si>
    <t>5.29 ± 0.45</t>
  </si>
  <si>
    <t>5.31 ± 0.45</t>
  </si>
  <si>
    <t>5.36 ± 0.46</t>
  </si>
  <si>
    <t>5.41 ± 0.47</t>
  </si>
  <si>
    <t>5.53 ± 0.49</t>
  </si>
  <si>
    <t>7.47 ± 0.50</t>
  </si>
  <si>
    <t>7.52 ± 0.51</t>
  </si>
  <si>
    <t>7.61 ± 0.52</t>
  </si>
  <si>
    <t>7.71 ± 0.53</t>
  </si>
  <si>
    <t>7.97 ± 0.57</t>
  </si>
  <si>
    <t>1.56 ± 0.13</t>
  </si>
  <si>
    <t>1.57 ± 0.13</t>
  </si>
  <si>
    <t>1.58 ± 0.13</t>
  </si>
  <si>
    <t>3.20 ± 0.19</t>
  </si>
  <si>
    <t>3.21 ± 0.19</t>
  </si>
  <si>
    <t>3.23 ± 0.20</t>
  </si>
  <si>
    <t>3.24 ± 0.20</t>
  </si>
  <si>
    <t>3.29 ± 0.20</t>
  </si>
  <si>
    <t>0.80 ± 0.05</t>
  </si>
  <si>
    <t>2.81 ± 0.17</t>
  </si>
  <si>
    <t>2.82 ± 0.18</t>
  </si>
  <si>
    <t>2.83 ± 0.18</t>
  </si>
  <si>
    <t>2.85 ± 0.18</t>
  </si>
  <si>
    <t>2.88 ± 0.18</t>
  </si>
  <si>
    <t>2.55 ± 0.16</t>
  </si>
  <si>
    <t>2.56 ± 0.16</t>
  </si>
  <si>
    <t>2.57 ± 0.16</t>
  </si>
  <si>
    <t>2.58 ± 0.16</t>
  </si>
  <si>
    <t>2.61 ± 0.16</t>
  </si>
  <si>
    <t>0.90 ± 0.11</t>
  </si>
  <si>
    <t>0.91 ± 0.11</t>
  </si>
  <si>
    <t>1.04 ± 0.12</t>
  </si>
  <si>
    <t>1.05 ± 0.12</t>
  </si>
  <si>
    <t>1.47 ± 0.28</t>
  </si>
  <si>
    <t>1.48 ± 0.28</t>
  </si>
  <si>
    <t>1.49 ± 0.29</t>
  </si>
  <si>
    <t>1.83 ± 0.11</t>
  </si>
  <si>
    <t>1.84 ± 0.11</t>
  </si>
  <si>
    <t>1.84 ± 0.12</t>
  </si>
  <si>
    <t>1.86 ± 0.12</t>
  </si>
  <si>
    <t>1.87 ± 0.12</t>
  </si>
  <si>
    <t>1.88 ± 0.12</t>
  </si>
  <si>
    <t>1.89 ± 0.12</t>
  </si>
  <si>
    <t>1.58 ± 0.10</t>
  </si>
  <si>
    <t>1.59 ± 0.10</t>
  </si>
  <si>
    <t>1.60 ± 0.10</t>
  </si>
  <si>
    <t>7.35 ± 0.49</t>
  </si>
  <si>
    <t>7.39 ± 0.50</t>
  </si>
  <si>
    <t>7.48 ± 0.51</t>
  </si>
  <si>
    <t>7.58 ± 0.52</t>
  </si>
  <si>
    <t>7.83 ± 0.56</t>
  </si>
  <si>
    <t>26.23 ± 1.67</t>
  </si>
  <si>
    <t>26.81 ± 1.75</t>
  </si>
  <si>
    <t>28.09 ± 1.92</t>
  </si>
  <si>
    <t>29.55 ± 2.14</t>
  </si>
  <si>
    <t>34.32 ± 2.96</t>
  </si>
  <si>
    <t>22.93 ± 1.45</t>
  </si>
  <si>
    <t>23.38 ± 1.51</t>
  </si>
  <si>
    <t>24.34 ± 1.64</t>
  </si>
  <si>
    <t>25.41 ± 1.79</t>
  </si>
  <si>
    <t>28.78 ± 2.34</t>
  </si>
  <si>
    <t>24.93 ± 1.80</t>
  </si>
  <si>
    <t>25.46 ± 1.88</t>
  </si>
  <si>
    <t>26.60 ± 2.06</t>
  </si>
  <si>
    <t>27.90 ± 2.27</t>
  </si>
  <si>
    <t>32.08 ± 3.07</t>
  </si>
  <si>
    <t>6.75 ± 0.44</t>
  </si>
  <si>
    <t>6.79 ± 0.45</t>
  </si>
  <si>
    <t>6.86 ± 0.46</t>
  </si>
  <si>
    <t>6.94 ± 0.47</t>
  </si>
  <si>
    <t>7.15 ± 0.50</t>
  </si>
  <si>
    <t>44.98 ± 2.76</t>
  </si>
  <si>
    <t>46.74 ± 2.99</t>
  </si>
  <si>
    <t>50.90 ± 3.56</t>
  </si>
  <si>
    <t>56.24 ± 4.42</t>
  </si>
  <si>
    <t>82.11 ± 10.89</t>
  </si>
  <si>
    <t>13.22 ± 0.95</t>
  </si>
  <si>
    <t>13.37 ± 0.97</t>
  </si>
  <si>
    <t>13.68 ± 1.02</t>
  </si>
  <si>
    <t>14.00 ± 1.07</t>
  </si>
  <si>
    <t>14.91 ± 1.21</t>
  </si>
  <si>
    <t>22.15 ± 1.47</t>
  </si>
  <si>
    <t>22.56 ± 1.52</t>
  </si>
  <si>
    <t>23.45 ± 1.65</t>
  </si>
  <si>
    <t>24.45 ± 1.79</t>
  </si>
  <si>
    <t>27.53 ± 2.31</t>
  </si>
  <si>
    <t>72.41 ± 4.83</t>
  </si>
  <si>
    <t>77.14 ± 5.50</t>
  </si>
  <si>
    <t>89.77 ± 7.59</t>
  </si>
  <si>
    <t>110.55 ± 12.23</t>
  </si>
  <si>
    <t>35.61 ± 2.69</t>
  </si>
  <si>
    <t>36.70 ± 2.86</t>
  </si>
  <si>
    <t>39.17 ± 3.27</t>
  </si>
  <si>
    <t>42.15 ± 3.82</t>
  </si>
  <si>
    <t>53.59 ± 6.56</t>
  </si>
  <si>
    <t>5.96 ± 0.40</t>
  </si>
  <si>
    <t>5.99 ± 0.40</t>
  </si>
  <si>
    <t>6.04 ± 0.41</t>
  </si>
  <si>
    <t>6.11 ± 0.42</t>
  </si>
  <si>
    <t>6.27 ± 0.44</t>
  </si>
  <si>
    <t>15.41 ± 0.94</t>
  </si>
  <si>
    <t>15.61 ± 0.96</t>
  </si>
  <si>
    <t>16.03 ± 1.02</t>
  </si>
  <si>
    <t>16.48 ± 1.08</t>
  </si>
  <si>
    <t>17.77 ± 1.26</t>
  </si>
  <si>
    <t>19.84 ± 1.26</t>
  </si>
  <si>
    <t>20.17 ± 1.30</t>
  </si>
  <si>
    <t>20.88 ± 1.40</t>
  </si>
  <si>
    <t>21.66 ± 1.51</t>
  </si>
  <si>
    <t>24.01 ± 1.87</t>
  </si>
  <si>
    <t>13.92 ± 0.85</t>
  </si>
  <si>
    <t>14.08 ± 0.87</t>
  </si>
  <si>
    <t>14.42 ± 0.92</t>
  </si>
  <si>
    <t>14.78 ± 0.96</t>
  </si>
  <si>
    <t>15.81 ± 1.11</t>
  </si>
  <si>
    <t>15.54 ± 0.98</t>
  </si>
  <si>
    <t>15.74 ± 1.01</t>
  </si>
  <si>
    <t>16.17 ± 1.07</t>
  </si>
  <si>
    <t>16.63 ± 1.13</t>
  </si>
  <si>
    <t>17.95 ± 1.32</t>
  </si>
  <si>
    <t>24.78 ± 2.08</t>
  </si>
  <si>
    <t>25.30 ± 2.17</t>
  </si>
  <si>
    <t>26.44 ± 2.37</t>
  </si>
  <si>
    <t>27.72 ± 2.61</t>
  </si>
  <si>
    <t>31.84 ± 3.52</t>
  </si>
  <si>
    <t>21.25 ± 1.25</t>
  </si>
  <si>
    <t>21.63 ± 1.29</t>
  </si>
  <si>
    <t>22.46 ± 1.40</t>
  </si>
  <si>
    <t>23.37 ± 1.51</t>
  </si>
  <si>
    <t>26.16 ± 1.93</t>
  </si>
  <si>
    <t>41.57 ± 2.52</t>
  </si>
  <si>
    <t>43.07 ± 2.71</t>
  </si>
  <si>
    <t>46.56 ± 3.18</t>
  </si>
  <si>
    <t>50.94 ± 3.86</t>
  </si>
  <si>
    <t>70.23 ± 8.14</t>
  </si>
  <si>
    <t>16.72 ± 1.54</t>
  </si>
  <si>
    <t>16.95 ± 1.58</t>
  </si>
  <si>
    <t>17.45 ± 1.68</t>
  </si>
  <si>
    <t>17.98 ± 1.79</t>
  </si>
  <si>
    <t>19.54 ± 2.13</t>
  </si>
  <si>
    <t>7.25 ± 0.63</t>
  </si>
  <si>
    <t>7.30 ± 0.64</t>
  </si>
  <si>
    <t>7.39 ± 0.66</t>
  </si>
  <si>
    <t>7.48 ± 0.67</t>
  </si>
  <si>
    <t>7.73 ± 0.72</t>
  </si>
  <si>
    <t>13.22 ± 1.91</t>
  </si>
  <si>
    <t>13.36 ± 1.95</t>
  </si>
  <si>
    <t>13.67 ± 2.04</t>
  </si>
  <si>
    <t>13.99 ± 2.14</t>
  </si>
  <si>
    <t>14.90 ± 2.44</t>
  </si>
  <si>
    <t>14.26 ± 1.08</t>
  </si>
  <si>
    <t>14.43 ± 1.11</t>
  </si>
  <si>
    <t>14.78 ± 1.17</t>
  </si>
  <si>
    <t>15.17 ± 1.23</t>
  </si>
  <si>
    <t>16.25 ± 1.42</t>
  </si>
  <si>
    <t>13.93 ± 1.21</t>
  </si>
  <si>
    <t>14.10 ± 1.24</t>
  </si>
  <si>
    <t>14.44 ± 1.30</t>
  </si>
  <si>
    <t>14.80 ± 1.37</t>
  </si>
  <si>
    <t>15.82 ± 1.57</t>
  </si>
  <si>
    <t>13.41 ± 1.02</t>
  </si>
  <si>
    <t>13.56 ± 1.04</t>
  </si>
  <si>
    <t>13.88 ± 1.09</t>
  </si>
  <si>
    <t>14.21 ± 1.15</t>
  </si>
  <si>
    <t>15.15 ± 1.31</t>
  </si>
  <si>
    <t>14.44 ± 1.16</t>
  </si>
  <si>
    <t>14.61 ± 1.19</t>
  </si>
  <si>
    <t>14.97 ± 1.25</t>
  </si>
  <si>
    <t>15.37 ± 1.32</t>
  </si>
  <si>
    <t>16.48 ± 1.52</t>
  </si>
  <si>
    <t>22.65 ± 1.77</t>
  </si>
  <si>
    <t>23.08 ± 1.84</t>
  </si>
  <si>
    <t>24.01 ± 1.99</t>
  </si>
  <si>
    <t>25.05 ± 2.17</t>
  </si>
  <si>
    <t>28.29 ± 2.82</t>
  </si>
  <si>
    <t>20.18 ± 1.76</t>
  </si>
  <si>
    <t>20.53 ± 1.82</t>
  </si>
  <si>
    <t>21.26 ± 1.96</t>
  </si>
  <si>
    <t>22.06 ± 2.11</t>
  </si>
  <si>
    <t>24.49 ± 2.64</t>
  </si>
  <si>
    <t>23.55 ± 1.85</t>
  </si>
  <si>
    <t>24.02 ± 1.92</t>
  </si>
  <si>
    <t>25.03 ± 2.09</t>
  </si>
  <si>
    <t>26.17 ± 2.30</t>
  </si>
  <si>
    <t>29.74 ± 3.02</t>
  </si>
  <si>
    <t>31.30 ± 1.98</t>
  </si>
  <si>
    <t>32.13 ± 2.09</t>
  </si>
  <si>
    <t>33.99 ± 2.35</t>
  </si>
  <si>
    <t>36.18 ± 2.68</t>
  </si>
  <si>
    <t>43.92 ± 4.11</t>
  </si>
  <si>
    <t>82.90 ± 5.33</t>
  </si>
  <si>
    <t>89.18 ± 6.19</t>
  </si>
  <si>
    <t>106.87 ± 9.15</t>
  </si>
  <si>
    <t>140.00 ± 17.35</t>
  </si>
  <si>
    <t>29.89 ± 1.89</t>
  </si>
  <si>
    <t>30.65 ± 1.99</t>
  </si>
  <si>
    <t>32.34 ± 2.22</t>
  </si>
  <si>
    <t>34.30 ± 2.52</t>
  </si>
  <si>
    <t>41.10 ± 3.74</t>
  </si>
  <si>
    <t>16.25 ± 1.08</t>
  </si>
  <si>
    <t>16.47 ± 1.11</t>
  </si>
  <si>
    <t>16.94 ± 1.18</t>
  </si>
  <si>
    <t>17.44 ± 1.25</t>
  </si>
  <si>
    <t>18.90 ± 1.48</t>
  </si>
  <si>
    <t>14.99 ± 0.99</t>
  </si>
  <si>
    <t>15.18 ± 1.02</t>
  </si>
  <si>
    <t>15.57 ± 1.07</t>
  </si>
  <si>
    <t>15.99 ± 1.13</t>
  </si>
  <si>
    <t>17.20 ± 1.32</t>
  </si>
  <si>
    <t>16.54 ± 1.04</t>
  </si>
  <si>
    <t>16.77 ± 1.07</t>
  </si>
  <si>
    <t>17.26 ± 1.14</t>
  </si>
  <si>
    <t>17.78 ± 1.21</t>
  </si>
  <si>
    <t>19.30 ± 1.44</t>
  </si>
  <si>
    <t>16.60 ± 1.05</t>
  </si>
  <si>
    <t>16.83 ± 1.08</t>
  </si>
  <si>
    <t>17.32 ± 1.14</t>
  </si>
  <si>
    <t>17.85 ± 1.22</t>
  </si>
  <si>
    <t>19.38 ± 1.45</t>
  </si>
  <si>
    <t>103.73 ± 6.52</t>
  </si>
  <si>
    <t>113.85 ± 7.91</t>
  </si>
  <si>
    <t>145.91 ± 13.68</t>
  </si>
  <si>
    <t>235.33 ± 48.11</t>
  </si>
  <si>
    <t>53.64 ± 3.33</t>
  </si>
  <si>
    <t>56.16 ± 3.65</t>
  </si>
  <si>
    <t>62.31 ± 4.54</t>
  </si>
  <si>
    <t>70.73 ± 6.00</t>
  </si>
  <si>
    <t>127.69 ± 28.08</t>
  </si>
  <si>
    <t>22.50 ± 1.63</t>
  </si>
  <si>
    <t>22.92 ± 1.70</t>
  </si>
  <si>
    <t>23.84 ± 1.84</t>
  </si>
  <si>
    <t>24.86 ± 2.01</t>
  </si>
  <si>
    <t>28.05 ± 2.60</t>
  </si>
  <si>
    <t>22.16 ± 1.55</t>
  </si>
  <si>
    <t>22.57 ± 1.60</t>
  </si>
  <si>
    <t>23.46 ± 1.74</t>
  </si>
  <si>
    <t>24.46 ± 1.89</t>
  </si>
  <si>
    <t>27.52 ± 2.44</t>
  </si>
  <si>
    <t>39.54 ± 2.76</t>
  </si>
  <si>
    <t>40.88 ± 2.95</t>
  </si>
  <si>
    <t>43.98 ± 3.43</t>
  </si>
  <si>
    <t>47.80 ± 4.10</t>
  </si>
  <si>
    <t>63.64 ± 7.94</t>
  </si>
  <si>
    <t>31.77 ± 2.10</t>
  </si>
  <si>
    <t>32.63 ± 2.21</t>
  </si>
  <si>
    <t>34.55 ± 2.49</t>
  </si>
  <si>
    <t>36.81 ± 2.85</t>
  </si>
  <si>
    <t>44.85 ± 4.41</t>
  </si>
  <si>
    <t>36.54 ± 2.45</t>
  </si>
  <si>
    <t>37.69 ± 2.61</t>
  </si>
  <si>
    <t>40.29 ± 3.00</t>
  </si>
  <si>
    <t>43.44 ± 3.52</t>
  </si>
  <si>
    <t>55.70 ± 6.18</t>
  </si>
  <si>
    <t>31.78 ± 2.52</t>
  </si>
  <si>
    <t>32.64 ± 2.66</t>
  </si>
  <si>
    <t>34.56 ± 2.99</t>
  </si>
  <si>
    <t>36.81 ± 3.41</t>
  </si>
  <si>
    <t>44.86 ± 5.29</t>
  </si>
  <si>
    <t>49.86 ± 3.32</t>
  </si>
  <si>
    <t>52.03 ± 3.62</t>
  </si>
  <si>
    <t>57.24 ± 4.41</t>
  </si>
  <si>
    <t>64.16 ± 5.66</t>
  </si>
  <si>
    <t>103.30 ± 18.58</t>
  </si>
  <si>
    <t>0.94 ± 0.11</t>
  </si>
  <si>
    <t>0.95 ± 0.11</t>
  </si>
  <si>
    <t>1.59 ± 0.13</t>
  </si>
  <si>
    <t>1.60 ± 0.14</t>
  </si>
  <si>
    <t>1.61 ± 0.14</t>
  </si>
  <si>
    <t>11.87 ± 0.78</t>
  </si>
  <si>
    <t>11.99 ± 0.80</t>
  </si>
  <si>
    <t>12.23 ± 0.83</t>
  </si>
  <si>
    <t>12.49 ± 0.87</t>
  </si>
  <si>
    <t>13.21 ± 0.97</t>
  </si>
  <si>
    <t>4.06 ± 0.27</t>
  </si>
  <si>
    <t>4.07 ± 0.27</t>
  </si>
  <si>
    <t>4.10 ± 0.27</t>
  </si>
  <si>
    <t>4.13 ± 0.28</t>
  </si>
  <si>
    <t>4.20 ± 0.29</t>
  </si>
  <si>
    <t>18.28 ± 1.16</t>
  </si>
  <si>
    <t>18.56 ± 1.19</t>
  </si>
  <si>
    <t>19.16 ± 1.27</t>
  </si>
  <si>
    <t>19.81 ± 1.36</t>
  </si>
  <si>
    <t>21.74 ± 1.66</t>
  </si>
  <si>
    <t>0.93 ± 0.13</t>
  </si>
  <si>
    <t>0.94 ± 0.14</t>
  </si>
  <si>
    <t>2.61 ± 0.17</t>
  </si>
  <si>
    <t>2.62 ± 0.18</t>
  </si>
  <si>
    <t>2.64 ± 0.18</t>
  </si>
  <si>
    <t>2.66 ± 0.18</t>
  </si>
  <si>
    <t>2.89 ± 0.19</t>
  </si>
  <si>
    <t>2.91 ± 0.19</t>
  </si>
  <si>
    <t>2.92 ± 0.20</t>
  </si>
  <si>
    <t>2.96 ± 0.20</t>
  </si>
  <si>
    <t>2.78 ± 0.19</t>
  </si>
  <si>
    <t>2.79 ± 0.19</t>
  </si>
  <si>
    <t>2.80 ± 0.19</t>
  </si>
  <si>
    <t>2.81 ± 0.19</t>
  </si>
  <si>
    <t>2.85 ± 0.20</t>
  </si>
  <si>
    <t xml:space="preserve">% Increase in age after accounting for various erosion rates </t>
  </si>
  <si>
    <t>Thickness scaling factor</t>
  </si>
  <si>
    <t>Production rate (muons) (atoms/g/yr)</t>
  </si>
  <si>
    <t>Internal uncertainty (yr)</t>
  </si>
  <si>
    <t>Exposure age (yr)</t>
  </si>
  <si>
    <t>External uncertainty (yr)</t>
  </si>
  <si>
    <t>Production rate (spallation) (atoms/g/yr)</t>
  </si>
  <si>
    <t>SW Slope, Bedrock &amp; erratic</t>
  </si>
  <si>
    <t>Moraine G2</t>
  </si>
  <si>
    <t>Moraine G3</t>
  </si>
  <si>
    <t>Moraine G4</t>
  </si>
  <si>
    <t>NE Slope, Moraine NE1</t>
  </si>
  <si>
    <t>NE Slope, Moraine NE2-4</t>
  </si>
  <si>
    <t>SW Slope, moraine remnant(?)</t>
  </si>
  <si>
    <t>SW Slope, Moraine SW2</t>
  </si>
  <si>
    <t>Moraine IB7</t>
  </si>
  <si>
    <t>Bogd valley, Moraine BO1</t>
  </si>
  <si>
    <t>Bitüüt valley, Moraine BI2</t>
  </si>
  <si>
    <t>Moraine Bu1</t>
  </si>
  <si>
    <t>Moraine IB5-6</t>
  </si>
  <si>
    <t>Bitüüt valley, Moraine BI8</t>
  </si>
  <si>
    <t>Bitüüt valley, Moraine BI10</t>
  </si>
  <si>
    <t>The thin lines are probabilities of individual samples from the same moraine.</t>
  </si>
  <si>
    <t>The thick lines are sum of the probabilities of individual samples. Ages corresponding to an isolated thick lines are inferred to be outliers.</t>
  </si>
  <si>
    <t>Moraine Bu2-3</t>
  </si>
  <si>
    <t>Moraine G1</t>
  </si>
  <si>
    <t>Moraine IB1</t>
  </si>
  <si>
    <t>Moraine group</t>
  </si>
  <si>
    <t>Moraine NE2–4</t>
  </si>
  <si>
    <t>Moraine SW2</t>
  </si>
  <si>
    <t>Bedrock</t>
  </si>
  <si>
    <t>Moraine BO1</t>
  </si>
  <si>
    <t>Gichginii range, Mönh Mösnii valley</t>
  </si>
  <si>
    <t>Ih Bogd range, Artsan valley</t>
  </si>
  <si>
    <t>Toe altitude</t>
  </si>
  <si>
    <t>46.6012/93.5490</t>
  </si>
  <si>
    <t>Moraine N1</t>
  </si>
  <si>
    <t>46.6418/93.5710</t>
  </si>
  <si>
    <t>3240–3315</t>
  </si>
  <si>
    <t>3238–3275</t>
  </si>
  <si>
    <t>Normalized magnitude of local ELA lowering</t>
  </si>
  <si>
    <t>3555–3920</t>
  </si>
  <si>
    <t>3110–3220</t>
  </si>
  <si>
    <t>46.6231/93.5932</t>
  </si>
  <si>
    <t>46.6362/93.5540</t>
  </si>
  <si>
    <t>3545–4100</t>
  </si>
  <si>
    <t>3325–3365</t>
  </si>
  <si>
    <t>3380–3430</t>
  </si>
  <si>
    <t>2070–2150</t>
  </si>
  <si>
    <t>2085–2150</t>
  </si>
  <si>
    <t>47.6080/97.5523</t>
  </si>
  <si>
    <t>4000–3645</t>
  </si>
  <si>
    <t>47.5721/97.6751</t>
  </si>
  <si>
    <t>2510–2555</t>
  </si>
  <si>
    <t>2525–2610</t>
  </si>
  <si>
    <t>2721–2730</t>
  </si>
  <si>
    <t>2110–2210</t>
  </si>
  <si>
    <t>2135–2220</t>
  </si>
  <si>
    <t>Moraine BI1</t>
  </si>
  <si>
    <t>Moraine BI2</t>
  </si>
  <si>
    <t>Location (degrees)</t>
  </si>
  <si>
    <r>
      <t xml:space="preserve">Constant (time-invariant)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production rate value of 3.99 ± 0.22 atoms g</t>
    </r>
    <r>
      <rPr>
        <vertAlign val="superscript"/>
        <sz val="12"/>
        <color theme="1"/>
        <rFont val="Calibri"/>
        <family val="2"/>
      </rPr>
      <t>−1</t>
    </r>
    <r>
      <rPr>
        <sz val="12"/>
        <color theme="1"/>
        <rFont val="Calibri"/>
        <family val="2"/>
      </rPr>
      <t xml:space="preserve"> yr</t>
    </r>
    <r>
      <rPr>
        <vertAlign val="superscript"/>
        <sz val="12"/>
        <color theme="1"/>
        <rFont val="Calibri"/>
        <family val="2"/>
      </rPr>
      <t>−1</t>
    </r>
    <r>
      <rPr>
        <sz val="12"/>
        <color theme="1"/>
        <rFont val="Calibri"/>
        <family val="2"/>
      </rPr>
      <t xml:space="preserve"> (Heyman, 2014) scaled by method of Lal (1991) and Stone (2000).</t>
    </r>
  </si>
  <si>
    <t>Constant (time-invariant) local production rate based on Heisinger et al. (2002a, 2002b).</t>
  </si>
  <si>
    <r>
      <t>Density of 2.65 g cm</t>
    </r>
    <r>
      <rPr>
        <vertAlign val="superscript"/>
        <sz val="12"/>
        <color theme="1"/>
        <rFont val="Calibri"/>
        <family val="2"/>
      </rPr>
      <t>−3</t>
    </r>
    <r>
      <rPr>
        <sz val="12"/>
        <color theme="1"/>
        <rFont val="Calibri"/>
        <family val="2"/>
      </rPr>
      <t xml:space="preserve"> was used based on the quartz vein and granitic composition of the surface samples.</t>
    </r>
  </si>
  <si>
    <r>
      <t xml:space="preserve">AMS isotope ratios measured at LLNL were normalized to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 xml:space="preserve">Be/Be standards prepared by Nishiizumi et al. (2007) with a nominal value of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Be/Be = 2.85 × 10</t>
    </r>
    <r>
      <rPr>
        <vertAlign val="superscript"/>
        <sz val="12"/>
        <color theme="1"/>
        <rFont val="Calibri"/>
        <family val="2"/>
      </rPr>
      <t>−12</t>
    </r>
    <r>
      <rPr>
        <sz val="12"/>
        <color theme="1"/>
        <rFont val="Calibri"/>
        <family val="2"/>
      </rPr>
      <t xml:space="preserve">. Samples measured at ANSTO (see Fink &amp; Smith 2007) were normalized to the NIST 4325-SRM with a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Be/Be value of 27.9 × 10</t>
    </r>
    <r>
      <rPr>
        <vertAlign val="superscript"/>
        <sz val="12"/>
        <color theme="1"/>
        <rFont val="Calibri"/>
        <family val="2"/>
      </rPr>
      <t>−12</t>
    </r>
    <r>
      <rPr>
        <sz val="12"/>
        <color theme="1"/>
        <rFont val="Calibri"/>
        <family val="2"/>
      </rPr>
      <t xml:space="preserve"> or 07KN-5-2 with a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Be/Be value of 8.56 × 10</t>
    </r>
    <r>
      <rPr>
        <vertAlign val="superscript"/>
        <sz val="12"/>
        <color theme="1"/>
        <rFont val="Calibri"/>
        <family val="2"/>
      </rPr>
      <t>−12</t>
    </r>
    <r>
      <rPr>
        <sz val="12"/>
        <color theme="1"/>
        <rFont val="Calibri"/>
        <family val="2"/>
      </rPr>
      <t>. All three standard reference materials are internally consistent (see Nishiizumi et al., 2007).</t>
    </r>
  </si>
  <si>
    <t>Uncertainties are reported at the 1σ confidence level.</t>
  </si>
  <si>
    <t>Propagated internal uncertainties include uncertainty in the blank, carrier concentration (1%), and counting statistics.</t>
  </si>
  <si>
    <r>
      <t xml:space="preserve">Propagated external uncertainty in the model ages is a "total uncertainty" that includes a 5.5 % uncertainty in the production rate of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 xml:space="preserve">Be and a 1% uncertainty in the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decay constant.</t>
    </r>
  </si>
  <si>
    <r>
      <t xml:space="preserve">All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 xml:space="preserve">Be concentrations were converted to ages using a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half-life of 1.389 × 10</t>
    </r>
    <r>
      <rPr>
        <vertAlign val="superscript"/>
        <sz val="12"/>
        <color theme="1"/>
        <rFont val="Calibri"/>
        <family val="2"/>
      </rPr>
      <t>6</t>
    </r>
    <r>
      <rPr>
        <sz val="12"/>
        <color theme="1"/>
        <rFont val="Calibri"/>
        <family val="2"/>
      </rPr>
      <t xml:space="preserve"> yr (Chmeleff et al., 2010) using CRONUS-Earth calculator version 2.2 (Balco et al., 2008) to calculate the ages. The </t>
    </r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standard is called 07KNSTD in CRONUS-Earth.</t>
    </r>
  </si>
  <si>
    <r>
      <t>We assumed zero erosion of the rock and no burial history. An erosion of 3 mm yr</t>
    </r>
    <r>
      <rPr>
        <vertAlign val="superscript"/>
        <sz val="12"/>
        <color theme="1"/>
        <rFont val="Calibri"/>
        <family val="2"/>
      </rPr>
      <t>−1</t>
    </r>
    <r>
      <rPr>
        <sz val="12"/>
        <color theme="1"/>
        <rFont val="Calibri"/>
        <family val="2"/>
      </rPr>
      <t xml:space="preserve"> would increase an age of 20 ka by ~5% (Batbaatar and Gillespie, 2016).</t>
    </r>
  </si>
  <si>
    <t>Step 1. The case of one doubtful observation</t>
  </si>
  <si>
    <t>Step 2. The case of two doubtful observations</t>
  </si>
  <si>
    <t>Np: Chauvenet's criterion</t>
  </si>
  <si>
    <t>Peirce R value</t>
  </si>
  <si>
    <t>Reject if:</t>
  </si>
  <si>
    <t>Comments</t>
  </si>
  <si>
    <t>(integral)</t>
  </si>
  <si>
    <t>(Reject if &lt;0.5)</t>
  </si>
  <si>
    <t>(1 out of 4)</t>
  </si>
  <si>
    <t>(1 out of 5)</t>
  </si>
  <si>
    <t>(1 out of 6)</t>
  </si>
  <si>
    <t>(2 out of 4)</t>
  </si>
  <si>
    <t>Excluded from outlier evaluation.</t>
  </si>
  <si>
    <t>(2 out of 5)</t>
  </si>
  <si>
    <t>(1 out of 3)</t>
  </si>
  <si>
    <t>Excluded from outlier evaluation</t>
  </si>
  <si>
    <t>Accepted</t>
  </si>
  <si>
    <t>No cluster age</t>
  </si>
  <si>
    <t>Rejected</t>
  </si>
  <si>
    <t>REVISED AFTER OUTLIER REJECTION</t>
  </si>
  <si>
    <t>Moraine BU1</t>
  </si>
  <si>
    <t>Moraine BU2</t>
  </si>
  <si>
    <t>The samples are sorted from young to old within the moraine group</t>
  </si>
  <si>
    <t>CONSIDERING ALL SAMPLES</t>
  </si>
  <si>
    <t>Number of samples within the group</t>
  </si>
  <si>
    <t>1σ st.dev of the mean (%)</t>
  </si>
  <si>
    <t xml:space="preserve"> 1σ st.dev of the mean (ka)</t>
  </si>
  <si>
    <t>Outlier evaluation by Chauvenet's criterion *</t>
  </si>
  <si>
    <t>Outlier evaluation by Peirce's criterion **</t>
  </si>
  <si>
    <t>* Chauvenet, W., 1960. Reprint of 1891, fifth ed.. A Manual of Spherical and Practical Astronomy V. II. 1863, pp. 474–566, Dover, N.Y.</t>
  </si>
  <si>
    <t>** Ross, S.M. 2003. Peirce's criterion for the elimination of suspect experimental data. J. Eng. Technol., 20, 38–41.</t>
  </si>
  <si>
    <t>(cf. Peirce Criterion Table **)</t>
  </si>
  <si>
    <t>Bitüüt valley, Moraine BI9</t>
  </si>
  <si>
    <t>Headwall</t>
  </si>
  <si>
    <t>45.40005/97.07027</t>
  </si>
  <si>
    <t>46.62312/93.59323</t>
  </si>
  <si>
    <t>44.95975/100.26923</t>
  </si>
  <si>
    <t>Altitude (m asl)</t>
  </si>
  <si>
    <t>47.60961/97.54489</t>
  </si>
  <si>
    <t>47.65663/97.59901</t>
  </si>
  <si>
    <t>47.29765/100.46943</t>
  </si>
  <si>
    <t>Rother et al., 2014</t>
  </si>
  <si>
    <t>Rother, H., Lehmkuhl, F., Fink, D., Nottebaum, V., 2014. Surface exposure dating reveals MIS-3 glacial maximum in the Khangai Mountains of Mongolia. Quat. Res. 82, 297–308.</t>
  </si>
  <si>
    <t>Gillespie, A.R., Burke, R.M., Komatsu, G., Bayasgalan, A., 2008. Late Pleistocene glaciers in Darhad Basin, northern Mongolia. Quat. Res. 69, 169–187.</t>
  </si>
  <si>
    <t>Moraine BI9</t>
  </si>
  <si>
    <t>(2 out of 6)</t>
  </si>
  <si>
    <t>No evaluation</t>
  </si>
  <si>
    <t>Not conclusive</t>
  </si>
  <si>
    <t>Outlier evaluation method</t>
  </si>
  <si>
    <t>&gt; 13 (?)</t>
  </si>
  <si>
    <t>&gt; 21 (?)</t>
  </si>
  <si>
    <t>&gt; 22 (?)</t>
  </si>
  <si>
    <t>&gt; 14.5 (?)</t>
  </si>
  <si>
    <t>&gt; 16 (?)</t>
  </si>
  <si>
    <t>&gt;&gt; 22 (?)</t>
  </si>
  <si>
    <t>* Calculation of the mean age for the group does not include outliers.</t>
  </si>
  <si>
    <r>
      <rPr>
        <vertAlign val="superscript"/>
        <sz val="10"/>
        <color rgb="FF000000"/>
        <rFont val="Calibri"/>
        <family val="2"/>
      </rPr>
      <t>26</t>
    </r>
    <r>
      <rPr>
        <sz val="10"/>
        <color rgb="FF000000"/>
        <rFont val="Calibri"/>
        <family val="2"/>
      </rPr>
      <t>Al concentration</t>
    </r>
  </si>
  <si>
    <r>
      <t xml:space="preserve">Uncertainty in </t>
    </r>
    <r>
      <rPr>
        <vertAlign val="superscript"/>
        <sz val="10"/>
        <color rgb="FF000000"/>
        <rFont val="Calibri"/>
        <family val="2"/>
      </rPr>
      <t>26</t>
    </r>
    <r>
      <rPr>
        <sz val="10"/>
        <color rgb="FF000000"/>
        <rFont val="Calibri"/>
        <family val="2"/>
      </rPr>
      <t>Al concentration</t>
    </r>
  </si>
  <si>
    <r>
      <rPr>
        <vertAlign val="superscript"/>
        <sz val="10"/>
        <color theme="1"/>
        <rFont val="Calibri"/>
        <family val="2"/>
      </rPr>
      <t>10</t>
    </r>
    <r>
      <rPr>
        <sz val="10"/>
        <color theme="1"/>
        <rFont val="Calibri"/>
        <family val="2"/>
      </rPr>
      <t>Be age</t>
    </r>
  </si>
  <si>
    <r>
      <t xml:space="preserve">1σ External Uncertainty in </t>
    </r>
    <r>
      <rPr>
        <vertAlign val="superscript"/>
        <sz val="10"/>
        <color rgb="FF000000"/>
        <rFont val="Calibri"/>
        <family val="2"/>
      </rPr>
      <t>10</t>
    </r>
    <r>
      <rPr>
        <sz val="10"/>
        <color rgb="FF000000"/>
        <rFont val="Calibri"/>
        <family val="2"/>
      </rPr>
      <t>Be age</t>
    </r>
  </si>
  <si>
    <r>
      <t xml:space="preserve">1σ Internal Uncertainty in </t>
    </r>
    <r>
      <rPr>
        <vertAlign val="superscript"/>
        <sz val="10"/>
        <color rgb="FF000000"/>
        <rFont val="Calibri"/>
        <family val="2"/>
      </rPr>
      <t>10</t>
    </r>
    <r>
      <rPr>
        <sz val="10"/>
        <color rgb="FF000000"/>
        <rFont val="Calibri"/>
        <family val="2"/>
      </rPr>
      <t>Be age</t>
    </r>
  </si>
  <si>
    <r>
      <t>(g cm</t>
    </r>
    <r>
      <rPr>
        <vertAlign val="superscript"/>
        <sz val="10"/>
        <color theme="1"/>
        <rFont val="Calibri"/>
        <family val="2"/>
      </rPr>
      <t>-2</t>
    </r>
    <r>
      <rPr>
        <sz val="10"/>
        <color theme="1"/>
        <rFont val="Calibri"/>
        <family val="2"/>
      </rPr>
      <t>)</t>
    </r>
  </si>
  <si>
    <r>
      <t>(cm yr</t>
    </r>
    <r>
      <rPr>
        <vertAlign val="superscript"/>
        <sz val="10"/>
        <color theme="1"/>
        <rFont val="Calibri"/>
        <family val="2"/>
      </rPr>
      <t>-1</t>
    </r>
    <r>
      <rPr>
        <sz val="10"/>
        <color theme="1"/>
        <rFont val="Calibri"/>
        <family val="2"/>
      </rPr>
      <t>)</t>
    </r>
  </si>
  <si>
    <r>
      <rPr>
        <vertAlign val="superscript"/>
        <sz val="10"/>
        <color theme="1"/>
        <rFont val="Calibri"/>
        <family val="2"/>
      </rPr>
      <t>10</t>
    </r>
    <r>
      <rPr>
        <sz val="10"/>
        <color theme="1"/>
        <rFont val="Calibri"/>
        <family val="2"/>
      </rPr>
      <t>Be data from Rother et al., 2014; Age recalculated by Batbaatar and Gillespie, 2016</t>
    </r>
  </si>
  <si>
    <r>
      <t>10</t>
    </r>
    <r>
      <rPr>
        <b/>
        <sz val="10"/>
        <color theme="1"/>
        <rFont val="Calibri"/>
        <family val="2"/>
      </rPr>
      <t>Be results (CRONUS version 2.2, Production rate of Heyman, 2014):</t>
    </r>
  </si>
  <si>
    <r>
      <t xml:space="preserve">Exposure age with </t>
    </r>
    <r>
      <rPr>
        <b/>
        <sz val="10"/>
        <color theme="1"/>
        <rFont val="Calibri"/>
        <family val="2"/>
      </rPr>
      <t xml:space="preserve">no erosion </t>
    </r>
    <r>
      <rPr>
        <sz val="10"/>
        <color theme="1"/>
        <rFont val="Calibri"/>
        <family val="2"/>
      </rPr>
      <t>(ka ± 1σ) *</t>
    </r>
  </si>
  <si>
    <t>Outlier evaluation using Chauvenet's and Peirce's criterion</t>
  </si>
  <si>
    <t>Mean</t>
  </si>
  <si>
    <r>
      <t xml:space="preserve">Group age </t>
    </r>
    <r>
      <rPr>
        <b/>
        <sz val="11"/>
        <color theme="1"/>
        <rFont val="Calibri"/>
        <family val="2"/>
      </rPr>
      <t xml:space="preserve">including all </t>
    </r>
    <r>
      <rPr>
        <sz val="11"/>
        <color theme="1"/>
        <rFont val="Calibri"/>
        <family val="2"/>
      </rPr>
      <t>samples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(ka)</t>
    </r>
  </si>
  <si>
    <r>
      <t xml:space="preserve">Group age </t>
    </r>
    <r>
      <rPr>
        <b/>
        <sz val="11"/>
        <color theme="1"/>
        <rFont val="Calibri"/>
        <family val="2"/>
      </rPr>
      <t xml:space="preserve">after rejecting </t>
    </r>
    <r>
      <rPr>
        <sz val="11"/>
        <color theme="1"/>
        <rFont val="Calibri"/>
        <family val="2"/>
      </rPr>
      <t>outliers (ka)</t>
    </r>
  </si>
  <si>
    <t>BO1</t>
  </si>
  <si>
    <t>Left-lateral moraine</t>
  </si>
  <si>
    <t>Erratics on Shuvuun Hill bedrock</t>
  </si>
  <si>
    <t>Otgontenger, Bogd valley (Hangai)</t>
  </si>
  <si>
    <t>Shuvuun hill (erratics)</t>
  </si>
  <si>
    <t>J. Batbaatar, A.R. Gillespie, D. Fink, A. Matmon, T. Fujioka</t>
  </si>
  <si>
    <t>Normalized deviation and Stratigraphy</t>
  </si>
  <si>
    <t>Outlier evaluation using normalized 1σ deviation from the excluded mean and stratigraphic principles</t>
  </si>
  <si>
    <t>(RED = after excluding outliers)</t>
  </si>
  <si>
    <t>normdist. (-inf &lt; x)</t>
  </si>
  <si>
    <t>normdist. (-x &lt; x)</t>
  </si>
  <si>
    <t>normdist. (tail)</t>
  </si>
  <si>
    <t>Interpreted 1σ age range for the group</t>
  </si>
  <si>
    <t>µ , mean of the group (ka)</t>
  </si>
  <si>
    <r>
      <t>Age, X</t>
    </r>
    <r>
      <rPr>
        <vertAlign val="subscript"/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 xml:space="preserve"> (ka)</t>
    </r>
  </si>
  <si>
    <r>
      <t>z = |X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µ|/σ</t>
    </r>
  </si>
  <si>
    <r>
      <t>|X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µ|</t>
    </r>
  </si>
  <si>
    <r>
      <t>(Xi - µ)</t>
    </r>
    <r>
      <rPr>
        <vertAlign val="subscript"/>
        <sz val="10"/>
        <color theme="1"/>
        <rFont val="Calibri"/>
        <family val="2"/>
      </rPr>
      <t>max</t>
    </r>
  </si>
  <si>
    <t>|Xi - µ| &gt; (Xi - µ)max</t>
  </si>
  <si>
    <r>
      <t>|X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- µ| &gt; (Xi - µ)max</t>
    </r>
  </si>
  <si>
    <t>1) Testing whether an individual sample was within the 1σ normalized distance from the arithmetic mean of the other ages in the cluster.</t>
  </si>
  <si>
    <t>1σ st. dev of the group (ka)</t>
  </si>
  <si>
    <t>All accepted</t>
  </si>
  <si>
    <t>Ages with 1σ internal uncertainty (Open circles are Reject ages via Peirce's criterion)</t>
  </si>
  <si>
    <t>1 Reject per Peirce's criterion.</t>
  </si>
  <si>
    <t>1 Reject per both Chauvenet's and Peirce's criterion.</t>
  </si>
  <si>
    <t>All data Accept.</t>
  </si>
  <si>
    <t>All data Accept (due to small sample number).</t>
  </si>
  <si>
    <t>(assume one doubtful observation first, then proceed to Step 2 only when a datum is "Reject" at Step 1)</t>
  </si>
  <si>
    <t>1σ st.dev of the group (ka)</t>
  </si>
  <si>
    <t>1σ st.dev of the group (%)</t>
  </si>
  <si>
    <r>
      <t xml:space="preserve">1σ internal </t>
    </r>
    <r>
      <rPr>
        <vertAlign val="superscript"/>
        <sz val="11"/>
        <color theme="1"/>
        <rFont val="Calibri"/>
        <family val="2"/>
      </rPr>
      <t>(1)</t>
    </r>
    <r>
      <rPr>
        <sz val="11"/>
        <color theme="1"/>
        <rFont val="Calibri"/>
        <family val="2"/>
      </rPr>
      <t xml:space="preserve"> uncertainty in age (ka)</t>
    </r>
  </si>
  <si>
    <r>
      <t xml:space="preserve">1σ external </t>
    </r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uncertainty in age (ka)</t>
    </r>
  </si>
  <si>
    <r>
      <t xml:space="preserve">Chauvenet's </t>
    </r>
    <r>
      <rPr>
        <vertAlign val="superscript"/>
        <sz val="11"/>
        <color theme="1"/>
        <rFont val="Calibri"/>
        <family val="2"/>
      </rPr>
      <t>(3)</t>
    </r>
  </si>
  <si>
    <r>
      <t xml:space="preserve">Peirce's </t>
    </r>
    <r>
      <rPr>
        <vertAlign val="superscript"/>
        <sz val="11"/>
        <color theme="1"/>
        <rFont val="Calibri"/>
        <family val="2"/>
      </rPr>
      <t>(4)</t>
    </r>
  </si>
  <si>
    <r>
      <t xml:space="preserve">1σ total uncertainty  </t>
    </r>
    <r>
      <rPr>
        <vertAlign val="superscript"/>
        <sz val="11"/>
        <color theme="1"/>
        <rFont val="Calibri"/>
        <family val="2"/>
      </rPr>
      <t>(5)</t>
    </r>
  </si>
  <si>
    <r>
      <t xml:space="preserve">1σ total uncertainty </t>
    </r>
    <r>
      <rPr>
        <vertAlign val="superscript"/>
        <sz val="11"/>
        <color theme="1"/>
        <rFont val="Calibri"/>
        <family val="2"/>
      </rPr>
      <t>(5)</t>
    </r>
  </si>
  <si>
    <t>Mean group age* (ka)</t>
  </si>
  <si>
    <t>1σ total uncertainty** of the group age (ka)</t>
  </si>
  <si>
    <t xml:space="preserve">     MELM***</t>
  </si>
  <si>
    <t xml:space="preserve">      THAR ****</t>
  </si>
  <si>
    <t>*** MELM stands for Maximum Elevation of Lateral Moraine.</t>
  </si>
  <si>
    <t>**** THAR stands for Toe–Headwall Altitude Ratio. THAR of 0.58 was used (Gillespie et al., 2008).</t>
  </si>
  <si>
    <t>Comments (criteria* for rejection)</t>
  </si>
  <si>
    <t>1/4 rejected (1)</t>
  </si>
  <si>
    <t>1/5 rejected (1)</t>
  </si>
  <si>
    <t>Rejected (2)</t>
  </si>
  <si>
    <t>1/6 rejected (1)</t>
  </si>
  <si>
    <t>1/3 rejected (1)</t>
  </si>
  <si>
    <t>2/6 rejected (1)</t>
  </si>
  <si>
    <t>2) Stratigraphic consistency with other samples at higher or lower altitudes.</t>
  </si>
  <si>
    <r>
      <t xml:space="preserve">Probablity density functions for all </t>
    </r>
    <r>
      <rPr>
        <b/>
        <vertAlign val="superscript"/>
        <sz val="12"/>
        <color theme="1"/>
        <rFont val="Calibri"/>
        <family val="2"/>
      </rPr>
      <t>10</t>
    </r>
    <r>
      <rPr>
        <b/>
        <sz val="12"/>
        <color theme="1"/>
        <rFont val="Calibri"/>
        <family val="2"/>
      </rPr>
      <t>Be glacial boulder and bedrock ages calculated using 1σ internal uncertainty</t>
    </r>
  </si>
  <si>
    <r>
      <rPr>
        <vertAlign val="superscript"/>
        <sz val="12"/>
        <color theme="1"/>
        <rFont val="Calibri"/>
        <family val="2"/>
      </rPr>
      <t>10</t>
    </r>
    <r>
      <rPr>
        <sz val="12"/>
        <color theme="1"/>
        <rFont val="Calibri"/>
        <family val="2"/>
      </rPr>
      <t>Be ages with 1σ internal uncertainty (Open circles are outliers)</t>
    </r>
  </si>
  <si>
    <t>Exposure age with various erosion rates (ka ± 1σ external uncertainty)</t>
  </si>
  <si>
    <t>46.63358/93.55765</t>
  </si>
  <si>
    <r>
      <t>χ</t>
    </r>
    <r>
      <rPr>
        <vertAlign val="superscript"/>
        <sz val="10"/>
        <color theme="1"/>
        <rFont val="Calibri"/>
        <family val="2"/>
      </rPr>
      <t xml:space="preserve">2 </t>
    </r>
    <r>
      <rPr>
        <sz val="10"/>
        <color theme="1"/>
        <rFont val="Calibri"/>
        <family val="2"/>
      </rPr>
      <t>= ∑ (X</t>
    </r>
    <r>
      <rPr>
        <vertAlign val="subscript"/>
        <sz val="10"/>
        <color theme="1"/>
        <rFont val="Calibri"/>
        <family val="2"/>
      </rPr>
      <t xml:space="preserve">i </t>
    </r>
    <r>
      <rPr>
        <sz val="10"/>
        <color theme="1"/>
        <rFont val="Calibri"/>
        <family val="2"/>
      </rPr>
      <t>− µ)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>/σ</t>
    </r>
    <r>
      <rPr>
        <vertAlign val="subscript"/>
        <sz val="10"/>
        <color theme="1"/>
        <rFont val="Calibri"/>
        <family val="2"/>
      </rPr>
      <t>i</t>
    </r>
    <r>
      <rPr>
        <vertAlign val="superscript"/>
        <sz val="10"/>
        <color theme="1"/>
        <rFont val="Calibri"/>
        <family val="2"/>
      </rPr>
      <t>2</t>
    </r>
  </si>
  <si>
    <r>
      <t>Rχ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=χ</t>
    </r>
    <r>
      <rPr>
        <vertAlign val="superscript"/>
        <sz val="10"/>
        <color theme="1"/>
        <rFont val="Calibri"/>
        <family val="2"/>
      </rPr>
      <t>2</t>
    </r>
    <r>
      <rPr>
        <sz val="10"/>
        <color theme="1"/>
        <rFont val="Calibri"/>
        <family val="2"/>
      </rPr>
      <t xml:space="preserve"> / (n-1)</t>
    </r>
  </si>
  <si>
    <r>
      <t>1σ internal uncertainty in age, σ</t>
    </r>
    <r>
      <rPr>
        <vertAlign val="subscript"/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 xml:space="preserve"> (ka)</t>
    </r>
  </si>
  <si>
    <r>
      <t>Age, x</t>
    </r>
    <r>
      <rPr>
        <vertAlign val="subscript"/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 xml:space="preserve"> (ka)</t>
    </r>
  </si>
  <si>
    <r>
      <t>1σ normalized deviation from the excluded mean, δ</t>
    </r>
    <r>
      <rPr>
        <vertAlign val="subscript"/>
        <sz val="10"/>
        <rFont val="Calibri"/>
        <family val="2"/>
      </rPr>
      <t>i</t>
    </r>
  </si>
  <si>
    <r>
      <t>Reject if δ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 xml:space="preserve"> &gt;2</t>
    </r>
  </si>
  <si>
    <r>
      <t>σ</t>
    </r>
    <r>
      <rPr>
        <vertAlign val="subscript"/>
        <sz val="10"/>
        <color theme="1"/>
        <rFont val="Calibri"/>
        <family val="2"/>
      </rPr>
      <t>group</t>
    </r>
    <r>
      <rPr>
        <sz val="10"/>
        <color theme="1"/>
        <rFont val="Calibri"/>
        <family val="2"/>
      </rPr>
      <t>, 1σ st. dev of the group (ka)</t>
    </r>
  </si>
  <si>
    <t>µ, mean of the group (ka)</t>
  </si>
  <si>
    <t>1) Propagated "internal" uncertainties include uncertainty in the blank, carrier concentration (1%), and counting statistics.</t>
  </si>
  <si>
    <t>3) Chauvenet, W., 1960. Reprint of 1891, fifth ed.. A Manual of Spherical and Practical Astronomy V. II. 1863, pp. 474–566, Dover, N.Y.</t>
  </si>
  <si>
    <t>4) Ross, S.M. 2003. Peirce's criterion for the elimination of suspect experimental data. J. Eng. Technol., 20, 38–41.</t>
  </si>
  <si>
    <t>5) Total uncertainty compounds the 1σ standard deviation of the group and the average of 1σ external uncertainties of ages in the group</t>
  </si>
  <si>
    <t>** Total uncertainty compounds the 1σ standard deviation of the group and the average of 1σ external uncertainties of ages in the group</t>
  </si>
  <si>
    <r>
      <t xml:space="preserve">2) Propagated “external” uncertainty in the model age includes “internal” uncertainties in addition to a 5.5 % uncertainty in the production rate of </t>
    </r>
    <r>
      <rPr>
        <vertAlign val="superscript"/>
        <sz val="10"/>
        <color theme="1"/>
        <rFont val="Calibri"/>
        <family val="2"/>
      </rPr>
      <t>10</t>
    </r>
    <r>
      <rPr>
        <sz val="10"/>
        <color theme="1"/>
        <rFont val="Calibri"/>
        <family val="2"/>
      </rPr>
      <t xml:space="preserve">Be and a 1% uncertainty in the </t>
    </r>
    <r>
      <rPr>
        <vertAlign val="superscript"/>
        <sz val="10"/>
        <color theme="1"/>
        <rFont val="Calibri"/>
        <family val="2"/>
      </rPr>
      <t>10</t>
    </r>
    <r>
      <rPr>
        <sz val="10"/>
        <color theme="1"/>
        <rFont val="Calibri"/>
        <family val="2"/>
      </rPr>
      <t>Be decay constant.</t>
    </r>
  </si>
  <si>
    <t>Norm. Variance</t>
  </si>
  <si>
    <t>Moraine G5</t>
  </si>
  <si>
    <t>45.4018/97.0687</t>
  </si>
  <si>
    <t>3290–3320</t>
  </si>
  <si>
    <t>3297–3330</t>
  </si>
  <si>
    <t>3310–3360</t>
  </si>
  <si>
    <t>3320–3365</t>
  </si>
  <si>
    <t>3335–3370</t>
  </si>
  <si>
    <t>Online Supplement 2 for</t>
  </si>
  <si>
    <r>
      <t xml:space="preserve">Asynchronous glaciations in arid continental climates </t>
    </r>
    <r>
      <rPr>
        <sz val="12"/>
        <rFont val="Calibri"/>
        <family val="2"/>
      </rPr>
      <t>(https://doi.org/10.1016/j.quascirev.2017.12.001)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</si>
</sst>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E+00"/>
    <numFmt numFmtId="166" formatCode="0.0"/>
    <numFmt numFmtId="167" formatCode="m/d/yyyy;@"/>
    <numFmt numFmtId="168" formatCode="0.00000"/>
    <numFmt numFmtId="169" formatCode="0.000"/>
  </numFmts>
  <fonts count="59" x14ac:knownFonts="1">
    <font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Roman"/>
    </font>
    <font>
      <u/>
      <sz val="10"/>
      <color theme="10"/>
      <name val="Times"/>
      <family val="1"/>
    </font>
    <font>
      <u/>
      <sz val="10"/>
      <color theme="11"/>
      <name val="Times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vertAlign val="superscript"/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vertAlign val="superscript"/>
      <sz val="12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Times"/>
      <family val="1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name val="Calibri"/>
      <family val="2"/>
    </font>
    <font>
      <sz val="10"/>
      <color theme="9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theme="0" tint="-0.249977111117893"/>
      <name val="Calibri"/>
      <family val="2"/>
    </font>
    <font>
      <b/>
      <sz val="10"/>
      <color theme="1"/>
      <name val="Times"/>
      <family val="1"/>
    </font>
    <font>
      <i/>
      <sz val="10"/>
      <color theme="0" tint="-0.499984740745262"/>
      <name val="Calibri"/>
      <family val="2"/>
    </font>
    <font>
      <sz val="10"/>
      <color theme="0" tint="-0.34998626667073579"/>
      <name val="Calibri"/>
      <family val="2"/>
    </font>
    <font>
      <i/>
      <sz val="10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0"/>
      <color theme="0" tint="-0.249977111117893"/>
      <name val="Times"/>
      <family val="1"/>
    </font>
    <font>
      <b/>
      <sz val="10"/>
      <color theme="0" tint="-0.249977111117893"/>
      <name val="Calibri"/>
      <family val="2"/>
    </font>
    <font>
      <b/>
      <sz val="11"/>
      <name val="Calibri"/>
      <family val="2"/>
    </font>
    <font>
      <sz val="10"/>
      <color theme="6" tint="0.39997558519241921"/>
      <name val="Calibri"/>
      <family val="2"/>
    </font>
    <font>
      <i/>
      <sz val="10"/>
      <color theme="6" tint="0.39997558519241921"/>
      <name val="Calibri"/>
      <family val="2"/>
    </font>
    <font>
      <sz val="11"/>
      <color theme="2" tint="-0.499984740745262"/>
      <name val="Calibri"/>
      <family val="2"/>
    </font>
    <font>
      <vertAlign val="superscript"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vertAlign val="superscript"/>
      <sz val="10"/>
      <color theme="1"/>
      <name val="Calibri"/>
      <family val="2"/>
    </font>
    <font>
      <b/>
      <i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name val="Times"/>
      <family val="1"/>
    </font>
    <font>
      <b/>
      <sz val="12"/>
      <name val="Calibri"/>
      <family val="2"/>
    </font>
    <font>
      <sz val="12"/>
      <name val="Calibri"/>
      <family val="2"/>
    </font>
    <font>
      <sz val="10"/>
      <color rgb="FF00B0F0"/>
      <name val="Calibri"/>
      <family val="2"/>
    </font>
    <font>
      <vertAlign val="subscript"/>
      <sz val="10"/>
      <color theme="1"/>
      <name val="Calibri"/>
      <family val="2"/>
    </font>
    <font>
      <sz val="10"/>
      <color rgb="FF000000"/>
      <name val="Times"/>
      <family val="1"/>
    </font>
    <font>
      <sz val="11"/>
      <color theme="0" tint="-0.499984740745262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</font>
    <font>
      <vertAlign val="subscript"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9">
    <xf numFmtId="0" fontId="0" fillId="0" borderId="0" xfId="0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/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/>
    <xf numFmtId="1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7" fontId="3" fillId="0" borderId="0" xfId="0" applyNumberFormat="1" applyFont="1" applyBorder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12" fillId="0" borderId="0" xfId="0" applyFont="1"/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166" fontId="12" fillId="0" borderId="0" xfId="0" applyNumberFormat="1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16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Border="1"/>
    <xf numFmtId="166" fontId="8" fillId="0" borderId="0" xfId="0" applyNumberFormat="1" applyFont="1" applyBorder="1"/>
    <xf numFmtId="2" fontId="8" fillId="0" borderId="0" xfId="0" applyNumberFormat="1" applyFont="1"/>
    <xf numFmtId="0" fontId="8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0" fillId="0" borderId="0" xfId="0" applyNumberFormat="1"/>
    <xf numFmtId="0" fontId="12" fillId="0" borderId="0" xfId="0" applyFont="1" applyBorder="1"/>
    <xf numFmtId="165" fontId="12" fillId="0" borderId="0" xfId="0" applyNumberFormat="1" applyFont="1" applyBorder="1"/>
    <xf numFmtId="1" fontId="12" fillId="0" borderId="0" xfId="0" applyNumberFormat="1" applyFont="1" applyBorder="1"/>
    <xf numFmtId="0" fontId="12" fillId="0" borderId="0" xfId="0" applyFont="1" applyBorder="1" applyAlignment="1">
      <alignment horizontal="right" vertical="center" wrapText="1"/>
    </xf>
    <xf numFmtId="167" fontId="12" fillId="0" borderId="0" xfId="0" applyNumberFormat="1" applyFont="1" applyBorder="1"/>
    <xf numFmtId="0" fontId="13" fillId="0" borderId="0" xfId="0" applyFont="1" applyBorder="1" applyAlignment="1">
      <alignment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 vertical="center"/>
    </xf>
    <xf numFmtId="165" fontId="14" fillId="0" borderId="0" xfId="0" applyNumberFormat="1" applyFont="1" applyBorder="1"/>
    <xf numFmtId="1" fontId="14" fillId="0" borderId="0" xfId="0" applyNumberFormat="1" applyFont="1" applyBorder="1"/>
    <xf numFmtId="0" fontId="14" fillId="0" borderId="0" xfId="0" applyFont="1" applyBorder="1" applyAlignment="1">
      <alignment horizontal="right" vertical="center" wrapText="1"/>
    </xf>
    <xf numFmtId="165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3" fillId="0" borderId="0" xfId="0" applyFont="1" applyBorder="1"/>
    <xf numFmtId="2" fontId="14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 indent="2"/>
    </xf>
    <xf numFmtId="0" fontId="9" fillId="0" borderId="0" xfId="0" applyFont="1" applyAlignment="1">
      <alignment horizontal="right" vertical="center"/>
    </xf>
    <xf numFmtId="0" fontId="6" fillId="0" borderId="8" xfId="0" applyFont="1" applyBorder="1" applyAlignment="1">
      <alignment horizontal="center" vertical="center" wrapText="1"/>
    </xf>
    <xf numFmtId="166" fontId="6" fillId="0" borderId="0" xfId="0" applyNumberFormat="1" applyFont="1"/>
    <xf numFmtId="2" fontId="8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center"/>
    </xf>
    <xf numFmtId="0" fontId="6" fillId="0" borderId="5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0" fontId="0" fillId="0" borderId="0" xfId="0" applyFill="1" applyBorder="1"/>
    <xf numFmtId="166" fontId="12" fillId="0" borderId="0" xfId="0" applyNumberFormat="1" applyFont="1" applyBorder="1"/>
    <xf numFmtId="2" fontId="12" fillId="0" borderId="0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7" fontId="13" fillId="0" borderId="0" xfId="0" applyNumberFormat="1" applyFont="1" applyBorder="1"/>
    <xf numFmtId="2" fontId="12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1" fontId="8" fillId="0" borderId="0" xfId="0" applyNumberFormat="1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 shrinkToFit="1"/>
    </xf>
    <xf numFmtId="164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vertical="center" wrapText="1"/>
    </xf>
    <xf numFmtId="166" fontId="8" fillId="0" borderId="5" xfId="0" applyNumberFormat="1" applyFont="1" applyBorder="1" applyAlignment="1">
      <alignment horizontal="right" vertical="center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166" fontId="8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2" fontId="8" fillId="0" borderId="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" fontId="8" fillId="0" borderId="0" xfId="0" applyNumberFormat="1" applyFont="1" applyBorder="1" applyAlignment="1">
      <alignment horizontal="right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2" fillId="0" borderId="0" xfId="0" applyFont="1" applyFill="1"/>
    <xf numFmtId="0" fontId="14" fillId="0" borderId="0" xfId="0" applyFont="1" applyFill="1"/>
    <xf numFmtId="0" fontId="12" fillId="0" borderId="0" xfId="0" applyFont="1" applyFill="1" applyAlignment="1">
      <alignment horizontal="center"/>
    </xf>
    <xf numFmtId="166" fontId="20" fillId="0" borderId="0" xfId="0" applyNumberFormat="1" applyFont="1" applyFill="1" applyAlignment="1">
      <alignment horizontal="center"/>
    </xf>
    <xf numFmtId="166" fontId="21" fillId="0" borderId="0" xfId="0" applyNumberFormat="1" applyFont="1" applyFill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1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166" fontId="14" fillId="0" borderId="0" xfId="0" applyNumberFormat="1" applyFont="1" applyFill="1" applyAlignment="1">
      <alignment horizontal="center" vertical="center"/>
    </xf>
    <xf numFmtId="9" fontId="20" fillId="0" borderId="0" xfId="2843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169" fontId="14" fillId="0" borderId="0" xfId="2843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69" fontId="12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166" fontId="14" fillId="0" borderId="0" xfId="0" applyNumberFormat="1" applyFont="1" applyFill="1"/>
    <xf numFmtId="0" fontId="6" fillId="0" borderId="0" xfId="0" applyFont="1" applyFill="1" applyBorder="1"/>
    <xf numFmtId="2" fontId="12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0" fontId="12" fillId="3" borderId="0" xfId="0" applyFont="1" applyFill="1" applyBorder="1" applyAlignment="1">
      <alignment vertical="center"/>
    </xf>
    <xf numFmtId="0" fontId="12" fillId="3" borderId="0" xfId="0" applyFont="1" applyFill="1" applyAlignment="1">
      <alignment horizontal="center"/>
    </xf>
    <xf numFmtId="166" fontId="20" fillId="3" borderId="0" xfId="0" applyNumberFormat="1" applyFont="1" applyFill="1" applyAlignment="1">
      <alignment horizontal="center"/>
    </xf>
    <xf numFmtId="9" fontId="20" fillId="3" borderId="0" xfId="2843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169" fontId="14" fillId="3" borderId="0" xfId="2843" applyNumberFormat="1" applyFont="1" applyFill="1" applyAlignment="1">
      <alignment horizontal="center" vertical="center"/>
    </xf>
    <xf numFmtId="2" fontId="23" fillId="3" borderId="0" xfId="0" applyNumberFormat="1" applyFont="1" applyFill="1" applyAlignment="1">
      <alignment horizontal="center"/>
    </xf>
    <xf numFmtId="169" fontId="14" fillId="3" borderId="0" xfId="0" applyNumberFormat="1" applyFont="1" applyFill="1" applyAlignment="1">
      <alignment horizontal="center"/>
    </xf>
    <xf numFmtId="169" fontId="12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2" fontId="20" fillId="3" borderId="0" xfId="0" applyNumberFormat="1" applyFont="1" applyFill="1" applyAlignment="1">
      <alignment horizontal="center"/>
    </xf>
    <xf numFmtId="166" fontId="25" fillId="3" borderId="0" xfId="0" applyNumberFormat="1" applyFont="1" applyFill="1" applyAlignment="1">
      <alignment horizontal="center"/>
    </xf>
    <xf numFmtId="9" fontId="25" fillId="3" borderId="0" xfId="2843" applyFont="1" applyFill="1" applyAlignment="1">
      <alignment horizont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/>
    <xf numFmtId="0" fontId="28" fillId="0" borderId="0" xfId="0" applyFont="1" applyFill="1" applyAlignment="1">
      <alignment horizontal="left"/>
    </xf>
    <xf numFmtId="169" fontId="14" fillId="0" borderId="0" xfId="0" applyNumberFormat="1" applyFont="1" applyFill="1" applyAlignment="1">
      <alignment horizontal="center" vertical="center"/>
    </xf>
    <xf numFmtId="166" fontId="0" fillId="0" borderId="0" xfId="0" applyNumberFormat="1" applyFill="1"/>
    <xf numFmtId="0" fontId="14" fillId="0" borderId="0" xfId="0" applyFont="1" applyFill="1" applyBorder="1" applyAlignment="1">
      <alignment vertical="center"/>
    </xf>
    <xf numFmtId="166" fontId="25" fillId="0" borderId="0" xfId="0" applyNumberFormat="1" applyFont="1" applyFill="1"/>
    <xf numFmtId="166" fontId="25" fillId="0" borderId="0" xfId="0" applyNumberFormat="1" applyFont="1" applyFill="1" applyAlignment="1">
      <alignment horizontal="center"/>
    </xf>
    <xf numFmtId="9" fontId="25" fillId="0" borderId="0" xfId="2843" applyFont="1" applyFill="1" applyAlignment="1">
      <alignment horizontal="center"/>
    </xf>
    <xf numFmtId="0" fontId="7" fillId="0" borderId="0" xfId="0" applyFont="1" applyFill="1"/>
    <xf numFmtId="0" fontId="7" fillId="0" borderId="0" xfId="0" quotePrefix="1" applyFont="1" applyFill="1"/>
    <xf numFmtId="166" fontId="12" fillId="0" borderId="0" xfId="0" applyNumberFormat="1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6" fontId="12" fillId="0" borderId="0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166" fontId="12" fillId="3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166" fontId="29" fillId="0" borderId="0" xfId="0" applyNumberFormat="1" applyFont="1" applyFill="1" applyBorder="1" applyAlignment="1">
      <alignment horizontal="center" vertical="center"/>
    </xf>
    <xf numFmtId="166" fontId="30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66" fontId="31" fillId="0" borderId="0" xfId="0" applyNumberFormat="1" applyFont="1" applyFill="1" applyBorder="1" applyAlignment="1">
      <alignment horizontal="center" vertical="center" wrapText="1"/>
    </xf>
    <xf numFmtId="166" fontId="12" fillId="5" borderId="14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left" vertical="center"/>
    </xf>
    <xf numFmtId="0" fontId="20" fillId="7" borderId="14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/>
    </xf>
    <xf numFmtId="0" fontId="12" fillId="8" borderId="14" xfId="0" applyFont="1" applyFill="1" applyBorder="1" applyAlignment="1">
      <alignment horizontal="center" vertical="center" wrapText="1"/>
    </xf>
    <xf numFmtId="166" fontId="12" fillId="5" borderId="14" xfId="0" applyNumberFormat="1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8" fillId="5" borderId="0" xfId="0" applyFont="1" applyFill="1"/>
    <xf numFmtId="0" fontId="6" fillId="5" borderId="0" xfId="0" applyFont="1" applyFill="1" applyAlignment="1">
      <alignment horizontal="center"/>
    </xf>
    <xf numFmtId="0" fontId="32" fillId="8" borderId="0" xfId="0" applyFont="1" applyFill="1" applyAlignment="1">
      <alignment horizontal="left"/>
    </xf>
    <xf numFmtId="166" fontId="6" fillId="5" borderId="0" xfId="0" applyNumberFormat="1" applyFont="1" applyFill="1"/>
    <xf numFmtId="166" fontId="33" fillId="5" borderId="0" xfId="0" applyNumberFormat="1" applyFont="1" applyFill="1"/>
    <xf numFmtId="0" fontId="33" fillId="8" borderId="0" xfId="0" applyFont="1" applyFill="1" applyAlignment="1">
      <alignment horizontal="left"/>
    </xf>
    <xf numFmtId="0" fontId="34" fillId="0" borderId="0" xfId="0" applyFont="1" applyFill="1"/>
    <xf numFmtId="2" fontId="26" fillId="0" borderId="0" xfId="0" applyNumberFormat="1" applyFont="1" applyFill="1" applyAlignment="1">
      <alignment horizontal="center"/>
    </xf>
    <xf numFmtId="166" fontId="12" fillId="4" borderId="14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0" fontId="36" fillId="0" borderId="0" xfId="0" applyFont="1"/>
    <xf numFmtId="0" fontId="8" fillId="0" borderId="2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 wrapText="1"/>
    </xf>
    <xf numFmtId="166" fontId="20" fillId="0" borderId="12" xfId="0" applyNumberFormat="1" applyFont="1" applyFill="1" applyBorder="1" applyAlignment="1">
      <alignment horizontal="center" vertical="center" wrapText="1"/>
    </xf>
    <xf numFmtId="166" fontId="20" fillId="0" borderId="13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/>
    </xf>
    <xf numFmtId="166" fontId="26" fillId="0" borderId="0" xfId="0" applyNumberFormat="1" applyFont="1" applyFill="1" applyAlignment="1">
      <alignment horizontal="center"/>
    </xf>
    <xf numFmtId="169" fontId="26" fillId="0" borderId="0" xfId="2843" applyNumberFormat="1" applyFont="1" applyFill="1" applyAlignment="1">
      <alignment horizontal="center" vertical="center"/>
    </xf>
    <xf numFmtId="169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2" fontId="35" fillId="0" borderId="0" xfId="0" applyNumberFormat="1" applyFont="1" applyFill="1" applyAlignment="1">
      <alignment horizontal="center"/>
    </xf>
    <xf numFmtId="166" fontId="14" fillId="3" borderId="0" xfId="0" applyNumberFormat="1" applyFont="1" applyFill="1" applyAlignment="1">
      <alignment horizontal="center"/>
    </xf>
    <xf numFmtId="9" fontId="14" fillId="3" borderId="0" xfId="2843" applyFont="1" applyFill="1" applyAlignment="1">
      <alignment horizontal="center"/>
    </xf>
    <xf numFmtId="166" fontId="22" fillId="3" borderId="0" xfId="0" applyNumberFormat="1" applyFont="1" applyFill="1" applyAlignment="1">
      <alignment horizontal="center"/>
    </xf>
    <xf numFmtId="9" fontId="22" fillId="3" borderId="0" xfId="2843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6" fillId="8" borderId="0" xfId="0" applyFont="1" applyFill="1" applyAlignment="1">
      <alignment horizontal="center"/>
    </xf>
    <xf numFmtId="0" fontId="12" fillId="0" borderId="0" xfId="0" applyFont="1" applyBorder="1" applyAlignment="1">
      <alignment vertical="center" textRotation="90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39" fillId="0" borderId="0" xfId="0" applyFont="1" applyBorder="1" applyAlignment="1">
      <alignment horizontal="left" vertical="center"/>
    </xf>
    <xf numFmtId="0" fontId="8" fillId="0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left" vertical="center"/>
    </xf>
    <xf numFmtId="166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39" fillId="0" borderId="10" xfId="0" applyFont="1" applyBorder="1" applyAlignment="1">
      <alignment horizontal="left" vertical="center"/>
    </xf>
    <xf numFmtId="0" fontId="12" fillId="0" borderId="10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2" fontId="6" fillId="0" borderId="10" xfId="0" applyNumberFormat="1" applyFont="1" applyBorder="1" applyAlignment="1">
      <alignment horizontal="left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166" fontId="6" fillId="0" borderId="0" xfId="0" applyNumberFormat="1" applyFont="1" applyAlignment="1">
      <alignment horizontal="left" vertical="center"/>
    </xf>
    <xf numFmtId="166" fontId="8" fillId="0" borderId="0" xfId="0" applyNumberFormat="1" applyFont="1"/>
    <xf numFmtId="166" fontId="8" fillId="0" borderId="2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right" vertical="center"/>
    </xf>
    <xf numFmtId="1" fontId="12" fillId="0" borderId="0" xfId="0" applyNumberFormat="1" applyFont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vertical="center"/>
    </xf>
    <xf numFmtId="2" fontId="41" fillId="0" borderId="0" xfId="0" applyNumberFormat="1" applyFont="1" applyBorder="1" applyAlignment="1">
      <alignment horizontal="right" vertical="center"/>
    </xf>
    <xf numFmtId="1" fontId="14" fillId="0" borderId="0" xfId="0" applyNumberFormat="1" applyFont="1" applyBorder="1" applyAlignment="1">
      <alignment vertical="center"/>
    </xf>
    <xf numFmtId="166" fontId="13" fillId="0" borderId="0" xfId="0" applyNumberFormat="1" applyFont="1" applyAlignment="1">
      <alignment horizontal="right" vertical="center"/>
    </xf>
    <xf numFmtId="0" fontId="12" fillId="0" borderId="0" xfId="0" applyFont="1" applyBorder="1" applyAlignment="1">
      <alignment vertical="center" shrinkToFi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2" fontId="12" fillId="0" borderId="0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2" fontId="12" fillId="0" borderId="0" xfId="0" applyNumberFormat="1" applyFont="1" applyAlignment="1">
      <alignment vertical="center"/>
    </xf>
    <xf numFmtId="0" fontId="4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3" fontId="44" fillId="0" borderId="0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2" fontId="12" fillId="0" borderId="5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8" fontId="12" fillId="0" borderId="0" xfId="0" applyNumberFormat="1" applyFont="1" applyBorder="1" applyAlignment="1">
      <alignment horizontal="center" vertical="center"/>
    </xf>
    <xf numFmtId="168" fontId="14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66" fontId="6" fillId="0" borderId="0" xfId="0" applyNumberFormat="1" applyFont="1" applyBorder="1" applyAlignment="1">
      <alignment horizontal="center" vertical="center"/>
    </xf>
    <xf numFmtId="0" fontId="48" fillId="0" borderId="0" xfId="0" applyFont="1"/>
    <xf numFmtId="0" fontId="49" fillId="0" borderId="0" xfId="0" applyFont="1"/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2" fontId="24" fillId="3" borderId="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66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/>
    <xf numFmtId="166" fontId="12" fillId="3" borderId="0" xfId="0" applyNumberFormat="1" applyFont="1" applyFill="1" applyBorder="1" applyAlignment="1">
      <alignment horizontal="center" vertical="center" wrapText="1"/>
    </xf>
    <xf numFmtId="166" fontId="29" fillId="0" borderId="0" xfId="0" applyNumberFormat="1" applyFont="1" applyFill="1" applyBorder="1" applyAlignment="1">
      <alignment horizontal="center" vertical="center" wrapText="1"/>
    </xf>
    <xf numFmtId="2" fontId="24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166" fontId="12" fillId="0" borderId="2" xfId="0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166" fontId="1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right" vertical="center" wrapText="1"/>
    </xf>
    <xf numFmtId="2" fontId="26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/>
    </xf>
    <xf numFmtId="2" fontId="24" fillId="3" borderId="5" xfId="0" applyNumberFormat="1" applyFont="1" applyFill="1" applyBorder="1" applyAlignment="1">
      <alignment horizontal="center" vertical="center"/>
    </xf>
    <xf numFmtId="166" fontId="12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5" xfId="0" applyNumberFormat="1" applyFont="1" applyFill="1" applyBorder="1" applyAlignment="1">
      <alignment horizontal="center" vertical="center" wrapText="1"/>
    </xf>
    <xf numFmtId="166" fontId="12" fillId="0" borderId="2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vertical="center"/>
    </xf>
    <xf numFmtId="9" fontId="14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right" vertical="center" wrapText="1"/>
    </xf>
    <xf numFmtId="2" fontId="14" fillId="3" borderId="5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26" fillId="0" borderId="2" xfId="0" applyFont="1" applyFill="1" applyBorder="1" applyAlignment="1">
      <alignment vertical="center"/>
    </xf>
    <xf numFmtId="2" fontId="26" fillId="0" borderId="2" xfId="0" applyNumberFormat="1" applyFont="1" applyBorder="1" applyAlignment="1">
      <alignment horizontal="center" vertical="center"/>
    </xf>
    <xf numFmtId="166" fontId="29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166" fontId="31" fillId="0" borderId="2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vertical="center"/>
    </xf>
    <xf numFmtId="2" fontId="26" fillId="0" borderId="5" xfId="0" applyNumberFormat="1" applyFont="1" applyBorder="1" applyAlignment="1">
      <alignment horizontal="center" vertical="center"/>
    </xf>
    <xf numFmtId="166" fontId="29" fillId="0" borderId="5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 wrapText="1"/>
    </xf>
    <xf numFmtId="166" fontId="31" fillId="0" borderId="5" xfId="0" applyNumberFormat="1" applyFont="1" applyFill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6" fontId="12" fillId="6" borderId="14" xfId="0" applyNumberFormat="1" applyFont="1" applyFill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50" fillId="3" borderId="0" xfId="0" applyNumberFormat="1" applyFont="1" applyFill="1" applyBorder="1" applyAlignment="1">
      <alignment horizontal="center" vertical="center"/>
    </xf>
    <xf numFmtId="166" fontId="29" fillId="0" borderId="2" xfId="0" applyNumberFormat="1" applyFont="1" applyFill="1" applyBorder="1" applyAlignment="1">
      <alignment horizontal="center" vertical="center" wrapText="1"/>
    </xf>
    <xf numFmtId="166" fontId="29" fillId="0" borderId="5" xfId="0" applyNumberFormat="1" applyFont="1" applyFill="1" applyBorder="1" applyAlignment="1">
      <alignment horizontal="center" vertical="center" wrapText="1"/>
    </xf>
    <xf numFmtId="2" fontId="12" fillId="3" borderId="0" xfId="0" applyNumberFormat="1" applyFont="1" applyFill="1" applyBorder="1" applyAlignment="1">
      <alignment horizontal="center" vertical="center"/>
    </xf>
    <xf numFmtId="166" fontId="39" fillId="0" borderId="2" xfId="0" applyNumberFormat="1" applyFont="1" applyBorder="1" applyAlignment="1">
      <alignment horizontal="left" vertical="center"/>
    </xf>
    <xf numFmtId="166" fontId="39" fillId="0" borderId="0" xfId="0" applyNumberFormat="1" applyFont="1" applyBorder="1" applyAlignment="1">
      <alignment horizontal="left" vertical="center"/>
    </xf>
    <xf numFmtId="166" fontId="39" fillId="0" borderId="5" xfId="0" applyNumberFormat="1" applyFont="1" applyBorder="1" applyAlignment="1">
      <alignment horizontal="left" vertical="center"/>
    </xf>
    <xf numFmtId="9" fontId="12" fillId="0" borderId="0" xfId="0" applyNumberFormat="1" applyFont="1"/>
    <xf numFmtId="9" fontId="14" fillId="0" borderId="0" xfId="0" applyNumberFormat="1" applyFont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52" fillId="0" borderId="0" xfId="0" applyFont="1" applyAlignment="1">
      <alignment horizontal="right" vertical="center"/>
    </xf>
    <xf numFmtId="0" fontId="52" fillId="0" borderId="0" xfId="0" applyFont="1" applyAlignment="1">
      <alignment vertical="center"/>
    </xf>
    <xf numFmtId="166" fontId="6" fillId="0" borderId="0" xfId="0" applyNumberFormat="1" applyFont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 wrapText="1"/>
    </xf>
    <xf numFmtId="166" fontId="18" fillId="0" borderId="0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2" fontId="12" fillId="3" borderId="0" xfId="0" applyNumberFormat="1" applyFont="1" applyFill="1" applyBorder="1" applyAlignment="1">
      <alignment horizontal="center" vertical="center" wrapText="1"/>
    </xf>
    <xf numFmtId="2" fontId="24" fillId="3" borderId="0" xfId="0" applyNumberFormat="1" applyFont="1" applyFill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/>
    </xf>
    <xf numFmtId="166" fontId="13" fillId="3" borderId="0" xfId="0" applyNumberFormat="1" applyFont="1" applyFill="1" applyBorder="1" applyAlignment="1">
      <alignment horizontal="center" vertical="center"/>
    </xf>
    <xf numFmtId="166" fontId="14" fillId="3" borderId="0" xfId="0" applyNumberFormat="1" applyFont="1" applyFill="1" applyAlignment="1">
      <alignment horizontal="center" vertical="center"/>
    </xf>
    <xf numFmtId="166" fontId="26" fillId="0" borderId="0" xfId="0" applyNumberFormat="1" applyFont="1" applyFill="1" applyBorder="1" applyAlignment="1">
      <alignment horizontal="center" vertical="center"/>
    </xf>
    <xf numFmtId="166" fontId="26" fillId="0" borderId="0" xfId="0" applyNumberFormat="1" applyFont="1" applyFill="1" applyAlignment="1">
      <alignment horizontal="center" vertical="center"/>
    </xf>
    <xf numFmtId="166" fontId="12" fillId="0" borderId="0" xfId="0" applyNumberFormat="1" applyFont="1" applyFill="1" applyAlignment="1">
      <alignment horizontal="center" vertical="center"/>
    </xf>
    <xf numFmtId="166" fontId="37" fillId="3" borderId="0" xfId="0" applyNumberFormat="1" applyFont="1" applyFill="1" applyBorder="1" applyAlignment="1">
      <alignment horizontal="center" vertical="center"/>
    </xf>
    <xf numFmtId="166" fontId="37" fillId="3" borderId="0" xfId="0" applyNumberFormat="1" applyFont="1" applyFill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3" fillId="0" borderId="0" xfId="0" applyFont="1" applyBorder="1" applyAlignment="1">
      <alignment horizontal="left" vertical="center"/>
    </xf>
    <xf numFmtId="0" fontId="53" fillId="0" borderId="5" xfId="0" applyFont="1" applyBorder="1" applyAlignment="1">
      <alignment horizontal="left" vertical="center"/>
    </xf>
    <xf numFmtId="0" fontId="56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1" fillId="0" borderId="0" xfId="0" quotePrefix="1" applyFont="1"/>
    <xf numFmtId="166" fontId="8" fillId="0" borderId="2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right" vertical="center"/>
    </xf>
    <xf numFmtId="166" fontId="10" fillId="0" borderId="0" xfId="0" applyNumberFormat="1" applyFont="1"/>
    <xf numFmtId="166" fontId="9" fillId="0" borderId="0" xfId="0" applyNumberFormat="1" applyFont="1" applyAlignment="1">
      <alignment horizontal="right" vertical="center"/>
    </xf>
    <xf numFmtId="166" fontId="18" fillId="0" borderId="5" xfId="0" applyNumberFormat="1" applyFont="1" applyBorder="1" applyAlignment="1">
      <alignment horizontal="center" vertical="center"/>
    </xf>
    <xf numFmtId="166" fontId="18" fillId="0" borderId="10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66" fontId="49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8" fillId="0" borderId="0" xfId="0" applyNumberFormat="1" applyFont="1" applyAlignment="1">
      <alignment horizontal="center" vertical="center" wrapText="1"/>
    </xf>
    <xf numFmtId="166" fontId="8" fillId="0" borderId="2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28" fillId="3" borderId="0" xfId="0" applyFont="1" applyFill="1" applyBorder="1" applyAlignment="1">
      <alignment horizontal="right" vertical="center" wrapText="1"/>
    </xf>
    <xf numFmtId="166" fontId="12" fillId="4" borderId="14" xfId="0" applyNumberFormat="1" applyFont="1" applyFill="1" applyBorder="1" applyAlignment="1">
      <alignment horizontal="center" vertical="center"/>
    </xf>
    <xf numFmtId="166" fontId="12" fillId="6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Fill="1"/>
    <xf numFmtId="0" fontId="14" fillId="3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13" fillId="0" borderId="0" xfId="0" applyFont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164" fontId="13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 vertical="center" textRotation="90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textRotation="90" wrapText="1"/>
    </xf>
    <xf numFmtId="0" fontId="12" fillId="0" borderId="5" xfId="0" applyNumberFormat="1" applyFont="1" applyBorder="1" applyAlignment="1">
      <alignment horizontal="center" vertical="center" textRotation="90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shrinkToFit="1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shrinkToFit="1"/>
    </xf>
    <xf numFmtId="0" fontId="13" fillId="0" borderId="14" xfId="0" applyFont="1" applyBorder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 wrapText="1"/>
    </xf>
    <xf numFmtId="0" fontId="12" fillId="0" borderId="5" xfId="0" applyFont="1" applyBorder="1" applyAlignment="1">
      <alignment horizontal="center" vertical="center" textRotation="90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2" fontId="12" fillId="3" borderId="0" xfId="0" applyNumberFormat="1" applyFont="1" applyFill="1" applyBorder="1" applyAlignment="1">
      <alignment horizontal="right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2" fillId="0" borderId="5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right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66" fontId="12" fillId="6" borderId="9" xfId="0" applyNumberFormat="1" applyFont="1" applyFill="1" applyBorder="1" applyAlignment="1">
      <alignment horizontal="center" vertical="center" wrapText="1"/>
    </xf>
    <xf numFmtId="166" fontId="12" fillId="6" borderId="10" xfId="0" applyNumberFormat="1" applyFont="1" applyFill="1" applyBorder="1" applyAlignment="1">
      <alignment horizontal="center" vertical="center" wrapText="1"/>
    </xf>
    <xf numFmtId="166" fontId="12" fillId="6" borderId="11" xfId="0" applyNumberFormat="1" applyFont="1" applyFill="1" applyBorder="1" applyAlignment="1">
      <alignment horizontal="center" vertical="center" wrapText="1"/>
    </xf>
    <xf numFmtId="166" fontId="30" fillId="0" borderId="2" xfId="0" applyNumberFormat="1" applyFont="1" applyFill="1" applyBorder="1" applyAlignment="1">
      <alignment horizontal="center" vertical="center" wrapText="1"/>
    </xf>
    <xf numFmtId="166" fontId="30" fillId="0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right" vertical="center" wrapText="1"/>
    </xf>
    <xf numFmtId="166" fontId="12" fillId="4" borderId="9" xfId="0" applyNumberFormat="1" applyFont="1" applyFill="1" applyBorder="1" applyAlignment="1">
      <alignment horizontal="center" vertical="center"/>
    </xf>
    <xf numFmtId="166" fontId="12" fillId="4" borderId="10" xfId="0" applyNumberFormat="1" applyFont="1" applyFill="1" applyBorder="1" applyAlignment="1">
      <alignment horizontal="center" vertical="center"/>
    </xf>
    <xf numFmtId="166" fontId="12" fillId="4" borderId="11" xfId="0" applyNumberFormat="1" applyFont="1" applyFill="1" applyBorder="1" applyAlignment="1">
      <alignment horizontal="center" vertical="center"/>
    </xf>
    <xf numFmtId="2" fontId="14" fillId="9" borderId="12" xfId="0" applyNumberFormat="1" applyFont="1" applyFill="1" applyBorder="1" applyAlignment="1">
      <alignment horizontal="center" vertical="center" wrapText="1"/>
    </xf>
    <xf numFmtId="2" fontId="14" fillId="9" borderId="13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textRotation="90" wrapText="1"/>
    </xf>
    <xf numFmtId="0" fontId="12" fillId="0" borderId="0" xfId="0" applyNumberFormat="1" applyFont="1" applyFill="1" applyBorder="1" applyAlignment="1">
      <alignment horizontal="center" vertical="center" textRotation="90" wrapText="1"/>
    </xf>
    <xf numFmtId="0" fontId="12" fillId="0" borderId="5" xfId="0" applyNumberFormat="1" applyFont="1" applyFill="1" applyBorder="1" applyAlignment="1">
      <alignment horizontal="center" vertical="center" textRotation="90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0" xfId="0" applyFont="1" applyFill="1" applyBorder="1" applyAlignment="1">
      <alignment horizontal="center" vertical="center" textRotation="90" wrapText="1"/>
    </xf>
    <xf numFmtId="0" fontId="12" fillId="0" borderId="0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166" fontId="20" fillId="0" borderId="14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 shrinkToFit="1"/>
    </xf>
    <xf numFmtId="166" fontId="20" fillId="0" borderId="12" xfId="0" applyNumberFormat="1" applyFont="1" applyFill="1" applyBorder="1" applyAlignment="1">
      <alignment horizontal="center" vertical="center" wrapText="1"/>
    </xf>
    <xf numFmtId="166" fontId="20" fillId="0" borderId="13" xfId="0" applyNumberFormat="1" applyFont="1" applyFill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right" vertical="center" wrapText="1"/>
    </xf>
    <xf numFmtId="0" fontId="12" fillId="0" borderId="5" xfId="0" applyNumberFormat="1" applyFont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</cellXfs>
  <cellStyles count="30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Normal" xfId="0" builtinId="0" customBuiltin="1"/>
    <cellStyle name="Percent" xfId="284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0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Gichginii, G3</a:t>
            </a:r>
            <a:endParaRPr lang="mr-IN"/>
          </a:p>
        </c:rich>
      </c:tx>
      <c:layout>
        <c:manualLayout>
          <c:xMode val="edge"/>
          <c:yMode val="edge"/>
          <c:x val="0.377556952085623"/>
          <c:y val="0.03992883439905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dPt>
            <c:idx val="1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Strat.'!$E$14:$E$18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0.09</c:v>
                  </c:pt>
                  <c:pt idx="2">
                    <c:v>0.07</c:v>
                  </c:pt>
                  <c:pt idx="3">
                    <c:v>0.08</c:v>
                  </c:pt>
                  <c:pt idx="4">
                    <c:v>0.08</c:v>
                  </c:pt>
                </c:numCache>
              </c:numRef>
            </c:plus>
            <c:minus>
              <c:numRef>
                <c:f>'Outlier- Deviation &amp; Strat.'!$E$14:$E$18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0.09</c:v>
                  </c:pt>
                  <c:pt idx="2">
                    <c:v>0.07</c:v>
                  </c:pt>
                  <c:pt idx="3">
                    <c:v>0.08</c:v>
                  </c:pt>
                  <c:pt idx="4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Strat.'!$D$14:$D$18</c:f>
              <c:numCache>
                <c:formatCode>0.00</c:formatCode>
                <c:ptCount val="5"/>
                <c:pt idx="0">
                  <c:v>0.8</c:v>
                </c:pt>
                <c:pt idx="1">
                  <c:v>1.56</c:v>
                </c:pt>
                <c:pt idx="2">
                  <c:v>2.55</c:v>
                </c:pt>
                <c:pt idx="3">
                  <c:v>2.81</c:v>
                </c:pt>
                <c:pt idx="4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67568"/>
        <c:axId val="1746454288"/>
      </c:scatterChart>
      <c:valAx>
        <c:axId val="1720767568"/>
        <c:scaling>
          <c:orientation val="minMax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46454288"/>
        <c:crosses val="autoZero"/>
        <c:crossBetween val="midCat"/>
        <c:majorUnit val="1.0"/>
      </c:valAx>
      <c:valAx>
        <c:axId val="174645428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20767568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hu-HU"/>
              <a:t>Otgontenger, BI2</a:t>
            </a:r>
          </a:p>
        </c:rich>
      </c:tx>
      <c:layout>
        <c:manualLayout>
          <c:xMode val="edge"/>
          <c:yMode val="edge"/>
          <c:x val="0.307396511127427"/>
          <c:y val="0.0454690611469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817704605106"/>
          <c:y val="0.171777777777778"/>
          <c:w val="0.629803547283862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2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Strat.'!$E$53:$E$55</c:f>
                <c:numCache>
                  <c:formatCode>General</c:formatCode>
                  <c:ptCount val="3"/>
                  <c:pt idx="0">
                    <c:v>0.91</c:v>
                  </c:pt>
                  <c:pt idx="1">
                    <c:v>0.95</c:v>
                  </c:pt>
                  <c:pt idx="2">
                    <c:v>2.58</c:v>
                  </c:pt>
                </c:numCache>
              </c:numRef>
            </c:plus>
            <c:minus>
              <c:numRef>
                <c:f>'Outlier- Deviation &amp; Strat.'!$E$53:$E$55</c:f>
                <c:numCache>
                  <c:formatCode>General</c:formatCode>
                  <c:ptCount val="3"/>
                  <c:pt idx="0">
                    <c:v>0.91</c:v>
                  </c:pt>
                  <c:pt idx="1">
                    <c:v>0.95</c:v>
                  </c:pt>
                  <c:pt idx="2">
                    <c:v>2.58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Strat.'!$D$53:$D$55</c:f>
              <c:numCache>
                <c:formatCode>0.00</c:formatCode>
                <c:ptCount val="3"/>
                <c:pt idx="0">
                  <c:v>29.89</c:v>
                </c:pt>
                <c:pt idx="1">
                  <c:v>31.3</c:v>
                </c:pt>
                <c:pt idx="2">
                  <c:v>82.9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18368"/>
        <c:axId val="1749421760"/>
      </c:scatterChart>
      <c:valAx>
        <c:axId val="1749418368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49421760"/>
        <c:crosses val="autoZero"/>
        <c:crossBetween val="midCat"/>
        <c:majorUnit val="1.0"/>
      </c:valAx>
      <c:valAx>
        <c:axId val="1749421760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49418368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Bumbat, BU1</a:t>
            </a:r>
          </a:p>
        </c:rich>
      </c:tx>
      <c:layout>
        <c:manualLayout>
          <c:xMode val="edge"/>
          <c:yMode val="edge"/>
          <c:x val="0.358254203373093"/>
          <c:y val="0.05743190912611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20430861984"/>
          <c:y val="0.171777777777778"/>
          <c:w val="0.603800836776591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Strat.'!$E$60:$E$62</c:f>
                <c:numCache>
                  <c:formatCode>General</c:formatCode>
                  <c:ptCount val="3"/>
                  <c:pt idx="0">
                    <c:v>1.05</c:v>
                  </c:pt>
                  <c:pt idx="1">
                    <c:v>1.44</c:v>
                  </c:pt>
                  <c:pt idx="2">
                    <c:v>2.84</c:v>
                  </c:pt>
                </c:numCache>
              </c:numRef>
            </c:plus>
            <c:minus>
              <c:numRef>
                <c:f>'Outlier- Deviation &amp; Strat.'!$E$60:$E$62</c:f>
                <c:numCache>
                  <c:formatCode>General</c:formatCode>
                  <c:ptCount val="3"/>
                  <c:pt idx="0">
                    <c:v>1.05</c:v>
                  </c:pt>
                  <c:pt idx="1">
                    <c:v>1.44</c:v>
                  </c:pt>
                  <c:pt idx="2">
                    <c:v>2.84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Strat.'!$D$60:$D$62</c:f>
              <c:numCache>
                <c:formatCode>0.00</c:formatCode>
                <c:ptCount val="3"/>
                <c:pt idx="0">
                  <c:v>22.5</c:v>
                </c:pt>
                <c:pt idx="1">
                  <c:v>53.64</c:v>
                </c:pt>
                <c:pt idx="2">
                  <c:v>103.73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33024"/>
        <c:axId val="1751336416"/>
      </c:scatterChart>
      <c:valAx>
        <c:axId val="1751333024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336416"/>
        <c:crosses val="autoZero"/>
        <c:crossBetween val="midCat"/>
        <c:majorUnit val="1.0"/>
      </c:valAx>
      <c:valAx>
        <c:axId val="17513364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333024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Gichginii, G3</a:t>
            </a:r>
            <a:endParaRPr lang="mr-IN"/>
          </a:p>
        </c:rich>
      </c:tx>
      <c:layout>
        <c:manualLayout>
          <c:xMode val="edge"/>
          <c:yMode val="edge"/>
          <c:x val="0.333121904479143"/>
          <c:y val="0.03964740256524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Peirce'!$E$15:$E$19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0.09</c:v>
                  </c:pt>
                  <c:pt idx="2">
                    <c:v>0.07</c:v>
                  </c:pt>
                  <c:pt idx="3">
                    <c:v>0.08</c:v>
                  </c:pt>
                  <c:pt idx="4">
                    <c:v>0.08</c:v>
                  </c:pt>
                </c:numCache>
              </c:numRef>
            </c:plus>
            <c:minus>
              <c:numRef>
                <c:f>'Outlier- Chauvenet &amp; Peirce'!$E$15:$E$19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0.09</c:v>
                  </c:pt>
                  <c:pt idx="2">
                    <c:v>0.07</c:v>
                  </c:pt>
                  <c:pt idx="3">
                    <c:v>0.08</c:v>
                  </c:pt>
                  <c:pt idx="4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Peirce'!$D$15:$D$19</c:f>
              <c:numCache>
                <c:formatCode>0.0</c:formatCode>
                <c:ptCount val="5"/>
                <c:pt idx="0">
                  <c:v>0.8</c:v>
                </c:pt>
                <c:pt idx="1">
                  <c:v>1.56</c:v>
                </c:pt>
                <c:pt idx="2">
                  <c:v>2.55</c:v>
                </c:pt>
                <c:pt idx="3">
                  <c:v>2.81</c:v>
                </c:pt>
                <c:pt idx="4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16224"/>
        <c:axId val="1750301744"/>
      </c:scatterChart>
      <c:valAx>
        <c:axId val="1687716224"/>
        <c:scaling>
          <c:orientation val="minMax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301744"/>
        <c:crosses val="autoZero"/>
        <c:crossBetween val="midCat"/>
        <c:majorUnit val="1.0"/>
      </c:valAx>
      <c:valAx>
        <c:axId val="17503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771622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Gichginii, G2</a:t>
            </a:r>
          </a:p>
        </c:rich>
      </c:tx>
      <c:layout>
        <c:manualLayout>
          <c:xMode val="edge"/>
          <c:yMode val="edge"/>
          <c:x val="0.355182493782256"/>
          <c:y val="0.053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Peirce'!$E$11:$E$14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0.23</c:v>
                  </c:pt>
                  <c:pt idx="2">
                    <c:v>0.28</c:v>
                  </c:pt>
                  <c:pt idx="3">
                    <c:v>0.17</c:v>
                  </c:pt>
                </c:numCache>
              </c:numRef>
            </c:plus>
            <c:minus>
              <c:numRef>
                <c:f>'Outlier- Chauvenet &amp; Peirce'!$E$11:$E$14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0.23</c:v>
                  </c:pt>
                  <c:pt idx="2">
                    <c:v>0.28</c:v>
                  </c:pt>
                  <c:pt idx="3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Peirce'!$D$11:$D$14</c:f>
              <c:numCache>
                <c:formatCode>0.0</c:formatCode>
                <c:ptCount val="4"/>
                <c:pt idx="0">
                  <c:v>5.29</c:v>
                </c:pt>
                <c:pt idx="1">
                  <c:v>6.88</c:v>
                </c:pt>
                <c:pt idx="2">
                  <c:v>7.47</c:v>
                </c:pt>
                <c:pt idx="3">
                  <c:v>8.15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83424"/>
        <c:axId val="1750286816"/>
      </c:scatterChart>
      <c:valAx>
        <c:axId val="1750283424"/>
        <c:scaling>
          <c:orientation val="minMax"/>
          <c:max val="5.0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crossAx val="1750286816"/>
        <c:crosses val="autoZero"/>
        <c:crossBetween val="midCat"/>
        <c:majorUnit val="1.0"/>
      </c:valAx>
      <c:valAx>
        <c:axId val="1750286816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283424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mr-IN"/>
              <a:t>G</a:t>
            </a:r>
            <a:r>
              <a:rPr lang="en-US"/>
              <a:t>ichginii, G4</a:t>
            </a:r>
            <a:endParaRPr lang="mr-IN"/>
          </a:p>
        </c:rich>
      </c:tx>
      <c:layout>
        <c:manualLayout>
          <c:xMode val="edge"/>
          <c:yMode val="edge"/>
          <c:x val="0.349492502978908"/>
          <c:y val="0.03978903580448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Peirce'!$E$20:$E$25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0.27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0.06</c:v>
                  </c:pt>
                </c:numCache>
              </c:numRef>
            </c:plus>
            <c:minus>
              <c:numRef>
                <c:f>'Outlier- Chauvenet &amp; Peirce'!$E$20:$E$25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0.27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Peirce'!$D$20:$D$25</c:f>
              <c:numCache>
                <c:formatCode>0.0</c:formatCode>
                <c:ptCount val="6"/>
                <c:pt idx="0">
                  <c:v>0.9</c:v>
                </c:pt>
                <c:pt idx="1">
                  <c:v>1.04</c:v>
                </c:pt>
                <c:pt idx="2">
                  <c:v>1.47</c:v>
                </c:pt>
                <c:pt idx="3">
                  <c:v>1.58</c:v>
                </c:pt>
                <c:pt idx="4">
                  <c:v>1.83</c:v>
                </c:pt>
                <c:pt idx="5">
                  <c:v>1.87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32448"/>
        <c:axId val="1750350832"/>
      </c:scatterChart>
      <c:valAx>
        <c:axId val="1750232448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350832"/>
        <c:crosses val="autoZero"/>
        <c:crossBetween val="midCat"/>
        <c:majorUnit val="1.0"/>
      </c:valAx>
      <c:valAx>
        <c:axId val="17503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23244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Otgontenger, BO1</a:t>
            </a:r>
          </a:p>
        </c:rich>
      </c:tx>
      <c:layout>
        <c:manualLayout>
          <c:xMode val="edge"/>
          <c:yMode val="edge"/>
          <c:x val="0.285563613758806"/>
          <c:y val="0.05333345541109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4156203447542"/>
          <c:y val="0.171777777777778"/>
          <c:w val="0.60946477974037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Peirce'!$E$51:$E$53</c:f>
                <c:numCache>
                  <c:formatCode>General</c:formatCode>
                  <c:ptCount val="3"/>
                  <c:pt idx="0">
                    <c:v>1.36</c:v>
                  </c:pt>
                  <c:pt idx="1">
                    <c:v>1.24</c:v>
                  </c:pt>
                  <c:pt idx="2">
                    <c:v>1.31</c:v>
                  </c:pt>
                </c:numCache>
              </c:numRef>
            </c:plus>
            <c:minus>
              <c:numRef>
                <c:f>'Outlier- Chauvenet &amp; Peirce'!$E$51:$E$53</c:f>
                <c:numCache>
                  <c:formatCode>General</c:formatCode>
                  <c:ptCount val="3"/>
                  <c:pt idx="0">
                    <c:v>1.36</c:v>
                  </c:pt>
                  <c:pt idx="1">
                    <c:v>1.24</c:v>
                  </c:pt>
                  <c:pt idx="2">
                    <c:v>1.31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Peirce'!$D$51:$D$53</c:f>
              <c:numCache>
                <c:formatCode>0.0</c:formatCode>
                <c:ptCount val="3"/>
                <c:pt idx="0">
                  <c:v>20.18</c:v>
                </c:pt>
                <c:pt idx="1">
                  <c:v>22.65</c:v>
                </c:pt>
                <c:pt idx="2">
                  <c:v>23.55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05776"/>
        <c:axId val="1750251888"/>
      </c:scatterChart>
      <c:valAx>
        <c:axId val="1750105776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251888"/>
        <c:crosses val="autoZero"/>
        <c:crossBetween val="midCat"/>
        <c:majorUnit val="1.0"/>
      </c:valAx>
      <c:valAx>
        <c:axId val="1750251888"/>
        <c:scaling>
          <c:orientation val="minMax"/>
          <c:max val="3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105776"/>
        <c:crosses val="autoZero"/>
        <c:crossBetween val="midCat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Otgontenger, BI9</a:t>
            </a:r>
          </a:p>
        </c:rich>
      </c:tx>
      <c:layout>
        <c:manualLayout>
          <c:xMode val="edge"/>
          <c:yMode val="edge"/>
          <c:x val="0.319564554430696"/>
          <c:y val="0.05064085224641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0127396866089"/>
          <c:y val="0.171777777777778"/>
          <c:w val="0.603493865592382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Chauvenet &amp; Peirce'!$E$58:$E$60</c:f>
                <c:numCache>
                  <c:formatCode>General</c:formatCode>
                  <c:ptCount val="3"/>
                  <c:pt idx="0">
                    <c:v>0.54</c:v>
                  </c:pt>
                  <c:pt idx="1">
                    <c:v>0.5</c:v>
                  </c:pt>
                  <c:pt idx="2">
                    <c:v>0.51</c:v>
                  </c:pt>
                </c:numCache>
              </c:numRef>
            </c:plus>
            <c:minus>
              <c:numRef>
                <c:f>'Outlier- Chauvenet &amp; Peirce'!$E$58:$E$60</c:f>
                <c:numCache>
                  <c:formatCode>General</c:formatCode>
                  <c:ptCount val="3"/>
                  <c:pt idx="0">
                    <c:v>0.54</c:v>
                  </c:pt>
                  <c:pt idx="1">
                    <c:v>0.5</c:v>
                  </c:pt>
                  <c:pt idx="2">
                    <c:v>0.51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Peirce'!$D$58:$D$60</c:f>
              <c:numCache>
                <c:formatCode>0.0</c:formatCode>
                <c:ptCount val="3"/>
                <c:pt idx="0">
                  <c:v>14.99</c:v>
                </c:pt>
                <c:pt idx="1">
                  <c:v>16.54</c:v>
                </c:pt>
                <c:pt idx="2">
                  <c:v>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16576"/>
        <c:axId val="1750619968"/>
      </c:scatterChart>
      <c:valAx>
        <c:axId val="1750616576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619968"/>
        <c:crosses val="autoZero"/>
        <c:crossBetween val="midCat"/>
        <c:majorUnit val="1.0"/>
      </c:valAx>
      <c:valAx>
        <c:axId val="175061996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616576"/>
        <c:crosses val="autoZero"/>
        <c:crossBetween val="midCat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Ih Bogd, IB5–6</a:t>
            </a:r>
          </a:p>
        </c:rich>
      </c:tx>
      <c:layout>
        <c:manualLayout>
          <c:xMode val="edge"/>
          <c:yMode val="edge"/>
          <c:x val="0.332294963129609"/>
          <c:y val="0.05766240157480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728571807312"/>
          <c:y val="0.171777777777778"/>
          <c:w val="0.61633553381584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Chauvenet &amp; Peirce'!$E$44:$E$50</c:f>
                <c:numCache>
                  <c:formatCode>General</c:formatCode>
                  <c:ptCount val="7"/>
                  <c:pt idx="0">
                    <c:v>0.49</c:v>
                  </c:pt>
                  <c:pt idx="1">
                    <c:v>1.76</c:v>
                  </c:pt>
                  <c:pt idx="2">
                    <c:v>0.7</c:v>
                  </c:pt>
                  <c:pt idx="3">
                    <c:v>0.93</c:v>
                  </c:pt>
                  <c:pt idx="4">
                    <c:v>0.74</c:v>
                  </c:pt>
                  <c:pt idx="5">
                    <c:v>1.23</c:v>
                  </c:pt>
                  <c:pt idx="6">
                    <c:v>0.84</c:v>
                  </c:pt>
                </c:numCache>
              </c:numRef>
            </c:plus>
            <c:minus>
              <c:numRef>
                <c:f>'Outlier- Chauvenet &amp; Peirce'!$E$44:$E$50</c:f>
                <c:numCache>
                  <c:formatCode>General</c:formatCode>
                  <c:ptCount val="7"/>
                  <c:pt idx="0">
                    <c:v>0.49</c:v>
                  </c:pt>
                  <c:pt idx="1">
                    <c:v>1.76</c:v>
                  </c:pt>
                  <c:pt idx="2">
                    <c:v>0.7</c:v>
                  </c:pt>
                  <c:pt idx="3">
                    <c:v>0.93</c:v>
                  </c:pt>
                  <c:pt idx="4">
                    <c:v>0.74</c:v>
                  </c:pt>
                  <c:pt idx="5">
                    <c:v>1.23</c:v>
                  </c:pt>
                  <c:pt idx="6">
                    <c:v>0.84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Peirce'!$D$44:$D$50</c:f>
              <c:numCache>
                <c:formatCode>0.0</c:formatCode>
                <c:ptCount val="7"/>
                <c:pt idx="0">
                  <c:v>7.25</c:v>
                </c:pt>
                <c:pt idx="1">
                  <c:v>13.22</c:v>
                </c:pt>
                <c:pt idx="2">
                  <c:v>13.41</c:v>
                </c:pt>
                <c:pt idx="3">
                  <c:v>13.93</c:v>
                </c:pt>
                <c:pt idx="4">
                  <c:v>14.26</c:v>
                </c:pt>
                <c:pt idx="5">
                  <c:v>16.72</c:v>
                </c:pt>
                <c:pt idx="6">
                  <c:v>14.44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44304"/>
        <c:axId val="1750647696"/>
      </c:scatterChart>
      <c:valAx>
        <c:axId val="1750644304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647696"/>
        <c:crosses val="autoZero"/>
        <c:crossBetween val="midCat"/>
        <c:majorUnit val="2.0"/>
      </c:valAx>
      <c:valAx>
        <c:axId val="17506476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6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Bumbat, BU2</a:t>
            </a:r>
          </a:p>
        </c:rich>
      </c:tx>
      <c:layout>
        <c:manualLayout>
          <c:xMode val="edge"/>
          <c:yMode val="edge"/>
          <c:x val="0.350277770653261"/>
          <c:y val="0.05333354715589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20430861984"/>
          <c:y val="0.171777777777778"/>
          <c:w val="0.603800836776591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bubble3D val="0"/>
          </c:dPt>
          <c:dPt>
            <c:idx val="5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Chauvenet &amp; Peirce'!$E$64:$E$69</c:f>
                <c:numCache>
                  <c:formatCode>General</c:formatCode>
                  <c:ptCount val="6"/>
                  <c:pt idx="0">
                    <c:v>0.94</c:v>
                  </c:pt>
                  <c:pt idx="1">
                    <c:v>1.13</c:v>
                  </c:pt>
                  <c:pt idx="2">
                    <c:v>1.79</c:v>
                  </c:pt>
                  <c:pt idx="3">
                    <c:v>1.37</c:v>
                  </c:pt>
                  <c:pt idx="4">
                    <c:v>1.66</c:v>
                  </c:pt>
                  <c:pt idx="5">
                    <c:v>1.8</c:v>
                  </c:pt>
                </c:numCache>
              </c:numRef>
            </c:plus>
            <c:minus>
              <c:numRef>
                <c:f>'Outlier- Chauvenet &amp; Peirce'!$E$64:$E$69</c:f>
                <c:numCache>
                  <c:formatCode>General</c:formatCode>
                  <c:ptCount val="6"/>
                  <c:pt idx="0">
                    <c:v>0.94</c:v>
                  </c:pt>
                  <c:pt idx="1">
                    <c:v>1.13</c:v>
                  </c:pt>
                  <c:pt idx="2">
                    <c:v>1.79</c:v>
                  </c:pt>
                  <c:pt idx="3">
                    <c:v>1.37</c:v>
                  </c:pt>
                  <c:pt idx="4">
                    <c:v>1.66</c:v>
                  </c:pt>
                  <c:pt idx="5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Peirce'!$D$64:$D$69</c:f>
              <c:numCache>
                <c:formatCode>0.0</c:formatCode>
                <c:ptCount val="6"/>
                <c:pt idx="0">
                  <c:v>22.16</c:v>
                </c:pt>
                <c:pt idx="1">
                  <c:v>31.77</c:v>
                </c:pt>
                <c:pt idx="2">
                  <c:v>31.78</c:v>
                </c:pt>
                <c:pt idx="3">
                  <c:v>36.54</c:v>
                </c:pt>
                <c:pt idx="4">
                  <c:v>39.54</c:v>
                </c:pt>
                <c:pt idx="5">
                  <c:v>49.86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71968"/>
        <c:axId val="1750675360"/>
      </c:scatterChart>
      <c:valAx>
        <c:axId val="1750671968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675360"/>
        <c:crosses val="autoZero"/>
        <c:crossBetween val="midCat"/>
        <c:majorUnit val="1.0"/>
      </c:valAx>
      <c:valAx>
        <c:axId val="17506753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671968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Sutai, NE2–4</a:t>
            </a:r>
          </a:p>
        </c:rich>
      </c:tx>
      <c:layout>
        <c:manualLayout>
          <c:xMode val="edge"/>
          <c:yMode val="edge"/>
          <c:x val="0.326710963455149"/>
          <c:y val="0.0490043290043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0193842048814"/>
          <c:y val="0.171777777777778"/>
          <c:w val="0.623427420409658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Chauvenet &amp; Peirce'!$E$30:$E$32</c:f>
                <c:numCache>
                  <c:formatCode>General</c:formatCode>
                  <c:ptCount val="3"/>
                  <c:pt idx="0">
                    <c:v>0.82</c:v>
                  </c:pt>
                  <c:pt idx="1">
                    <c:v>0.6</c:v>
                  </c:pt>
                  <c:pt idx="2">
                    <c:v>0.156</c:v>
                  </c:pt>
                </c:numCache>
              </c:numRef>
            </c:plus>
            <c:minus>
              <c:numRef>
                <c:f>'Outlier- Chauvenet &amp; Peirce'!$E$30:$E$32</c:f>
                <c:numCache>
                  <c:formatCode>General</c:formatCode>
                  <c:ptCount val="3"/>
                  <c:pt idx="0">
                    <c:v>0.82</c:v>
                  </c:pt>
                  <c:pt idx="1">
                    <c:v>0.6</c:v>
                  </c:pt>
                  <c:pt idx="2">
                    <c:v>0.156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Peirce'!$D$27:$D$30</c:f>
              <c:numCache>
                <c:formatCode>0.0</c:formatCode>
                <c:ptCount val="4"/>
                <c:pt idx="0">
                  <c:v>6.75</c:v>
                </c:pt>
                <c:pt idx="1">
                  <c:v>22.93</c:v>
                </c:pt>
                <c:pt idx="2">
                  <c:v>24.93</c:v>
                </c:pt>
                <c:pt idx="3">
                  <c:v>26.23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82608"/>
        <c:axId val="1750586000"/>
      </c:scatterChart>
      <c:valAx>
        <c:axId val="1750582608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586000"/>
        <c:crosses val="autoZero"/>
        <c:crossBetween val="midCat"/>
        <c:majorUnit val="1.0"/>
      </c:valAx>
      <c:valAx>
        <c:axId val="175058600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5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Gichginii, G2</a:t>
            </a:r>
          </a:p>
        </c:rich>
      </c:tx>
      <c:layout>
        <c:manualLayout>
          <c:xMode val="edge"/>
          <c:yMode val="edge"/>
          <c:x val="0.348681950961338"/>
          <c:y val="0.053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Strat.'!$E$10:$E$13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0.23</c:v>
                  </c:pt>
                  <c:pt idx="2">
                    <c:v>0.28</c:v>
                  </c:pt>
                  <c:pt idx="3">
                    <c:v>0.17</c:v>
                  </c:pt>
                </c:numCache>
              </c:numRef>
            </c:plus>
            <c:minus>
              <c:numRef>
                <c:f>'Outlier- Deviation &amp; Strat.'!$E$10:$E$13</c:f>
                <c:numCache>
                  <c:formatCode>General</c:formatCode>
                  <c:ptCount val="4"/>
                  <c:pt idx="0">
                    <c:v>0.34</c:v>
                  </c:pt>
                  <c:pt idx="1">
                    <c:v>0.23</c:v>
                  </c:pt>
                  <c:pt idx="2">
                    <c:v>0.28</c:v>
                  </c:pt>
                  <c:pt idx="3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Strat.'!$D$10:$D$13</c:f>
              <c:numCache>
                <c:formatCode>0.00</c:formatCode>
                <c:ptCount val="4"/>
                <c:pt idx="0">
                  <c:v>5.29</c:v>
                </c:pt>
                <c:pt idx="1">
                  <c:v>6.88</c:v>
                </c:pt>
                <c:pt idx="2">
                  <c:v>7.47</c:v>
                </c:pt>
                <c:pt idx="3">
                  <c:v>8.15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40000"/>
        <c:axId val="1721449616"/>
      </c:scatterChart>
      <c:valAx>
        <c:axId val="1648440000"/>
        <c:scaling>
          <c:orientation val="minMax"/>
          <c:max val="5.0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crossAx val="1721449616"/>
        <c:crosses val="autoZero"/>
        <c:crossBetween val="midCat"/>
        <c:majorUnit val="1.0"/>
      </c:valAx>
      <c:valAx>
        <c:axId val="1721449616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8440000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>
          <a:latin typeface="Calibri" charset="0"/>
          <a:ea typeface="Calibri" charset="0"/>
          <a:cs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Sutai, SW2</a:t>
            </a:r>
          </a:p>
        </c:rich>
      </c:tx>
      <c:layout>
        <c:manualLayout>
          <c:xMode val="edge"/>
          <c:yMode val="edge"/>
          <c:x val="0.400682583487353"/>
          <c:y val="0.05333359888416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9845359493998"/>
          <c:y val="0.171777777777778"/>
          <c:w val="0.623775913256745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Chauvenet &amp; Peirce'!$E$39:$E$43</c:f>
                <c:numCache>
                  <c:formatCode>General</c:formatCode>
                  <c:ptCount val="5"/>
                  <c:pt idx="0">
                    <c:v>0.22</c:v>
                  </c:pt>
                  <c:pt idx="1">
                    <c:v>0.37</c:v>
                  </c:pt>
                  <c:pt idx="2">
                    <c:v>0.39</c:v>
                  </c:pt>
                  <c:pt idx="3">
                    <c:v>0.48</c:v>
                  </c:pt>
                  <c:pt idx="4">
                    <c:v>0.61</c:v>
                  </c:pt>
                </c:numCache>
              </c:numRef>
            </c:plus>
            <c:minus>
              <c:numRef>
                <c:f>'Outlier- Chauvenet &amp; Peirce'!$E$39:$E$43</c:f>
                <c:numCache>
                  <c:formatCode>General</c:formatCode>
                  <c:ptCount val="5"/>
                  <c:pt idx="0">
                    <c:v>0.22</c:v>
                  </c:pt>
                  <c:pt idx="1">
                    <c:v>0.37</c:v>
                  </c:pt>
                  <c:pt idx="2">
                    <c:v>0.39</c:v>
                  </c:pt>
                  <c:pt idx="3">
                    <c:v>0.48</c:v>
                  </c:pt>
                  <c:pt idx="4">
                    <c:v>0.61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Peirce'!$D$39:$D$43</c:f>
              <c:numCache>
                <c:formatCode>0.0</c:formatCode>
                <c:ptCount val="5"/>
                <c:pt idx="0">
                  <c:v>5.96</c:v>
                </c:pt>
                <c:pt idx="1">
                  <c:v>13.92</c:v>
                </c:pt>
                <c:pt idx="2">
                  <c:v>15.41</c:v>
                </c:pt>
                <c:pt idx="3">
                  <c:v>15.54</c:v>
                </c:pt>
                <c:pt idx="4">
                  <c:v>19.84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93040"/>
        <c:axId val="1750531008"/>
      </c:scatterChart>
      <c:valAx>
        <c:axId val="1750393040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531008"/>
        <c:crosses val="autoZero"/>
        <c:crossBetween val="midCat"/>
        <c:majorUnit val="1.0"/>
      </c:valAx>
      <c:valAx>
        <c:axId val="17505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Ages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3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hu-HU"/>
              <a:t>Otgontenger, BI2</a:t>
            </a:r>
          </a:p>
        </c:rich>
      </c:tx>
      <c:layout>
        <c:manualLayout>
          <c:xMode val="edge"/>
          <c:yMode val="edge"/>
          <c:x val="0.294534774793022"/>
          <c:y val="0.050544173781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817704605106"/>
          <c:y val="0.171777777777778"/>
          <c:w val="0.629803547283862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Peirce'!$E$54:$E$56</c:f>
                <c:numCache>
                  <c:formatCode>General</c:formatCode>
                  <c:ptCount val="3"/>
                  <c:pt idx="0">
                    <c:v>0.91</c:v>
                  </c:pt>
                  <c:pt idx="1">
                    <c:v>0.95</c:v>
                  </c:pt>
                  <c:pt idx="2">
                    <c:v>2.58</c:v>
                  </c:pt>
                </c:numCache>
              </c:numRef>
            </c:plus>
            <c:minus>
              <c:numRef>
                <c:f>'Outlier- Chauvenet &amp; Peirce'!$E$54:$E$56</c:f>
                <c:numCache>
                  <c:formatCode>General</c:formatCode>
                  <c:ptCount val="3"/>
                  <c:pt idx="0">
                    <c:v>0.91</c:v>
                  </c:pt>
                  <c:pt idx="1">
                    <c:v>0.95</c:v>
                  </c:pt>
                  <c:pt idx="2">
                    <c:v>2.58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Peirce'!$D$54:$D$56</c:f>
              <c:numCache>
                <c:formatCode>0.0</c:formatCode>
                <c:ptCount val="3"/>
                <c:pt idx="0">
                  <c:v>29.89</c:v>
                </c:pt>
                <c:pt idx="1">
                  <c:v>31.3</c:v>
                </c:pt>
                <c:pt idx="2">
                  <c:v>82.9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05616"/>
        <c:axId val="1750409008"/>
      </c:scatterChart>
      <c:valAx>
        <c:axId val="1750405616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409008"/>
        <c:crosses val="autoZero"/>
        <c:crossBetween val="midCat"/>
        <c:majorUnit val="1.0"/>
      </c:valAx>
      <c:valAx>
        <c:axId val="1750409008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405616"/>
        <c:crosses val="autoZero"/>
        <c:crossBetween val="midCat"/>
        <c:majorUnit val="3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Bumbat, BU1</a:t>
            </a:r>
          </a:p>
        </c:rich>
      </c:tx>
      <c:layout>
        <c:manualLayout>
          <c:xMode val="edge"/>
          <c:yMode val="edge"/>
          <c:x val="0.358254203373093"/>
          <c:y val="0.05333354847037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20430861984"/>
          <c:y val="0.171777777777778"/>
          <c:w val="0.603800836776591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Chauvenet &amp; Peirce'!$E$61:$E$63</c:f>
                <c:numCache>
                  <c:formatCode>General</c:formatCode>
                  <c:ptCount val="3"/>
                  <c:pt idx="0">
                    <c:v>1.05</c:v>
                  </c:pt>
                  <c:pt idx="1">
                    <c:v>1.44</c:v>
                  </c:pt>
                  <c:pt idx="2">
                    <c:v>2.84</c:v>
                  </c:pt>
                </c:numCache>
              </c:numRef>
            </c:plus>
            <c:minus>
              <c:numRef>
                <c:f>'Outlier- Chauvenet &amp; Peirce'!$E$61:$E$63</c:f>
                <c:numCache>
                  <c:formatCode>General</c:formatCode>
                  <c:ptCount val="3"/>
                  <c:pt idx="0">
                    <c:v>1.05</c:v>
                  </c:pt>
                  <c:pt idx="1">
                    <c:v>1.44</c:v>
                  </c:pt>
                  <c:pt idx="2">
                    <c:v>2.84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Chauvenet &amp; Peirce'!$D$61:$D$63</c:f>
              <c:numCache>
                <c:formatCode>0.0</c:formatCode>
                <c:ptCount val="3"/>
                <c:pt idx="0">
                  <c:v>22.5</c:v>
                </c:pt>
                <c:pt idx="1">
                  <c:v>53.64</c:v>
                </c:pt>
                <c:pt idx="2">
                  <c:v>103.73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33152"/>
        <c:axId val="1750436544"/>
      </c:scatterChart>
      <c:valAx>
        <c:axId val="1750433152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0436544"/>
        <c:crosses val="autoZero"/>
        <c:crossBetween val="midCat"/>
        <c:majorUnit val="1.0"/>
      </c:valAx>
      <c:valAx>
        <c:axId val="17504365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0433152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293706293706"/>
          <c:y val="0.0706314231157072"/>
          <c:w val="0.883165354330709"/>
          <c:h val="0.778278229526486"/>
        </c:manualLayout>
      </c:layout>
      <c:scatterChart>
        <c:scatterStyle val="lineMarker"/>
        <c:varyColors val="0"/>
        <c:ser>
          <c:idx val="2"/>
          <c:order val="0"/>
          <c:tx>
            <c:v>Gichginii</c:v>
          </c:tx>
          <c:spPr>
            <a:ln w="31750">
              <a:noFill/>
            </a:ln>
          </c:spPr>
          <c:marker>
            <c:symbol val="square"/>
            <c:size val="8"/>
            <c:spPr>
              <a:solidFill>
                <a:srgbClr val="FF00FB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estimation'!$F$8:$F$10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0.7</c:v>
                  </c:pt>
                  <c:pt idx="2">
                    <c:v>0.4</c:v>
                  </c:pt>
                </c:numCache>
              </c:numRef>
            </c:plus>
            <c:minus>
              <c:numRef>
                <c:f>'ELA estimation'!$F$8:$F$10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0.7</c:v>
                  </c:pt>
                  <c:pt idx="2">
                    <c:v>0.4</c:v>
                  </c:pt>
                </c:numCache>
              </c:numRef>
            </c:minus>
          </c:errBars>
          <c:xVal>
            <c:numRef>
              <c:f>'ELA estimation'!$E$8:$E$10</c:f>
              <c:numCache>
                <c:formatCode>0.0</c:formatCode>
                <c:ptCount val="3"/>
                <c:pt idx="0">
                  <c:v>7.5</c:v>
                </c:pt>
                <c:pt idx="1">
                  <c:v>2.6</c:v>
                </c:pt>
                <c:pt idx="2">
                  <c:v>1.5</c:v>
                </c:pt>
              </c:numCache>
            </c:numRef>
          </c:xVal>
          <c:yVal>
            <c:numRef>
              <c:f>'ELA estimation'!$I$8:$I$10</c:f>
              <c:numCache>
                <c:formatCode>0.00</c:formatCode>
                <c:ptCount val="3"/>
                <c:pt idx="0">
                  <c:v>0.916666666666667</c:v>
                </c:pt>
                <c:pt idx="1">
                  <c:v>0.666666666666667</c:v>
                </c:pt>
                <c:pt idx="2">
                  <c:v>0.625</c:v>
                </c:pt>
              </c:numCache>
            </c:numRef>
          </c:yVal>
          <c:smooth val="0"/>
        </c:ser>
        <c:ser>
          <c:idx val="4"/>
          <c:order val="1"/>
          <c:tx>
            <c:v>Sutai, NE</c:v>
          </c:tx>
          <c:spPr>
            <a:ln w="31750">
              <a:noFill/>
            </a:ln>
          </c:spPr>
          <c:marker>
            <c:symbol val="triangle"/>
            <c:size val="1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estimation'!$F$15:$F$16</c:f>
                <c:numCache>
                  <c:formatCode>General</c:formatCode>
                  <c:ptCount val="2"/>
                  <c:pt idx="0">
                    <c:v>2.4</c:v>
                  </c:pt>
                  <c:pt idx="1">
                    <c:v>0.0</c:v>
                  </c:pt>
                </c:numCache>
              </c:numRef>
            </c:plus>
            <c:minus>
              <c:numRef>
                <c:f>'ELA estimation'!$F$15:$F$16</c:f>
                <c:numCache>
                  <c:formatCode>General</c:formatCode>
                  <c:ptCount val="2"/>
                  <c:pt idx="0">
                    <c:v>2.4</c:v>
                  </c:pt>
                  <c:pt idx="1">
                    <c:v>0.0</c:v>
                  </c:pt>
                </c:numCache>
              </c:numRef>
            </c:minus>
          </c:errBars>
          <c:xVal>
            <c:numRef>
              <c:f>'ELA estimation'!$E$15:$E$16</c:f>
              <c:numCache>
                <c:formatCode>0.0</c:formatCode>
                <c:ptCount val="2"/>
                <c:pt idx="0">
                  <c:v>24.7</c:v>
                </c:pt>
                <c:pt idx="1">
                  <c:v>0.0</c:v>
                </c:pt>
              </c:numCache>
            </c:numRef>
          </c:xVal>
          <c:yVal>
            <c:numRef>
              <c:f>'ELA estimation'!$I$15:$I$16</c:f>
              <c:numCache>
                <c:formatCode>0.00</c:formatCode>
                <c:ptCount val="2"/>
                <c:pt idx="0">
                  <c:v>0.804347826086956</c:v>
                </c:pt>
                <c:pt idx="1">
                  <c:v>0.355072463768116</c:v>
                </c:pt>
              </c:numCache>
            </c:numRef>
          </c:yVal>
          <c:smooth val="0"/>
        </c:ser>
        <c:ser>
          <c:idx val="6"/>
          <c:order val="2"/>
          <c:tx>
            <c:v>Sutai, SW</c:v>
          </c:tx>
          <c:spPr>
            <a:ln w="31750">
              <a:noFill/>
            </a:ln>
          </c:spPr>
          <c:marker>
            <c:symbol val="triangle"/>
            <c:size val="11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estimation'!$F$20:$F$21</c:f>
                <c:numCache>
                  <c:formatCode>General</c:formatCode>
                  <c:ptCount val="2"/>
                  <c:pt idx="0">
                    <c:v>2.7</c:v>
                  </c:pt>
                  <c:pt idx="1">
                    <c:v>0.0</c:v>
                  </c:pt>
                </c:numCache>
              </c:numRef>
            </c:plus>
            <c:minus>
              <c:numRef>
                <c:f>'ELA estimation'!$F$20:$F$21</c:f>
                <c:numCache>
                  <c:formatCode>General</c:formatCode>
                  <c:ptCount val="2"/>
                  <c:pt idx="0">
                    <c:v>2.7</c:v>
                  </c:pt>
                  <c:pt idx="1">
                    <c:v>0.0</c:v>
                  </c:pt>
                </c:numCache>
              </c:numRef>
            </c:minus>
          </c:errBars>
          <c:xVal>
            <c:numRef>
              <c:f>'ELA estimation'!$E$20:$E$21</c:f>
              <c:numCache>
                <c:formatCode>0.0</c:formatCode>
                <c:ptCount val="2"/>
                <c:pt idx="0">
                  <c:v>16.2</c:v>
                </c:pt>
                <c:pt idx="1">
                  <c:v>0.0</c:v>
                </c:pt>
              </c:numCache>
            </c:numRef>
          </c:xVal>
          <c:yVal>
            <c:numRef>
              <c:f>'ELA estimation'!$I$20:$I$21</c:f>
              <c:numCache>
                <c:formatCode>0.00</c:formatCode>
                <c:ptCount val="2"/>
                <c:pt idx="0">
                  <c:v>1.0</c:v>
                </c:pt>
                <c:pt idx="1">
                  <c:v>0.282545454545454</c:v>
                </c:pt>
              </c:numCache>
            </c:numRef>
          </c:yVal>
          <c:smooth val="0"/>
        </c:ser>
        <c:ser>
          <c:idx val="3"/>
          <c:order val="3"/>
          <c:tx>
            <c:v>Ih Bogd</c:v>
          </c:tx>
          <c:spPr>
            <a:ln w="31750"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estimation'!$F$25:$F$25</c:f>
                <c:numCache>
                  <c:formatCode>General</c:formatCode>
                  <c:ptCount val="1"/>
                  <c:pt idx="0">
                    <c:v>1.9</c:v>
                  </c:pt>
                </c:numCache>
              </c:numRef>
            </c:plus>
            <c:minus>
              <c:numRef>
                <c:f>'ELA estimation'!$F$25:$F$25</c:f>
                <c:numCache>
                  <c:formatCode>General</c:formatCode>
                  <c:ptCount val="1"/>
                  <c:pt idx="0">
                    <c:v>1.9</c:v>
                  </c:pt>
                </c:numCache>
              </c:numRef>
            </c:minus>
          </c:errBars>
          <c:xVal>
            <c:numRef>
              <c:f>'ELA estimation'!$E$25:$E$25</c:f>
              <c:numCache>
                <c:formatCode>0.0</c:formatCode>
                <c:ptCount val="1"/>
                <c:pt idx="0">
                  <c:v>14.3</c:v>
                </c:pt>
              </c:numCache>
            </c:numRef>
          </c:xVal>
          <c:yVal>
            <c:numRef>
              <c:f>'ELA estimation'!$I$25:$I$25</c:f>
              <c:numCache>
                <c:formatCode>0.00</c:formatCode>
                <c:ptCount val="1"/>
                <c:pt idx="0">
                  <c:v>0.685714285714287</c:v>
                </c:pt>
              </c:numCache>
            </c:numRef>
          </c:yVal>
          <c:smooth val="0"/>
        </c:ser>
        <c:ser>
          <c:idx val="0"/>
          <c:order val="4"/>
          <c:tx>
            <c:v>Otgontenger, Bogd</c:v>
          </c:tx>
          <c:spPr>
            <a:ln w="31750">
              <a:noFill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estimation'!$F$28:$F$31</c:f>
                <c:numCache>
                  <c:formatCode>General</c:formatCode>
                  <c:ptCount val="4"/>
                  <c:pt idx="0">
                    <c:v>2.5</c:v>
                  </c:pt>
                  <c:pt idx="1">
                    <c:v>2.5</c:v>
                  </c:pt>
                  <c:pt idx="2">
                    <c:v>3.3</c:v>
                  </c:pt>
                  <c:pt idx="3">
                    <c:v>0.0</c:v>
                  </c:pt>
                </c:numCache>
              </c:numRef>
            </c:plus>
            <c:minus>
              <c:numRef>
                <c:f>'ELA estimation'!$F$28:$F$31</c:f>
                <c:numCache>
                  <c:formatCode>General</c:formatCode>
                  <c:ptCount val="4"/>
                  <c:pt idx="0">
                    <c:v>2.5</c:v>
                  </c:pt>
                  <c:pt idx="1">
                    <c:v>2.5</c:v>
                  </c:pt>
                  <c:pt idx="2">
                    <c:v>3.3</c:v>
                  </c:pt>
                  <c:pt idx="3">
                    <c:v>0.0</c:v>
                  </c:pt>
                </c:numCache>
              </c:numRef>
            </c:minus>
          </c:errBars>
          <c:xVal>
            <c:numRef>
              <c:f>'ELA estimation'!$E$28:$E$31</c:f>
              <c:numCache>
                <c:formatCode>0.0</c:formatCode>
                <c:ptCount val="4"/>
                <c:pt idx="0">
                  <c:v>37.5</c:v>
                </c:pt>
                <c:pt idx="1">
                  <c:v>22.2</c:v>
                </c:pt>
                <c:pt idx="2">
                  <c:v>18.4</c:v>
                </c:pt>
                <c:pt idx="3">
                  <c:v>0.0</c:v>
                </c:pt>
              </c:numCache>
            </c:numRef>
          </c:xVal>
          <c:yVal>
            <c:numRef>
              <c:f>'ELA estimation'!$I$28:$I$31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0.93984962406015</c:v>
                </c:pt>
                <c:pt idx="3">
                  <c:v>-0.716075904045829</c:v>
                </c:pt>
              </c:numCache>
            </c:numRef>
          </c:yVal>
          <c:smooth val="0"/>
        </c:ser>
        <c:ser>
          <c:idx val="1"/>
          <c:order val="5"/>
          <c:tx>
            <c:v>Otgontenger, Bitüüt</c:v>
          </c:tx>
          <c:spPr>
            <a:ln w="31750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estimation'!$F$35:$F$36</c:f>
                <c:numCache>
                  <c:formatCode>General</c:formatCode>
                  <c:ptCount val="2"/>
                  <c:pt idx="0">
                    <c:v>2.2</c:v>
                  </c:pt>
                  <c:pt idx="1">
                    <c:v>1.1</c:v>
                  </c:pt>
                </c:numCache>
              </c:numRef>
            </c:plus>
            <c:minus>
              <c:numRef>
                <c:f>'ELA estimation'!$F$35:$F$36</c:f>
                <c:numCache>
                  <c:formatCode>General</c:formatCode>
                  <c:ptCount val="2"/>
                  <c:pt idx="0">
                    <c:v>2.2</c:v>
                  </c:pt>
                  <c:pt idx="1">
                    <c:v>1.1</c:v>
                  </c:pt>
                </c:numCache>
              </c:numRef>
            </c:minus>
          </c:errBars>
          <c:xVal>
            <c:numRef>
              <c:f>'ELA estimation'!$E$35:$E$36</c:f>
              <c:numCache>
                <c:formatCode>0.0</c:formatCode>
                <c:ptCount val="2"/>
                <c:pt idx="0">
                  <c:v>30.6</c:v>
                </c:pt>
                <c:pt idx="1">
                  <c:v>16.6</c:v>
                </c:pt>
              </c:numCache>
            </c:numRef>
          </c:xVal>
          <c:yVal>
            <c:numRef>
              <c:f>'ELA estimation'!$I$35:$I$36</c:f>
              <c:numCache>
                <c:formatCode>0.00</c:formatCode>
                <c:ptCount val="2"/>
                <c:pt idx="0">
                  <c:v>0.97457627118644</c:v>
                </c:pt>
                <c:pt idx="1">
                  <c:v>0.642372881355931</c:v>
                </c:pt>
              </c:numCache>
            </c:numRef>
          </c:yVal>
          <c:smooth val="0"/>
        </c:ser>
        <c:ser>
          <c:idx val="5"/>
          <c:order val="6"/>
          <c:tx>
            <c:v>Bumbat</c:v>
          </c:tx>
          <c:spPr>
            <a:ln w="31750">
              <a:noFill/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1"/>
            <c:plus>
              <c:numRef>
                <c:f>'ELA estimation'!$F$40</c:f>
                <c:numCache>
                  <c:formatCode>General</c:formatCode>
                  <c:ptCount val="1"/>
                  <c:pt idx="0">
                    <c:v>4.5</c:v>
                  </c:pt>
                </c:numCache>
              </c:numRef>
            </c:plus>
            <c:minus>
              <c:numRef>
                <c:f>'ELA estimation'!$F$40</c:f>
                <c:numCache>
                  <c:formatCode>General</c:formatCode>
                  <c:ptCount val="1"/>
                  <c:pt idx="0">
                    <c:v>4.5</c:v>
                  </c:pt>
                </c:numCache>
              </c:numRef>
            </c:minus>
          </c:errBars>
          <c:xVal>
            <c:numRef>
              <c:f>'ELA estimation'!$E$40</c:f>
              <c:numCache>
                <c:formatCode>0.0</c:formatCode>
                <c:ptCount val="1"/>
                <c:pt idx="0">
                  <c:v>34.9</c:v>
                </c:pt>
              </c:numCache>
            </c:numRef>
          </c:xVal>
          <c:yVal>
            <c:numRef>
              <c:f>'ELA estimation'!$I$40</c:f>
              <c:numCache>
                <c:formatCode>0.00</c:formatCode>
                <c:ptCount val="1"/>
                <c:pt idx="0">
                  <c:v>0.974226804123711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01264"/>
        <c:axId val="1751404656"/>
      </c:scatterChart>
      <c:valAx>
        <c:axId val="1751401264"/>
        <c:scaling>
          <c:orientation val="minMax"/>
          <c:max val="4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</a:t>
                </a:r>
                <a:r>
                  <a:rPr lang="en-US" baseline="0"/>
                  <a:t> years before present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8152965145091"/>
              <c:y val="0.928762041665773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51404656"/>
        <c:crosses val="autoZero"/>
        <c:crossBetween val="midCat"/>
        <c:majorUnit val="5.0"/>
        <c:minorUnit val="1.0"/>
      </c:valAx>
      <c:valAx>
        <c:axId val="175140465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magnitude of </a:t>
                </a:r>
                <a:r>
                  <a:rPr lang="en-US"/>
                  <a:t>local ELA lowering</a:t>
                </a:r>
              </a:p>
            </c:rich>
          </c:tx>
          <c:layout>
            <c:manualLayout>
              <c:xMode val="edge"/>
              <c:yMode val="edge"/>
              <c:x val="0.0113129232971753"/>
              <c:y val="0.12801626295350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5140126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71748101799775"/>
          <c:y val="0.197156887647109"/>
          <c:w val="0.249907058492688"/>
          <c:h val="0.558260039544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mr-IN"/>
              <a:t>G</a:t>
            </a:r>
            <a:r>
              <a:rPr lang="en-US"/>
              <a:t>ichginii, G4</a:t>
            </a:r>
            <a:endParaRPr lang="mr-IN"/>
          </a:p>
        </c:rich>
      </c:tx>
      <c:layout>
        <c:manualLayout>
          <c:xMode val="edge"/>
          <c:yMode val="edge"/>
          <c:x val="0.374209293805281"/>
          <c:y val="0.04873786749810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5768959113"/>
          <c:y val="0.171777777777778"/>
          <c:w val="0.65000549349935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Deviation &amp; Strat.'!$E$19:$E$24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0.27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0.06</c:v>
                  </c:pt>
                </c:numCache>
              </c:numRef>
            </c:plus>
            <c:minus>
              <c:numRef>
                <c:f>'Outlier- Deviation &amp; Strat.'!$E$19:$E$24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0.1</c:v>
                  </c:pt>
                  <c:pt idx="2">
                    <c:v>0.27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Strat.'!$D$19:$D$24</c:f>
              <c:numCache>
                <c:formatCode>0.00</c:formatCode>
                <c:ptCount val="6"/>
                <c:pt idx="0">
                  <c:v>0.9</c:v>
                </c:pt>
                <c:pt idx="1">
                  <c:v>1.04</c:v>
                </c:pt>
                <c:pt idx="2">
                  <c:v>1.47</c:v>
                </c:pt>
                <c:pt idx="3">
                  <c:v>1.58</c:v>
                </c:pt>
                <c:pt idx="4">
                  <c:v>1.83</c:v>
                </c:pt>
                <c:pt idx="5">
                  <c:v>1.87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0640"/>
        <c:axId val="1751174032"/>
      </c:scatterChart>
      <c:valAx>
        <c:axId val="1751170640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174032"/>
        <c:crosses val="autoZero"/>
        <c:crossBetween val="midCat"/>
        <c:majorUnit val="1.0"/>
      </c:valAx>
      <c:valAx>
        <c:axId val="175117403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170640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Otgontenger, BO1</a:t>
            </a:r>
          </a:p>
        </c:rich>
      </c:tx>
      <c:layout>
        <c:manualLayout>
          <c:xMode val="edge"/>
          <c:yMode val="edge"/>
          <c:x val="0.261499762194155"/>
          <c:y val="0.04403112982970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4156203447542"/>
          <c:y val="0.171777777777778"/>
          <c:w val="0.60946477974037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Deviation &amp; Strat.'!$E$50:$E$52</c:f>
                <c:numCache>
                  <c:formatCode>General</c:formatCode>
                  <c:ptCount val="3"/>
                  <c:pt idx="0">
                    <c:v>1.36</c:v>
                  </c:pt>
                  <c:pt idx="1">
                    <c:v>1.24</c:v>
                  </c:pt>
                  <c:pt idx="2">
                    <c:v>1.31</c:v>
                  </c:pt>
                </c:numCache>
              </c:numRef>
            </c:plus>
            <c:minus>
              <c:numRef>
                <c:f>'Outlier- Deviation &amp; Strat.'!$E$50:$E$52</c:f>
                <c:numCache>
                  <c:formatCode>General</c:formatCode>
                  <c:ptCount val="3"/>
                  <c:pt idx="0">
                    <c:v>1.36</c:v>
                  </c:pt>
                  <c:pt idx="1">
                    <c:v>1.24</c:v>
                  </c:pt>
                  <c:pt idx="2">
                    <c:v>1.31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Strat.'!$D$50:$D$52</c:f>
              <c:numCache>
                <c:formatCode>0.00</c:formatCode>
                <c:ptCount val="3"/>
                <c:pt idx="0">
                  <c:v>20.18</c:v>
                </c:pt>
                <c:pt idx="1">
                  <c:v>22.65</c:v>
                </c:pt>
                <c:pt idx="2">
                  <c:v>23.55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97904"/>
        <c:axId val="1751201296"/>
      </c:scatterChart>
      <c:valAx>
        <c:axId val="1751197904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201296"/>
        <c:crosses val="autoZero"/>
        <c:crossBetween val="midCat"/>
        <c:majorUnit val="1.0"/>
      </c:valAx>
      <c:valAx>
        <c:axId val="1751201296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197904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Otgontenger, BI9</a:t>
            </a:r>
          </a:p>
        </c:rich>
      </c:tx>
      <c:layout>
        <c:manualLayout>
          <c:xMode val="edge"/>
          <c:yMode val="edge"/>
          <c:x val="0.319564554430696"/>
          <c:y val="0.03614026735030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0127396866089"/>
          <c:y val="0.171777777777778"/>
          <c:w val="0.603493865592382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'Outlier- Deviation &amp; Strat.'!$E$57:$E$59</c:f>
                <c:numCache>
                  <c:formatCode>General</c:formatCode>
                  <c:ptCount val="3"/>
                  <c:pt idx="0">
                    <c:v>0.54</c:v>
                  </c:pt>
                  <c:pt idx="1">
                    <c:v>0.5</c:v>
                  </c:pt>
                  <c:pt idx="2">
                    <c:v>0.51</c:v>
                  </c:pt>
                </c:numCache>
              </c:numRef>
            </c:plus>
            <c:minus>
              <c:numRef>
                <c:f>'Outlier- Deviation &amp; Strat.'!$E$57:$E$59</c:f>
                <c:numCache>
                  <c:formatCode>General</c:formatCode>
                  <c:ptCount val="3"/>
                  <c:pt idx="0">
                    <c:v>0.54</c:v>
                  </c:pt>
                  <c:pt idx="1">
                    <c:v>0.5</c:v>
                  </c:pt>
                  <c:pt idx="2">
                    <c:v>0.51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Strat.'!$D$57:$D$59</c:f>
              <c:numCache>
                <c:formatCode>0.00</c:formatCode>
                <c:ptCount val="3"/>
                <c:pt idx="0">
                  <c:v>14.99</c:v>
                </c:pt>
                <c:pt idx="1">
                  <c:v>16.54</c:v>
                </c:pt>
                <c:pt idx="2">
                  <c:v>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28304"/>
        <c:axId val="1751231696"/>
      </c:scatterChart>
      <c:valAx>
        <c:axId val="1751228304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231696"/>
        <c:crosses val="autoZero"/>
        <c:crossBetween val="midCat"/>
        <c:majorUnit val="1.0"/>
      </c:valAx>
      <c:valAx>
        <c:axId val="1751231696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228304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Ih Bogd, IB6–7</a:t>
            </a:r>
          </a:p>
        </c:rich>
      </c:tx>
      <c:layout>
        <c:manualLayout>
          <c:xMode val="edge"/>
          <c:yMode val="edge"/>
          <c:x val="0.31324734408199"/>
          <c:y val="0.05766241526743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728571807312"/>
          <c:y val="0.171777777777778"/>
          <c:w val="0.616335533815849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Strat.'!$E$43:$E$49</c:f>
                <c:numCache>
                  <c:formatCode>General</c:formatCode>
                  <c:ptCount val="7"/>
                  <c:pt idx="0">
                    <c:v>0.49</c:v>
                  </c:pt>
                  <c:pt idx="1">
                    <c:v>1.76</c:v>
                  </c:pt>
                  <c:pt idx="2">
                    <c:v>0.7</c:v>
                  </c:pt>
                  <c:pt idx="3">
                    <c:v>0.93</c:v>
                  </c:pt>
                  <c:pt idx="4">
                    <c:v>0.74</c:v>
                  </c:pt>
                  <c:pt idx="5">
                    <c:v>1.23</c:v>
                  </c:pt>
                  <c:pt idx="6">
                    <c:v>0.84</c:v>
                  </c:pt>
                </c:numCache>
              </c:numRef>
            </c:plus>
            <c:minus>
              <c:numRef>
                <c:f>'Outlier- Deviation &amp; Strat.'!$E$43:$E$49</c:f>
                <c:numCache>
                  <c:formatCode>General</c:formatCode>
                  <c:ptCount val="7"/>
                  <c:pt idx="0">
                    <c:v>0.49</c:v>
                  </c:pt>
                  <c:pt idx="1">
                    <c:v>1.76</c:v>
                  </c:pt>
                  <c:pt idx="2">
                    <c:v>0.7</c:v>
                  </c:pt>
                  <c:pt idx="3">
                    <c:v>0.93</c:v>
                  </c:pt>
                  <c:pt idx="4">
                    <c:v>0.74</c:v>
                  </c:pt>
                  <c:pt idx="5">
                    <c:v>1.23</c:v>
                  </c:pt>
                  <c:pt idx="6">
                    <c:v>0.84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Strat.'!$D$43:$D$49</c:f>
              <c:numCache>
                <c:formatCode>0.00</c:formatCode>
                <c:ptCount val="7"/>
                <c:pt idx="0">
                  <c:v>7.25</c:v>
                </c:pt>
                <c:pt idx="1">
                  <c:v>13.22</c:v>
                </c:pt>
                <c:pt idx="2">
                  <c:v>13.41</c:v>
                </c:pt>
                <c:pt idx="3">
                  <c:v>13.93</c:v>
                </c:pt>
                <c:pt idx="4">
                  <c:v>14.26</c:v>
                </c:pt>
                <c:pt idx="5">
                  <c:v>16.72</c:v>
                </c:pt>
                <c:pt idx="6">
                  <c:v>14.44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56256"/>
        <c:axId val="1751259648"/>
      </c:scatterChart>
      <c:valAx>
        <c:axId val="1751256256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259648"/>
        <c:crosses val="autoZero"/>
        <c:crossBetween val="midCat"/>
        <c:majorUnit val="2.0"/>
      </c:valAx>
      <c:valAx>
        <c:axId val="1751259648"/>
        <c:scaling>
          <c:orientation val="minMax"/>
          <c:max val="3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2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Bumbat, BU2</a:t>
            </a:r>
          </a:p>
        </c:rich>
      </c:tx>
      <c:layout>
        <c:manualLayout>
          <c:xMode val="edge"/>
          <c:yMode val="edge"/>
          <c:x val="0.376336402575085"/>
          <c:y val="0.04923518781463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20430861984"/>
          <c:y val="0.171777777777778"/>
          <c:w val="0.603800836776591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Strat.'!$E$63:$E$68</c:f>
                <c:numCache>
                  <c:formatCode>General</c:formatCode>
                  <c:ptCount val="6"/>
                  <c:pt idx="0">
                    <c:v>0.94</c:v>
                  </c:pt>
                  <c:pt idx="1">
                    <c:v>1.13</c:v>
                  </c:pt>
                  <c:pt idx="2">
                    <c:v>1.79</c:v>
                  </c:pt>
                  <c:pt idx="3">
                    <c:v>1.37</c:v>
                  </c:pt>
                  <c:pt idx="4">
                    <c:v>1.66</c:v>
                  </c:pt>
                  <c:pt idx="5">
                    <c:v>1.8</c:v>
                  </c:pt>
                </c:numCache>
              </c:numRef>
            </c:plus>
            <c:minus>
              <c:numRef>
                <c:f>'Outlier- Deviation &amp; Strat.'!$E$63:$E$68</c:f>
                <c:numCache>
                  <c:formatCode>General</c:formatCode>
                  <c:ptCount val="6"/>
                  <c:pt idx="0">
                    <c:v>0.94</c:v>
                  </c:pt>
                  <c:pt idx="1">
                    <c:v>1.13</c:v>
                  </c:pt>
                  <c:pt idx="2">
                    <c:v>1.79</c:v>
                  </c:pt>
                  <c:pt idx="3">
                    <c:v>1.37</c:v>
                  </c:pt>
                  <c:pt idx="4">
                    <c:v>1.66</c:v>
                  </c:pt>
                  <c:pt idx="5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Strat.'!$D$63:$D$68</c:f>
              <c:numCache>
                <c:formatCode>0.00</c:formatCode>
                <c:ptCount val="6"/>
                <c:pt idx="0">
                  <c:v>22.16</c:v>
                </c:pt>
                <c:pt idx="1">
                  <c:v>31.77</c:v>
                </c:pt>
                <c:pt idx="2">
                  <c:v>31.78</c:v>
                </c:pt>
                <c:pt idx="3">
                  <c:v>36.54</c:v>
                </c:pt>
                <c:pt idx="4">
                  <c:v>39.54</c:v>
                </c:pt>
                <c:pt idx="5">
                  <c:v>49.86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84128"/>
        <c:axId val="1751287520"/>
      </c:scatterChart>
      <c:valAx>
        <c:axId val="1751284128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287520"/>
        <c:crosses val="autoZero"/>
        <c:crossBetween val="midCat"/>
        <c:majorUnit val="1.0"/>
      </c:valAx>
      <c:valAx>
        <c:axId val="1751287520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284128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Sutai, NE2–4</a:t>
            </a:r>
          </a:p>
        </c:rich>
      </c:tx>
      <c:layout>
        <c:manualLayout>
          <c:xMode val="edge"/>
          <c:yMode val="edge"/>
          <c:x val="0.326710963455149"/>
          <c:y val="0.0490043290043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0193842048814"/>
          <c:y val="0.171777777777778"/>
          <c:w val="0.623427420409658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Strat.'!$E$26:$E$29</c:f>
                <c:numCache>
                  <c:formatCode>General</c:formatCode>
                  <c:ptCount val="4"/>
                  <c:pt idx="0">
                    <c:v>0.24</c:v>
                  </c:pt>
                  <c:pt idx="1">
                    <c:v>0.7</c:v>
                  </c:pt>
                  <c:pt idx="2">
                    <c:v>1.15</c:v>
                  </c:pt>
                  <c:pt idx="3">
                    <c:v>0.82</c:v>
                  </c:pt>
                </c:numCache>
              </c:numRef>
            </c:plus>
            <c:minus>
              <c:numRef>
                <c:f>'Outlier- Deviation &amp; Strat.'!$E$26:$E$29</c:f>
                <c:numCache>
                  <c:formatCode>General</c:formatCode>
                  <c:ptCount val="4"/>
                  <c:pt idx="0">
                    <c:v>0.24</c:v>
                  </c:pt>
                  <c:pt idx="1">
                    <c:v>0.7</c:v>
                  </c:pt>
                  <c:pt idx="2">
                    <c:v>1.15</c:v>
                  </c:pt>
                  <c:pt idx="3">
                    <c:v>0.82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Strat.'!$D$26:$D$29</c:f>
              <c:numCache>
                <c:formatCode>0.00</c:formatCode>
                <c:ptCount val="4"/>
                <c:pt idx="0">
                  <c:v>6.75</c:v>
                </c:pt>
                <c:pt idx="1">
                  <c:v>22.93</c:v>
                </c:pt>
                <c:pt idx="2">
                  <c:v>24.93</c:v>
                </c:pt>
                <c:pt idx="3">
                  <c:v>26.23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08016"/>
        <c:axId val="1751311408"/>
      </c:scatterChart>
      <c:valAx>
        <c:axId val="1751308016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51311408"/>
        <c:crosses val="autoZero"/>
        <c:crossBetween val="midCat"/>
        <c:majorUnit val="1.0"/>
      </c:valAx>
      <c:valAx>
        <c:axId val="1751311408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13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>
          <a:latin typeface="Calibri" charset="0"/>
          <a:ea typeface="Calibri" charset="0"/>
          <a:cs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Sutai, SW2</a:t>
            </a:r>
          </a:p>
        </c:rich>
      </c:tx>
      <c:layout>
        <c:manualLayout>
          <c:xMode val="edge"/>
          <c:yMode val="edge"/>
          <c:x val="0.426406056156164"/>
          <c:y val="0.05333335139559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9845359493998"/>
          <c:y val="0.171777777777778"/>
          <c:w val="0.623775913256745"/>
          <c:h val="0.70286649168853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ysClr val="window" lastClr="FFFF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dPt>
            <c:idx val="4"/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'Outlier- Deviation &amp; Strat.'!$E$38:$E$42</c:f>
                <c:numCache>
                  <c:formatCode>General</c:formatCode>
                  <c:ptCount val="5"/>
                  <c:pt idx="0">
                    <c:v>0.22</c:v>
                  </c:pt>
                  <c:pt idx="1">
                    <c:v>0.37</c:v>
                  </c:pt>
                  <c:pt idx="2">
                    <c:v>0.39</c:v>
                  </c:pt>
                  <c:pt idx="3">
                    <c:v>0.48</c:v>
                  </c:pt>
                  <c:pt idx="4">
                    <c:v>0.61</c:v>
                  </c:pt>
                </c:numCache>
              </c:numRef>
            </c:plus>
            <c:minus>
              <c:numRef>
                <c:f>'Outlier- Deviation &amp; Strat.'!$E$38:$E$42</c:f>
                <c:numCache>
                  <c:formatCode>General</c:formatCode>
                  <c:ptCount val="5"/>
                  <c:pt idx="0">
                    <c:v>0.22</c:v>
                  </c:pt>
                  <c:pt idx="1">
                    <c:v>0.37</c:v>
                  </c:pt>
                  <c:pt idx="2">
                    <c:v>0.39</c:v>
                  </c:pt>
                  <c:pt idx="3">
                    <c:v>0.48</c:v>
                  </c:pt>
                  <c:pt idx="4">
                    <c:v>0.61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'Outlier- Deviation &amp; Strat.'!$D$38:$D$42</c:f>
              <c:numCache>
                <c:formatCode>0.00</c:formatCode>
                <c:ptCount val="5"/>
                <c:pt idx="0">
                  <c:v>5.96</c:v>
                </c:pt>
                <c:pt idx="1">
                  <c:v>13.92</c:v>
                </c:pt>
                <c:pt idx="2">
                  <c:v>15.41</c:v>
                </c:pt>
                <c:pt idx="3">
                  <c:v>15.54</c:v>
                </c:pt>
                <c:pt idx="4">
                  <c:v>19.84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26160"/>
        <c:axId val="1749055840"/>
      </c:scatterChart>
      <c:valAx>
        <c:axId val="1649426160"/>
        <c:scaling>
          <c:orientation val="minMax"/>
          <c:min val="0.0"/>
        </c:scaling>
        <c:delete val="1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482937190990661"/>
              <c:y val="0.8968664916885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749055840"/>
        <c:crosses val="autoZero"/>
        <c:crossBetween val="midCat"/>
        <c:majorUnit val="1.0"/>
      </c:valAx>
      <c:valAx>
        <c:axId val="174905584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Ages (ka)</a:t>
                </a:r>
              </a:p>
            </c:rich>
          </c:tx>
          <c:layout>
            <c:manualLayout>
              <c:xMode val="edge"/>
              <c:yMode val="edge"/>
              <c:x val="0.0465116279069767"/>
              <c:y val="0.431833070866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94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>
          <a:latin typeface="Calibri" charset="0"/>
          <a:ea typeface="Calibri" charset="0"/>
          <a:cs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28</xdr:row>
      <xdr:rowOff>143933</xdr:rowOff>
    </xdr:from>
    <xdr:to>
      <xdr:col>9</xdr:col>
      <xdr:colOff>673100</xdr:colOff>
      <xdr:row>47</xdr:row>
      <xdr:rowOff>14420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1477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152400</xdr:colOff>
      <xdr:row>28</xdr:row>
      <xdr:rowOff>143933</xdr:rowOff>
    </xdr:from>
    <xdr:to>
      <xdr:col>20</xdr:col>
      <xdr:colOff>25400</xdr:colOff>
      <xdr:row>47</xdr:row>
      <xdr:rowOff>14420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7400" y="51477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101600</xdr:colOff>
      <xdr:row>47</xdr:row>
      <xdr:rowOff>118533</xdr:rowOff>
    </xdr:from>
    <xdr:to>
      <xdr:col>9</xdr:col>
      <xdr:colOff>673100</xdr:colOff>
      <xdr:row>65</xdr:row>
      <xdr:rowOff>166820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" y="85005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88900</xdr:colOff>
      <xdr:row>66</xdr:row>
      <xdr:rowOff>80433</xdr:rowOff>
    </xdr:from>
    <xdr:to>
      <xdr:col>9</xdr:col>
      <xdr:colOff>660400</xdr:colOff>
      <xdr:row>84</xdr:row>
      <xdr:rowOff>128720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00" y="118406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139700</xdr:colOff>
      <xdr:row>66</xdr:row>
      <xdr:rowOff>80433</xdr:rowOff>
    </xdr:from>
    <xdr:to>
      <xdr:col>20</xdr:col>
      <xdr:colOff>12700</xdr:colOff>
      <xdr:row>84</xdr:row>
      <xdr:rowOff>128720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24700" y="118406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88900</xdr:colOff>
      <xdr:row>85</xdr:row>
      <xdr:rowOff>118533</xdr:rowOff>
    </xdr:from>
    <xdr:to>
      <xdr:col>9</xdr:col>
      <xdr:colOff>660400</xdr:colOff>
      <xdr:row>103</xdr:row>
      <xdr:rowOff>166820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00" y="15256933"/>
          <a:ext cx="6858000" cy="3248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101600</xdr:colOff>
      <xdr:row>9</xdr:row>
      <xdr:rowOff>165100</xdr:rowOff>
    </xdr:from>
    <xdr:to>
      <xdr:col>9</xdr:col>
      <xdr:colOff>673100</xdr:colOff>
      <xdr:row>28</xdr:row>
      <xdr:rowOff>35587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00" y="1790700"/>
          <a:ext cx="6858000" cy="32486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648122</xdr:colOff>
      <xdr:row>9</xdr:row>
      <xdr:rowOff>78739</xdr:rowOff>
    </xdr:from>
    <xdr:to>
      <xdr:col>22</xdr:col>
      <xdr:colOff>553295</xdr:colOff>
      <xdr:row>24</xdr:row>
      <xdr:rowOff>59689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9</xdr:row>
      <xdr:rowOff>78317</xdr:rowOff>
    </xdr:from>
    <xdr:to>
      <xdr:col>19</xdr:col>
      <xdr:colOff>556683</xdr:colOff>
      <xdr:row>24</xdr:row>
      <xdr:rowOff>59267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605367</xdr:colOff>
      <xdr:row>9</xdr:row>
      <xdr:rowOff>76200</xdr:rowOff>
    </xdr:from>
    <xdr:to>
      <xdr:col>25</xdr:col>
      <xdr:colOff>565150</xdr:colOff>
      <xdr:row>24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2116</xdr:colOff>
      <xdr:row>40</xdr:row>
      <xdr:rowOff>152400</xdr:rowOff>
    </xdr:from>
    <xdr:to>
      <xdr:col>19</xdr:col>
      <xdr:colOff>546099</xdr:colOff>
      <xdr:row>55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643467</xdr:colOff>
      <xdr:row>40</xdr:row>
      <xdr:rowOff>152400</xdr:rowOff>
    </xdr:from>
    <xdr:to>
      <xdr:col>25</xdr:col>
      <xdr:colOff>548217</xdr:colOff>
      <xdr:row>55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643468</xdr:colOff>
      <xdr:row>25</xdr:row>
      <xdr:rowOff>12700</xdr:rowOff>
    </xdr:from>
    <xdr:to>
      <xdr:col>25</xdr:col>
      <xdr:colOff>548218</xdr:colOff>
      <xdr:row>40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668867</xdr:colOff>
      <xdr:row>55</xdr:row>
      <xdr:rowOff>127000</xdr:rowOff>
    </xdr:from>
    <xdr:to>
      <xdr:col>22</xdr:col>
      <xdr:colOff>522817</xdr:colOff>
      <xdr:row>71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552450</xdr:colOff>
      <xdr:row>40</xdr:row>
      <xdr:rowOff>80433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668867</xdr:colOff>
      <xdr:row>25</xdr:row>
      <xdr:rowOff>16935</xdr:rowOff>
    </xdr:from>
    <xdr:to>
      <xdr:col>22</xdr:col>
      <xdr:colOff>548217</xdr:colOff>
      <xdr:row>40</xdr:row>
      <xdr:rowOff>63501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668867</xdr:colOff>
      <xdr:row>40</xdr:row>
      <xdr:rowOff>152400</xdr:rowOff>
    </xdr:from>
    <xdr:to>
      <xdr:col>22</xdr:col>
      <xdr:colOff>548217</xdr:colOff>
      <xdr:row>55</xdr:row>
      <xdr:rowOff>31750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2117</xdr:colOff>
      <xdr:row>55</xdr:row>
      <xdr:rowOff>120650</xdr:rowOff>
    </xdr:from>
    <xdr:to>
      <xdr:col>19</xdr:col>
      <xdr:colOff>529167</xdr:colOff>
      <xdr:row>71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78739</xdr:colOff>
      <xdr:row>10</xdr:row>
      <xdr:rowOff>68156</xdr:rowOff>
    </xdr:from>
    <xdr:to>
      <xdr:col>33</xdr:col>
      <xdr:colOff>682412</xdr:colOff>
      <xdr:row>26</xdr:row>
      <xdr:rowOff>49106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141817</xdr:colOff>
      <xdr:row>10</xdr:row>
      <xdr:rowOff>67734</xdr:rowOff>
    </xdr:from>
    <xdr:to>
      <xdr:col>30</xdr:col>
      <xdr:colOff>787400</xdr:colOff>
      <xdr:row>26</xdr:row>
      <xdr:rowOff>48684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99484</xdr:colOff>
      <xdr:row>10</xdr:row>
      <xdr:rowOff>65617</xdr:rowOff>
    </xdr:from>
    <xdr:to>
      <xdr:col>37</xdr:col>
      <xdr:colOff>59267</xdr:colOff>
      <xdr:row>26</xdr:row>
      <xdr:rowOff>46567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165100</xdr:colOff>
      <xdr:row>43</xdr:row>
      <xdr:rowOff>69850</xdr:rowOff>
    </xdr:from>
    <xdr:to>
      <xdr:col>31</xdr:col>
      <xdr:colOff>0</xdr:colOff>
      <xdr:row>57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95250</xdr:colOff>
      <xdr:row>43</xdr:row>
      <xdr:rowOff>82550</xdr:rowOff>
    </xdr:from>
    <xdr:to>
      <xdr:col>37</xdr:col>
      <xdr:colOff>0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95251</xdr:colOff>
      <xdr:row>27</xdr:row>
      <xdr:rowOff>0</xdr:rowOff>
    </xdr:from>
    <xdr:to>
      <xdr:col>37</xdr:col>
      <xdr:colOff>1</xdr:colOff>
      <xdr:row>43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120650</xdr:colOff>
      <xdr:row>58</xdr:row>
      <xdr:rowOff>38100</xdr:rowOff>
    </xdr:from>
    <xdr:to>
      <xdr:col>33</xdr:col>
      <xdr:colOff>673100</xdr:colOff>
      <xdr:row>74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150283</xdr:colOff>
      <xdr:row>26</xdr:row>
      <xdr:rowOff>158750</xdr:rowOff>
    </xdr:from>
    <xdr:to>
      <xdr:col>30</xdr:col>
      <xdr:colOff>791633</xdr:colOff>
      <xdr:row>43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120650</xdr:colOff>
      <xdr:row>26</xdr:row>
      <xdr:rowOff>175684</xdr:rowOff>
    </xdr:from>
    <xdr:to>
      <xdr:col>33</xdr:col>
      <xdr:colOff>787400</xdr:colOff>
      <xdr:row>43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120650</xdr:colOff>
      <xdr:row>43</xdr:row>
      <xdr:rowOff>82550</xdr:rowOff>
    </xdr:from>
    <xdr:to>
      <xdr:col>34</xdr:col>
      <xdr:colOff>0</xdr:colOff>
      <xdr:row>57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177800</xdr:colOff>
      <xdr:row>58</xdr:row>
      <xdr:rowOff>38100</xdr:rowOff>
    </xdr:from>
    <xdr:to>
      <xdr:col>31</xdr:col>
      <xdr:colOff>6350</xdr:colOff>
      <xdr:row>74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6</xdr:row>
      <xdr:rowOff>0</xdr:rowOff>
    </xdr:from>
    <xdr:to>
      <xdr:col>24</xdr:col>
      <xdr:colOff>266700</xdr:colOff>
      <xdr:row>27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110"/>
  <sheetViews>
    <sheetView tabSelected="1" workbookViewId="0">
      <selection activeCell="A5" sqref="A5:A6"/>
    </sheetView>
  </sheetViews>
  <sheetFormatPr baseColWidth="10" defaultColWidth="11" defaultRowHeight="14" customHeight="1" x14ac:dyDescent="0.2"/>
  <cols>
    <col min="1" max="1" width="8.19921875" style="1" customWidth="1"/>
    <col min="2" max="2" width="30.3984375" style="1" customWidth="1"/>
    <col min="3" max="3" width="17.59765625" style="1" customWidth="1"/>
    <col min="4" max="4" width="13.59765625" style="1" customWidth="1"/>
    <col min="5" max="5" width="15" style="1" customWidth="1"/>
    <col min="6" max="6" width="10" style="1" customWidth="1"/>
    <col min="7" max="7" width="9.3984375" style="1" customWidth="1"/>
    <col min="8" max="8" width="9.19921875" style="1" customWidth="1"/>
    <col min="9" max="9" width="8.59765625" style="1" customWidth="1"/>
    <col min="10" max="10" width="9.19921875" style="1" customWidth="1"/>
    <col min="11" max="11" width="12" style="2" customWidth="1"/>
    <col min="12" max="12" width="11.59765625" style="2" customWidth="1"/>
    <col min="13" max="13" width="17.19921875" style="3" customWidth="1"/>
    <col min="14" max="14" width="16" style="3" customWidth="1"/>
    <col min="15" max="15" width="18.19921875" style="3" customWidth="1"/>
    <col min="16" max="16" width="17.796875" style="3" customWidth="1"/>
    <col min="17" max="17" width="12.796875" style="3" customWidth="1"/>
    <col min="18" max="18" width="11.3984375" style="10" customWidth="1"/>
    <col min="19" max="19" width="11.59765625" style="10" customWidth="1"/>
    <col min="20" max="20" width="16.796875" style="1" customWidth="1"/>
    <col min="21" max="21" width="17" style="14" customWidth="1"/>
    <col min="22" max="22" width="31.19921875" style="1" customWidth="1"/>
    <col min="23" max="16384" width="11" style="1"/>
  </cols>
  <sheetData>
    <row r="1" spans="1:24" ht="16" customHeight="1" x14ac:dyDescent="0.2">
      <c r="A1" s="320" t="s">
        <v>727</v>
      </c>
      <c r="M1" s="10"/>
      <c r="N1" s="10"/>
      <c r="O1" s="10"/>
      <c r="P1" s="10"/>
      <c r="Q1" s="10"/>
    </row>
    <row r="2" spans="1:24" ht="16" customHeight="1" x14ac:dyDescent="0.2">
      <c r="A2" s="319" t="s">
        <v>728</v>
      </c>
      <c r="M2" s="10"/>
      <c r="N2" s="10"/>
      <c r="O2" s="10"/>
      <c r="P2" s="10"/>
      <c r="Q2" s="10"/>
    </row>
    <row r="3" spans="1:24" ht="16" customHeight="1" x14ac:dyDescent="0.2">
      <c r="A3" s="320" t="s">
        <v>655</v>
      </c>
      <c r="M3" s="10"/>
      <c r="N3" s="10"/>
      <c r="O3" s="10"/>
      <c r="P3" s="10"/>
      <c r="Q3" s="10"/>
    </row>
    <row r="4" spans="1:24" ht="14" customHeight="1" x14ac:dyDescent="0.2">
      <c r="M4" s="10"/>
      <c r="N4" s="10"/>
      <c r="O4" s="10"/>
      <c r="P4" s="10"/>
      <c r="Q4" s="10"/>
    </row>
    <row r="5" spans="1:24" ht="32" customHeight="1" x14ac:dyDescent="0.2">
      <c r="A5" s="466" t="s">
        <v>71</v>
      </c>
      <c r="B5" s="465" t="s">
        <v>72</v>
      </c>
      <c r="C5" s="457" t="s">
        <v>94</v>
      </c>
      <c r="D5" s="454" t="s">
        <v>85</v>
      </c>
      <c r="E5" s="454"/>
      <c r="F5" s="454" t="s">
        <v>166</v>
      </c>
      <c r="G5" s="454" t="s">
        <v>75</v>
      </c>
      <c r="H5" s="454" t="s">
        <v>167</v>
      </c>
      <c r="I5" s="454"/>
      <c r="J5" s="454" t="s">
        <v>66</v>
      </c>
      <c r="K5" s="458" t="s">
        <v>86</v>
      </c>
      <c r="L5" s="458" t="s">
        <v>69</v>
      </c>
      <c r="M5" s="460" t="s">
        <v>168</v>
      </c>
      <c r="N5" s="454" t="s">
        <v>169</v>
      </c>
      <c r="O5" s="70" t="s">
        <v>170</v>
      </c>
      <c r="P5" s="69" t="s">
        <v>171</v>
      </c>
      <c r="Q5" s="454" t="s">
        <v>70</v>
      </c>
      <c r="R5" s="454" t="s">
        <v>155</v>
      </c>
      <c r="S5" s="454" t="s">
        <v>127</v>
      </c>
      <c r="T5" s="459" t="s">
        <v>84</v>
      </c>
      <c r="U5" s="455" t="s">
        <v>125</v>
      </c>
      <c r="V5" s="456" t="s">
        <v>90</v>
      </c>
      <c r="W5" s="33"/>
    </row>
    <row r="6" spans="1:24" ht="24" customHeight="1" x14ac:dyDescent="0.2">
      <c r="A6" s="466"/>
      <c r="B6" s="465"/>
      <c r="C6" s="457"/>
      <c r="D6" s="19" t="s">
        <v>82</v>
      </c>
      <c r="E6" s="69" t="s">
        <v>83</v>
      </c>
      <c r="F6" s="454"/>
      <c r="G6" s="454"/>
      <c r="H6" s="69" t="s">
        <v>67</v>
      </c>
      <c r="I6" s="69" t="s">
        <v>68</v>
      </c>
      <c r="J6" s="454"/>
      <c r="K6" s="458"/>
      <c r="L6" s="458"/>
      <c r="M6" s="460"/>
      <c r="N6" s="454"/>
      <c r="O6" s="454" t="s">
        <v>172</v>
      </c>
      <c r="P6" s="454"/>
      <c r="Q6" s="454"/>
      <c r="R6" s="454"/>
      <c r="S6" s="454"/>
      <c r="T6" s="459"/>
      <c r="U6" s="455"/>
      <c r="V6" s="456"/>
      <c r="W6" s="33"/>
    </row>
    <row r="7" spans="1:24" ht="16" customHeight="1" x14ac:dyDescent="0.2">
      <c r="A7" s="462" t="s">
        <v>79</v>
      </c>
      <c r="B7" s="461" t="s">
        <v>518</v>
      </c>
      <c r="C7" s="20" t="s">
        <v>64</v>
      </c>
      <c r="D7" s="21">
        <v>45.403750000000002</v>
      </c>
      <c r="E7" s="21">
        <v>97.070390000000003</v>
      </c>
      <c r="F7" s="68">
        <v>3289</v>
      </c>
      <c r="G7" s="68">
        <v>1</v>
      </c>
      <c r="H7" s="42">
        <v>44.9</v>
      </c>
      <c r="I7" s="42">
        <v>0.51300000000000001</v>
      </c>
      <c r="J7" s="68">
        <v>0.99</v>
      </c>
      <c r="K7" s="43">
        <v>9.0144000000000002</v>
      </c>
      <c r="L7" s="43">
        <v>0.26780000000000004</v>
      </c>
      <c r="M7" s="34">
        <v>1.5713000000000001E-13</v>
      </c>
      <c r="N7" s="34">
        <v>5.0600000000000002E-15</v>
      </c>
      <c r="O7" s="35">
        <v>311900</v>
      </c>
      <c r="P7" s="35">
        <v>10300</v>
      </c>
      <c r="Q7" s="76">
        <f>'CRONUS Feed'!S7</f>
        <v>6.88</v>
      </c>
      <c r="R7" s="76">
        <f>'CRONUS Feed'!G97/1000</f>
        <v>0.22800000000000001</v>
      </c>
      <c r="S7" s="76">
        <f>'CRONUS Feed'!T7</f>
        <v>0.443</v>
      </c>
      <c r="T7" s="36" t="s">
        <v>25</v>
      </c>
      <c r="U7" s="37">
        <v>39264</v>
      </c>
      <c r="V7" s="38" t="s">
        <v>54</v>
      </c>
      <c r="W7" s="33"/>
      <c r="X7" s="4"/>
    </row>
    <row r="8" spans="1:24" ht="16" customHeight="1" x14ac:dyDescent="0.2">
      <c r="A8" s="463"/>
      <c r="B8" s="461"/>
      <c r="C8" s="20" t="s">
        <v>65</v>
      </c>
      <c r="D8" s="21">
        <v>45.403750000000002</v>
      </c>
      <c r="E8" s="21">
        <v>97.070390000000003</v>
      </c>
      <c r="F8" s="68">
        <v>3289</v>
      </c>
      <c r="G8" s="68">
        <v>2</v>
      </c>
      <c r="H8" s="42">
        <v>44.53</v>
      </c>
      <c r="I8" s="42">
        <v>0.50900000000000001</v>
      </c>
      <c r="J8" s="68">
        <v>0.99</v>
      </c>
      <c r="K8" s="43">
        <v>10.486599999999999</v>
      </c>
      <c r="L8" s="43">
        <v>0.2681</v>
      </c>
      <c r="M8" s="34">
        <v>2.1435000000000002E-13</v>
      </c>
      <c r="N8" s="34">
        <v>3.9900000000000005E-15</v>
      </c>
      <c r="O8" s="35">
        <v>366200</v>
      </c>
      <c r="P8" s="35">
        <v>7600</v>
      </c>
      <c r="Q8" s="76">
        <f>'CRONUS Feed'!S8</f>
        <v>8.1470000000000002</v>
      </c>
      <c r="R8" s="76">
        <f>'CRONUS Feed'!G98/1000</f>
        <v>0.16900000000000001</v>
      </c>
      <c r="S8" s="76">
        <f>'CRONUS Feed'!T8</f>
        <v>0.48099999999999998</v>
      </c>
      <c r="T8" s="36" t="s">
        <v>25</v>
      </c>
      <c r="U8" s="37">
        <v>39264</v>
      </c>
      <c r="V8" s="38" t="s">
        <v>54</v>
      </c>
      <c r="W8" s="33"/>
      <c r="X8" s="4"/>
    </row>
    <row r="9" spans="1:24" ht="16" customHeight="1" x14ac:dyDescent="0.2">
      <c r="A9" s="463"/>
      <c r="B9" s="461"/>
      <c r="C9" s="20" t="s">
        <v>73</v>
      </c>
      <c r="D9" s="21">
        <v>45.402250000000002</v>
      </c>
      <c r="E9" s="21">
        <v>97.070239999999998</v>
      </c>
      <c r="F9" s="68">
        <v>3327</v>
      </c>
      <c r="G9" s="68">
        <v>2</v>
      </c>
      <c r="H9" s="42">
        <v>45.54</v>
      </c>
      <c r="I9" s="42">
        <v>0.51500000000000001</v>
      </c>
      <c r="J9" s="68">
        <v>0.99</v>
      </c>
      <c r="K9" s="39">
        <v>13.852</v>
      </c>
      <c r="L9" s="39">
        <v>0.21209999999999998</v>
      </c>
      <c r="M9" s="34">
        <v>2.3772000000000002E-13</v>
      </c>
      <c r="N9" s="34">
        <v>1.0390000000000002E-14</v>
      </c>
      <c r="O9" s="35">
        <v>243200</v>
      </c>
      <c r="P9" s="35">
        <v>15400</v>
      </c>
      <c r="Q9" s="76">
        <f>'CRONUS Feed'!S9</f>
        <v>5.2880000000000003</v>
      </c>
      <c r="R9" s="76">
        <f>'CRONUS Feed'!G99/1000</f>
        <v>0.33500000000000002</v>
      </c>
      <c r="S9" s="76">
        <f>'CRONUS Feed'!T9</f>
        <v>0.44500000000000001</v>
      </c>
      <c r="T9" s="36" t="s">
        <v>24</v>
      </c>
      <c r="U9" s="37">
        <v>40369</v>
      </c>
      <c r="V9" s="38" t="s">
        <v>54</v>
      </c>
      <c r="W9" s="33"/>
      <c r="X9" s="4"/>
    </row>
    <row r="10" spans="1:24" ht="16" customHeight="1" x14ac:dyDescent="0.2">
      <c r="A10" s="463"/>
      <c r="B10" s="461"/>
      <c r="C10" s="20" t="s">
        <v>74</v>
      </c>
      <c r="D10" s="21">
        <v>45.403889999999997</v>
      </c>
      <c r="E10" s="21">
        <v>97.070279999999997</v>
      </c>
      <c r="F10" s="68">
        <v>3283</v>
      </c>
      <c r="G10" s="68">
        <v>2</v>
      </c>
      <c r="H10" s="42">
        <v>44.37</v>
      </c>
      <c r="I10" s="42">
        <v>0.50900000000000001</v>
      </c>
      <c r="J10" s="68">
        <v>0.99</v>
      </c>
      <c r="K10" s="39">
        <v>11.554</v>
      </c>
      <c r="L10" s="39">
        <v>0.21492800000000001</v>
      </c>
      <c r="M10" s="34">
        <v>2.6929000000000006E-13</v>
      </c>
      <c r="N10" s="34">
        <v>6.690000000000001E-15</v>
      </c>
      <c r="O10" s="35">
        <v>334700</v>
      </c>
      <c r="P10" s="35">
        <v>12700</v>
      </c>
      <c r="Q10" s="76">
        <f>'CRONUS Feed'!S10</f>
        <v>7.4720000000000004</v>
      </c>
      <c r="R10" s="76">
        <f>'CRONUS Feed'!G100/1000</f>
        <v>0.28399999999999997</v>
      </c>
      <c r="S10" s="76">
        <f>'CRONUS Feed'!T10</f>
        <v>0.501</v>
      </c>
      <c r="T10" s="36" t="s">
        <v>24</v>
      </c>
      <c r="U10" s="37">
        <v>42926</v>
      </c>
      <c r="V10" s="38" t="s">
        <v>54</v>
      </c>
      <c r="W10" s="33"/>
      <c r="X10" s="4"/>
    </row>
    <row r="11" spans="1:24" ht="16" customHeight="1" x14ac:dyDescent="0.2">
      <c r="A11" s="463"/>
      <c r="B11" s="461" t="s">
        <v>519</v>
      </c>
      <c r="C11" s="20" t="s">
        <v>62</v>
      </c>
      <c r="D11" s="21">
        <v>45.401389999999999</v>
      </c>
      <c r="E11" s="21">
        <v>97.07011</v>
      </c>
      <c r="F11" s="68">
        <v>3340</v>
      </c>
      <c r="G11" s="68">
        <v>2</v>
      </c>
      <c r="H11" s="42">
        <v>45.89</v>
      </c>
      <c r="I11" s="42">
        <v>0.51700000000000002</v>
      </c>
      <c r="J11" s="68">
        <v>0.99</v>
      </c>
      <c r="K11" s="43">
        <v>9.7159999999999993</v>
      </c>
      <c r="L11" s="43">
        <v>0.26850000000000002</v>
      </c>
      <c r="M11" s="34">
        <v>3.9260000000000001E-14</v>
      </c>
      <c r="N11" s="34">
        <v>2.2700000000000002E-15</v>
      </c>
      <c r="O11" s="35">
        <v>72500</v>
      </c>
      <c r="P11" s="35">
        <v>4200</v>
      </c>
      <c r="Q11" s="76">
        <f>'CRONUS Feed'!S11</f>
        <v>1.5629999999999999</v>
      </c>
      <c r="R11" s="76">
        <f>'CRONUS Feed'!G101/1000</f>
        <v>9.0999999999999998E-2</v>
      </c>
      <c r="S11" s="76">
        <f>'CRONUS Feed'!T11</f>
        <v>0.125</v>
      </c>
      <c r="T11" s="36" t="s">
        <v>25</v>
      </c>
      <c r="U11" s="37">
        <v>39264</v>
      </c>
      <c r="V11" s="38" t="s">
        <v>54</v>
      </c>
      <c r="W11" s="33"/>
      <c r="X11" s="4"/>
    </row>
    <row r="12" spans="1:24" ht="16" customHeight="1" x14ac:dyDescent="0.2">
      <c r="A12" s="463"/>
      <c r="B12" s="461"/>
      <c r="C12" s="20" t="s">
        <v>63</v>
      </c>
      <c r="D12" s="21">
        <v>45.401389999999999</v>
      </c>
      <c r="E12" s="21">
        <v>97.07011</v>
      </c>
      <c r="F12" s="68">
        <v>3340</v>
      </c>
      <c r="G12" s="68">
        <v>2</v>
      </c>
      <c r="H12" s="42">
        <v>45.89</v>
      </c>
      <c r="I12" s="42">
        <v>0.51700000000000002</v>
      </c>
      <c r="J12" s="68">
        <v>0.99</v>
      </c>
      <c r="K12" s="43">
        <v>9.2479999999999993</v>
      </c>
      <c r="L12" s="43">
        <v>0.26819999999999999</v>
      </c>
      <c r="M12" s="34">
        <v>7.658E-14</v>
      </c>
      <c r="N12" s="34">
        <v>1.7400000000000001E-15</v>
      </c>
      <c r="O12" s="35">
        <v>148400</v>
      </c>
      <c r="P12" s="35">
        <v>3500</v>
      </c>
      <c r="Q12" s="76">
        <f>'CRONUS Feed'!S12</f>
        <v>3.2010000000000001</v>
      </c>
      <c r="R12" s="76">
        <f>'CRONUS Feed'!G102/1000</f>
        <v>7.5999999999999998E-2</v>
      </c>
      <c r="S12" s="76">
        <f>'CRONUS Feed'!T12</f>
        <v>0.192</v>
      </c>
      <c r="T12" s="36" t="s">
        <v>25</v>
      </c>
      <c r="U12" s="37">
        <v>39264</v>
      </c>
      <c r="V12" s="38" t="s">
        <v>54</v>
      </c>
      <c r="W12" s="33"/>
      <c r="X12" s="4"/>
    </row>
    <row r="13" spans="1:24" ht="16" customHeight="1" x14ac:dyDescent="0.2">
      <c r="A13" s="463"/>
      <c r="B13" s="461"/>
      <c r="C13" s="20" t="s">
        <v>59</v>
      </c>
      <c r="D13" s="21">
        <v>45.401530000000001</v>
      </c>
      <c r="E13" s="21">
        <v>97.069720000000004</v>
      </c>
      <c r="F13" s="68">
        <v>3361</v>
      </c>
      <c r="G13" s="68">
        <v>2</v>
      </c>
      <c r="H13" s="42">
        <v>46.46</v>
      </c>
      <c r="I13" s="42">
        <v>0.52</v>
      </c>
      <c r="J13" s="68">
        <v>0.99</v>
      </c>
      <c r="K13" s="43">
        <v>10.0974</v>
      </c>
      <c r="L13" s="43">
        <v>0.252</v>
      </c>
      <c r="M13" s="34">
        <v>2.2420000000000004E-14</v>
      </c>
      <c r="N13" s="34">
        <v>7.4000000000000009E-16</v>
      </c>
      <c r="O13" s="35">
        <v>37400</v>
      </c>
      <c r="P13" s="35">
        <v>1200</v>
      </c>
      <c r="Q13" s="76">
        <f>'CRONUS Feed'!S13</f>
        <v>0.79600000000000004</v>
      </c>
      <c r="R13" s="76">
        <f>'CRONUS Feed'!G103/1000</f>
        <v>2.5999999999999999E-2</v>
      </c>
      <c r="S13" s="76">
        <f>'CRONUS Feed'!T13</f>
        <v>5.0999999999999997E-2</v>
      </c>
      <c r="T13" s="36" t="s">
        <v>25</v>
      </c>
      <c r="U13" s="37">
        <v>39264</v>
      </c>
      <c r="V13" s="38" t="s">
        <v>54</v>
      </c>
      <c r="W13" s="33"/>
      <c r="X13" s="4"/>
    </row>
    <row r="14" spans="1:24" ht="16" customHeight="1" x14ac:dyDescent="0.2">
      <c r="A14" s="463"/>
      <c r="B14" s="461"/>
      <c r="C14" s="20" t="s">
        <v>60</v>
      </c>
      <c r="D14" s="21">
        <v>45.401530000000001</v>
      </c>
      <c r="E14" s="21">
        <v>97.069720000000004</v>
      </c>
      <c r="F14" s="68">
        <v>3361</v>
      </c>
      <c r="G14" s="68">
        <v>5</v>
      </c>
      <c r="H14" s="42">
        <v>45.33</v>
      </c>
      <c r="I14" s="42">
        <v>0.51300000000000001</v>
      </c>
      <c r="J14" s="68">
        <v>0.99</v>
      </c>
      <c r="K14" s="43">
        <v>10.0976</v>
      </c>
      <c r="L14" s="43">
        <v>0.252</v>
      </c>
      <c r="M14" s="34">
        <v>7.7310000000000013E-14</v>
      </c>
      <c r="N14" s="34">
        <v>2.1299999999999999E-15</v>
      </c>
      <c r="O14" s="35">
        <v>128900</v>
      </c>
      <c r="P14" s="35">
        <v>3600</v>
      </c>
      <c r="Q14" s="76">
        <f>'CRONUS Feed'!S14</f>
        <v>2.8140000000000001</v>
      </c>
      <c r="R14" s="76">
        <f>'CRONUS Feed'!G104/1000</f>
        <v>7.9000000000000001E-2</v>
      </c>
      <c r="S14" s="76">
        <f>'CRONUS Feed'!T14</f>
        <v>0.17399999999999999</v>
      </c>
      <c r="T14" s="36" t="s">
        <v>25</v>
      </c>
      <c r="U14" s="37">
        <v>39264</v>
      </c>
      <c r="V14" s="38" t="s">
        <v>54</v>
      </c>
      <c r="W14" s="33"/>
      <c r="X14" s="4"/>
    </row>
    <row r="15" spans="1:24" ht="16" customHeight="1" x14ac:dyDescent="0.2">
      <c r="A15" s="463"/>
      <c r="B15" s="461"/>
      <c r="C15" s="20" t="s">
        <v>61</v>
      </c>
      <c r="D15" s="21">
        <v>45.401530000000001</v>
      </c>
      <c r="E15" s="21">
        <v>97.069720000000004</v>
      </c>
      <c r="F15" s="68">
        <v>3361</v>
      </c>
      <c r="G15" s="68">
        <v>1</v>
      </c>
      <c r="H15" s="42">
        <v>46.84</v>
      </c>
      <c r="I15" s="42">
        <v>0.52400000000000002</v>
      </c>
      <c r="J15" s="68">
        <v>0.99</v>
      </c>
      <c r="K15" s="43">
        <v>10.0581</v>
      </c>
      <c r="L15" s="43">
        <v>0.25159999999999999</v>
      </c>
      <c r="M15" s="34">
        <v>7.2350000000000002E-14</v>
      </c>
      <c r="N15" s="34">
        <v>1.8600000000000002E-15</v>
      </c>
      <c r="O15" s="35">
        <v>120900</v>
      </c>
      <c r="P15" s="35">
        <v>3200</v>
      </c>
      <c r="Q15" s="76">
        <f>'CRONUS Feed'!S15</f>
        <v>2.5539999999999998</v>
      </c>
      <c r="R15" s="76">
        <f>'CRONUS Feed'!G105/1000</f>
        <v>6.8000000000000005E-2</v>
      </c>
      <c r="S15" s="76">
        <f>'CRONUS Feed'!T15</f>
        <v>0.156</v>
      </c>
      <c r="T15" s="36" t="s">
        <v>25</v>
      </c>
      <c r="U15" s="37">
        <v>39264</v>
      </c>
      <c r="V15" s="38" t="s">
        <v>54</v>
      </c>
      <c r="W15" s="33"/>
      <c r="X15" s="4"/>
    </row>
    <row r="16" spans="1:24" ht="16" customHeight="1" x14ac:dyDescent="0.2">
      <c r="A16" s="463"/>
      <c r="B16" s="461" t="s">
        <v>520</v>
      </c>
      <c r="C16" s="20" t="s">
        <v>87</v>
      </c>
      <c r="D16" s="21">
        <v>45.40222</v>
      </c>
      <c r="E16" s="21">
        <v>97.068610000000007</v>
      </c>
      <c r="F16" s="68">
        <v>3330</v>
      </c>
      <c r="G16" s="68">
        <v>2</v>
      </c>
      <c r="H16" s="42">
        <v>45.62</v>
      </c>
      <c r="I16" s="42">
        <v>0.51500000000000001</v>
      </c>
      <c r="J16" s="68">
        <v>0.99</v>
      </c>
      <c r="K16" s="39">
        <v>16.565000000000001</v>
      </c>
      <c r="L16" s="39">
        <v>0.22624</v>
      </c>
      <c r="M16" s="34">
        <v>4.5479999999999999E-14</v>
      </c>
      <c r="N16" s="34">
        <v>3.4400000000000003E-15</v>
      </c>
      <c r="O16" s="35">
        <v>41500</v>
      </c>
      <c r="P16" s="35">
        <v>4500</v>
      </c>
      <c r="Q16" s="76">
        <f>'CRONUS Feed'!S16</f>
        <v>0.9</v>
      </c>
      <c r="R16" s="76">
        <f>'CRONUS Feed'!G106/1000</f>
        <v>9.8000000000000004E-2</v>
      </c>
      <c r="S16" s="76">
        <f>'CRONUS Feed'!T16</f>
        <v>0.109</v>
      </c>
      <c r="T16" s="36" t="s">
        <v>24</v>
      </c>
      <c r="U16" s="37">
        <v>40369</v>
      </c>
      <c r="V16" s="38" t="s">
        <v>54</v>
      </c>
      <c r="W16" s="33"/>
      <c r="X16" s="4"/>
    </row>
    <row r="17" spans="1:24" ht="16" customHeight="1" x14ac:dyDescent="0.2">
      <c r="A17" s="463"/>
      <c r="B17" s="461"/>
      <c r="C17" s="20" t="s">
        <v>88</v>
      </c>
      <c r="D17" s="21">
        <v>45.402360000000002</v>
      </c>
      <c r="E17" s="21">
        <v>97.068640000000002</v>
      </c>
      <c r="F17" s="68">
        <v>3330</v>
      </c>
      <c r="G17" s="68">
        <v>2</v>
      </c>
      <c r="H17" s="42">
        <v>45.62</v>
      </c>
      <c r="I17" s="42">
        <v>0.51500000000000001</v>
      </c>
      <c r="J17" s="68">
        <v>0.99</v>
      </c>
      <c r="K17" s="39">
        <v>10.734999999999999</v>
      </c>
      <c r="L17" s="39">
        <v>0.21351399999999998</v>
      </c>
      <c r="M17" s="34">
        <v>3.6030000000000005E-14</v>
      </c>
      <c r="N17" s="34">
        <v>2.4500000000000004E-15</v>
      </c>
      <c r="O17" s="35">
        <v>47900</v>
      </c>
      <c r="P17" s="35">
        <v>4700</v>
      </c>
      <c r="Q17" s="76">
        <f>'CRONUS Feed'!S17</f>
        <v>1.0389999999999999</v>
      </c>
      <c r="R17" s="76">
        <f>'CRONUS Feed'!G107/1000</f>
        <v>0.10199999999999999</v>
      </c>
      <c r="S17" s="76">
        <f>'CRONUS Feed'!T17</f>
        <v>0.11700000000000001</v>
      </c>
      <c r="T17" s="36" t="s">
        <v>24</v>
      </c>
      <c r="U17" s="37">
        <v>40369</v>
      </c>
      <c r="V17" s="38" t="s">
        <v>54</v>
      </c>
      <c r="W17" s="33"/>
      <c r="X17" s="4"/>
    </row>
    <row r="18" spans="1:24" ht="16" customHeight="1" x14ac:dyDescent="0.2">
      <c r="A18" s="463"/>
      <c r="B18" s="461"/>
      <c r="C18" s="20" t="s">
        <v>89</v>
      </c>
      <c r="D18" s="21">
        <v>45.402500000000003</v>
      </c>
      <c r="E18" s="21">
        <v>97.068889999999996</v>
      </c>
      <c r="F18" s="68">
        <v>3336</v>
      </c>
      <c r="G18" s="68">
        <v>2</v>
      </c>
      <c r="H18" s="42">
        <v>45.78</v>
      </c>
      <c r="I18" s="42">
        <v>0.51600000000000001</v>
      </c>
      <c r="J18" s="68">
        <v>0.99</v>
      </c>
      <c r="K18" s="39">
        <v>7.4880000000000004</v>
      </c>
      <c r="L18" s="39">
        <v>0.21351399999999998</v>
      </c>
      <c r="M18" s="34">
        <v>3.5800000000000003E-14</v>
      </c>
      <c r="N18" s="34">
        <v>4.5800000000000003E-15</v>
      </c>
      <c r="O18" s="35">
        <v>68200</v>
      </c>
      <c r="P18" s="35">
        <v>12400</v>
      </c>
      <c r="Q18" s="76">
        <f>'CRONUS Feed'!S18</f>
        <v>1.474</v>
      </c>
      <c r="R18" s="76">
        <f>'CRONUS Feed'!G108/1000</f>
        <v>0.26800000000000002</v>
      </c>
      <c r="S18" s="76">
        <f>'CRONUS Feed'!T18</f>
        <v>0.28000000000000003</v>
      </c>
      <c r="T18" s="36" t="s">
        <v>24</v>
      </c>
      <c r="U18" s="37">
        <v>40369</v>
      </c>
      <c r="V18" s="38" t="s">
        <v>54</v>
      </c>
      <c r="W18" s="33"/>
      <c r="X18" s="4"/>
    </row>
    <row r="19" spans="1:24" ht="16" customHeight="1" x14ac:dyDescent="0.2">
      <c r="A19" s="463"/>
      <c r="B19" s="461"/>
      <c r="C19" s="20" t="s">
        <v>56</v>
      </c>
      <c r="D19" s="21">
        <v>45.40128</v>
      </c>
      <c r="E19" s="21">
        <v>97.069720000000004</v>
      </c>
      <c r="F19" s="68">
        <v>3338</v>
      </c>
      <c r="G19" s="68">
        <v>1</v>
      </c>
      <c r="H19" s="42">
        <v>46.21</v>
      </c>
      <c r="I19" s="42">
        <v>0.52</v>
      </c>
      <c r="J19" s="68">
        <v>0.99</v>
      </c>
      <c r="K19" s="43">
        <v>9.7453000000000003</v>
      </c>
      <c r="L19" s="43">
        <v>0.26929999999999998</v>
      </c>
      <c r="M19" s="34">
        <v>4.6250000000000005E-14</v>
      </c>
      <c r="N19" s="34">
        <v>1.2800000000000001E-15</v>
      </c>
      <c r="O19" s="35">
        <v>85400</v>
      </c>
      <c r="P19" s="35">
        <v>2400</v>
      </c>
      <c r="Q19" s="76">
        <f>'CRONUS Feed'!S19</f>
        <v>1.8280000000000001</v>
      </c>
      <c r="R19" s="76">
        <f>'CRONUS Feed'!G109/1000</f>
        <v>5.0999999999999997E-2</v>
      </c>
      <c r="S19" s="76">
        <f>'CRONUS Feed'!T19</f>
        <v>0.113</v>
      </c>
      <c r="T19" s="36" t="s">
        <v>25</v>
      </c>
      <c r="U19" s="37">
        <v>39264</v>
      </c>
      <c r="V19" s="38" t="s">
        <v>54</v>
      </c>
      <c r="W19" s="33"/>
      <c r="X19" s="4"/>
    </row>
    <row r="20" spans="1:24" ht="16" customHeight="1" x14ac:dyDescent="0.2">
      <c r="A20" s="463"/>
      <c r="B20" s="461"/>
      <c r="C20" s="20" t="s">
        <v>57</v>
      </c>
      <c r="D20" s="21">
        <v>45.40128</v>
      </c>
      <c r="E20" s="21">
        <v>97.069720000000004</v>
      </c>
      <c r="F20" s="68">
        <v>3338</v>
      </c>
      <c r="G20" s="68">
        <v>2</v>
      </c>
      <c r="H20" s="42">
        <v>45.83</v>
      </c>
      <c r="I20" s="42">
        <v>0.51700000000000002</v>
      </c>
      <c r="J20" s="68">
        <v>0.99</v>
      </c>
      <c r="K20" s="43">
        <v>11.549200000000001</v>
      </c>
      <c r="L20" s="43">
        <v>0.26780000000000004</v>
      </c>
      <c r="M20" s="34">
        <v>5.5770000000000005E-14</v>
      </c>
      <c r="N20" s="34">
        <v>1.65E-15</v>
      </c>
      <c r="O20" s="35">
        <v>86400</v>
      </c>
      <c r="P20" s="35">
        <v>2600</v>
      </c>
      <c r="Q20" s="76">
        <f>'CRONUS Feed'!S20</f>
        <v>1.865</v>
      </c>
      <c r="R20" s="76">
        <f>'CRONUS Feed'!G110/1000</f>
        <v>5.6000000000000001E-2</v>
      </c>
      <c r="S20" s="76">
        <f>'CRONUS Feed'!T20</f>
        <v>0.11700000000000001</v>
      </c>
      <c r="T20" s="36" t="s">
        <v>25</v>
      </c>
      <c r="U20" s="37">
        <v>39264</v>
      </c>
      <c r="V20" s="38" t="s">
        <v>54</v>
      </c>
      <c r="W20" s="33"/>
      <c r="X20" s="4"/>
    </row>
    <row r="21" spans="1:24" ht="16" customHeight="1" x14ac:dyDescent="0.2">
      <c r="A21" s="463"/>
      <c r="B21" s="461"/>
      <c r="C21" s="20" t="s">
        <v>58</v>
      </c>
      <c r="D21" s="21">
        <v>45.40128</v>
      </c>
      <c r="E21" s="21">
        <v>97.069720000000004</v>
      </c>
      <c r="F21" s="68">
        <v>3338</v>
      </c>
      <c r="G21" s="68">
        <v>2</v>
      </c>
      <c r="H21" s="42">
        <v>45.83</v>
      </c>
      <c r="I21" s="42">
        <v>0.51700000000000002</v>
      </c>
      <c r="J21" s="68">
        <v>0.99</v>
      </c>
      <c r="K21" s="43">
        <v>9.4140999999999995</v>
      </c>
      <c r="L21" s="43">
        <v>0.26860000000000001</v>
      </c>
      <c r="M21" s="34">
        <v>3.8299999999999998E-14</v>
      </c>
      <c r="N21" s="34">
        <v>1.1200000000000003E-15</v>
      </c>
      <c r="O21" s="35">
        <v>73000</v>
      </c>
      <c r="P21" s="35">
        <v>2200</v>
      </c>
      <c r="Q21" s="76">
        <f>'CRONUS Feed'!S21</f>
        <v>1.5760000000000001</v>
      </c>
      <c r="R21" s="76">
        <f>'CRONUS Feed'!G111/1000</f>
        <v>4.8000000000000001E-2</v>
      </c>
      <c r="S21" s="76">
        <f>'CRONUS Feed'!T21</f>
        <v>9.9000000000000005E-2</v>
      </c>
      <c r="T21" s="36" t="s">
        <v>25</v>
      </c>
      <c r="U21" s="37">
        <v>39264</v>
      </c>
      <c r="V21" s="38" t="s">
        <v>54</v>
      </c>
      <c r="W21" s="33"/>
      <c r="X21" s="4"/>
    </row>
    <row r="22" spans="1:24" ht="16" customHeight="1" x14ac:dyDescent="0.2">
      <c r="A22" s="462" t="s">
        <v>80</v>
      </c>
      <c r="B22" s="71" t="s">
        <v>521</v>
      </c>
      <c r="C22" s="20" t="s">
        <v>48</v>
      </c>
      <c r="D22" s="21">
        <v>46.641829999999999</v>
      </c>
      <c r="E22" s="21">
        <v>93.570999999999998</v>
      </c>
      <c r="F22" s="68">
        <v>3160</v>
      </c>
      <c r="G22" s="68">
        <v>2</v>
      </c>
      <c r="H22" s="41">
        <v>41.09</v>
      </c>
      <c r="I22" s="41">
        <v>0.49</v>
      </c>
      <c r="J22" s="68">
        <v>0.96</v>
      </c>
      <c r="K22" s="77">
        <v>39.369999999999997</v>
      </c>
      <c r="L22" s="77">
        <v>0.253</v>
      </c>
      <c r="M22" s="34">
        <v>7.0999000000000009E-13</v>
      </c>
      <c r="N22" s="34">
        <v>1.7300000000000003E-14</v>
      </c>
      <c r="O22" s="35">
        <v>304900</v>
      </c>
      <c r="P22" s="35">
        <v>11400</v>
      </c>
      <c r="Q22" s="76">
        <f>'CRONUS Feed'!S22</f>
        <v>7.3460000000000001</v>
      </c>
      <c r="R22" s="76">
        <f>'CRONUS Feed'!G112/1000</f>
        <v>0.27500000000000002</v>
      </c>
      <c r="S22" s="76">
        <f>'CRONUS Feed'!T22</f>
        <v>0.49</v>
      </c>
      <c r="T22" s="36" t="s">
        <v>25</v>
      </c>
      <c r="U22" s="37">
        <v>35999</v>
      </c>
      <c r="V22" s="33" t="s">
        <v>54</v>
      </c>
      <c r="W22" s="33"/>
      <c r="X22" s="4"/>
    </row>
    <row r="23" spans="1:24" ht="16" customHeight="1" x14ac:dyDescent="0.2">
      <c r="A23" s="463"/>
      <c r="B23" s="461" t="s">
        <v>522</v>
      </c>
      <c r="C23" s="20" t="s">
        <v>49</v>
      </c>
      <c r="D23" s="21">
        <v>46.641829999999999</v>
      </c>
      <c r="E23" s="21">
        <v>93.565920000000006</v>
      </c>
      <c r="F23" s="68">
        <v>3240</v>
      </c>
      <c r="G23" s="68">
        <v>2</v>
      </c>
      <c r="H23" s="41">
        <v>44.03</v>
      </c>
      <c r="I23" s="41">
        <v>0.5</v>
      </c>
      <c r="J23" s="68">
        <v>0.98</v>
      </c>
      <c r="K23" s="77">
        <v>39.83</v>
      </c>
      <c r="L23" s="77">
        <v>0.252</v>
      </c>
      <c r="M23" s="34">
        <v>2.7446700000000003E-12</v>
      </c>
      <c r="N23" s="34">
        <v>5.3940000000000002E-14</v>
      </c>
      <c r="O23" s="35">
        <v>1160400</v>
      </c>
      <c r="P23" s="35">
        <v>36200</v>
      </c>
      <c r="Q23" s="76">
        <f>'CRONUS Feed'!S23</f>
        <v>26.227</v>
      </c>
      <c r="R23" s="76">
        <f>'CRONUS Feed'!G113/1000</f>
        <v>0.82399999999999995</v>
      </c>
      <c r="S23" s="76">
        <f>'CRONUS Feed'!T23</f>
        <v>1.6719999999999999</v>
      </c>
      <c r="T23" s="36" t="s">
        <v>25</v>
      </c>
      <c r="U23" s="37">
        <v>35999</v>
      </c>
      <c r="V23" s="20" t="s">
        <v>54</v>
      </c>
      <c r="W23" s="33"/>
      <c r="X23" s="4"/>
    </row>
    <row r="24" spans="1:24" ht="16" customHeight="1" x14ac:dyDescent="0.2">
      <c r="A24" s="463"/>
      <c r="B24" s="461"/>
      <c r="C24" s="20" t="s">
        <v>47</v>
      </c>
      <c r="D24" s="21">
        <v>46.640320000000003</v>
      </c>
      <c r="E24" s="21">
        <v>93.564779999999999</v>
      </c>
      <c r="F24" s="68">
        <v>3270</v>
      </c>
      <c r="G24" s="68">
        <v>2</v>
      </c>
      <c r="H24" s="41">
        <v>43.92</v>
      </c>
      <c r="I24" s="41">
        <v>0.51</v>
      </c>
      <c r="J24" s="68">
        <v>0.96</v>
      </c>
      <c r="K24" s="77">
        <v>39.94</v>
      </c>
      <c r="L24" s="77">
        <v>0.25</v>
      </c>
      <c r="M24" s="34">
        <v>2.4217400000000001E-12</v>
      </c>
      <c r="N24" s="34">
        <v>4.5689999999999999E-14</v>
      </c>
      <c r="O24" s="35">
        <v>1012900</v>
      </c>
      <c r="P24" s="35">
        <v>30600</v>
      </c>
      <c r="Q24" s="76">
        <f>'CRONUS Feed'!S24</f>
        <v>22.931999999999999</v>
      </c>
      <c r="R24" s="76">
        <f>'CRONUS Feed'!G114/1000</f>
        <v>0.69699999999999995</v>
      </c>
      <c r="S24" s="76">
        <f>'CRONUS Feed'!T24</f>
        <v>1.45</v>
      </c>
      <c r="T24" s="36" t="s">
        <v>25</v>
      </c>
      <c r="U24" s="37">
        <v>35999</v>
      </c>
      <c r="V24" s="20" t="s">
        <v>54</v>
      </c>
      <c r="W24" s="33"/>
      <c r="X24" s="4"/>
    </row>
    <row r="25" spans="1:24" ht="16" customHeight="1" x14ac:dyDescent="0.2">
      <c r="A25" s="463"/>
      <c r="B25" s="461"/>
      <c r="C25" s="20" t="s">
        <v>53</v>
      </c>
      <c r="D25" s="21">
        <v>46.640410000000003</v>
      </c>
      <c r="E25" s="21">
        <v>93.566109999999995</v>
      </c>
      <c r="F25" s="68">
        <v>3250</v>
      </c>
      <c r="G25" s="68">
        <v>5</v>
      </c>
      <c r="H25" s="41">
        <v>42.78</v>
      </c>
      <c r="I25" s="41">
        <v>0.5</v>
      </c>
      <c r="J25" s="68">
        <v>0.97</v>
      </c>
      <c r="K25" s="77">
        <v>31.71</v>
      </c>
      <c r="L25" s="77">
        <v>0.254</v>
      </c>
      <c r="M25" s="34">
        <v>2.00322E-12</v>
      </c>
      <c r="N25" s="34">
        <v>6.1990000000000009E-14</v>
      </c>
      <c r="O25" s="35">
        <v>1072200</v>
      </c>
      <c r="P25" s="35">
        <v>49300</v>
      </c>
      <c r="Q25" s="76">
        <f>'CRONUS Feed'!S25</f>
        <v>24.931000000000001</v>
      </c>
      <c r="R25" s="76">
        <f>'CRONUS Feed'!G115/1000</f>
        <v>1.153</v>
      </c>
      <c r="S25" s="76">
        <f>'CRONUS Feed'!T25</f>
        <v>1.8009999999999999</v>
      </c>
      <c r="T25" s="36" t="s">
        <v>25</v>
      </c>
      <c r="U25" s="37">
        <v>35999</v>
      </c>
      <c r="V25" s="33" t="s">
        <v>54</v>
      </c>
      <c r="W25" s="33"/>
      <c r="X25" s="4"/>
    </row>
    <row r="26" spans="1:24" ht="16" customHeight="1" x14ac:dyDescent="0.2">
      <c r="A26" s="463"/>
      <c r="B26" s="461"/>
      <c r="C26" s="20" t="s">
        <v>50</v>
      </c>
      <c r="D26" s="21">
        <v>46.639830000000003</v>
      </c>
      <c r="E26" s="21">
        <v>93.565179999999998</v>
      </c>
      <c r="F26" s="68">
        <v>3265</v>
      </c>
      <c r="G26" s="68">
        <v>2</v>
      </c>
      <c r="H26" s="41">
        <v>43.78</v>
      </c>
      <c r="I26" s="41">
        <v>0.51</v>
      </c>
      <c r="J26" s="68">
        <v>0.96</v>
      </c>
      <c r="K26" s="77">
        <v>39.17</v>
      </c>
      <c r="L26" s="77">
        <v>0.30299999999999999</v>
      </c>
      <c r="M26" s="34">
        <v>5.7737000000000009E-13</v>
      </c>
      <c r="N26" s="34">
        <v>1.3130000000000002E-14</v>
      </c>
      <c r="O26" s="35">
        <v>298400</v>
      </c>
      <c r="P26" s="35">
        <v>10500</v>
      </c>
      <c r="Q26" s="76">
        <f>'CRONUS Feed'!S26</f>
        <v>6.7489999999999997</v>
      </c>
      <c r="R26" s="76">
        <f>'CRONUS Feed'!G116/1000</f>
        <v>0.23799999999999999</v>
      </c>
      <c r="S26" s="76">
        <f>'CRONUS Feed'!T26</f>
        <v>0.442</v>
      </c>
      <c r="T26" s="36" t="s">
        <v>25</v>
      </c>
      <c r="U26" s="37">
        <v>36000</v>
      </c>
      <c r="V26" s="33" t="s">
        <v>54</v>
      </c>
      <c r="W26" s="33"/>
      <c r="X26" s="4"/>
    </row>
    <row r="27" spans="1:24" ht="16" customHeight="1" x14ac:dyDescent="0.2">
      <c r="A27" s="463"/>
      <c r="B27" s="461" t="s">
        <v>195</v>
      </c>
      <c r="C27" s="20" t="s">
        <v>36</v>
      </c>
      <c r="D27" s="21">
        <v>46.632280000000002</v>
      </c>
      <c r="E27" s="21">
        <v>93.568830000000005</v>
      </c>
      <c r="F27" s="68">
        <v>3620</v>
      </c>
      <c r="G27" s="68">
        <v>1</v>
      </c>
      <c r="H27" s="41">
        <v>60.15</v>
      </c>
      <c r="I27" s="41">
        <v>0.59</v>
      </c>
      <c r="J27" s="68">
        <v>0.98</v>
      </c>
      <c r="K27" s="77">
        <v>39.93</v>
      </c>
      <c r="L27" s="77">
        <v>0.252</v>
      </c>
      <c r="M27" s="34">
        <v>5.907100000000001E-12</v>
      </c>
      <c r="N27" s="34">
        <v>8.8379999999999998E-14</v>
      </c>
      <c r="O27" s="35">
        <v>2491100</v>
      </c>
      <c r="P27" s="35">
        <v>63400</v>
      </c>
      <c r="Q27" s="76">
        <f>'CRONUS Feed'!S27</f>
        <v>44.982999999999997</v>
      </c>
      <c r="R27" s="76">
        <f>'CRONUS Feed'!G117/1000</f>
        <v>1.1579999999999999</v>
      </c>
      <c r="S27" s="76">
        <f>'CRONUS Feed'!T27</f>
        <v>2.7629999999999999</v>
      </c>
      <c r="T27" s="36" t="s">
        <v>25</v>
      </c>
      <c r="U27" s="37">
        <v>35999</v>
      </c>
      <c r="V27" s="33" t="s">
        <v>54</v>
      </c>
      <c r="W27" s="33"/>
      <c r="X27" s="4"/>
    </row>
    <row r="28" spans="1:24" ht="16" customHeight="1" x14ac:dyDescent="0.2">
      <c r="A28" s="463"/>
      <c r="B28" s="461"/>
      <c r="C28" s="20" t="s">
        <v>37</v>
      </c>
      <c r="D28" s="21">
        <v>46.632280000000002</v>
      </c>
      <c r="E28" s="21">
        <v>93.568830000000005</v>
      </c>
      <c r="F28" s="68">
        <v>3620</v>
      </c>
      <c r="G28" s="68">
        <v>1</v>
      </c>
      <c r="H28" s="41">
        <v>60.15</v>
      </c>
      <c r="I28" s="41">
        <v>0.59</v>
      </c>
      <c r="J28" s="68">
        <v>0.98</v>
      </c>
      <c r="K28" s="77">
        <v>10.57</v>
      </c>
      <c r="L28" s="77">
        <v>0.251</v>
      </c>
      <c r="M28" s="34">
        <v>4.6514999999999999E-13</v>
      </c>
      <c r="N28" s="34">
        <v>1.4230000000000003E-14</v>
      </c>
      <c r="O28" s="35">
        <v>738100</v>
      </c>
      <c r="P28" s="35">
        <v>33600</v>
      </c>
      <c r="Q28" s="76">
        <f>'CRONUS Feed'!S28</f>
        <v>13.223000000000001</v>
      </c>
      <c r="R28" s="76">
        <f>'CRONUS Feed'!G118/1000</f>
        <v>0.60399999999999998</v>
      </c>
      <c r="S28" s="76">
        <f>'CRONUS Feed'!T28</f>
        <v>0.94899999999999995</v>
      </c>
      <c r="T28" s="36" t="s">
        <v>25</v>
      </c>
      <c r="U28" s="37">
        <v>35999</v>
      </c>
      <c r="V28" s="33" t="s">
        <v>54</v>
      </c>
      <c r="W28" s="33"/>
      <c r="X28" s="4"/>
    </row>
    <row r="29" spans="1:24" ht="16" customHeight="1" x14ac:dyDescent="0.2">
      <c r="A29" s="463"/>
      <c r="B29" s="461"/>
      <c r="C29" s="20" t="s">
        <v>38</v>
      </c>
      <c r="D29" s="21">
        <v>46.631459999999997</v>
      </c>
      <c r="E29" s="21">
        <v>93.568839999999994</v>
      </c>
      <c r="F29" s="68">
        <v>3630</v>
      </c>
      <c r="G29" s="68">
        <v>2</v>
      </c>
      <c r="H29" s="41">
        <v>58.27</v>
      </c>
      <c r="I29" s="41">
        <v>0.57999999999999996</v>
      </c>
      <c r="J29" s="68">
        <v>0.98</v>
      </c>
      <c r="K29" s="77">
        <v>26.5</v>
      </c>
      <c r="L29" s="77">
        <v>0.253</v>
      </c>
      <c r="M29" s="34">
        <v>2.1563100000000001E-12</v>
      </c>
      <c r="N29" s="34">
        <v>9.2610000000000009E-14</v>
      </c>
      <c r="O29" s="35">
        <v>1375600</v>
      </c>
      <c r="P29" s="35">
        <v>85800</v>
      </c>
      <c r="Q29" s="76">
        <f>'CRONUS Feed'!S29</f>
        <v>24.78</v>
      </c>
      <c r="R29" s="76">
        <f>'CRONUS Feed'!G119/1000</f>
        <v>1.5549999999999999</v>
      </c>
      <c r="S29" s="76">
        <f>'CRONUS Feed'!T29</f>
        <v>2.0760000000000001</v>
      </c>
      <c r="T29" s="36" t="s">
        <v>25</v>
      </c>
      <c r="U29" s="78">
        <v>35999</v>
      </c>
      <c r="V29" s="33" t="s">
        <v>54</v>
      </c>
      <c r="W29" s="33"/>
    </row>
    <row r="30" spans="1:24" ht="16" customHeight="1" x14ac:dyDescent="0.2">
      <c r="A30" s="463"/>
      <c r="B30" s="461" t="s">
        <v>196</v>
      </c>
      <c r="C30" s="20" t="s">
        <v>15</v>
      </c>
      <c r="D30" s="21">
        <v>46.605170000000001</v>
      </c>
      <c r="E30" s="21">
        <v>93.619169999999997</v>
      </c>
      <c r="F30" s="68">
        <v>3934</v>
      </c>
      <c r="G30" s="68">
        <v>4</v>
      </c>
      <c r="H30" s="41">
        <v>66.2</v>
      </c>
      <c r="I30" s="41">
        <v>0.61</v>
      </c>
      <c r="J30" s="68">
        <v>1</v>
      </c>
      <c r="K30" s="40">
        <v>19.759</v>
      </c>
      <c r="L30" s="77">
        <v>0.246</v>
      </c>
      <c r="M30" s="34">
        <v>2.0669999999999999E-13</v>
      </c>
      <c r="N30" s="34">
        <v>6.5000000000000007E-15</v>
      </c>
      <c r="O30" s="35">
        <v>1400900</v>
      </c>
      <c r="P30" s="35">
        <v>26900</v>
      </c>
      <c r="Q30" s="76">
        <f>'CRONUS Feed'!S30</f>
        <v>21.253</v>
      </c>
      <c r="R30" s="76">
        <f>'CRONUS Feed'!G120/1000</f>
        <v>0.41</v>
      </c>
      <c r="S30" s="76">
        <f>'CRONUS Feed'!T30</f>
        <v>1.2470000000000001</v>
      </c>
      <c r="T30" s="36" t="s">
        <v>24</v>
      </c>
      <c r="U30" s="37">
        <v>41448</v>
      </c>
      <c r="V30" s="33" t="s">
        <v>177</v>
      </c>
      <c r="W30" s="33"/>
    </row>
    <row r="31" spans="1:24" ht="16" customHeight="1" x14ac:dyDescent="0.2">
      <c r="A31" s="463"/>
      <c r="B31" s="461"/>
      <c r="C31" s="20" t="s">
        <v>16</v>
      </c>
      <c r="D31" s="21">
        <v>46.60436</v>
      </c>
      <c r="E31" s="21">
        <v>93.61936</v>
      </c>
      <c r="F31" s="68">
        <v>3926</v>
      </c>
      <c r="G31" s="68">
        <v>3</v>
      </c>
      <c r="H31" s="41">
        <v>65.91</v>
      </c>
      <c r="I31" s="41">
        <v>0.61</v>
      </c>
      <c r="J31" s="68">
        <v>1</v>
      </c>
      <c r="K31" s="40">
        <v>19.690999999999999</v>
      </c>
      <c r="L31" s="77">
        <v>0.2641</v>
      </c>
      <c r="M31" s="34">
        <v>1.0236000000000002E-12</v>
      </c>
      <c r="N31" s="34">
        <v>1.6399999999999998E-14</v>
      </c>
      <c r="O31" s="35">
        <v>2737000</v>
      </c>
      <c r="P31" s="35">
        <v>64900.000000000007</v>
      </c>
      <c r="Q31" s="76">
        <f>'CRONUS Feed'!S31</f>
        <v>41.573999999999998</v>
      </c>
      <c r="R31" s="76">
        <f>'CRONUS Feed'!G121/1000</f>
        <v>0.996</v>
      </c>
      <c r="S31" s="76">
        <f>'CRONUS Feed'!T31</f>
        <v>2.5209999999999999</v>
      </c>
      <c r="T31" s="36" t="s">
        <v>24</v>
      </c>
      <c r="U31" s="37">
        <v>41448</v>
      </c>
      <c r="V31" s="33" t="s">
        <v>177</v>
      </c>
      <c r="W31" s="33"/>
    </row>
    <row r="32" spans="1:24" ht="16" customHeight="1" x14ac:dyDescent="0.2">
      <c r="A32" s="463"/>
      <c r="B32" s="464" t="s">
        <v>517</v>
      </c>
      <c r="C32" s="20" t="s">
        <v>32</v>
      </c>
      <c r="D32" s="21">
        <v>46.601170000000003</v>
      </c>
      <c r="E32" s="21">
        <v>93.549030000000002</v>
      </c>
      <c r="F32" s="68">
        <v>3105</v>
      </c>
      <c r="G32" s="68">
        <v>2.5</v>
      </c>
      <c r="H32" s="41">
        <v>40.76</v>
      </c>
      <c r="I32" s="41">
        <v>0.48</v>
      </c>
      <c r="J32" s="68">
        <v>0.99</v>
      </c>
      <c r="K32" s="77">
        <v>39.29</v>
      </c>
      <c r="L32" s="77">
        <v>0.251</v>
      </c>
      <c r="M32" s="34">
        <v>2.1278699999999999E-12</v>
      </c>
      <c r="N32" s="34">
        <v>4.9570000000000004E-14</v>
      </c>
      <c r="O32" s="35">
        <v>908400</v>
      </c>
      <c r="P32" s="35">
        <v>32600</v>
      </c>
      <c r="Q32" s="76">
        <f>'CRONUS Feed'!S32</f>
        <v>22.146000000000001</v>
      </c>
      <c r="R32" s="76">
        <f>'CRONUS Feed'!G122/1000</f>
        <v>0.79900000000000004</v>
      </c>
      <c r="S32" s="76">
        <f>'CRONUS Feed'!T32</f>
        <v>1.4650000000000001</v>
      </c>
      <c r="T32" s="36" t="s">
        <v>25</v>
      </c>
      <c r="U32" s="37">
        <v>35999</v>
      </c>
      <c r="V32" s="33" t="s">
        <v>91</v>
      </c>
    </row>
    <row r="33" spans="1:24" ht="16" customHeight="1" x14ac:dyDescent="0.2">
      <c r="A33" s="463"/>
      <c r="B33" s="464"/>
      <c r="C33" s="20" t="s">
        <v>33</v>
      </c>
      <c r="D33" s="21">
        <v>46.601170000000003</v>
      </c>
      <c r="E33" s="21">
        <v>93.549030000000002</v>
      </c>
      <c r="F33" s="68">
        <v>3105</v>
      </c>
      <c r="G33" s="68">
        <v>2.5</v>
      </c>
      <c r="H33" s="41">
        <v>40.76</v>
      </c>
      <c r="I33" s="41">
        <v>0.48</v>
      </c>
      <c r="J33" s="68">
        <v>0.99</v>
      </c>
      <c r="K33" s="77">
        <v>39.72</v>
      </c>
      <c r="L33" s="77">
        <v>0.252</v>
      </c>
      <c r="M33" s="34">
        <v>6.9188800000000009E-12</v>
      </c>
      <c r="N33" s="34">
        <v>1.5850000000000001E-13</v>
      </c>
      <c r="O33" s="35">
        <v>2933200</v>
      </c>
      <c r="P33" s="35">
        <v>103700</v>
      </c>
      <c r="Q33" s="76">
        <f>'CRONUS Feed'!S33</f>
        <v>72.409000000000006</v>
      </c>
      <c r="R33" s="76">
        <f>'CRONUS Feed'!G123/1000</f>
        <v>2.6070000000000002</v>
      </c>
      <c r="S33" s="76">
        <f>'CRONUS Feed'!T33</f>
        <v>4.83</v>
      </c>
      <c r="T33" s="36" t="s">
        <v>25</v>
      </c>
      <c r="U33" s="37">
        <v>35999</v>
      </c>
      <c r="V33" s="20" t="s">
        <v>55</v>
      </c>
    </row>
    <row r="34" spans="1:24" ht="16" customHeight="1" x14ac:dyDescent="0.2">
      <c r="A34" s="463"/>
      <c r="B34" s="79" t="s">
        <v>523</v>
      </c>
      <c r="C34" s="20" t="s">
        <v>28</v>
      </c>
      <c r="D34" s="21">
        <v>46.609430000000003</v>
      </c>
      <c r="E34" s="21">
        <v>93.552189999999996</v>
      </c>
      <c r="F34" s="68">
        <v>3180</v>
      </c>
      <c r="G34" s="68">
        <v>2.5</v>
      </c>
      <c r="H34" s="41">
        <v>42.68</v>
      </c>
      <c r="I34" s="41">
        <v>0.49</v>
      </c>
      <c r="J34" s="68">
        <v>0.99</v>
      </c>
      <c r="K34" s="77">
        <v>9</v>
      </c>
      <c r="L34" s="77">
        <v>0.252</v>
      </c>
      <c r="M34" s="34">
        <v>8.1453000000000006E-13</v>
      </c>
      <c r="N34" s="34">
        <v>2.8020000000000003E-14</v>
      </c>
      <c r="O34" s="35">
        <v>1524000</v>
      </c>
      <c r="P34" s="35">
        <v>77200</v>
      </c>
      <c r="Q34" s="76">
        <f>'CRONUS Feed'!S34</f>
        <v>35.610999999999997</v>
      </c>
      <c r="R34" s="76">
        <f>'CRONUS Feed'!G124/1000</f>
        <v>1.82</v>
      </c>
      <c r="S34" s="76">
        <f>'CRONUS Feed'!T34</f>
        <v>2.69</v>
      </c>
      <c r="T34" s="36" t="s">
        <v>25</v>
      </c>
      <c r="U34" s="37">
        <v>35999</v>
      </c>
      <c r="V34" s="20" t="s">
        <v>178</v>
      </c>
    </row>
    <row r="35" spans="1:24" ht="16" customHeight="1" x14ac:dyDescent="0.2">
      <c r="A35" s="463"/>
      <c r="B35" s="461" t="s">
        <v>524</v>
      </c>
      <c r="C35" s="20" t="s">
        <v>34</v>
      </c>
      <c r="D35" s="21">
        <v>46.610109999999999</v>
      </c>
      <c r="E35" s="21">
        <v>93.547489999999996</v>
      </c>
      <c r="F35" s="68">
        <v>3189</v>
      </c>
      <c r="G35" s="68">
        <v>1</v>
      </c>
      <c r="H35" s="41">
        <v>43.44</v>
      </c>
      <c r="I35" s="41">
        <v>0.5</v>
      </c>
      <c r="J35" s="68">
        <v>0.99</v>
      </c>
      <c r="K35" s="77">
        <v>40.049999999999997</v>
      </c>
      <c r="L35" s="77">
        <v>0.251</v>
      </c>
      <c r="M35" s="34">
        <v>6.2402E-13</v>
      </c>
      <c r="N35" s="34">
        <v>1.5380000000000003E-14</v>
      </c>
      <c r="O35" s="35">
        <v>261300</v>
      </c>
      <c r="P35" s="35">
        <v>9800</v>
      </c>
      <c r="Q35" s="76">
        <f>'CRONUS Feed'!S35</f>
        <v>5.9550000000000001</v>
      </c>
      <c r="R35" s="76">
        <f>'CRONUS Feed'!G125/1000</f>
        <v>0.224</v>
      </c>
      <c r="S35" s="76">
        <f>'CRONUS Feed'!T35</f>
        <v>0.39800000000000002</v>
      </c>
      <c r="T35" s="36" t="s">
        <v>25</v>
      </c>
      <c r="U35" s="37">
        <v>35999</v>
      </c>
      <c r="V35" s="20" t="s">
        <v>54</v>
      </c>
    </row>
    <row r="36" spans="1:24" ht="16" customHeight="1" x14ac:dyDescent="0.2">
      <c r="A36" s="463"/>
      <c r="B36" s="461"/>
      <c r="C36" s="20" t="s">
        <v>17</v>
      </c>
      <c r="D36" s="21">
        <v>46.612560000000002</v>
      </c>
      <c r="E36" s="21">
        <v>93.549499999999995</v>
      </c>
      <c r="F36" s="68">
        <v>3238</v>
      </c>
      <c r="G36" s="68">
        <v>1</v>
      </c>
      <c r="H36" s="41">
        <v>44.76</v>
      </c>
      <c r="I36" s="41">
        <v>0.51</v>
      </c>
      <c r="J36" s="68">
        <v>0.99</v>
      </c>
      <c r="K36" s="77">
        <v>20.45</v>
      </c>
      <c r="L36" s="77">
        <v>0.26690000000000003</v>
      </c>
      <c r="M36" s="34">
        <v>7.9690000000000007E-13</v>
      </c>
      <c r="N36" s="34">
        <v>1.1900000000000002E-14</v>
      </c>
      <c r="O36" s="35">
        <v>695000</v>
      </c>
      <c r="P36" s="35">
        <v>17700</v>
      </c>
      <c r="Q36" s="76">
        <f>'CRONUS Feed'!S36</f>
        <v>15.412000000000001</v>
      </c>
      <c r="R36" s="76">
        <f>'CRONUS Feed'!G126/1000</f>
        <v>0.39400000000000002</v>
      </c>
      <c r="S36" s="76">
        <f>'CRONUS Feed'!T36</f>
        <v>0.94</v>
      </c>
      <c r="T36" s="36" t="s">
        <v>24</v>
      </c>
      <c r="U36" s="37">
        <v>41446</v>
      </c>
      <c r="V36" s="20" t="s">
        <v>54</v>
      </c>
    </row>
    <row r="37" spans="1:24" ht="16" customHeight="1" x14ac:dyDescent="0.2">
      <c r="A37" s="463"/>
      <c r="B37" s="461"/>
      <c r="C37" s="20" t="s">
        <v>18</v>
      </c>
      <c r="D37" s="21">
        <v>46.613190000000003</v>
      </c>
      <c r="E37" s="21">
        <v>93.550330000000002</v>
      </c>
      <c r="F37" s="68">
        <v>3241</v>
      </c>
      <c r="G37" s="68">
        <v>4</v>
      </c>
      <c r="H37" s="41">
        <v>43.75</v>
      </c>
      <c r="I37" s="41">
        <v>0.5</v>
      </c>
      <c r="J37" s="68">
        <v>0.99</v>
      </c>
      <c r="K37" s="77">
        <v>18.949000000000002</v>
      </c>
      <c r="L37" s="77">
        <v>0.27239999999999998</v>
      </c>
      <c r="M37" s="34">
        <v>9.0940000000000004E-13</v>
      </c>
      <c r="N37" s="34">
        <v>1.7500000000000001E-14</v>
      </c>
      <c r="O37" s="35">
        <v>873600</v>
      </c>
      <c r="P37" s="35">
        <v>26800</v>
      </c>
      <c r="Q37" s="76">
        <f>'CRONUS Feed'!S37</f>
        <v>19.841000000000001</v>
      </c>
      <c r="R37" s="76">
        <f>'CRONUS Feed'!G127/1000</f>
        <v>0.61199999999999999</v>
      </c>
      <c r="S37" s="76">
        <f>'CRONUS Feed'!T37</f>
        <v>1.258</v>
      </c>
      <c r="T37" s="36" t="s">
        <v>24</v>
      </c>
      <c r="U37" s="37">
        <v>41446</v>
      </c>
      <c r="V37" s="20" t="s">
        <v>54</v>
      </c>
      <c r="X37" s="4"/>
    </row>
    <row r="38" spans="1:24" ht="16" customHeight="1" x14ac:dyDescent="0.2">
      <c r="A38" s="463"/>
      <c r="B38" s="461"/>
      <c r="C38" s="20" t="s">
        <v>19</v>
      </c>
      <c r="D38" s="21">
        <v>46.613190000000003</v>
      </c>
      <c r="E38" s="21">
        <v>93.550330000000002</v>
      </c>
      <c r="F38" s="68">
        <v>3241</v>
      </c>
      <c r="G38" s="68">
        <v>2</v>
      </c>
      <c r="H38" s="41">
        <v>44.47</v>
      </c>
      <c r="I38" s="41">
        <v>0.5</v>
      </c>
      <c r="J38" s="68">
        <v>0.99</v>
      </c>
      <c r="K38" s="77">
        <v>20.105</v>
      </c>
      <c r="L38" s="77">
        <v>0.27110000000000001</v>
      </c>
      <c r="M38" s="34">
        <v>6.9240000000000006E-13</v>
      </c>
      <c r="N38" s="34">
        <v>1.0800000000000002E-14</v>
      </c>
      <c r="O38" s="35">
        <v>623900</v>
      </c>
      <c r="P38" s="35">
        <v>16300</v>
      </c>
      <c r="Q38" s="76">
        <f>'CRONUS Feed'!S38</f>
        <v>13.919</v>
      </c>
      <c r="R38" s="76">
        <f>'CRONUS Feed'!G128/1000</f>
        <v>0.36499999999999999</v>
      </c>
      <c r="S38" s="76">
        <f>'CRONUS Feed'!T38</f>
        <v>0.85199999999999998</v>
      </c>
      <c r="T38" s="36" t="s">
        <v>24</v>
      </c>
      <c r="U38" s="37">
        <v>41446</v>
      </c>
      <c r="V38" s="20" t="s">
        <v>54</v>
      </c>
      <c r="X38" s="4"/>
    </row>
    <row r="39" spans="1:24" ht="16" customHeight="1" x14ac:dyDescent="0.2">
      <c r="A39" s="463"/>
      <c r="B39" s="461"/>
      <c r="C39" s="20" t="s">
        <v>20</v>
      </c>
      <c r="D39" s="21">
        <v>46.614669999999997</v>
      </c>
      <c r="E39" s="21">
        <v>93.552000000000007</v>
      </c>
      <c r="F39" s="68">
        <v>3267</v>
      </c>
      <c r="G39" s="68">
        <v>4</v>
      </c>
      <c r="H39" s="41">
        <v>44.44</v>
      </c>
      <c r="I39" s="41">
        <v>0.5</v>
      </c>
      <c r="J39" s="68">
        <v>0.99</v>
      </c>
      <c r="K39" s="77">
        <v>20.678000000000001</v>
      </c>
      <c r="L39" s="77">
        <v>0.28499999999999998</v>
      </c>
      <c r="M39" s="34">
        <v>7.5550000000000006E-13</v>
      </c>
      <c r="N39" s="34">
        <v>1.4500000000000001E-14</v>
      </c>
      <c r="O39" s="35">
        <v>695800</v>
      </c>
      <c r="P39" s="35">
        <v>21300</v>
      </c>
      <c r="Q39" s="76">
        <f>'CRONUS Feed'!S39</f>
        <v>15.542</v>
      </c>
      <c r="R39" s="76">
        <f>'CRONUS Feed'!G129/1000</f>
        <v>0.47799999999999998</v>
      </c>
      <c r="S39" s="76">
        <f>'CRONUS Feed'!T39</f>
        <v>0.98399999999999999</v>
      </c>
      <c r="T39" s="36" t="s">
        <v>24</v>
      </c>
      <c r="U39" s="37">
        <v>41446</v>
      </c>
      <c r="V39" s="20" t="s">
        <v>54</v>
      </c>
      <c r="X39" s="4"/>
    </row>
    <row r="40" spans="1:24" ht="16" customHeight="1" x14ac:dyDescent="0.2">
      <c r="A40" s="462" t="s">
        <v>76</v>
      </c>
      <c r="B40" s="461" t="s">
        <v>529</v>
      </c>
      <c r="C40" s="20" t="s">
        <v>11</v>
      </c>
      <c r="D40" s="21">
        <v>44.956299999999999</v>
      </c>
      <c r="E40" s="21">
        <v>100.26675</v>
      </c>
      <c r="F40" s="23">
        <v>3385</v>
      </c>
      <c r="G40" s="68">
        <v>3</v>
      </c>
      <c r="H40" s="42">
        <v>46.84</v>
      </c>
      <c r="I40" s="42">
        <v>0.52600000000000002</v>
      </c>
      <c r="J40" s="68">
        <v>0.98</v>
      </c>
      <c r="K40" s="40">
        <v>7.8409999999999798</v>
      </c>
      <c r="L40" s="43">
        <v>0.250278</v>
      </c>
      <c r="M40" s="34">
        <v>3.6433999999999999E-13</v>
      </c>
      <c r="N40" s="34">
        <v>1.8530000000000004E-14</v>
      </c>
      <c r="O40" s="35">
        <v>777100</v>
      </c>
      <c r="P40" s="35">
        <v>57000</v>
      </c>
      <c r="Q40" s="76">
        <f>'CRONUS Feed'!S40</f>
        <v>16.716000000000001</v>
      </c>
      <c r="R40" s="76">
        <f>'CRONUS Feed'!G130/1000</f>
        <v>1.2310000000000001</v>
      </c>
      <c r="S40" s="76">
        <f>'CRONUS Feed'!T40</f>
        <v>1.54</v>
      </c>
      <c r="T40" s="36" t="s">
        <v>24</v>
      </c>
      <c r="U40" s="37">
        <v>40756</v>
      </c>
      <c r="V40" s="38" t="s">
        <v>92</v>
      </c>
      <c r="W40" s="33"/>
      <c r="X40" s="4"/>
    </row>
    <row r="41" spans="1:24" ht="16" customHeight="1" x14ac:dyDescent="0.2">
      <c r="A41" s="463"/>
      <c r="B41" s="461"/>
      <c r="C41" s="20" t="s">
        <v>7</v>
      </c>
      <c r="D41" s="21">
        <v>44.956299999999999</v>
      </c>
      <c r="E41" s="21">
        <v>100.26675</v>
      </c>
      <c r="F41" s="23">
        <v>3390</v>
      </c>
      <c r="G41" s="68">
        <v>3</v>
      </c>
      <c r="H41" s="42">
        <v>46.94</v>
      </c>
      <c r="I41" s="42">
        <v>0.52600000000000002</v>
      </c>
      <c r="J41" s="68">
        <v>0.98</v>
      </c>
      <c r="K41" s="43">
        <v>5.9830000000000041</v>
      </c>
      <c r="L41" s="43">
        <v>0.43834000000000001</v>
      </c>
      <c r="M41" s="34">
        <v>6.9250000000000008E-14</v>
      </c>
      <c r="N41" s="34">
        <v>3.2400000000000006E-15</v>
      </c>
      <c r="O41" s="35">
        <v>339000</v>
      </c>
      <c r="P41" s="35">
        <v>22900</v>
      </c>
      <c r="Q41" s="76">
        <f>'CRONUS Feed'!S41</f>
        <v>7.2539999999999996</v>
      </c>
      <c r="R41" s="76">
        <f>'CRONUS Feed'!G131/1000</f>
        <v>0.49099999999999999</v>
      </c>
      <c r="S41" s="76">
        <f>'CRONUS Feed'!T41</f>
        <v>0.63400000000000001</v>
      </c>
      <c r="T41" s="36" t="s">
        <v>24</v>
      </c>
      <c r="U41" s="37">
        <v>40756</v>
      </c>
      <c r="V41" s="38" t="s">
        <v>93</v>
      </c>
      <c r="W41" s="33"/>
      <c r="X41" s="4"/>
    </row>
    <row r="42" spans="1:24" ht="16" customHeight="1" x14ac:dyDescent="0.2">
      <c r="A42" s="463"/>
      <c r="B42" s="461"/>
      <c r="C42" s="20" t="s">
        <v>8</v>
      </c>
      <c r="D42" s="21">
        <v>44.956299999999999</v>
      </c>
      <c r="E42" s="21">
        <v>100.26675</v>
      </c>
      <c r="F42" s="23">
        <v>3390</v>
      </c>
      <c r="G42" s="68">
        <v>3</v>
      </c>
      <c r="H42" s="42">
        <v>46.94</v>
      </c>
      <c r="I42" s="42">
        <v>0.52600000000000002</v>
      </c>
      <c r="J42" s="68">
        <v>0.98</v>
      </c>
      <c r="K42" s="43">
        <v>7.3949999999999818</v>
      </c>
      <c r="L42" s="43">
        <v>0.248864</v>
      </c>
      <c r="M42" s="34">
        <v>2.7424000000000005E-13</v>
      </c>
      <c r="N42" s="34">
        <v>2.556E-14</v>
      </c>
      <c r="O42" s="35">
        <v>616700</v>
      </c>
      <c r="P42" s="35">
        <v>81800</v>
      </c>
      <c r="Q42" s="76">
        <f>'CRONUS Feed'!S42</f>
        <v>13.215999999999999</v>
      </c>
      <c r="R42" s="76">
        <f>'CRONUS Feed'!G132/1000</f>
        <v>1.7589999999999999</v>
      </c>
      <c r="S42" s="76">
        <f>'CRONUS Feed'!T42</f>
        <v>1.905</v>
      </c>
      <c r="T42" s="36" t="s">
        <v>24</v>
      </c>
      <c r="U42" s="37">
        <v>40756</v>
      </c>
      <c r="V42" s="38" t="s">
        <v>92</v>
      </c>
      <c r="W42" s="33"/>
      <c r="X42" s="4"/>
    </row>
    <row r="43" spans="1:24" ht="16" customHeight="1" x14ac:dyDescent="0.2">
      <c r="A43" s="463"/>
      <c r="B43" s="461"/>
      <c r="C43" s="20" t="s">
        <v>9</v>
      </c>
      <c r="D43" s="21">
        <v>44.956299999999999</v>
      </c>
      <c r="E43" s="21">
        <v>100.26675</v>
      </c>
      <c r="F43" s="23">
        <v>3390</v>
      </c>
      <c r="G43" s="68">
        <v>5</v>
      </c>
      <c r="H43" s="42">
        <v>46.94</v>
      </c>
      <c r="I43" s="42">
        <v>0.52600000000000002</v>
      </c>
      <c r="J43" s="68">
        <v>0.98</v>
      </c>
      <c r="K43" s="43">
        <v>6.4349999999999996</v>
      </c>
      <c r="L43" s="43">
        <v>0.24744999999999998</v>
      </c>
      <c r="M43" s="34">
        <v>2.5466E-13</v>
      </c>
      <c r="N43" s="34">
        <v>8.9800000000000016E-15</v>
      </c>
      <c r="O43" s="35">
        <v>654400</v>
      </c>
      <c r="P43" s="35">
        <v>33900</v>
      </c>
      <c r="Q43" s="76">
        <f>'CRONUS Feed'!S43</f>
        <v>14.257999999999999</v>
      </c>
      <c r="R43" s="76">
        <f>'CRONUS Feed'!G133/1000</f>
        <v>0.74099999999999999</v>
      </c>
      <c r="S43" s="76">
        <f>'CRONUS Feed'!T43</f>
        <v>1.083</v>
      </c>
      <c r="T43" s="36" t="s">
        <v>24</v>
      </c>
      <c r="U43" s="37">
        <v>40756</v>
      </c>
      <c r="V43" s="38" t="s">
        <v>92</v>
      </c>
      <c r="W43" s="33"/>
      <c r="X43" s="4"/>
    </row>
    <row r="44" spans="1:24" ht="16" customHeight="1" x14ac:dyDescent="0.2">
      <c r="A44" s="463"/>
      <c r="B44" s="461"/>
      <c r="C44" s="24" t="s">
        <v>10</v>
      </c>
      <c r="D44" s="25">
        <v>44.956299999999999</v>
      </c>
      <c r="E44" s="25">
        <v>100.26675</v>
      </c>
      <c r="F44" s="26">
        <v>3390</v>
      </c>
      <c r="G44" s="26">
        <v>5</v>
      </c>
      <c r="H44" s="44">
        <v>46.94</v>
      </c>
      <c r="I44" s="44">
        <v>0.52600000000000002</v>
      </c>
      <c r="J44" s="26">
        <v>0.98</v>
      </c>
      <c r="K44" s="45">
        <v>7.546999999999997</v>
      </c>
      <c r="L44" s="45">
        <v>0.250278</v>
      </c>
      <c r="M44" s="46">
        <v>2.8864000000000002E-13</v>
      </c>
      <c r="N44" s="46">
        <v>1.3289999999999999E-14</v>
      </c>
      <c r="O44" s="47">
        <v>639600</v>
      </c>
      <c r="P44" s="47">
        <v>42600</v>
      </c>
      <c r="Q44" s="76">
        <f>'CRONUS Feed'!S44</f>
        <v>13.933999999999999</v>
      </c>
      <c r="R44" s="76">
        <f>'CRONUS Feed'!G134/1000</f>
        <v>0.93100000000000005</v>
      </c>
      <c r="S44" s="76">
        <f>'CRONUS Feed'!T44</f>
        <v>1.2090000000000001</v>
      </c>
      <c r="T44" s="48" t="s">
        <v>24</v>
      </c>
      <c r="U44" s="37">
        <v>40756</v>
      </c>
      <c r="V44" s="38" t="s">
        <v>92</v>
      </c>
      <c r="W44" s="33"/>
      <c r="X44" s="4"/>
    </row>
    <row r="45" spans="1:24" ht="16" customHeight="1" x14ac:dyDescent="0.2">
      <c r="A45" s="463"/>
      <c r="B45" s="461"/>
      <c r="C45" s="24" t="s">
        <v>126</v>
      </c>
      <c r="D45" s="25">
        <v>44.956699999999998</v>
      </c>
      <c r="E45" s="25">
        <v>100.2672</v>
      </c>
      <c r="F45" s="26">
        <v>3402</v>
      </c>
      <c r="G45" s="26">
        <v>3</v>
      </c>
      <c r="H45" s="26">
        <v>46.14</v>
      </c>
      <c r="I45" s="26">
        <v>0.52</v>
      </c>
      <c r="J45" s="26">
        <v>0.97</v>
      </c>
      <c r="K45" s="45">
        <v>26.643000000000001</v>
      </c>
      <c r="L45" s="45">
        <v>3.9630000000000001</v>
      </c>
      <c r="M45" s="49">
        <v>6.2771000000000006E-13</v>
      </c>
      <c r="N45" s="49">
        <v>2.211E-14</v>
      </c>
      <c r="O45" s="50">
        <v>623900</v>
      </c>
      <c r="P45" s="50">
        <v>32300</v>
      </c>
      <c r="Q45" s="76">
        <f>'CRONUS Feed'!S45</f>
        <v>13.413</v>
      </c>
      <c r="R45" s="76">
        <f>'CRONUS Feed'!G135/1000</f>
        <v>0.69699999999999995</v>
      </c>
      <c r="S45" s="76">
        <f>'CRONUS Feed'!T45</f>
        <v>1.018</v>
      </c>
      <c r="T45" s="48" t="s">
        <v>24</v>
      </c>
      <c r="U45" s="37">
        <v>40756</v>
      </c>
      <c r="V45" s="38" t="s">
        <v>92</v>
      </c>
      <c r="W45" s="33"/>
      <c r="X45" s="4"/>
    </row>
    <row r="46" spans="1:24" ht="16" customHeight="1" x14ac:dyDescent="0.2">
      <c r="A46" s="463"/>
      <c r="B46" s="71" t="s">
        <v>525</v>
      </c>
      <c r="C46" s="24" t="s">
        <v>6</v>
      </c>
      <c r="D46" s="25">
        <v>44.957799999999999</v>
      </c>
      <c r="E46" s="25">
        <v>100.2675</v>
      </c>
      <c r="F46" s="26">
        <v>3425</v>
      </c>
      <c r="G46" s="26">
        <v>5</v>
      </c>
      <c r="H46" s="44">
        <v>46.01</v>
      </c>
      <c r="I46" s="44">
        <v>0.52</v>
      </c>
      <c r="J46" s="26">
        <v>0.97</v>
      </c>
      <c r="K46" s="45">
        <v>2.3380000000000001</v>
      </c>
      <c r="L46" s="45">
        <v>2.4460000000000002</v>
      </c>
      <c r="M46" s="46">
        <v>9.5710000000000003E-14</v>
      </c>
      <c r="N46" s="46">
        <v>3.8199999999999998E-15</v>
      </c>
      <c r="O46" s="47">
        <v>669200</v>
      </c>
      <c r="P46" s="47">
        <v>38900</v>
      </c>
      <c r="Q46" s="76">
        <f>'CRONUS Feed'!S46</f>
        <v>14.435</v>
      </c>
      <c r="R46" s="76">
        <f>'CRONUS Feed'!G136/1000</f>
        <v>0.84199999999999997</v>
      </c>
      <c r="S46" s="76">
        <f>'CRONUS Feed'!T46</f>
        <v>1.161</v>
      </c>
      <c r="T46" s="48" t="s">
        <v>24</v>
      </c>
      <c r="U46" s="37">
        <v>40756</v>
      </c>
      <c r="V46" s="51" t="s">
        <v>93</v>
      </c>
      <c r="W46" s="33"/>
      <c r="X46" s="4"/>
    </row>
    <row r="47" spans="1:24" ht="16" customHeight="1" x14ac:dyDescent="0.2">
      <c r="A47" s="462" t="s">
        <v>78</v>
      </c>
      <c r="B47" s="461" t="s">
        <v>526</v>
      </c>
      <c r="C47" s="24" t="s">
        <v>40</v>
      </c>
      <c r="D47" s="25">
        <v>47.683329999999998</v>
      </c>
      <c r="E47" s="25">
        <v>97.206670000000003</v>
      </c>
      <c r="F47" s="26">
        <v>2075</v>
      </c>
      <c r="G47" s="26">
        <v>5</v>
      </c>
      <c r="H47" s="52">
        <v>20.74</v>
      </c>
      <c r="I47" s="52">
        <v>0.35</v>
      </c>
      <c r="J47" s="26">
        <v>0.99</v>
      </c>
      <c r="K47" s="45">
        <v>6.7679999999999998</v>
      </c>
      <c r="L47" s="45">
        <v>0.21209999999999998</v>
      </c>
      <c r="M47" s="46">
        <v>2.2690000000000002E-13</v>
      </c>
      <c r="N47" s="46">
        <v>8.4399999999999999E-15</v>
      </c>
      <c r="O47" s="47">
        <v>475200</v>
      </c>
      <c r="P47" s="47">
        <v>25900</v>
      </c>
      <c r="Q47" s="76">
        <f>'CRONUS Feed'!S47</f>
        <v>22.652000000000001</v>
      </c>
      <c r="R47" s="76">
        <f>'CRONUS Feed'!G137/1000</f>
        <v>1.242</v>
      </c>
      <c r="S47" s="76">
        <f>'CRONUS Feed'!T47</f>
        <v>1.766</v>
      </c>
      <c r="T47" s="48" t="s">
        <v>24</v>
      </c>
      <c r="U47" s="37">
        <v>40375</v>
      </c>
      <c r="V47" s="38" t="s">
        <v>92</v>
      </c>
      <c r="W47" s="33"/>
      <c r="X47" s="4"/>
    </row>
    <row r="48" spans="1:24" ht="16" customHeight="1" x14ac:dyDescent="0.2">
      <c r="A48" s="463"/>
      <c r="B48" s="461"/>
      <c r="C48" s="20" t="s">
        <v>41</v>
      </c>
      <c r="D48" s="21">
        <v>47.683329999999998</v>
      </c>
      <c r="E48" s="21">
        <v>97.206670000000003</v>
      </c>
      <c r="F48" s="68">
        <v>2075</v>
      </c>
      <c r="G48" s="68">
        <v>5</v>
      </c>
      <c r="H48" s="41">
        <v>20.74</v>
      </c>
      <c r="I48" s="41">
        <v>0.35</v>
      </c>
      <c r="J48" s="68">
        <v>0.99</v>
      </c>
      <c r="K48" s="43">
        <v>7.88</v>
      </c>
      <c r="L48" s="43">
        <v>0.21351399999999998</v>
      </c>
      <c r="M48" s="34">
        <v>2.3402000000000005E-13</v>
      </c>
      <c r="N48" s="34">
        <v>1.0860000000000001E-14</v>
      </c>
      <c r="O48" s="35">
        <v>423700</v>
      </c>
      <c r="P48" s="35">
        <v>28400</v>
      </c>
      <c r="Q48" s="76">
        <f>'CRONUS Feed'!S48</f>
        <v>20.184000000000001</v>
      </c>
      <c r="R48" s="76">
        <f>'CRONUS Feed'!G138/1000</f>
        <v>1.36</v>
      </c>
      <c r="S48" s="76">
        <f>'CRONUS Feed'!T48</f>
        <v>1.7609999999999999</v>
      </c>
      <c r="T48" s="36" t="s">
        <v>24</v>
      </c>
      <c r="U48" s="37">
        <v>40375</v>
      </c>
      <c r="V48" s="38" t="s">
        <v>92</v>
      </c>
      <c r="W48" s="33"/>
      <c r="X48" s="4"/>
    </row>
    <row r="49" spans="1:24" ht="16" customHeight="1" x14ac:dyDescent="0.2">
      <c r="A49" s="463"/>
      <c r="B49" s="461"/>
      <c r="C49" s="20" t="s">
        <v>42</v>
      </c>
      <c r="D49" s="21">
        <v>47.683329999999998</v>
      </c>
      <c r="E49" s="21">
        <v>97.206670000000003</v>
      </c>
      <c r="F49" s="68">
        <v>2075</v>
      </c>
      <c r="G49" s="68">
        <v>5</v>
      </c>
      <c r="H49" s="41">
        <v>20.74</v>
      </c>
      <c r="I49" s="41">
        <v>0.35</v>
      </c>
      <c r="J49" s="68">
        <v>0.99</v>
      </c>
      <c r="K49" s="43">
        <v>7.4390000000000001</v>
      </c>
      <c r="L49" s="43">
        <v>0.21492800000000001</v>
      </c>
      <c r="M49" s="34">
        <v>2.5590000000000005E-13</v>
      </c>
      <c r="N49" s="34">
        <v>9.6500000000000018E-15</v>
      </c>
      <c r="O49" s="35">
        <v>494000</v>
      </c>
      <c r="P49" s="35">
        <v>27300</v>
      </c>
      <c r="Q49" s="76">
        <f>'CRONUS Feed'!S49</f>
        <v>23.553000000000001</v>
      </c>
      <c r="R49" s="76">
        <f>'CRONUS Feed'!G139/1000</f>
        <v>1.3089999999999999</v>
      </c>
      <c r="S49" s="76">
        <f>'CRONUS Feed'!T49</f>
        <v>1.85</v>
      </c>
      <c r="T49" s="36" t="s">
        <v>24</v>
      </c>
      <c r="U49" s="37">
        <v>40375</v>
      </c>
      <c r="V49" s="38" t="s">
        <v>92</v>
      </c>
      <c r="W49" s="33"/>
      <c r="X49" s="4"/>
    </row>
    <row r="50" spans="1:24" ht="16" customHeight="1" x14ac:dyDescent="0.2">
      <c r="A50" s="463"/>
      <c r="B50" s="461" t="s">
        <v>527</v>
      </c>
      <c r="C50" s="20" t="s">
        <v>43</v>
      </c>
      <c r="D50" s="21">
        <v>47.575470000000003</v>
      </c>
      <c r="E50" s="21">
        <v>97.667649999999995</v>
      </c>
      <c r="F50" s="68">
        <v>2580</v>
      </c>
      <c r="G50" s="68">
        <v>3</v>
      </c>
      <c r="H50" s="41">
        <v>30.2</v>
      </c>
      <c r="I50" s="41">
        <v>0.42</v>
      </c>
      <c r="J50" s="68">
        <v>1</v>
      </c>
      <c r="K50" s="43">
        <v>39.14</v>
      </c>
      <c r="L50" s="43">
        <v>0.252</v>
      </c>
      <c r="M50" s="34">
        <v>2.2095100000000003E-12</v>
      </c>
      <c r="N50" s="34">
        <v>4.1750000000000005E-14</v>
      </c>
      <c r="O50" s="35">
        <v>950600</v>
      </c>
      <c r="P50" s="35">
        <v>28700</v>
      </c>
      <c r="Q50" s="76">
        <f>'CRONUS Feed'!S50</f>
        <v>31.297000000000001</v>
      </c>
      <c r="R50" s="76">
        <f>'CRONUS Feed'!G140/1000</f>
        <v>0.95199999999999996</v>
      </c>
      <c r="S50" s="76">
        <f>'CRONUS Feed'!T50</f>
        <v>1.9830000000000001</v>
      </c>
      <c r="T50" s="36" t="s">
        <v>25</v>
      </c>
      <c r="U50" s="37">
        <v>35995</v>
      </c>
      <c r="V50" s="38" t="s">
        <v>92</v>
      </c>
      <c r="W50" s="33"/>
      <c r="X50" s="4"/>
    </row>
    <row r="51" spans="1:24" ht="16" customHeight="1" x14ac:dyDescent="0.2">
      <c r="A51" s="463"/>
      <c r="B51" s="461"/>
      <c r="C51" s="20" t="s">
        <v>44</v>
      </c>
      <c r="D51" s="21">
        <v>47.575470000000003</v>
      </c>
      <c r="E51" s="21">
        <v>97.667649999999995</v>
      </c>
      <c r="F51" s="68">
        <v>2580</v>
      </c>
      <c r="G51" s="68">
        <v>3</v>
      </c>
      <c r="H51" s="41">
        <v>30.2</v>
      </c>
      <c r="I51" s="41">
        <v>0.42</v>
      </c>
      <c r="J51" s="68">
        <v>1</v>
      </c>
      <c r="K51" s="43">
        <v>8.32</v>
      </c>
      <c r="L51" s="43">
        <v>0.252</v>
      </c>
      <c r="M51" s="34">
        <v>1.2282300000000001E-12</v>
      </c>
      <c r="N51" s="34">
        <v>2.3440000000000002E-14</v>
      </c>
      <c r="O51" s="35">
        <v>2485900</v>
      </c>
      <c r="P51" s="35">
        <v>75700</v>
      </c>
      <c r="Q51" s="76">
        <f>'CRONUS Feed'!S51</f>
        <v>82.900999999999996</v>
      </c>
      <c r="R51" s="76">
        <f>'CRONUS Feed'!G141/1000</f>
        <v>2.5779999999999998</v>
      </c>
      <c r="S51" s="76">
        <f>'CRONUS Feed'!T51</f>
        <v>5.3310000000000004</v>
      </c>
      <c r="T51" s="36" t="s">
        <v>25</v>
      </c>
      <c r="U51" s="37">
        <v>35995</v>
      </c>
      <c r="V51" s="38" t="s">
        <v>92</v>
      </c>
      <c r="W51" s="33"/>
      <c r="X51" s="4"/>
    </row>
    <row r="52" spans="1:24" ht="16" customHeight="1" x14ac:dyDescent="0.2">
      <c r="A52" s="463"/>
      <c r="B52" s="461"/>
      <c r="C52" s="20" t="s">
        <v>46</v>
      </c>
      <c r="D52" s="21">
        <v>47.575470000000003</v>
      </c>
      <c r="E52" s="21">
        <v>97.667649999999995</v>
      </c>
      <c r="F52" s="68">
        <v>2580</v>
      </c>
      <c r="G52" s="68">
        <v>3</v>
      </c>
      <c r="H52" s="41">
        <v>30.2</v>
      </c>
      <c r="I52" s="41">
        <v>0.42</v>
      </c>
      <c r="J52" s="68">
        <v>1</v>
      </c>
      <c r="K52" s="43">
        <v>32.9</v>
      </c>
      <c r="L52" s="43">
        <v>0.253</v>
      </c>
      <c r="M52" s="34">
        <v>1.7676700000000003E-12</v>
      </c>
      <c r="N52" s="34">
        <v>3.3290000000000003E-14</v>
      </c>
      <c r="O52" s="35">
        <v>908300</v>
      </c>
      <c r="P52" s="35">
        <v>27400</v>
      </c>
      <c r="Q52" s="76">
        <f>'CRONUS Feed'!S52</f>
        <v>29.893999999999998</v>
      </c>
      <c r="R52" s="76">
        <f>'CRONUS Feed'!G142/1000</f>
        <v>0.90900000000000003</v>
      </c>
      <c r="S52" s="76">
        <f>'CRONUS Feed'!T52</f>
        <v>1.893</v>
      </c>
      <c r="T52" s="36" t="s">
        <v>25</v>
      </c>
      <c r="U52" s="37">
        <v>35995</v>
      </c>
      <c r="V52" s="38" t="s">
        <v>92</v>
      </c>
      <c r="W52" s="33"/>
      <c r="X52" s="4"/>
    </row>
    <row r="53" spans="1:24" ht="16" customHeight="1" x14ac:dyDescent="0.2">
      <c r="A53" s="463"/>
      <c r="B53" s="71" t="s">
        <v>530</v>
      </c>
      <c r="C53" s="20" t="s">
        <v>26</v>
      </c>
      <c r="D53" s="21">
        <v>47.597819999999999</v>
      </c>
      <c r="E53" s="21">
        <v>97.649709999999999</v>
      </c>
      <c r="F53" s="68">
        <v>2725</v>
      </c>
      <c r="G53" s="68">
        <v>2.5</v>
      </c>
      <c r="H53" s="41">
        <v>32.72</v>
      </c>
      <c r="I53" s="41">
        <v>0.43</v>
      </c>
      <c r="J53" s="68">
        <v>0.98</v>
      </c>
      <c r="K53" s="43">
        <v>40.72</v>
      </c>
      <c r="L53" s="43">
        <v>0.253</v>
      </c>
      <c r="M53" s="34">
        <v>1.29231E-12</v>
      </c>
      <c r="N53" s="34">
        <v>3.1400000000000004E-14</v>
      </c>
      <c r="O53" s="35">
        <v>536500</v>
      </c>
      <c r="P53" s="35">
        <v>19900</v>
      </c>
      <c r="Q53" s="76">
        <f>'CRONUS Feed'!S53</f>
        <v>16.248999999999999</v>
      </c>
      <c r="R53" s="76">
        <f>'CRONUS Feed'!G143/1000</f>
        <v>0.60499999999999998</v>
      </c>
      <c r="S53" s="76">
        <f>'CRONUS Feed'!T53</f>
        <v>1.0840000000000001</v>
      </c>
      <c r="T53" s="36" t="s">
        <v>25</v>
      </c>
      <c r="U53" s="37">
        <v>35995</v>
      </c>
      <c r="V53" s="51" t="s">
        <v>92</v>
      </c>
      <c r="W53" s="33"/>
      <c r="X53" s="4"/>
    </row>
    <row r="54" spans="1:24" ht="16" customHeight="1" x14ac:dyDescent="0.2">
      <c r="A54" s="463"/>
      <c r="B54" s="461" t="s">
        <v>612</v>
      </c>
      <c r="C54" s="20" t="s">
        <v>39</v>
      </c>
      <c r="D54" s="21">
        <v>47.603520000000003</v>
      </c>
      <c r="E54" s="21">
        <v>97.640299999999996</v>
      </c>
      <c r="F54" s="68">
        <v>2725</v>
      </c>
      <c r="G54" s="68">
        <v>2.5</v>
      </c>
      <c r="H54" s="41">
        <v>32.72</v>
      </c>
      <c r="I54" s="41">
        <v>0.43</v>
      </c>
      <c r="J54" s="68">
        <v>0.98</v>
      </c>
      <c r="K54" s="43">
        <v>40.07</v>
      </c>
      <c r="L54" s="43">
        <v>0.255</v>
      </c>
      <c r="M54" s="34">
        <v>1.1642000000000002E-12</v>
      </c>
      <c r="N54" s="34">
        <v>2.715E-14</v>
      </c>
      <c r="O54" s="35">
        <v>495100</v>
      </c>
      <c r="P54" s="35">
        <v>17800</v>
      </c>
      <c r="Q54" s="76">
        <f>'CRONUS Feed'!S54</f>
        <v>14.989000000000001</v>
      </c>
      <c r="R54" s="76">
        <f>'CRONUS Feed'!G144/1000</f>
        <v>0.54100000000000004</v>
      </c>
      <c r="S54" s="76">
        <f>'CRONUS Feed'!T54</f>
        <v>0.99</v>
      </c>
      <c r="T54" s="36" t="s">
        <v>25</v>
      </c>
      <c r="U54" s="37">
        <v>35995</v>
      </c>
      <c r="V54" s="38" t="s">
        <v>92</v>
      </c>
      <c r="W54" s="33"/>
      <c r="X54" s="4"/>
    </row>
    <row r="55" spans="1:24" ht="16" customHeight="1" x14ac:dyDescent="0.2">
      <c r="A55" s="463"/>
      <c r="B55" s="461"/>
      <c r="C55" s="20" t="s">
        <v>27</v>
      </c>
      <c r="D55" s="21">
        <v>47.603520000000003</v>
      </c>
      <c r="E55" s="21">
        <v>97.640469999999993</v>
      </c>
      <c r="F55" s="68">
        <v>2725</v>
      </c>
      <c r="G55" s="68">
        <v>2.5</v>
      </c>
      <c r="H55" s="41">
        <v>32.72</v>
      </c>
      <c r="I55" s="41">
        <v>0.43</v>
      </c>
      <c r="J55" s="68">
        <v>0.98</v>
      </c>
      <c r="K55" s="43">
        <v>38.659999999999997</v>
      </c>
      <c r="L55" s="43">
        <v>0.252</v>
      </c>
      <c r="M55" s="34">
        <v>1.2539100000000003E-12</v>
      </c>
      <c r="N55" s="34">
        <v>2.3700000000000003E-14</v>
      </c>
      <c r="O55" s="35">
        <v>546200</v>
      </c>
      <c r="P55" s="35">
        <v>16500</v>
      </c>
      <c r="Q55" s="76">
        <f>'CRONUS Feed'!S55</f>
        <v>16.542000000000002</v>
      </c>
      <c r="R55" s="76">
        <f>'CRONUS Feed'!G145/1000</f>
        <v>0.502</v>
      </c>
      <c r="S55" s="76">
        <f>'CRONUS Feed'!T55</f>
        <v>1.044</v>
      </c>
      <c r="T55" s="36" t="s">
        <v>25</v>
      </c>
      <c r="U55" s="37">
        <v>35995</v>
      </c>
      <c r="V55" s="38" t="s">
        <v>92</v>
      </c>
      <c r="W55" s="33"/>
      <c r="X55" s="4"/>
    </row>
    <row r="56" spans="1:24" ht="16" customHeight="1" x14ac:dyDescent="0.2">
      <c r="A56" s="463"/>
      <c r="B56" s="461"/>
      <c r="C56" s="20" t="s">
        <v>45</v>
      </c>
      <c r="D56" s="21">
        <v>47.603520000000003</v>
      </c>
      <c r="E56" s="21">
        <v>97.640469999999993</v>
      </c>
      <c r="F56" s="68">
        <v>2725</v>
      </c>
      <c r="G56" s="68">
        <v>2.5</v>
      </c>
      <c r="H56" s="41">
        <v>32.72</v>
      </c>
      <c r="I56" s="41">
        <v>0.43</v>
      </c>
      <c r="J56" s="68">
        <v>0.98</v>
      </c>
      <c r="K56" s="43">
        <v>31.37</v>
      </c>
      <c r="L56" s="43">
        <v>0.30299999999999999</v>
      </c>
      <c r="M56" s="34">
        <v>8.4920000000000016E-13</v>
      </c>
      <c r="N56" s="34">
        <v>1.625E-14</v>
      </c>
      <c r="O56" s="35">
        <v>548100</v>
      </c>
      <c r="P56" s="35">
        <v>16700</v>
      </c>
      <c r="Q56" s="76">
        <f>'CRONUS Feed'!S56</f>
        <v>16.600000000000001</v>
      </c>
      <c r="R56" s="76">
        <f>'CRONUS Feed'!G146/1000</f>
        <v>0.50800000000000001</v>
      </c>
      <c r="S56" s="76">
        <f>'CRONUS Feed'!T56</f>
        <v>1.05</v>
      </c>
      <c r="T56" s="36" t="s">
        <v>25</v>
      </c>
      <c r="U56" s="37">
        <v>35995</v>
      </c>
      <c r="V56" s="38" t="s">
        <v>92</v>
      </c>
      <c r="W56" s="33"/>
      <c r="X56" s="4"/>
    </row>
    <row r="57" spans="1:24" ht="16" customHeight="1" x14ac:dyDescent="0.2">
      <c r="A57" s="463" t="s">
        <v>77</v>
      </c>
      <c r="B57" s="461" t="s">
        <v>600</v>
      </c>
      <c r="C57" s="20" t="s">
        <v>1</v>
      </c>
      <c r="D57" s="21">
        <v>47.435499999999998</v>
      </c>
      <c r="E57" s="21">
        <v>100.34714</v>
      </c>
      <c r="F57" s="68">
        <v>2128</v>
      </c>
      <c r="G57" s="68">
        <v>2</v>
      </c>
      <c r="H57" s="41">
        <v>22.24</v>
      </c>
      <c r="I57" s="41">
        <v>0.36</v>
      </c>
      <c r="J57" s="68">
        <v>1</v>
      </c>
      <c r="K57" s="77">
        <v>7.5739999999999998</v>
      </c>
      <c r="L57" s="77">
        <v>0.253</v>
      </c>
      <c r="M57" s="34">
        <v>1.0236000000000002E-12</v>
      </c>
      <c r="N57" s="34">
        <v>1.6399999999999998E-14</v>
      </c>
      <c r="O57" s="35">
        <v>2284800</v>
      </c>
      <c r="P57" s="35">
        <v>61000</v>
      </c>
      <c r="Q57" s="76">
        <f>'CRONUS Feed'!S57</f>
        <v>103.73099999999999</v>
      </c>
      <c r="R57" s="76">
        <f>'CRONUS Feed'!G147/1000</f>
        <v>2.8420000000000001</v>
      </c>
      <c r="S57" s="76">
        <f>'CRONUS Feed'!T57</f>
        <v>6.5220000000000002</v>
      </c>
      <c r="T57" s="36" t="s">
        <v>24</v>
      </c>
      <c r="U57" s="37">
        <v>41440</v>
      </c>
      <c r="V57" s="38" t="s">
        <v>92</v>
      </c>
      <c r="W57" s="33"/>
      <c r="X57" s="4"/>
    </row>
    <row r="58" spans="1:24" ht="16" customHeight="1" x14ac:dyDescent="0.2">
      <c r="A58" s="463"/>
      <c r="B58" s="461"/>
      <c r="C58" s="20" t="s">
        <v>2</v>
      </c>
      <c r="D58" s="21">
        <v>47.435499999999998</v>
      </c>
      <c r="E58" s="21">
        <v>100.34714</v>
      </c>
      <c r="F58" s="68">
        <v>2128</v>
      </c>
      <c r="G58" s="68">
        <v>3</v>
      </c>
      <c r="H58" s="41">
        <v>22.06</v>
      </c>
      <c r="I58" s="41">
        <v>0.36</v>
      </c>
      <c r="J58" s="68">
        <v>1</v>
      </c>
      <c r="K58" s="77">
        <v>6.6310000000000002</v>
      </c>
      <c r="L58" s="77">
        <v>0.2697</v>
      </c>
      <c r="M58" s="34">
        <v>4.3655000000000004E-13</v>
      </c>
      <c r="N58" s="34">
        <v>6.9000000000000009E-15</v>
      </c>
      <c r="O58" s="35">
        <v>1186500</v>
      </c>
      <c r="P58" s="35">
        <v>31400</v>
      </c>
      <c r="Q58" s="76">
        <f>'CRONUS Feed'!S58</f>
        <v>53.637999999999998</v>
      </c>
      <c r="R58" s="76">
        <f>'CRONUS Feed'!G148/1000</f>
        <v>1.4390000000000001</v>
      </c>
      <c r="S58" s="76">
        <f>'CRONUS Feed'!T58</f>
        <v>3.3250000000000002</v>
      </c>
      <c r="T58" s="36" t="s">
        <v>24</v>
      </c>
      <c r="U58" s="37">
        <v>41440</v>
      </c>
      <c r="V58" s="38" t="s">
        <v>92</v>
      </c>
      <c r="W58" s="33"/>
      <c r="X58" s="4"/>
    </row>
    <row r="59" spans="1:24" ht="16" customHeight="1" x14ac:dyDescent="0.2">
      <c r="A59" s="463"/>
      <c r="B59" s="461"/>
      <c r="C59" s="20" t="s">
        <v>0</v>
      </c>
      <c r="D59" s="21">
        <v>47.435720000000003</v>
      </c>
      <c r="E59" s="21">
        <v>100.34678</v>
      </c>
      <c r="F59" s="68">
        <v>2130</v>
      </c>
      <c r="G59" s="68">
        <v>3</v>
      </c>
      <c r="H59" s="41">
        <v>22.09</v>
      </c>
      <c r="I59" s="41">
        <v>0.36</v>
      </c>
      <c r="J59" s="68">
        <v>1</v>
      </c>
      <c r="K59" s="77">
        <v>6.7270000000000003</v>
      </c>
      <c r="L59" s="77">
        <v>0.24460000000000001</v>
      </c>
      <c r="M59" s="34">
        <v>2.0669999999999999E-13</v>
      </c>
      <c r="N59" s="34">
        <v>6.5000000000000007E-15</v>
      </c>
      <c r="O59" s="35">
        <v>502200</v>
      </c>
      <c r="P59" s="35">
        <v>23400</v>
      </c>
      <c r="Q59" s="76">
        <f>'CRONUS Feed'!S59</f>
        <v>22.495000000000001</v>
      </c>
      <c r="R59" s="76">
        <f>'CRONUS Feed'!G149/1000</f>
        <v>1.054</v>
      </c>
      <c r="S59" s="76">
        <f>'CRONUS Feed'!T59</f>
        <v>1.633</v>
      </c>
      <c r="T59" s="36" t="s">
        <v>24</v>
      </c>
      <c r="U59" s="37">
        <v>41440</v>
      </c>
      <c r="V59" s="38" t="s">
        <v>92</v>
      </c>
      <c r="W59" s="33"/>
      <c r="X59" s="4"/>
    </row>
    <row r="60" spans="1:24" ht="16" customHeight="1" x14ac:dyDescent="0.2">
      <c r="A60" s="463"/>
      <c r="B60" s="461" t="s">
        <v>601</v>
      </c>
      <c r="C60" s="20" t="s">
        <v>3</v>
      </c>
      <c r="D60" s="21">
        <v>47.415750000000003</v>
      </c>
      <c r="E60" s="21">
        <v>100.35731</v>
      </c>
      <c r="F60" s="68">
        <v>2172</v>
      </c>
      <c r="G60" s="68">
        <v>3</v>
      </c>
      <c r="H60" s="41">
        <v>22.52</v>
      </c>
      <c r="I60" s="41">
        <v>0.37</v>
      </c>
      <c r="J60" s="68">
        <v>0.99</v>
      </c>
      <c r="K60" s="77">
        <v>4.077</v>
      </c>
      <c r="L60" s="77">
        <v>0.28360000000000002</v>
      </c>
      <c r="M60" s="34">
        <v>1.0853000000000001E-13</v>
      </c>
      <c r="N60" s="34">
        <v>3.0400000000000001E-15</v>
      </c>
      <c r="O60" s="35">
        <v>504500</v>
      </c>
      <c r="P60" s="35">
        <v>21200</v>
      </c>
      <c r="Q60" s="76">
        <f>'CRONUS Feed'!S60</f>
        <v>22.161000000000001</v>
      </c>
      <c r="R60" s="76">
        <f>'CRONUS Feed'!G150/1000</f>
        <v>0.93600000000000005</v>
      </c>
      <c r="S60" s="76">
        <f>'CRONUS Feed'!T60</f>
        <v>1.5449999999999999</v>
      </c>
      <c r="T60" s="36" t="s">
        <v>24</v>
      </c>
      <c r="U60" s="37">
        <v>41440</v>
      </c>
      <c r="V60" s="38" t="s">
        <v>92</v>
      </c>
      <c r="W60" s="33"/>
      <c r="X60" s="4"/>
    </row>
    <row r="61" spans="1:24" ht="16" customHeight="1" x14ac:dyDescent="0.2">
      <c r="A61" s="463"/>
      <c r="B61" s="461"/>
      <c r="C61" s="20" t="s">
        <v>4</v>
      </c>
      <c r="D61" s="21">
        <v>47.416440000000001</v>
      </c>
      <c r="E61" s="21">
        <v>100.35592</v>
      </c>
      <c r="F61" s="68">
        <v>2173</v>
      </c>
      <c r="G61" s="68">
        <v>4</v>
      </c>
      <c r="H61" s="41">
        <v>22.36</v>
      </c>
      <c r="I61" s="41">
        <v>0.37</v>
      </c>
      <c r="J61" s="68">
        <v>0.99</v>
      </c>
      <c r="K61" s="77">
        <v>2.0590000000000002</v>
      </c>
      <c r="L61" s="77">
        <v>0.25850000000000001</v>
      </c>
      <c r="M61" s="34">
        <v>1.0604000000000002E-13</v>
      </c>
      <c r="N61" s="34">
        <v>2.9300000000000003E-15</v>
      </c>
      <c r="O61" s="35">
        <v>889600</v>
      </c>
      <c r="P61" s="35">
        <v>37000</v>
      </c>
      <c r="Q61" s="76">
        <f>'CRONUS Feed'!S61</f>
        <v>39.539000000000001</v>
      </c>
      <c r="R61" s="76">
        <f>'CRONUS Feed'!G151/1000</f>
        <v>1.661</v>
      </c>
      <c r="S61" s="76">
        <f>'CRONUS Feed'!T61</f>
        <v>2.758</v>
      </c>
      <c r="T61" s="36" t="s">
        <v>24</v>
      </c>
      <c r="U61" s="37">
        <v>41440</v>
      </c>
      <c r="V61" s="38" t="s">
        <v>92</v>
      </c>
      <c r="W61" s="33"/>
      <c r="X61" s="4"/>
    </row>
    <row r="62" spans="1:24" ht="16" customHeight="1" x14ac:dyDescent="0.2">
      <c r="A62" s="463"/>
      <c r="B62" s="461"/>
      <c r="C62" s="20" t="s">
        <v>5</v>
      </c>
      <c r="D62" s="21">
        <v>47.416440000000001</v>
      </c>
      <c r="E62" s="21">
        <v>100.35592</v>
      </c>
      <c r="F62" s="68">
        <v>2173</v>
      </c>
      <c r="G62" s="68">
        <v>3</v>
      </c>
      <c r="H62" s="41">
        <v>22.54</v>
      </c>
      <c r="I62" s="41">
        <v>0.37</v>
      </c>
      <c r="J62" s="68">
        <v>0.99</v>
      </c>
      <c r="K62" s="77">
        <v>5.5590000000000002</v>
      </c>
      <c r="L62" s="77">
        <v>0.28360000000000002</v>
      </c>
      <c r="M62" s="34">
        <v>2.1183000000000002E-13</v>
      </c>
      <c r="N62" s="34">
        <v>4.8500000000000003E-15</v>
      </c>
      <c r="O62" s="35">
        <v>722100</v>
      </c>
      <c r="P62" s="35">
        <v>25500</v>
      </c>
      <c r="Q62" s="76">
        <f>'CRONUS Feed'!S62</f>
        <v>31.773</v>
      </c>
      <c r="R62" s="76">
        <f>'CRONUS Feed'!G152/1000</f>
        <v>1.131</v>
      </c>
      <c r="S62" s="76">
        <f>'CRONUS Feed'!T62</f>
        <v>2.097</v>
      </c>
      <c r="T62" s="36" t="s">
        <v>24</v>
      </c>
      <c r="U62" s="37">
        <v>41440</v>
      </c>
      <c r="V62" s="38" t="s">
        <v>92</v>
      </c>
      <c r="W62" s="33"/>
      <c r="X62" s="4"/>
    </row>
    <row r="63" spans="1:24" ht="16" customHeight="1" x14ac:dyDescent="0.2">
      <c r="A63" s="463"/>
      <c r="B63" s="461"/>
      <c r="C63" s="20" t="s">
        <v>21</v>
      </c>
      <c r="D63" s="21">
        <v>47.418030000000002</v>
      </c>
      <c r="E63" s="21">
        <v>100.35250000000001</v>
      </c>
      <c r="F63" s="68">
        <v>2177</v>
      </c>
      <c r="G63" s="68">
        <v>5</v>
      </c>
      <c r="H63" s="41">
        <v>22.46</v>
      </c>
      <c r="I63" s="41">
        <v>0.37</v>
      </c>
      <c r="J63" s="68">
        <v>1</v>
      </c>
      <c r="K63" s="77">
        <v>6.8460000000000001</v>
      </c>
      <c r="L63" s="77">
        <v>0.27379999999999999</v>
      </c>
      <c r="M63" s="34">
        <v>3.0930000000000006E-13</v>
      </c>
      <c r="N63" s="34">
        <v>7.5000000000000012E-15</v>
      </c>
      <c r="O63" s="35">
        <v>826600</v>
      </c>
      <c r="P63" s="35">
        <v>30700</v>
      </c>
      <c r="Q63" s="76">
        <f>'CRONUS Feed'!S63</f>
        <v>36.542000000000002</v>
      </c>
      <c r="R63" s="76">
        <f>'CRONUS Feed'!G153/1000</f>
        <v>1.37</v>
      </c>
      <c r="S63" s="76">
        <f>'CRONUS Feed'!T63</f>
        <v>2.452</v>
      </c>
      <c r="T63" s="36" t="s">
        <v>24</v>
      </c>
      <c r="U63" s="37">
        <v>41440</v>
      </c>
      <c r="V63" s="38" t="s">
        <v>92</v>
      </c>
      <c r="W63" s="33"/>
      <c r="X63" s="4"/>
    </row>
    <row r="64" spans="1:24" ht="16" customHeight="1" x14ac:dyDescent="0.2">
      <c r="A64" s="463"/>
      <c r="B64" s="461"/>
      <c r="C64" s="20" t="s">
        <v>22</v>
      </c>
      <c r="D64" s="21">
        <v>47.418030000000002</v>
      </c>
      <c r="E64" s="21">
        <v>100.35250000000001</v>
      </c>
      <c r="F64" s="68">
        <v>2177</v>
      </c>
      <c r="G64" s="68">
        <v>4</v>
      </c>
      <c r="H64" s="41">
        <v>22.65</v>
      </c>
      <c r="I64" s="41">
        <v>0.37</v>
      </c>
      <c r="J64" s="68">
        <v>1</v>
      </c>
      <c r="K64" s="77">
        <v>11.584</v>
      </c>
      <c r="L64" s="77">
        <v>0.27800000000000002</v>
      </c>
      <c r="M64" s="34">
        <v>4.5240000000000002E-13</v>
      </c>
      <c r="N64" s="34">
        <v>1.7300000000000003E-14</v>
      </c>
      <c r="O64" s="35">
        <v>725500</v>
      </c>
      <c r="P64" s="35">
        <v>40600</v>
      </c>
      <c r="Q64" s="76">
        <f>'CRONUS Feed'!S64</f>
        <v>31.776</v>
      </c>
      <c r="R64" s="76">
        <f>'CRONUS Feed'!G154/1000</f>
        <v>1.792</v>
      </c>
      <c r="S64" s="76">
        <f>'CRONUS Feed'!T64</f>
        <v>2.516</v>
      </c>
      <c r="T64" s="36" t="s">
        <v>24</v>
      </c>
      <c r="U64" s="37">
        <v>41440</v>
      </c>
      <c r="V64" s="38" t="s">
        <v>92</v>
      </c>
      <c r="W64" s="33"/>
      <c r="X64" s="4"/>
    </row>
    <row r="65" spans="1:24" ht="16" customHeight="1" x14ac:dyDescent="0.2">
      <c r="A65" s="463"/>
      <c r="B65" s="461"/>
      <c r="C65" s="20" t="s">
        <v>23</v>
      </c>
      <c r="D65" s="21">
        <v>47.418030000000002</v>
      </c>
      <c r="E65" s="21">
        <v>100.35250000000001</v>
      </c>
      <c r="F65" s="68">
        <v>2177</v>
      </c>
      <c r="G65" s="68">
        <v>5</v>
      </c>
      <c r="H65" s="41">
        <v>22.46</v>
      </c>
      <c r="I65" s="41">
        <v>0.37</v>
      </c>
      <c r="J65" s="68">
        <v>1</v>
      </c>
      <c r="K65" s="77">
        <v>6.593</v>
      </c>
      <c r="L65" s="77">
        <v>0.27939999999999998</v>
      </c>
      <c r="M65" s="34">
        <v>3.9700000000000002E-13</v>
      </c>
      <c r="N65" s="34">
        <v>9.1999999999999996E-15</v>
      </c>
      <c r="O65" s="35">
        <v>1124200</v>
      </c>
      <c r="P65" s="35">
        <v>40100</v>
      </c>
      <c r="Q65" s="76">
        <f>'CRONUS Feed'!S65</f>
        <v>49.863</v>
      </c>
      <c r="R65" s="76">
        <f>'CRONUS Feed'!G155/1000</f>
        <v>1.8009999999999999</v>
      </c>
      <c r="S65" s="76">
        <f>'CRONUS Feed'!T65</f>
        <v>3.3159999999999998</v>
      </c>
      <c r="T65" s="36" t="s">
        <v>24</v>
      </c>
      <c r="U65" s="37">
        <v>41440</v>
      </c>
      <c r="V65" s="38" t="s">
        <v>92</v>
      </c>
      <c r="W65" s="33"/>
      <c r="X65" s="4"/>
    </row>
    <row r="66" spans="1:24" ht="16" customHeight="1" x14ac:dyDescent="0.2">
      <c r="A66" s="462" t="s">
        <v>81</v>
      </c>
      <c r="B66" s="467"/>
      <c r="C66" s="20" t="s">
        <v>30</v>
      </c>
      <c r="D66" s="21">
        <v>46.606830000000002</v>
      </c>
      <c r="E66" s="21">
        <v>93.562830000000005</v>
      </c>
      <c r="F66" s="68">
        <v>3205</v>
      </c>
      <c r="G66" s="68">
        <v>3</v>
      </c>
      <c r="H66" s="41">
        <v>43.16</v>
      </c>
      <c r="I66" s="41">
        <v>0.5</v>
      </c>
      <c r="J66" s="68">
        <v>0.99</v>
      </c>
      <c r="K66" s="77">
        <v>39</v>
      </c>
      <c r="L66" s="77">
        <v>0.252</v>
      </c>
      <c r="M66" s="34">
        <v>9.5470000000000009E-14</v>
      </c>
      <c r="N66" s="34">
        <v>6.6100000000000005E-15</v>
      </c>
      <c r="O66" s="35">
        <v>41200</v>
      </c>
      <c r="P66" s="35">
        <v>4100</v>
      </c>
      <c r="Q66" s="76">
        <f>'CRONUS Feed'!S66</f>
        <v>0.94399999999999995</v>
      </c>
      <c r="R66" s="76">
        <f>'CRONUS Feed'!G156/1000</f>
        <v>9.4E-2</v>
      </c>
      <c r="S66" s="76">
        <f>'CRONUS Feed'!T66</f>
        <v>0.107</v>
      </c>
      <c r="T66" s="36" t="s">
        <v>25</v>
      </c>
      <c r="U66" s="37">
        <v>36000</v>
      </c>
      <c r="V66" s="20" t="s">
        <v>54</v>
      </c>
      <c r="W66" s="33"/>
      <c r="X66" s="4"/>
    </row>
    <row r="67" spans="1:24" ht="16" customHeight="1" x14ac:dyDescent="0.2">
      <c r="A67" s="462"/>
      <c r="B67" s="467"/>
      <c r="C67" s="20" t="s">
        <v>31</v>
      </c>
      <c r="D67" s="21">
        <v>46.606830000000002</v>
      </c>
      <c r="E67" s="21">
        <v>93.562830000000005</v>
      </c>
      <c r="F67" s="68">
        <v>3205</v>
      </c>
      <c r="G67" s="68">
        <v>3</v>
      </c>
      <c r="H67" s="41">
        <v>43.16</v>
      </c>
      <c r="I67" s="41">
        <v>0.5</v>
      </c>
      <c r="J67" s="68">
        <v>0.99</v>
      </c>
      <c r="K67" s="77">
        <v>39.78</v>
      </c>
      <c r="L67" s="77">
        <v>0.252</v>
      </c>
      <c r="M67" s="34">
        <v>1.6400000000000001E-13</v>
      </c>
      <c r="N67" s="34">
        <v>7.1800000000000007E-15</v>
      </c>
      <c r="O67" s="35">
        <v>69400</v>
      </c>
      <c r="P67" s="35">
        <v>4400</v>
      </c>
      <c r="Q67" s="76">
        <f>'CRONUS Feed'!S67</f>
        <v>1.59</v>
      </c>
      <c r="R67" s="76">
        <f>'CRONUS Feed'!G157/1000</f>
        <v>0.10100000000000001</v>
      </c>
      <c r="S67" s="76">
        <f>'CRONUS Feed'!T67</f>
        <v>0.13400000000000001</v>
      </c>
      <c r="T67" s="36" t="s">
        <v>25</v>
      </c>
      <c r="U67" s="37">
        <v>36000</v>
      </c>
      <c r="V67" s="20" t="s">
        <v>54</v>
      </c>
      <c r="W67" s="33"/>
      <c r="X67" s="4"/>
    </row>
    <row r="68" spans="1:24" ht="16" customHeight="1" x14ac:dyDescent="0.2">
      <c r="A68" s="462"/>
      <c r="B68" s="467"/>
      <c r="C68" s="20" t="s">
        <v>35</v>
      </c>
      <c r="D68" s="21">
        <v>46.616019999999999</v>
      </c>
      <c r="E68" s="21">
        <v>93.563869999999994</v>
      </c>
      <c r="F68" s="68">
        <v>3273</v>
      </c>
      <c r="G68" s="68">
        <v>2.5</v>
      </c>
      <c r="H68" s="41">
        <v>45.16</v>
      </c>
      <c r="I68" s="41">
        <v>0.51</v>
      </c>
      <c r="J68" s="68">
        <v>0.99</v>
      </c>
      <c r="K68" s="77">
        <v>39.36</v>
      </c>
      <c r="L68" s="77">
        <v>0.252</v>
      </c>
      <c r="M68" s="34">
        <v>1.2633899999999999E-12</v>
      </c>
      <c r="N68" s="34">
        <v>2.9040000000000002E-14</v>
      </c>
      <c r="O68" s="35">
        <v>540500</v>
      </c>
      <c r="P68" s="35">
        <v>19200</v>
      </c>
      <c r="Q68" s="76">
        <f>'CRONUS Feed'!S68</f>
        <v>11.872</v>
      </c>
      <c r="R68" s="76">
        <f>'CRONUS Feed'!G158/1000</f>
        <v>0.42299999999999999</v>
      </c>
      <c r="S68" s="76">
        <f>'CRONUS Feed'!T68</f>
        <v>0.78100000000000003</v>
      </c>
      <c r="T68" s="36" t="s">
        <v>25</v>
      </c>
      <c r="U68" s="37">
        <v>35999</v>
      </c>
      <c r="V68" s="20" t="s">
        <v>54</v>
      </c>
      <c r="W68" s="33"/>
      <c r="X68" s="4"/>
    </row>
    <row r="69" spans="1:24" ht="16" customHeight="1" x14ac:dyDescent="0.2">
      <c r="A69" s="462"/>
      <c r="B69" s="467"/>
      <c r="C69" s="20" t="s">
        <v>51</v>
      </c>
      <c r="D69" s="21">
        <v>46.616799999999998</v>
      </c>
      <c r="E69" s="21">
        <v>93.564480000000003</v>
      </c>
      <c r="F69" s="68">
        <v>3290</v>
      </c>
      <c r="G69" s="68">
        <v>3</v>
      </c>
      <c r="H69" s="41">
        <v>44.97</v>
      </c>
      <c r="I69" s="41">
        <v>0.51</v>
      </c>
      <c r="J69" s="68">
        <v>0.98</v>
      </c>
      <c r="K69" s="77">
        <v>34.65</v>
      </c>
      <c r="L69" s="77">
        <v>0.30499999999999999</v>
      </c>
      <c r="M69" s="34">
        <v>3.1360000000000005E-13</v>
      </c>
      <c r="N69" s="34">
        <v>7.3300000000000004E-15</v>
      </c>
      <c r="O69" s="35">
        <v>184500</v>
      </c>
      <c r="P69" s="35">
        <v>6600</v>
      </c>
      <c r="Q69" s="76">
        <f>'CRONUS Feed'!S69</f>
        <v>4.0609999999999999</v>
      </c>
      <c r="R69" s="76">
        <f>'CRONUS Feed'!G159/1000</f>
        <v>0.14499999999999999</v>
      </c>
      <c r="S69" s="76">
        <f>'CRONUS Feed'!T69</f>
        <v>0.26700000000000002</v>
      </c>
      <c r="T69" s="36" t="s">
        <v>25</v>
      </c>
      <c r="U69" s="37">
        <v>36000</v>
      </c>
      <c r="V69" s="20" t="s">
        <v>54</v>
      </c>
      <c r="W69" s="33"/>
      <c r="X69" s="4"/>
    </row>
    <row r="70" spans="1:24" ht="16" customHeight="1" x14ac:dyDescent="0.2">
      <c r="A70" s="462"/>
      <c r="B70" s="467"/>
      <c r="C70" s="20" t="s">
        <v>52</v>
      </c>
      <c r="D70" s="21">
        <v>46.616799999999998</v>
      </c>
      <c r="E70" s="21">
        <v>93.564480000000003</v>
      </c>
      <c r="F70" s="68">
        <v>3290</v>
      </c>
      <c r="G70" s="68">
        <v>1</v>
      </c>
      <c r="H70" s="41">
        <v>45.72</v>
      </c>
      <c r="I70" s="41">
        <v>0.51</v>
      </c>
      <c r="J70" s="68">
        <v>0.98</v>
      </c>
      <c r="K70" s="77">
        <v>34.32</v>
      </c>
      <c r="L70" s="77">
        <v>0.30299999999999999</v>
      </c>
      <c r="M70" s="34">
        <v>1.4263000000000001E-12</v>
      </c>
      <c r="N70" s="34">
        <v>2.7030000000000003E-14</v>
      </c>
      <c r="O70" s="35">
        <v>841400</v>
      </c>
      <c r="P70" s="35">
        <v>25500</v>
      </c>
      <c r="Q70" s="76">
        <f>'CRONUS Feed'!S70</f>
        <v>18.282</v>
      </c>
      <c r="R70" s="76">
        <f>'CRONUS Feed'!G160/1000</f>
        <v>0.55700000000000005</v>
      </c>
      <c r="S70" s="76">
        <f>'CRONUS Feed'!T70</f>
        <v>1.1559999999999999</v>
      </c>
      <c r="T70" s="36" t="s">
        <v>25</v>
      </c>
      <c r="U70" s="37">
        <v>36000</v>
      </c>
      <c r="V70" s="20" t="s">
        <v>54</v>
      </c>
      <c r="W70" s="33"/>
      <c r="X70" s="4"/>
    </row>
    <row r="71" spans="1:24" ht="16" customHeight="1" x14ac:dyDescent="0.2">
      <c r="A71" s="462"/>
      <c r="B71" s="467"/>
      <c r="C71" s="20" t="s">
        <v>29</v>
      </c>
      <c r="D71" s="21">
        <v>46.616799999999998</v>
      </c>
      <c r="E71" s="21">
        <v>93.564480000000003</v>
      </c>
      <c r="F71" s="68">
        <v>3290</v>
      </c>
      <c r="G71" s="68">
        <v>3</v>
      </c>
      <c r="H71" s="41">
        <v>44.97</v>
      </c>
      <c r="I71" s="41">
        <v>0.51</v>
      </c>
      <c r="J71" s="68">
        <v>0.98</v>
      </c>
      <c r="K71" s="77">
        <v>39.49</v>
      </c>
      <c r="L71" s="77">
        <v>0.253</v>
      </c>
      <c r="M71" s="34">
        <v>9.867000000000001E-14</v>
      </c>
      <c r="N71" s="34">
        <v>9.1199999999999999E-15</v>
      </c>
      <c r="O71" s="35">
        <v>42200</v>
      </c>
      <c r="P71" s="35">
        <v>5600</v>
      </c>
      <c r="Q71" s="76">
        <f>'CRONUS Feed'!S71</f>
        <v>0.92800000000000005</v>
      </c>
      <c r="R71" s="76">
        <f>'CRONUS Feed'!G161/1000</f>
        <v>0.123</v>
      </c>
      <c r="S71" s="76">
        <f>'CRONUS Feed'!T71</f>
        <v>0.13300000000000001</v>
      </c>
      <c r="T71" s="36" t="s">
        <v>25</v>
      </c>
      <c r="U71" s="37">
        <v>36000</v>
      </c>
      <c r="V71" s="20" t="s">
        <v>54</v>
      </c>
      <c r="W71" s="33"/>
      <c r="X71" s="4"/>
    </row>
    <row r="72" spans="1:24" ht="16" customHeight="1" x14ac:dyDescent="0.2">
      <c r="A72" s="462"/>
      <c r="B72" s="467"/>
      <c r="C72" s="20" t="s">
        <v>12</v>
      </c>
      <c r="D72" s="21">
        <v>46.617690000000003</v>
      </c>
      <c r="E72" s="21">
        <v>93.565640000000002</v>
      </c>
      <c r="F72" s="68">
        <v>3310</v>
      </c>
      <c r="G72" s="68">
        <v>4</v>
      </c>
      <c r="H72" s="41">
        <v>44.22</v>
      </c>
      <c r="I72" s="41">
        <v>0.51</v>
      </c>
      <c r="J72" s="68">
        <v>0.96</v>
      </c>
      <c r="K72" s="40">
        <v>15.449</v>
      </c>
      <c r="L72" s="77">
        <v>0.26550000000000001</v>
      </c>
      <c r="M72" s="34">
        <v>1.0147000000000001E-13</v>
      </c>
      <c r="N72" s="34">
        <v>3.01E-15</v>
      </c>
      <c r="O72" s="35">
        <v>116500</v>
      </c>
      <c r="P72" s="35">
        <v>4300</v>
      </c>
      <c r="Q72" s="76">
        <f>'CRONUS Feed'!S72</f>
        <v>2.6059999999999999</v>
      </c>
      <c r="R72" s="76">
        <f>'CRONUS Feed'!G162/1000</f>
        <v>9.6000000000000002E-2</v>
      </c>
      <c r="S72" s="76">
        <f>'CRONUS Feed'!T72</f>
        <v>0.17299999999999999</v>
      </c>
      <c r="T72" s="36" t="s">
        <v>24</v>
      </c>
      <c r="U72" s="37">
        <v>41446</v>
      </c>
      <c r="V72" s="20" t="s">
        <v>54</v>
      </c>
      <c r="W72" s="33"/>
      <c r="X72" s="4"/>
    </row>
    <row r="73" spans="1:24" ht="16" customHeight="1" x14ac:dyDescent="0.2">
      <c r="A73" s="462"/>
      <c r="B73" s="467"/>
      <c r="C73" s="20" t="s">
        <v>13</v>
      </c>
      <c r="D73" s="21">
        <v>46.617690000000003</v>
      </c>
      <c r="E73" s="21">
        <v>93.565640000000002</v>
      </c>
      <c r="F73" s="68">
        <v>3310</v>
      </c>
      <c r="G73" s="68">
        <v>3</v>
      </c>
      <c r="H73" s="41">
        <v>44.58</v>
      </c>
      <c r="I73" s="41">
        <v>0.51</v>
      </c>
      <c r="J73" s="68">
        <v>0.96</v>
      </c>
      <c r="K73" s="40">
        <v>14.231</v>
      </c>
      <c r="L73" s="77">
        <v>0.27239999999999998</v>
      </c>
      <c r="M73" s="34">
        <v>1.0165000000000001E-13</v>
      </c>
      <c r="N73" s="34">
        <v>2.9200000000000001E-15</v>
      </c>
      <c r="O73" s="35">
        <v>130000</v>
      </c>
      <c r="P73" s="35">
        <v>4700</v>
      </c>
      <c r="Q73" s="76">
        <f>'CRONUS Feed'!S73</f>
        <v>2.8849999999999998</v>
      </c>
      <c r="R73" s="76">
        <f>'CRONUS Feed'!G163/1000</f>
        <v>0.104</v>
      </c>
      <c r="S73" s="76">
        <f>'CRONUS Feed'!T73</f>
        <v>0.19</v>
      </c>
      <c r="T73" s="36" t="s">
        <v>24</v>
      </c>
      <c r="U73" s="37">
        <v>41446</v>
      </c>
      <c r="V73" s="20" t="s">
        <v>92</v>
      </c>
      <c r="W73" s="33"/>
      <c r="X73" s="4"/>
    </row>
    <row r="74" spans="1:24" ht="16" customHeight="1" x14ac:dyDescent="0.2">
      <c r="A74" s="462"/>
      <c r="B74" s="467"/>
      <c r="C74" s="20" t="s">
        <v>14</v>
      </c>
      <c r="D74" s="21">
        <v>46.617690000000003</v>
      </c>
      <c r="E74" s="21">
        <v>93.565640000000002</v>
      </c>
      <c r="F74" s="68">
        <v>3310</v>
      </c>
      <c r="G74" s="68">
        <v>2</v>
      </c>
      <c r="H74" s="41">
        <v>44.95</v>
      </c>
      <c r="I74" s="41">
        <v>0.51</v>
      </c>
      <c r="J74" s="68">
        <v>0.96</v>
      </c>
      <c r="K74" s="40">
        <v>16.257000000000001</v>
      </c>
      <c r="L74" s="77">
        <v>0.26269999999999999</v>
      </c>
      <c r="M74" s="34">
        <v>1.1698000000000002E-13</v>
      </c>
      <c r="N74" s="34">
        <v>3.8300000000000003E-15</v>
      </c>
      <c r="O74" s="35">
        <v>126300</v>
      </c>
      <c r="P74" s="35">
        <v>5000</v>
      </c>
      <c r="Q74" s="76">
        <f>'CRONUS Feed'!S74</f>
        <v>2.78</v>
      </c>
      <c r="R74" s="76">
        <f>'CRONUS Feed'!G164/1000</f>
        <v>0.11</v>
      </c>
      <c r="S74" s="76">
        <f>'CRONUS Feed'!T74</f>
        <v>0.189</v>
      </c>
      <c r="T74" s="36" t="s">
        <v>24</v>
      </c>
      <c r="U74" s="37">
        <v>41446</v>
      </c>
      <c r="V74" s="20" t="s">
        <v>54</v>
      </c>
      <c r="W74" s="33"/>
      <c r="X74" s="4"/>
    </row>
    <row r="75" spans="1:24" ht="16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53"/>
      <c r="L75" s="53"/>
      <c r="M75" s="54"/>
      <c r="N75" s="54"/>
      <c r="O75" s="54"/>
      <c r="P75" s="54"/>
      <c r="Q75" s="54"/>
      <c r="R75" s="76"/>
      <c r="S75" s="54"/>
      <c r="T75" s="33"/>
      <c r="U75" s="37"/>
      <c r="V75" s="33"/>
      <c r="W75" s="33"/>
    </row>
    <row r="76" spans="1:24" ht="18" customHeight="1" x14ac:dyDescent="0.2">
      <c r="A76" s="55" t="s">
        <v>571</v>
      </c>
      <c r="B76" s="33"/>
      <c r="C76" s="33"/>
      <c r="D76" s="33"/>
      <c r="E76" s="33"/>
      <c r="F76" s="33"/>
      <c r="G76" s="33"/>
      <c r="H76" s="33"/>
      <c r="I76" s="33"/>
      <c r="J76" s="33"/>
      <c r="K76" s="53"/>
      <c r="L76" s="53"/>
      <c r="M76" s="54"/>
      <c r="N76" s="54"/>
      <c r="O76" s="54"/>
      <c r="P76" s="54"/>
      <c r="Q76" s="54"/>
      <c r="R76" s="66"/>
      <c r="S76" s="54"/>
      <c r="T76" s="33"/>
      <c r="U76" s="37"/>
      <c r="V76" s="33"/>
      <c r="W76" s="33"/>
    </row>
    <row r="77" spans="1:24" ht="18" customHeight="1" x14ac:dyDescent="0.2">
      <c r="A77" s="55" t="s">
        <v>572</v>
      </c>
      <c r="B77" s="33"/>
      <c r="C77" s="33"/>
      <c r="D77" s="33"/>
      <c r="E77" s="33"/>
      <c r="F77" s="33"/>
      <c r="G77" s="33"/>
      <c r="H77" s="33"/>
      <c r="I77" s="33"/>
      <c r="J77" s="33"/>
      <c r="K77" s="53"/>
      <c r="L77" s="53"/>
      <c r="M77" s="54"/>
      <c r="N77" s="54"/>
      <c r="O77" s="54"/>
      <c r="P77" s="54"/>
      <c r="Q77" s="54"/>
      <c r="R77" s="66"/>
      <c r="S77" s="54"/>
      <c r="T77" s="33"/>
      <c r="U77" s="37"/>
      <c r="V77" s="33"/>
      <c r="W77" s="33"/>
    </row>
    <row r="78" spans="1:24" ht="18" customHeight="1" x14ac:dyDescent="0.2">
      <c r="A78" s="55" t="s">
        <v>573</v>
      </c>
      <c r="B78" s="33"/>
      <c r="C78" s="33"/>
      <c r="D78" s="33"/>
      <c r="E78" s="33"/>
      <c r="F78" s="33"/>
      <c r="G78" s="33"/>
      <c r="H78" s="33"/>
      <c r="I78" s="33"/>
      <c r="J78" s="33"/>
      <c r="K78" s="53"/>
      <c r="L78" s="53"/>
      <c r="M78" s="54"/>
      <c r="N78" s="54"/>
      <c r="O78" s="54"/>
      <c r="P78" s="54"/>
      <c r="Q78" s="54"/>
      <c r="R78" s="66"/>
      <c r="S78" s="54"/>
      <c r="T78" s="33"/>
      <c r="U78" s="37"/>
      <c r="V78" s="33"/>
      <c r="W78" s="33"/>
    </row>
    <row r="79" spans="1:24" ht="18" customHeight="1" x14ac:dyDescent="0.2">
      <c r="A79" s="55" t="s">
        <v>574</v>
      </c>
      <c r="B79" s="33"/>
      <c r="C79" s="33"/>
      <c r="D79" s="33"/>
      <c r="E79" s="33"/>
      <c r="F79" s="33"/>
      <c r="G79" s="33"/>
      <c r="H79" s="33"/>
      <c r="I79" s="33"/>
      <c r="J79" s="33"/>
      <c r="K79" s="53"/>
      <c r="L79" s="53"/>
      <c r="M79" s="54"/>
      <c r="N79" s="54"/>
      <c r="O79" s="54"/>
      <c r="P79" s="54"/>
      <c r="Q79" s="54"/>
      <c r="R79" s="66"/>
      <c r="S79" s="54"/>
      <c r="T79" s="33"/>
      <c r="U79" s="37"/>
      <c r="V79" s="33"/>
      <c r="W79" s="33"/>
    </row>
    <row r="80" spans="1:24" ht="18" customHeight="1" x14ac:dyDescent="0.2">
      <c r="A80" s="55" t="s">
        <v>575</v>
      </c>
      <c r="B80" s="33"/>
      <c r="C80" s="33"/>
      <c r="D80" s="33"/>
      <c r="E80" s="33"/>
      <c r="F80" s="33"/>
      <c r="G80" s="33"/>
      <c r="H80" s="33"/>
      <c r="I80" s="33"/>
      <c r="J80" s="33"/>
      <c r="K80" s="53"/>
      <c r="L80" s="53"/>
      <c r="M80" s="54"/>
      <c r="N80" s="54"/>
      <c r="O80" s="54"/>
      <c r="P80" s="54"/>
      <c r="Q80" s="54"/>
      <c r="R80" s="66"/>
      <c r="S80" s="54"/>
      <c r="T80" s="33"/>
      <c r="U80" s="37"/>
      <c r="V80" s="33"/>
      <c r="W80" s="33"/>
    </row>
    <row r="81" spans="1:23" ht="18" customHeight="1" x14ac:dyDescent="0.2">
      <c r="A81" s="55" t="s">
        <v>576</v>
      </c>
      <c r="B81" s="33"/>
      <c r="C81" s="33"/>
      <c r="D81" s="33"/>
      <c r="E81" s="33"/>
      <c r="F81" s="33"/>
      <c r="G81" s="33"/>
      <c r="H81" s="33"/>
      <c r="I81" s="33"/>
      <c r="J81" s="33"/>
      <c r="K81" s="53"/>
      <c r="L81" s="53"/>
      <c r="M81" s="54"/>
      <c r="N81" s="54"/>
      <c r="O81" s="54"/>
      <c r="P81" s="54"/>
      <c r="Q81" s="54"/>
      <c r="R81" s="66"/>
      <c r="S81" s="54"/>
      <c r="T81" s="33"/>
      <c r="U81" s="37"/>
      <c r="V81" s="33"/>
      <c r="W81" s="33"/>
    </row>
    <row r="82" spans="1:23" ht="18" customHeight="1" x14ac:dyDescent="0.2">
      <c r="A82" s="55" t="s">
        <v>577</v>
      </c>
      <c r="B82" s="33"/>
      <c r="C82" s="33"/>
      <c r="D82" s="33"/>
      <c r="E82" s="33"/>
      <c r="F82" s="33"/>
      <c r="G82" s="33"/>
      <c r="H82" s="33"/>
      <c r="I82" s="33"/>
      <c r="J82" s="33"/>
      <c r="K82" s="53"/>
      <c r="L82" s="53"/>
      <c r="M82" s="54"/>
      <c r="N82" s="54"/>
      <c r="O82" s="54"/>
      <c r="P82" s="54"/>
      <c r="Q82" s="54"/>
      <c r="R82" s="66"/>
      <c r="S82" s="54"/>
      <c r="T82" s="33"/>
      <c r="U82" s="37"/>
      <c r="V82" s="33"/>
      <c r="W82" s="33"/>
    </row>
    <row r="83" spans="1:23" ht="18" customHeight="1" x14ac:dyDescent="0.2">
      <c r="A83" s="16" t="s">
        <v>578</v>
      </c>
      <c r="B83" s="33"/>
      <c r="C83" s="33"/>
      <c r="D83" s="33"/>
      <c r="E83" s="33"/>
      <c r="F83" s="33"/>
      <c r="G83" s="33"/>
      <c r="H83" s="33"/>
      <c r="I83" s="33"/>
      <c r="J83" s="33"/>
      <c r="K83" s="53"/>
      <c r="L83" s="53"/>
      <c r="M83" s="54"/>
      <c r="N83" s="54"/>
      <c r="O83" s="54"/>
      <c r="P83" s="54"/>
      <c r="Q83" s="54"/>
      <c r="R83" s="66"/>
      <c r="S83" s="54"/>
      <c r="T83" s="33"/>
      <c r="U83" s="37"/>
      <c r="V83" s="33"/>
      <c r="W83" s="33"/>
    </row>
    <row r="84" spans="1:23" ht="18" customHeight="1" x14ac:dyDescent="0.2">
      <c r="A84" s="55" t="s">
        <v>579</v>
      </c>
      <c r="B84" s="33"/>
      <c r="C84" s="33"/>
      <c r="D84" s="33"/>
      <c r="E84" s="33"/>
      <c r="F84" s="33"/>
      <c r="G84" s="33"/>
      <c r="H84" s="33"/>
      <c r="I84" s="33"/>
      <c r="J84" s="33"/>
      <c r="K84" s="53"/>
      <c r="L84" s="53"/>
      <c r="M84" s="54"/>
      <c r="N84" s="54"/>
      <c r="O84" s="54"/>
      <c r="P84" s="54"/>
      <c r="Q84" s="54"/>
      <c r="R84" s="66"/>
      <c r="S84" s="54"/>
      <c r="T84" s="33"/>
      <c r="U84" s="37"/>
      <c r="V84" s="33"/>
      <c r="W84" s="33"/>
    </row>
    <row r="85" spans="1:23" ht="18" customHeight="1" x14ac:dyDescent="0.2">
      <c r="B85" s="33"/>
      <c r="C85" s="33"/>
      <c r="D85" s="33"/>
      <c r="E85" s="33"/>
      <c r="F85" s="33"/>
      <c r="G85" s="33"/>
      <c r="H85" s="33"/>
      <c r="I85" s="33"/>
      <c r="J85" s="33"/>
      <c r="K85" s="53"/>
      <c r="L85" s="53"/>
      <c r="M85" s="54"/>
      <c r="N85" s="54"/>
      <c r="O85" s="54"/>
      <c r="P85" s="54"/>
      <c r="Q85" s="54"/>
      <c r="R85" s="66"/>
      <c r="S85" s="54"/>
      <c r="T85" s="33"/>
      <c r="U85" s="37"/>
      <c r="V85" s="33"/>
      <c r="W85" s="33"/>
    </row>
    <row r="86" spans="1:23" ht="18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53"/>
      <c r="L86" s="53"/>
      <c r="M86" s="54"/>
      <c r="N86" s="54"/>
      <c r="O86" s="54"/>
      <c r="P86" s="54"/>
      <c r="Q86" s="54"/>
      <c r="R86" s="66"/>
      <c r="S86" s="54"/>
      <c r="T86" s="33"/>
      <c r="U86" s="37"/>
      <c r="V86" s="33"/>
      <c r="W86" s="33"/>
    </row>
    <row r="87" spans="1:23" ht="18" customHeight="1" x14ac:dyDescent="0.2">
      <c r="A87" s="56" t="s">
        <v>118</v>
      </c>
      <c r="B87" s="33"/>
      <c r="C87" s="33"/>
      <c r="D87" s="33"/>
      <c r="E87" s="33"/>
      <c r="F87" s="33"/>
      <c r="G87" s="33"/>
      <c r="H87" s="33"/>
      <c r="I87" s="33"/>
      <c r="J87" s="33"/>
      <c r="K87" s="53"/>
      <c r="L87" s="53"/>
      <c r="M87" s="54"/>
      <c r="N87" s="54"/>
      <c r="O87" s="54"/>
      <c r="P87" s="54"/>
      <c r="Q87" s="54"/>
      <c r="R87" s="66"/>
      <c r="S87" s="54"/>
      <c r="T87" s="33"/>
      <c r="U87" s="37"/>
      <c r="V87" s="33"/>
      <c r="W87" s="33"/>
    </row>
    <row r="88" spans="1:23" ht="18" customHeight="1" x14ac:dyDescent="0.2">
      <c r="A88" s="55" t="s">
        <v>173</v>
      </c>
      <c r="B88" s="33"/>
      <c r="C88" s="33"/>
      <c r="D88" s="33"/>
      <c r="E88" s="33"/>
      <c r="F88" s="33"/>
      <c r="G88" s="33"/>
      <c r="H88" s="33"/>
      <c r="I88" s="33"/>
      <c r="J88" s="33"/>
      <c r="K88" s="53"/>
      <c r="L88" s="53"/>
      <c r="M88" s="54"/>
      <c r="N88" s="54"/>
      <c r="O88" s="54"/>
      <c r="P88" s="54"/>
      <c r="Q88" s="54"/>
      <c r="R88" s="66"/>
      <c r="S88" s="54"/>
      <c r="T88" s="33"/>
      <c r="U88" s="37"/>
      <c r="V88" s="33"/>
      <c r="W88" s="33"/>
    </row>
    <row r="89" spans="1:23" ht="18" customHeight="1" x14ac:dyDescent="0.2">
      <c r="A89" s="55" t="s">
        <v>119</v>
      </c>
      <c r="B89" s="33"/>
      <c r="C89" s="33"/>
      <c r="D89" s="33"/>
      <c r="E89" s="33"/>
      <c r="F89" s="33"/>
      <c r="G89" s="33"/>
      <c r="H89" s="33"/>
      <c r="I89" s="33"/>
      <c r="J89" s="33"/>
      <c r="K89" s="53"/>
      <c r="L89" s="53"/>
      <c r="M89" s="54"/>
      <c r="N89" s="54"/>
      <c r="O89" s="54"/>
      <c r="P89" s="54"/>
      <c r="Q89" s="54"/>
      <c r="R89" s="66"/>
      <c r="S89" s="54"/>
      <c r="T89" s="33"/>
      <c r="U89" s="37"/>
      <c r="V89" s="33"/>
      <c r="W89" s="33"/>
    </row>
    <row r="90" spans="1:23" ht="18" customHeight="1" x14ac:dyDescent="0.2">
      <c r="A90" s="55" t="s">
        <v>174</v>
      </c>
      <c r="B90" s="33"/>
      <c r="C90" s="33"/>
      <c r="D90" s="33"/>
      <c r="E90" s="33"/>
      <c r="F90" s="33"/>
      <c r="G90" s="33"/>
      <c r="H90" s="33"/>
      <c r="I90" s="33"/>
      <c r="J90" s="33"/>
      <c r="K90" s="53"/>
      <c r="L90" s="53"/>
      <c r="M90" s="54"/>
      <c r="N90" s="54"/>
      <c r="O90" s="54"/>
      <c r="P90" s="54"/>
      <c r="Q90" s="54"/>
      <c r="R90" s="66"/>
      <c r="S90" s="54"/>
      <c r="T90" s="33"/>
      <c r="U90" s="37"/>
      <c r="V90" s="33"/>
      <c r="W90" s="33"/>
    </row>
    <row r="91" spans="1:23" ht="18" customHeight="1" x14ac:dyDescent="0.2">
      <c r="A91" s="55" t="s">
        <v>175</v>
      </c>
      <c r="B91" s="33"/>
      <c r="C91" s="33"/>
      <c r="D91" s="33"/>
      <c r="E91" s="33"/>
      <c r="F91" s="33"/>
      <c r="G91" s="33"/>
      <c r="H91" s="33"/>
      <c r="I91" s="33"/>
      <c r="J91" s="33"/>
      <c r="K91" s="53"/>
      <c r="L91" s="53"/>
      <c r="M91" s="54"/>
      <c r="N91" s="54"/>
      <c r="O91" s="54"/>
      <c r="P91" s="54"/>
      <c r="Q91" s="54"/>
      <c r="R91" s="66"/>
      <c r="S91" s="54"/>
      <c r="T91" s="33"/>
      <c r="U91" s="37"/>
      <c r="V91" s="33"/>
      <c r="W91" s="33"/>
    </row>
    <row r="92" spans="1:23" ht="18" customHeight="1" x14ac:dyDescent="0.2">
      <c r="A92" s="55" t="s">
        <v>120</v>
      </c>
      <c r="B92" s="33"/>
      <c r="C92" s="33"/>
      <c r="D92" s="33"/>
      <c r="E92" s="33"/>
      <c r="F92" s="33"/>
      <c r="G92" s="33"/>
      <c r="H92" s="33"/>
      <c r="I92" s="33"/>
      <c r="J92" s="33"/>
      <c r="K92" s="53"/>
      <c r="L92" s="53"/>
      <c r="M92" s="54"/>
      <c r="N92" s="54"/>
      <c r="O92" s="54"/>
      <c r="P92" s="54"/>
      <c r="Q92" s="54"/>
      <c r="R92" s="66"/>
      <c r="S92" s="54"/>
      <c r="T92" s="33"/>
      <c r="U92" s="37"/>
      <c r="V92" s="33"/>
      <c r="W92" s="33"/>
    </row>
    <row r="93" spans="1:23" ht="18" customHeight="1" x14ac:dyDescent="0.2">
      <c r="A93" s="55" t="s">
        <v>121</v>
      </c>
      <c r="B93" s="33"/>
      <c r="C93" s="33"/>
      <c r="D93" s="33"/>
      <c r="E93" s="33"/>
      <c r="F93" s="33"/>
      <c r="G93" s="33"/>
      <c r="H93" s="33"/>
      <c r="I93" s="33"/>
      <c r="J93" s="33"/>
      <c r="K93" s="53"/>
      <c r="L93" s="53"/>
      <c r="M93" s="54"/>
      <c r="N93" s="54"/>
      <c r="O93" s="54"/>
      <c r="P93" s="54"/>
      <c r="Q93" s="54"/>
      <c r="R93" s="66"/>
      <c r="S93" s="54"/>
      <c r="T93" s="33"/>
      <c r="U93" s="37"/>
      <c r="V93" s="33"/>
      <c r="W93" s="33"/>
    </row>
    <row r="94" spans="1:23" ht="18" customHeight="1" x14ac:dyDescent="0.2">
      <c r="A94" s="55" t="s">
        <v>122</v>
      </c>
      <c r="B94" s="33"/>
      <c r="C94" s="33"/>
      <c r="D94" s="33"/>
      <c r="E94" s="33"/>
      <c r="F94" s="33"/>
      <c r="G94" s="33"/>
      <c r="H94" s="33"/>
      <c r="I94" s="33"/>
      <c r="J94" s="33"/>
      <c r="K94" s="53"/>
      <c r="L94" s="53"/>
      <c r="M94" s="54"/>
      <c r="N94" s="54"/>
      <c r="O94" s="54"/>
      <c r="P94" s="54"/>
      <c r="Q94" s="54"/>
      <c r="R94" s="66"/>
      <c r="S94" s="54"/>
      <c r="T94" s="33"/>
      <c r="U94" s="37"/>
      <c r="V94" s="33"/>
      <c r="W94" s="33"/>
    </row>
    <row r="95" spans="1:23" ht="18" customHeight="1" x14ac:dyDescent="0.2">
      <c r="A95" s="55" t="s">
        <v>123</v>
      </c>
      <c r="B95" s="33"/>
      <c r="C95" s="33"/>
      <c r="D95" s="33"/>
      <c r="E95" s="33"/>
      <c r="F95" s="33"/>
      <c r="G95" s="33"/>
      <c r="H95" s="33"/>
      <c r="I95" s="33"/>
      <c r="J95" s="33"/>
      <c r="K95" s="53"/>
      <c r="L95" s="53"/>
      <c r="M95" s="54"/>
      <c r="N95" s="54"/>
      <c r="O95" s="54"/>
      <c r="P95" s="54"/>
      <c r="Q95" s="54"/>
      <c r="R95" s="66"/>
      <c r="S95" s="54"/>
      <c r="T95" s="33"/>
      <c r="U95" s="37"/>
      <c r="V95" s="33"/>
      <c r="W95" s="33"/>
    </row>
    <row r="96" spans="1:23" ht="18" customHeight="1" x14ac:dyDescent="0.2">
      <c r="A96" s="55" t="s">
        <v>176</v>
      </c>
      <c r="B96" s="33"/>
      <c r="C96" s="33"/>
      <c r="D96" s="33"/>
      <c r="E96" s="33"/>
      <c r="F96" s="33"/>
      <c r="G96" s="33"/>
      <c r="H96" s="33"/>
      <c r="I96" s="33"/>
      <c r="J96" s="33"/>
      <c r="K96" s="53"/>
      <c r="L96" s="53"/>
      <c r="M96" s="54"/>
      <c r="N96" s="54"/>
      <c r="O96" s="54"/>
      <c r="P96" s="54"/>
      <c r="Q96" s="54"/>
      <c r="R96" s="66"/>
      <c r="S96" s="54"/>
      <c r="T96" s="33"/>
      <c r="U96" s="37"/>
      <c r="V96" s="33"/>
      <c r="W96" s="33"/>
    </row>
    <row r="97" spans="1:23" ht="18" customHeight="1" x14ac:dyDescent="0.2">
      <c r="A97" s="55" t="s">
        <v>124</v>
      </c>
      <c r="B97" s="33"/>
      <c r="C97" s="33"/>
      <c r="D97" s="33"/>
      <c r="E97" s="33"/>
      <c r="F97" s="33"/>
      <c r="G97" s="33"/>
      <c r="H97" s="33"/>
      <c r="I97" s="33"/>
      <c r="J97" s="33"/>
      <c r="K97" s="53"/>
      <c r="L97" s="53"/>
      <c r="M97" s="54"/>
      <c r="N97" s="54"/>
      <c r="O97" s="54"/>
      <c r="P97" s="54"/>
      <c r="Q97" s="54"/>
      <c r="R97" s="66"/>
      <c r="S97" s="54"/>
      <c r="T97" s="33"/>
      <c r="U97" s="37"/>
      <c r="V97" s="33"/>
      <c r="W97" s="33"/>
    </row>
    <row r="98" spans="1:23" ht="16" customHeight="1" x14ac:dyDescent="0.2">
      <c r="A98" s="57"/>
      <c r="B98" s="33"/>
      <c r="C98" s="33"/>
      <c r="D98" s="33"/>
      <c r="E98" s="33"/>
      <c r="F98" s="33"/>
      <c r="G98" s="33"/>
      <c r="H98" s="33"/>
      <c r="I98" s="33"/>
      <c r="J98" s="33"/>
      <c r="K98" s="53"/>
      <c r="L98" s="53"/>
      <c r="M98" s="54"/>
      <c r="N98" s="54"/>
      <c r="O98" s="54"/>
      <c r="P98" s="54"/>
      <c r="Q98" s="54"/>
      <c r="R98" s="66"/>
      <c r="S98" s="54"/>
      <c r="T98" s="33"/>
      <c r="U98" s="37"/>
      <c r="V98" s="33"/>
      <c r="W98" s="33"/>
    </row>
    <row r="99" spans="1:23" ht="16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53"/>
      <c r="L99" s="53"/>
      <c r="M99" s="54"/>
      <c r="N99" s="54"/>
      <c r="O99" s="54"/>
      <c r="P99" s="54"/>
      <c r="Q99" s="54"/>
      <c r="R99" s="66"/>
      <c r="S99" s="54"/>
      <c r="T99" s="33"/>
      <c r="U99" s="37"/>
      <c r="V99" s="33"/>
      <c r="W99" s="33"/>
    </row>
    <row r="100" spans="1:23" ht="16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53"/>
      <c r="L100" s="53"/>
      <c r="M100" s="54"/>
      <c r="N100" s="54"/>
      <c r="O100" s="54"/>
      <c r="P100" s="54"/>
      <c r="Q100" s="54"/>
      <c r="R100" s="66"/>
      <c r="S100" s="54"/>
      <c r="T100" s="33"/>
      <c r="U100" s="37"/>
      <c r="V100" s="33"/>
      <c r="W100" s="33"/>
    </row>
    <row r="101" spans="1:23" ht="1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53"/>
      <c r="L101" s="53"/>
      <c r="M101" s="54"/>
      <c r="N101" s="54"/>
      <c r="O101" s="54"/>
      <c r="P101" s="54"/>
      <c r="Q101" s="54"/>
      <c r="R101" s="66"/>
      <c r="S101" s="54"/>
      <c r="T101" s="33"/>
      <c r="U101" s="37"/>
      <c r="V101" s="33"/>
      <c r="W101" s="33"/>
    </row>
    <row r="102" spans="1:23" ht="1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53"/>
      <c r="L102" s="53"/>
      <c r="M102" s="54"/>
      <c r="N102" s="54"/>
      <c r="O102" s="54"/>
      <c r="P102" s="54"/>
      <c r="Q102" s="54"/>
      <c r="R102" s="66"/>
      <c r="S102" s="54"/>
      <c r="T102" s="33"/>
      <c r="U102" s="37"/>
      <c r="V102" s="33"/>
      <c r="W102" s="33"/>
    </row>
    <row r="103" spans="1:23" ht="1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53"/>
      <c r="L103" s="53"/>
      <c r="M103" s="54"/>
      <c r="N103" s="54"/>
      <c r="O103" s="54"/>
      <c r="P103" s="54"/>
      <c r="Q103" s="54"/>
      <c r="R103" s="66"/>
      <c r="S103" s="54"/>
      <c r="T103" s="33"/>
      <c r="U103" s="37"/>
      <c r="V103" s="33"/>
      <c r="W103" s="33"/>
    </row>
    <row r="104" spans="1:23" ht="1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53"/>
      <c r="L104" s="53"/>
      <c r="M104" s="54"/>
      <c r="N104" s="54"/>
      <c r="O104" s="54"/>
      <c r="P104" s="54"/>
      <c r="Q104" s="54"/>
      <c r="R104" s="66"/>
      <c r="S104" s="54"/>
      <c r="T104" s="33"/>
      <c r="U104" s="37"/>
      <c r="V104" s="33"/>
      <c r="W104" s="33"/>
    </row>
    <row r="105" spans="1:23" ht="1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53"/>
      <c r="L105" s="53"/>
      <c r="M105" s="54"/>
      <c r="N105" s="54"/>
      <c r="O105" s="54"/>
      <c r="P105" s="54"/>
      <c r="Q105" s="54"/>
      <c r="R105" s="66"/>
      <c r="S105" s="54"/>
      <c r="T105" s="33"/>
      <c r="U105" s="37"/>
      <c r="V105" s="33"/>
      <c r="W105" s="33"/>
    </row>
    <row r="106" spans="1:23" ht="1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53"/>
      <c r="L106" s="53"/>
      <c r="M106" s="54"/>
      <c r="N106" s="54"/>
      <c r="O106" s="54"/>
      <c r="P106" s="54"/>
      <c r="Q106" s="54"/>
      <c r="R106" s="66"/>
      <c r="S106" s="54"/>
      <c r="T106" s="33"/>
      <c r="U106" s="37"/>
      <c r="V106" s="33"/>
      <c r="W106" s="33"/>
    </row>
    <row r="107" spans="1:23" ht="14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53"/>
      <c r="L107" s="53"/>
      <c r="M107" s="54"/>
      <c r="N107" s="54"/>
      <c r="O107" s="54"/>
      <c r="P107" s="54"/>
      <c r="Q107" s="54"/>
      <c r="R107" s="66"/>
      <c r="S107" s="54"/>
      <c r="T107" s="33"/>
      <c r="U107" s="37"/>
      <c r="V107" s="33"/>
      <c r="W107" s="33"/>
    </row>
    <row r="108" spans="1:23" ht="14" customHeight="1" x14ac:dyDescent="0.2">
      <c r="A108" s="58"/>
      <c r="B108" s="33"/>
      <c r="C108" s="33"/>
      <c r="D108" s="33"/>
      <c r="E108" s="33"/>
      <c r="F108" s="33"/>
      <c r="G108" s="33"/>
      <c r="H108" s="33"/>
      <c r="I108" s="33"/>
      <c r="J108" s="33"/>
      <c r="K108" s="53"/>
      <c r="L108" s="53"/>
      <c r="M108" s="54"/>
      <c r="N108" s="54"/>
      <c r="O108" s="54"/>
      <c r="P108" s="54"/>
      <c r="Q108" s="54"/>
      <c r="R108" s="66"/>
      <c r="S108" s="54"/>
      <c r="T108" s="33"/>
      <c r="U108" s="37"/>
      <c r="V108" s="33"/>
      <c r="W108" s="33"/>
    </row>
    <row r="109" spans="1:23" ht="14" customHeight="1" x14ac:dyDescent="0.2">
      <c r="A109" s="58"/>
      <c r="B109" s="33"/>
      <c r="C109" s="33"/>
      <c r="D109" s="33"/>
      <c r="E109" s="33"/>
      <c r="F109" s="33"/>
      <c r="G109" s="33"/>
      <c r="H109" s="33"/>
      <c r="I109" s="33"/>
      <c r="J109" s="33"/>
      <c r="K109" s="53"/>
      <c r="L109" s="53"/>
      <c r="M109" s="54"/>
      <c r="N109" s="54"/>
      <c r="O109" s="54"/>
      <c r="P109" s="54"/>
      <c r="Q109" s="54"/>
      <c r="R109" s="66"/>
      <c r="S109" s="54"/>
      <c r="T109" s="33"/>
      <c r="U109" s="37"/>
      <c r="V109" s="33"/>
      <c r="W109" s="33"/>
    </row>
    <row r="110" spans="1:23" ht="14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53"/>
      <c r="L110" s="53"/>
      <c r="M110" s="54"/>
      <c r="N110" s="54"/>
      <c r="O110" s="54"/>
      <c r="P110" s="54"/>
      <c r="Q110" s="54"/>
      <c r="R110" s="66"/>
      <c r="S110" s="54"/>
      <c r="T110" s="33"/>
      <c r="U110" s="37"/>
      <c r="V110" s="33"/>
      <c r="W110" s="33"/>
    </row>
  </sheetData>
  <customSheetViews>
    <customSheetView guid="{7E300709-2B24-5346-985F-C9582FDE5965}">
      <selection activeCell="A2" sqref="A2"/>
      <pageMargins left="0.7" right="0.7" top="0.75" bottom="0.75" header="0.3" footer="0.3"/>
      <pageSetup orientation="portrait" horizontalDpi="0" verticalDpi="0"/>
    </customSheetView>
    <customSheetView guid="{F8C1E1B3-17A0-4D5A-A664-2D5609CE131A}">
      <pane ySplit="2" topLeftCell="A12" activePane="bottomLeft" state="frozenSplit"/>
      <selection pane="bottomLeft" activeCell="R34" sqref="R34"/>
      <pageMargins left="0.7" right="0.7" top="0.75" bottom="0.75" header="0.3" footer="0.3"/>
      <pageSetup orientation="portrait" horizontalDpi="0" verticalDpi="0"/>
    </customSheetView>
  </customSheetViews>
  <mergeCells count="40">
    <mergeCell ref="B7:B10"/>
    <mergeCell ref="B11:B15"/>
    <mergeCell ref="B16:B21"/>
    <mergeCell ref="A66:A74"/>
    <mergeCell ref="B66:B74"/>
    <mergeCell ref="B57:B59"/>
    <mergeCell ref="B60:B65"/>
    <mergeCell ref="A57:A65"/>
    <mergeCell ref="N5:N6"/>
    <mergeCell ref="B47:B49"/>
    <mergeCell ref="A47:A56"/>
    <mergeCell ref="B30:B31"/>
    <mergeCell ref="A22:A39"/>
    <mergeCell ref="A40:A46"/>
    <mergeCell ref="B27:B29"/>
    <mergeCell ref="B35:B39"/>
    <mergeCell ref="B23:B26"/>
    <mergeCell ref="B32:B33"/>
    <mergeCell ref="B40:B45"/>
    <mergeCell ref="B50:B52"/>
    <mergeCell ref="B54:B56"/>
    <mergeCell ref="B5:B6"/>
    <mergeCell ref="A5:A6"/>
    <mergeCell ref="A7:A21"/>
    <mergeCell ref="R5:R6"/>
    <mergeCell ref="U5:U6"/>
    <mergeCell ref="V5:V6"/>
    <mergeCell ref="C5:C6"/>
    <mergeCell ref="J5:J6"/>
    <mergeCell ref="K5:K6"/>
    <mergeCell ref="T5:T6"/>
    <mergeCell ref="L5:L6"/>
    <mergeCell ref="M5:M6"/>
    <mergeCell ref="F5:F6"/>
    <mergeCell ref="G5:G6"/>
    <mergeCell ref="H5:I5"/>
    <mergeCell ref="Q5:Q6"/>
    <mergeCell ref="O6:P6"/>
    <mergeCell ref="S5:S6"/>
    <mergeCell ref="D5:E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313"/>
  <sheetViews>
    <sheetView workbookViewId="0">
      <selection activeCell="A5" sqref="A5:A6"/>
    </sheetView>
  </sheetViews>
  <sheetFormatPr baseColWidth="10" defaultRowHeight="14" x14ac:dyDescent="0.2"/>
  <cols>
    <col min="1" max="1" width="8.59765625" style="20" customWidth="1"/>
    <col min="2" max="2" width="28.796875" style="20" customWidth="1"/>
    <col min="3" max="3" width="14.19921875" style="20" customWidth="1"/>
    <col min="4" max="4" width="11.19921875" style="20" customWidth="1"/>
    <col min="5" max="5" width="11.19921875" style="20" bestFit="1" customWidth="1"/>
    <col min="6" max="6" width="12.59765625" style="20" customWidth="1"/>
    <col min="7" max="8" width="11.19921875" style="20" bestFit="1" customWidth="1"/>
    <col min="9" max="9" width="11.59765625" style="20" customWidth="1"/>
    <col min="10" max="10" width="15.796875" style="20" customWidth="1"/>
    <col min="11" max="11" width="11.19921875" style="20" bestFit="1" customWidth="1"/>
    <col min="12" max="12" width="14.19921875" style="20" customWidth="1"/>
    <col min="13" max="13" width="16" style="20" customWidth="1"/>
    <col min="14" max="14" width="14.59765625" style="20" customWidth="1"/>
    <col min="15" max="15" width="14.796875" style="20" customWidth="1"/>
    <col min="16" max="16" width="17.3984375" style="20" customWidth="1"/>
    <col min="17" max="17" width="11.19921875" style="20" bestFit="1" customWidth="1"/>
    <col min="18" max="18" width="4" style="20" customWidth="1"/>
    <col min="19" max="19" width="12.59765625" style="20" customWidth="1"/>
    <col min="20" max="21" width="15" style="20" customWidth="1"/>
    <col min="22" max="22" width="4" style="20" customWidth="1"/>
    <col min="23" max="23" width="11.3984375" style="20" customWidth="1"/>
    <col min="24" max="16384" width="11" style="20"/>
  </cols>
  <sheetData>
    <row r="1" spans="1:23" ht="16" customHeight="1" x14ac:dyDescent="0.2">
      <c r="A1" s="320" t="s">
        <v>727</v>
      </c>
    </row>
    <row r="2" spans="1:23" ht="16" customHeight="1" x14ac:dyDescent="0.2">
      <c r="A2" s="319" t="s">
        <v>728</v>
      </c>
    </row>
    <row r="3" spans="1:23" ht="16" customHeight="1" x14ac:dyDescent="0.2">
      <c r="A3" s="320" t="s">
        <v>655</v>
      </c>
    </row>
    <row r="4" spans="1:23" ht="16" customHeight="1" x14ac:dyDescent="0.2"/>
    <row r="5" spans="1:23" ht="44" x14ac:dyDescent="0.2">
      <c r="A5" s="466" t="s">
        <v>71</v>
      </c>
      <c r="B5" s="465" t="s">
        <v>72</v>
      </c>
      <c r="C5" s="267" t="s">
        <v>128</v>
      </c>
      <c r="D5" s="75" t="s">
        <v>129</v>
      </c>
      <c r="E5" s="75" t="s">
        <v>130</v>
      </c>
      <c r="F5" s="224" t="s">
        <v>131</v>
      </c>
      <c r="G5" s="224" t="s">
        <v>131</v>
      </c>
      <c r="H5" s="224" t="s">
        <v>132</v>
      </c>
      <c r="I5" s="224" t="s">
        <v>133</v>
      </c>
      <c r="J5" s="224" t="s">
        <v>138</v>
      </c>
      <c r="K5" s="224" t="s">
        <v>134</v>
      </c>
      <c r="L5" s="221" t="s">
        <v>170</v>
      </c>
      <c r="M5" s="219" t="s">
        <v>171</v>
      </c>
      <c r="N5" s="267" t="s">
        <v>139</v>
      </c>
      <c r="O5" s="219" t="s">
        <v>636</v>
      </c>
      <c r="P5" s="219" t="s">
        <v>637</v>
      </c>
      <c r="Q5" s="224" t="s">
        <v>140</v>
      </c>
      <c r="R5" s="224"/>
      <c r="S5" s="268" t="s">
        <v>638</v>
      </c>
      <c r="T5" s="220" t="s">
        <v>639</v>
      </c>
      <c r="U5" s="220" t="s">
        <v>640</v>
      </c>
      <c r="V5" s="464"/>
      <c r="W5" s="472" t="s">
        <v>182</v>
      </c>
    </row>
    <row r="6" spans="1:23" ht="27" customHeight="1" x14ac:dyDescent="0.2">
      <c r="A6" s="466"/>
      <c r="B6" s="465"/>
      <c r="C6" s="267"/>
      <c r="D6" s="75" t="s">
        <v>135</v>
      </c>
      <c r="E6" s="75" t="s">
        <v>135</v>
      </c>
      <c r="F6" s="224" t="s">
        <v>136</v>
      </c>
      <c r="G6" s="224" t="s">
        <v>193</v>
      </c>
      <c r="H6" s="224" t="s">
        <v>137</v>
      </c>
      <c r="I6" s="224" t="s">
        <v>641</v>
      </c>
      <c r="J6" s="224"/>
      <c r="K6" s="224" t="s">
        <v>642</v>
      </c>
      <c r="L6" s="19" t="s">
        <v>172</v>
      </c>
      <c r="M6" s="19" t="s">
        <v>172</v>
      </c>
      <c r="N6" s="19"/>
      <c r="O6" s="19" t="s">
        <v>172</v>
      </c>
      <c r="P6" s="19" t="s">
        <v>172</v>
      </c>
      <c r="Q6" s="19"/>
      <c r="R6" s="19"/>
      <c r="S6" s="36" t="s">
        <v>141</v>
      </c>
      <c r="T6" s="36" t="s">
        <v>141</v>
      </c>
      <c r="U6" s="36" t="s">
        <v>141</v>
      </c>
      <c r="V6" s="464"/>
      <c r="W6" s="472"/>
    </row>
    <row r="7" spans="1:23" ht="16" customHeight="1" x14ac:dyDescent="0.2">
      <c r="A7" s="462" t="s">
        <v>79</v>
      </c>
      <c r="B7" s="461" t="s">
        <v>518</v>
      </c>
      <c r="C7" s="20" t="s">
        <v>64</v>
      </c>
      <c r="D7" s="300">
        <v>45.403750000000002</v>
      </c>
      <c r="E7" s="300">
        <v>97.070390000000003</v>
      </c>
      <c r="F7" s="223">
        <v>3289</v>
      </c>
      <c r="G7" s="223" t="s">
        <v>142</v>
      </c>
      <c r="H7" s="223">
        <v>1</v>
      </c>
      <c r="I7" s="223">
        <v>2.65</v>
      </c>
      <c r="J7" s="223">
        <v>0.99</v>
      </c>
      <c r="K7" s="223">
        <v>0</v>
      </c>
      <c r="L7" s="269">
        <v>311900</v>
      </c>
      <c r="M7" s="269">
        <v>10300</v>
      </c>
      <c r="N7" s="36" t="s">
        <v>25</v>
      </c>
      <c r="O7" s="223">
        <v>0</v>
      </c>
      <c r="P7" s="223">
        <v>0</v>
      </c>
      <c r="Q7" s="223">
        <v>0</v>
      </c>
      <c r="R7" s="270"/>
      <c r="S7" s="433">
        <f>H97/1000</f>
        <v>6.88</v>
      </c>
      <c r="T7" s="272">
        <f>I97/1000</f>
        <v>0.443</v>
      </c>
      <c r="U7" s="272">
        <f>G97/1000</f>
        <v>0.22800000000000001</v>
      </c>
      <c r="V7" s="271"/>
      <c r="W7" s="20" t="s">
        <v>183</v>
      </c>
    </row>
    <row r="8" spans="1:23" ht="16" customHeight="1" x14ac:dyDescent="0.2">
      <c r="A8" s="463"/>
      <c r="B8" s="461"/>
      <c r="C8" s="20" t="s">
        <v>65</v>
      </c>
      <c r="D8" s="300">
        <v>45.403750000000002</v>
      </c>
      <c r="E8" s="300">
        <v>97.070390000000003</v>
      </c>
      <c r="F8" s="223">
        <v>3289</v>
      </c>
      <c r="G8" s="223" t="s">
        <v>142</v>
      </c>
      <c r="H8" s="223">
        <v>2</v>
      </c>
      <c r="I8" s="223">
        <v>2.65</v>
      </c>
      <c r="J8" s="223">
        <v>0.99</v>
      </c>
      <c r="K8" s="223">
        <v>0</v>
      </c>
      <c r="L8" s="269">
        <v>366200</v>
      </c>
      <c r="M8" s="269">
        <v>7600</v>
      </c>
      <c r="N8" s="36" t="s">
        <v>25</v>
      </c>
      <c r="O8" s="223">
        <v>0</v>
      </c>
      <c r="P8" s="223">
        <v>0</v>
      </c>
      <c r="Q8" s="223">
        <v>0</v>
      </c>
      <c r="R8" s="270"/>
      <c r="S8" s="433">
        <f t="shared" ref="S8:T8" si="0">H98/1000</f>
        <v>8.1470000000000002</v>
      </c>
      <c r="T8" s="272">
        <f t="shared" si="0"/>
        <v>0.48099999999999998</v>
      </c>
      <c r="U8" s="272">
        <f t="shared" ref="U8:U71" si="1">G98/1000</f>
        <v>0.16900000000000001</v>
      </c>
      <c r="V8" s="271"/>
      <c r="W8" s="20" t="s">
        <v>183</v>
      </c>
    </row>
    <row r="9" spans="1:23" ht="16" customHeight="1" x14ac:dyDescent="0.2">
      <c r="A9" s="463"/>
      <c r="B9" s="461"/>
      <c r="C9" s="20" t="s">
        <v>73</v>
      </c>
      <c r="D9" s="300">
        <v>45.402250000000002</v>
      </c>
      <c r="E9" s="300">
        <v>97.070239999999998</v>
      </c>
      <c r="F9" s="223">
        <v>3327</v>
      </c>
      <c r="G9" s="223" t="s">
        <v>142</v>
      </c>
      <c r="H9" s="223">
        <v>2</v>
      </c>
      <c r="I9" s="223">
        <v>2.65</v>
      </c>
      <c r="J9" s="223">
        <v>0.99</v>
      </c>
      <c r="K9" s="223">
        <v>0</v>
      </c>
      <c r="L9" s="269">
        <v>243200</v>
      </c>
      <c r="M9" s="269">
        <v>15400</v>
      </c>
      <c r="N9" s="36" t="s">
        <v>24</v>
      </c>
      <c r="O9" s="223">
        <v>0</v>
      </c>
      <c r="P9" s="223">
        <v>0</v>
      </c>
      <c r="Q9" s="223">
        <v>0</v>
      </c>
      <c r="R9" s="270"/>
      <c r="S9" s="433">
        <f t="shared" ref="S9:T9" si="2">H99/1000</f>
        <v>5.2880000000000003</v>
      </c>
      <c r="T9" s="272">
        <f t="shared" si="2"/>
        <v>0.44500000000000001</v>
      </c>
      <c r="U9" s="272">
        <f t="shared" si="1"/>
        <v>0.33500000000000002</v>
      </c>
      <c r="V9" s="271"/>
      <c r="W9" s="20" t="s">
        <v>183</v>
      </c>
    </row>
    <row r="10" spans="1:23" ht="16" customHeight="1" x14ac:dyDescent="0.2">
      <c r="A10" s="463"/>
      <c r="B10" s="461"/>
      <c r="C10" s="20" t="s">
        <v>74</v>
      </c>
      <c r="D10" s="300">
        <v>45.403889999999997</v>
      </c>
      <c r="E10" s="300">
        <v>97.070279999999997</v>
      </c>
      <c r="F10" s="223">
        <v>3283</v>
      </c>
      <c r="G10" s="223" t="s">
        <v>142</v>
      </c>
      <c r="H10" s="223">
        <v>2</v>
      </c>
      <c r="I10" s="223">
        <v>2.65</v>
      </c>
      <c r="J10" s="223">
        <v>0.99</v>
      </c>
      <c r="K10" s="223">
        <v>0</v>
      </c>
      <c r="L10" s="269">
        <v>334700</v>
      </c>
      <c r="M10" s="269">
        <v>12700</v>
      </c>
      <c r="N10" s="36" t="s">
        <v>24</v>
      </c>
      <c r="O10" s="223">
        <v>0</v>
      </c>
      <c r="P10" s="223">
        <v>0</v>
      </c>
      <c r="Q10" s="223">
        <v>0</v>
      </c>
      <c r="R10" s="270"/>
      <c r="S10" s="433">
        <f t="shared" ref="S10:T10" si="3">H100/1000</f>
        <v>7.4720000000000004</v>
      </c>
      <c r="T10" s="272">
        <f t="shared" si="3"/>
        <v>0.501</v>
      </c>
      <c r="U10" s="272">
        <f t="shared" si="1"/>
        <v>0.28399999999999997</v>
      </c>
      <c r="V10" s="271"/>
      <c r="W10" s="20" t="s">
        <v>183</v>
      </c>
    </row>
    <row r="11" spans="1:23" ht="16" customHeight="1" x14ac:dyDescent="0.2">
      <c r="A11" s="463"/>
      <c r="B11" s="461" t="s">
        <v>519</v>
      </c>
      <c r="C11" s="20" t="s">
        <v>62</v>
      </c>
      <c r="D11" s="300">
        <v>45.401389999999999</v>
      </c>
      <c r="E11" s="300">
        <v>97.07011</v>
      </c>
      <c r="F11" s="223">
        <v>3340</v>
      </c>
      <c r="G11" s="223" t="s">
        <v>142</v>
      </c>
      <c r="H11" s="223">
        <v>2</v>
      </c>
      <c r="I11" s="223">
        <v>2.65</v>
      </c>
      <c r="J11" s="223">
        <v>0.99</v>
      </c>
      <c r="K11" s="223">
        <v>0</v>
      </c>
      <c r="L11" s="269">
        <v>72500</v>
      </c>
      <c r="M11" s="269">
        <v>4200</v>
      </c>
      <c r="N11" s="36" t="s">
        <v>25</v>
      </c>
      <c r="O11" s="223">
        <v>0</v>
      </c>
      <c r="P11" s="223">
        <v>0</v>
      </c>
      <c r="Q11" s="223">
        <v>0</v>
      </c>
      <c r="R11" s="270"/>
      <c r="S11" s="433">
        <f t="shared" ref="S11:T11" si="4">H101/1000</f>
        <v>1.5629999999999999</v>
      </c>
      <c r="T11" s="272">
        <f t="shared" si="4"/>
        <v>0.125</v>
      </c>
      <c r="U11" s="272">
        <f t="shared" si="1"/>
        <v>9.0999999999999998E-2</v>
      </c>
      <c r="V11" s="271"/>
      <c r="W11" s="20" t="s">
        <v>183</v>
      </c>
    </row>
    <row r="12" spans="1:23" ht="16" customHeight="1" x14ac:dyDescent="0.2">
      <c r="A12" s="463"/>
      <c r="B12" s="461"/>
      <c r="C12" s="20" t="s">
        <v>63</v>
      </c>
      <c r="D12" s="300">
        <v>45.401389999999999</v>
      </c>
      <c r="E12" s="300">
        <v>97.07011</v>
      </c>
      <c r="F12" s="223">
        <v>3340</v>
      </c>
      <c r="G12" s="223" t="s">
        <v>142</v>
      </c>
      <c r="H12" s="223">
        <v>2</v>
      </c>
      <c r="I12" s="223">
        <v>2.65</v>
      </c>
      <c r="J12" s="223">
        <v>0.99</v>
      </c>
      <c r="K12" s="223">
        <v>0</v>
      </c>
      <c r="L12" s="269">
        <v>148400</v>
      </c>
      <c r="M12" s="269">
        <v>3500</v>
      </c>
      <c r="N12" s="36" t="s">
        <v>25</v>
      </c>
      <c r="O12" s="223">
        <v>0</v>
      </c>
      <c r="P12" s="223">
        <v>0</v>
      </c>
      <c r="Q12" s="223">
        <v>0</v>
      </c>
      <c r="R12" s="270"/>
      <c r="S12" s="433">
        <f t="shared" ref="S12:T12" si="5">H102/1000</f>
        <v>3.2010000000000001</v>
      </c>
      <c r="T12" s="272">
        <f t="shared" si="5"/>
        <v>0.192</v>
      </c>
      <c r="U12" s="272">
        <f t="shared" si="1"/>
        <v>7.5999999999999998E-2</v>
      </c>
      <c r="V12" s="271"/>
      <c r="W12" s="20" t="s">
        <v>183</v>
      </c>
    </row>
    <row r="13" spans="1:23" ht="16" customHeight="1" x14ac:dyDescent="0.2">
      <c r="A13" s="463"/>
      <c r="B13" s="461"/>
      <c r="C13" s="20" t="s">
        <v>59</v>
      </c>
      <c r="D13" s="300">
        <v>45.401530000000001</v>
      </c>
      <c r="E13" s="300">
        <v>97.069720000000004</v>
      </c>
      <c r="F13" s="223">
        <v>3361</v>
      </c>
      <c r="G13" s="223" t="s">
        <v>142</v>
      </c>
      <c r="H13" s="223">
        <v>2</v>
      </c>
      <c r="I13" s="223">
        <v>2.65</v>
      </c>
      <c r="J13" s="223">
        <v>0.99</v>
      </c>
      <c r="K13" s="223">
        <v>0</v>
      </c>
      <c r="L13" s="269">
        <v>37400</v>
      </c>
      <c r="M13" s="269">
        <v>1200</v>
      </c>
      <c r="N13" s="36" t="s">
        <v>25</v>
      </c>
      <c r="O13" s="223">
        <v>0</v>
      </c>
      <c r="P13" s="223">
        <v>0</v>
      </c>
      <c r="Q13" s="223">
        <v>0</v>
      </c>
      <c r="R13" s="270"/>
      <c r="S13" s="433">
        <f t="shared" ref="S13:T13" si="6">H103/1000</f>
        <v>0.79600000000000004</v>
      </c>
      <c r="T13" s="272">
        <f t="shared" si="6"/>
        <v>5.0999999999999997E-2</v>
      </c>
      <c r="U13" s="272">
        <f t="shared" si="1"/>
        <v>2.5999999999999999E-2</v>
      </c>
      <c r="V13" s="271"/>
      <c r="W13" s="20" t="s">
        <v>183</v>
      </c>
    </row>
    <row r="14" spans="1:23" ht="16" customHeight="1" x14ac:dyDescent="0.2">
      <c r="A14" s="463"/>
      <c r="B14" s="461"/>
      <c r="C14" s="20" t="s">
        <v>60</v>
      </c>
      <c r="D14" s="300">
        <v>45.401530000000001</v>
      </c>
      <c r="E14" s="300">
        <v>97.069720000000004</v>
      </c>
      <c r="F14" s="223">
        <v>3361</v>
      </c>
      <c r="G14" s="223" t="s">
        <v>142</v>
      </c>
      <c r="H14" s="223">
        <v>5</v>
      </c>
      <c r="I14" s="223">
        <v>2.65</v>
      </c>
      <c r="J14" s="223">
        <v>0.99</v>
      </c>
      <c r="K14" s="223">
        <v>0</v>
      </c>
      <c r="L14" s="269">
        <v>128900</v>
      </c>
      <c r="M14" s="269">
        <v>3600</v>
      </c>
      <c r="N14" s="36" t="s">
        <v>25</v>
      </c>
      <c r="O14" s="223">
        <v>0</v>
      </c>
      <c r="P14" s="223">
        <v>0</v>
      </c>
      <c r="Q14" s="223">
        <v>0</v>
      </c>
      <c r="R14" s="270"/>
      <c r="S14" s="433">
        <f t="shared" ref="S14:T14" si="7">H104/1000</f>
        <v>2.8140000000000001</v>
      </c>
      <c r="T14" s="272">
        <f t="shared" si="7"/>
        <v>0.17399999999999999</v>
      </c>
      <c r="U14" s="272">
        <f t="shared" si="1"/>
        <v>7.9000000000000001E-2</v>
      </c>
      <c r="V14" s="271"/>
      <c r="W14" s="20" t="s">
        <v>183</v>
      </c>
    </row>
    <row r="15" spans="1:23" ht="16" customHeight="1" x14ac:dyDescent="0.2">
      <c r="A15" s="463"/>
      <c r="B15" s="461"/>
      <c r="C15" s="20" t="s">
        <v>61</v>
      </c>
      <c r="D15" s="300">
        <v>45.401530000000001</v>
      </c>
      <c r="E15" s="300">
        <v>97.069720000000004</v>
      </c>
      <c r="F15" s="223">
        <v>3361</v>
      </c>
      <c r="G15" s="223" t="s">
        <v>142</v>
      </c>
      <c r="H15" s="223">
        <v>1</v>
      </c>
      <c r="I15" s="223">
        <v>2.65</v>
      </c>
      <c r="J15" s="223">
        <v>0.99</v>
      </c>
      <c r="K15" s="223">
        <v>0</v>
      </c>
      <c r="L15" s="269">
        <v>120900</v>
      </c>
      <c r="M15" s="269">
        <v>3200</v>
      </c>
      <c r="N15" s="36" t="s">
        <v>25</v>
      </c>
      <c r="O15" s="223">
        <v>0</v>
      </c>
      <c r="P15" s="223">
        <v>0</v>
      </c>
      <c r="Q15" s="223">
        <v>0</v>
      </c>
      <c r="R15" s="270"/>
      <c r="S15" s="433">
        <f t="shared" ref="S15:T15" si="8">H105/1000</f>
        <v>2.5539999999999998</v>
      </c>
      <c r="T15" s="272">
        <f t="shared" si="8"/>
        <v>0.156</v>
      </c>
      <c r="U15" s="272">
        <f t="shared" si="1"/>
        <v>6.8000000000000005E-2</v>
      </c>
      <c r="V15" s="271"/>
      <c r="W15" s="20" t="s">
        <v>183</v>
      </c>
    </row>
    <row r="16" spans="1:23" ht="16" customHeight="1" x14ac:dyDescent="0.2">
      <c r="A16" s="463"/>
      <c r="B16" s="461" t="s">
        <v>520</v>
      </c>
      <c r="C16" s="20" t="s">
        <v>87</v>
      </c>
      <c r="D16" s="300">
        <v>45.40222</v>
      </c>
      <c r="E16" s="300">
        <v>97.068610000000007</v>
      </c>
      <c r="F16" s="223">
        <v>3330</v>
      </c>
      <c r="G16" s="223" t="s">
        <v>142</v>
      </c>
      <c r="H16" s="223">
        <v>2</v>
      </c>
      <c r="I16" s="223">
        <v>2.65</v>
      </c>
      <c r="J16" s="223">
        <v>0.99</v>
      </c>
      <c r="K16" s="223">
        <v>0</v>
      </c>
      <c r="L16" s="269">
        <v>41500</v>
      </c>
      <c r="M16" s="269">
        <v>4500</v>
      </c>
      <c r="N16" s="36" t="s">
        <v>24</v>
      </c>
      <c r="O16" s="223">
        <v>0</v>
      </c>
      <c r="P16" s="223">
        <v>0</v>
      </c>
      <c r="Q16" s="223">
        <v>0</v>
      </c>
      <c r="R16" s="270"/>
      <c r="S16" s="433">
        <f t="shared" ref="S16:T16" si="9">H106/1000</f>
        <v>0.9</v>
      </c>
      <c r="T16" s="272">
        <f t="shared" si="9"/>
        <v>0.109</v>
      </c>
      <c r="U16" s="272">
        <f t="shared" si="1"/>
        <v>9.8000000000000004E-2</v>
      </c>
      <c r="V16" s="271"/>
      <c r="W16" s="20" t="s">
        <v>183</v>
      </c>
    </row>
    <row r="17" spans="1:23" ht="16" customHeight="1" x14ac:dyDescent="0.2">
      <c r="A17" s="463"/>
      <c r="B17" s="461"/>
      <c r="C17" s="20" t="s">
        <v>88</v>
      </c>
      <c r="D17" s="300">
        <v>45.402360000000002</v>
      </c>
      <c r="E17" s="300">
        <v>97.068640000000002</v>
      </c>
      <c r="F17" s="223">
        <v>3330</v>
      </c>
      <c r="G17" s="223" t="s">
        <v>142</v>
      </c>
      <c r="H17" s="223">
        <v>2</v>
      </c>
      <c r="I17" s="223">
        <v>2.65</v>
      </c>
      <c r="J17" s="223">
        <v>0.99</v>
      </c>
      <c r="K17" s="223">
        <v>0</v>
      </c>
      <c r="L17" s="269">
        <v>47900</v>
      </c>
      <c r="M17" s="269">
        <v>4700</v>
      </c>
      <c r="N17" s="36" t="s">
        <v>24</v>
      </c>
      <c r="O17" s="223">
        <v>0</v>
      </c>
      <c r="P17" s="223">
        <v>0</v>
      </c>
      <c r="Q17" s="223">
        <v>0</v>
      </c>
      <c r="R17" s="270"/>
      <c r="S17" s="433">
        <f t="shared" ref="S17:T17" si="10">H107/1000</f>
        <v>1.0389999999999999</v>
      </c>
      <c r="T17" s="272">
        <f t="shared" si="10"/>
        <v>0.11700000000000001</v>
      </c>
      <c r="U17" s="272">
        <f t="shared" si="1"/>
        <v>0.10199999999999999</v>
      </c>
      <c r="V17" s="271"/>
      <c r="W17" s="20" t="s">
        <v>183</v>
      </c>
    </row>
    <row r="18" spans="1:23" ht="16" customHeight="1" x14ac:dyDescent="0.2">
      <c r="A18" s="463"/>
      <c r="B18" s="461"/>
      <c r="C18" s="20" t="s">
        <v>89</v>
      </c>
      <c r="D18" s="300">
        <v>45.402500000000003</v>
      </c>
      <c r="E18" s="300">
        <v>97.068889999999996</v>
      </c>
      <c r="F18" s="223">
        <v>3336</v>
      </c>
      <c r="G18" s="223" t="s">
        <v>142</v>
      </c>
      <c r="H18" s="223">
        <v>2</v>
      </c>
      <c r="I18" s="223">
        <v>2.65</v>
      </c>
      <c r="J18" s="223">
        <v>0.99</v>
      </c>
      <c r="K18" s="223">
        <v>0</v>
      </c>
      <c r="L18" s="269">
        <v>68200</v>
      </c>
      <c r="M18" s="269">
        <v>12400</v>
      </c>
      <c r="N18" s="36" t="s">
        <v>24</v>
      </c>
      <c r="O18" s="223">
        <v>0</v>
      </c>
      <c r="P18" s="223">
        <v>0</v>
      </c>
      <c r="Q18" s="223">
        <v>0</v>
      </c>
      <c r="R18" s="270"/>
      <c r="S18" s="433">
        <f t="shared" ref="S18:T18" si="11">H108/1000</f>
        <v>1.474</v>
      </c>
      <c r="T18" s="272">
        <f t="shared" si="11"/>
        <v>0.28000000000000003</v>
      </c>
      <c r="U18" s="272">
        <f t="shared" si="1"/>
        <v>0.26800000000000002</v>
      </c>
      <c r="V18" s="271"/>
      <c r="W18" s="20" t="s">
        <v>183</v>
      </c>
    </row>
    <row r="19" spans="1:23" ht="16" customHeight="1" x14ac:dyDescent="0.2">
      <c r="A19" s="463"/>
      <c r="B19" s="461"/>
      <c r="C19" s="20" t="s">
        <v>56</v>
      </c>
      <c r="D19" s="300">
        <v>45.40128</v>
      </c>
      <c r="E19" s="300">
        <v>97.069720000000004</v>
      </c>
      <c r="F19" s="223">
        <v>3338</v>
      </c>
      <c r="G19" s="223" t="s">
        <v>142</v>
      </c>
      <c r="H19" s="223">
        <v>1</v>
      </c>
      <c r="I19" s="223">
        <v>2.65</v>
      </c>
      <c r="J19" s="223">
        <v>0.99</v>
      </c>
      <c r="K19" s="223">
        <v>0</v>
      </c>
      <c r="L19" s="269">
        <v>85400</v>
      </c>
      <c r="M19" s="269">
        <v>2400</v>
      </c>
      <c r="N19" s="36" t="s">
        <v>25</v>
      </c>
      <c r="O19" s="223">
        <v>0</v>
      </c>
      <c r="P19" s="223">
        <v>0</v>
      </c>
      <c r="Q19" s="223">
        <v>0</v>
      </c>
      <c r="R19" s="270"/>
      <c r="S19" s="433">
        <f t="shared" ref="S19:T19" si="12">H109/1000</f>
        <v>1.8280000000000001</v>
      </c>
      <c r="T19" s="272">
        <f t="shared" si="12"/>
        <v>0.113</v>
      </c>
      <c r="U19" s="272">
        <f t="shared" si="1"/>
        <v>5.0999999999999997E-2</v>
      </c>
      <c r="V19" s="271"/>
      <c r="W19" s="20" t="s">
        <v>183</v>
      </c>
    </row>
    <row r="20" spans="1:23" ht="16" customHeight="1" x14ac:dyDescent="0.2">
      <c r="A20" s="463"/>
      <c r="B20" s="461"/>
      <c r="C20" s="20" t="s">
        <v>57</v>
      </c>
      <c r="D20" s="300">
        <v>45.40128</v>
      </c>
      <c r="E20" s="300">
        <v>97.069720000000004</v>
      </c>
      <c r="F20" s="223">
        <v>3338</v>
      </c>
      <c r="G20" s="223" t="s">
        <v>142</v>
      </c>
      <c r="H20" s="223">
        <v>2</v>
      </c>
      <c r="I20" s="223">
        <v>2.65</v>
      </c>
      <c r="J20" s="223">
        <v>0.99</v>
      </c>
      <c r="K20" s="223">
        <v>0</v>
      </c>
      <c r="L20" s="269">
        <v>86400</v>
      </c>
      <c r="M20" s="269">
        <v>2600</v>
      </c>
      <c r="N20" s="36" t="s">
        <v>25</v>
      </c>
      <c r="O20" s="223">
        <v>0</v>
      </c>
      <c r="P20" s="223">
        <v>0</v>
      </c>
      <c r="Q20" s="223">
        <v>0</v>
      </c>
      <c r="R20" s="270"/>
      <c r="S20" s="433">
        <f t="shared" ref="S20:T20" si="13">H110/1000</f>
        <v>1.865</v>
      </c>
      <c r="T20" s="272">
        <f t="shared" si="13"/>
        <v>0.11700000000000001</v>
      </c>
      <c r="U20" s="272">
        <f t="shared" si="1"/>
        <v>5.6000000000000001E-2</v>
      </c>
      <c r="V20" s="271"/>
      <c r="W20" s="20" t="s">
        <v>183</v>
      </c>
    </row>
    <row r="21" spans="1:23" ht="16" customHeight="1" x14ac:dyDescent="0.2">
      <c r="A21" s="463"/>
      <c r="B21" s="461"/>
      <c r="C21" s="20" t="s">
        <v>58</v>
      </c>
      <c r="D21" s="300">
        <v>45.40128</v>
      </c>
      <c r="E21" s="300">
        <v>97.069720000000004</v>
      </c>
      <c r="F21" s="223">
        <v>3338</v>
      </c>
      <c r="G21" s="223" t="s">
        <v>142</v>
      </c>
      <c r="H21" s="223">
        <v>2</v>
      </c>
      <c r="I21" s="223">
        <v>2.65</v>
      </c>
      <c r="J21" s="223">
        <v>0.99</v>
      </c>
      <c r="K21" s="223">
        <v>0</v>
      </c>
      <c r="L21" s="269">
        <v>73000</v>
      </c>
      <c r="M21" s="269">
        <v>2200</v>
      </c>
      <c r="N21" s="36" t="s">
        <v>25</v>
      </c>
      <c r="O21" s="223">
        <v>0</v>
      </c>
      <c r="P21" s="223">
        <v>0</v>
      </c>
      <c r="Q21" s="223">
        <v>0</v>
      </c>
      <c r="R21" s="270"/>
      <c r="S21" s="433">
        <f t="shared" ref="S21:T21" si="14">H111/1000</f>
        <v>1.5760000000000001</v>
      </c>
      <c r="T21" s="272">
        <f t="shared" si="14"/>
        <v>9.9000000000000005E-2</v>
      </c>
      <c r="U21" s="272">
        <f t="shared" si="1"/>
        <v>4.8000000000000001E-2</v>
      </c>
      <c r="V21" s="271"/>
      <c r="W21" s="20" t="s">
        <v>183</v>
      </c>
    </row>
    <row r="22" spans="1:23" ht="16" customHeight="1" x14ac:dyDescent="0.2">
      <c r="A22" s="462" t="s">
        <v>80</v>
      </c>
      <c r="B22" s="222" t="s">
        <v>521</v>
      </c>
      <c r="C22" s="20" t="s">
        <v>48</v>
      </c>
      <c r="D22" s="300">
        <v>46.641829999999999</v>
      </c>
      <c r="E22" s="300">
        <v>93.570999999999998</v>
      </c>
      <c r="F22" s="223">
        <v>3160</v>
      </c>
      <c r="G22" s="223" t="s">
        <v>142</v>
      </c>
      <c r="H22" s="223">
        <v>2</v>
      </c>
      <c r="I22" s="223">
        <v>2.65</v>
      </c>
      <c r="J22" s="223">
        <v>0.96</v>
      </c>
      <c r="K22" s="223">
        <v>0</v>
      </c>
      <c r="L22" s="269">
        <v>304900</v>
      </c>
      <c r="M22" s="269">
        <v>11400</v>
      </c>
      <c r="N22" s="36" t="s">
        <v>25</v>
      </c>
      <c r="O22" s="223">
        <v>0</v>
      </c>
      <c r="P22" s="223">
        <v>0</v>
      </c>
      <c r="Q22" s="223">
        <v>0</v>
      </c>
      <c r="R22" s="270"/>
      <c r="S22" s="433">
        <f t="shared" ref="S22:T22" si="15">H112/1000</f>
        <v>7.3460000000000001</v>
      </c>
      <c r="T22" s="272">
        <f t="shared" si="15"/>
        <v>0.49</v>
      </c>
      <c r="U22" s="272">
        <f t="shared" si="1"/>
        <v>0.27500000000000002</v>
      </c>
      <c r="V22" s="271"/>
      <c r="W22" s="20" t="s">
        <v>183</v>
      </c>
    </row>
    <row r="23" spans="1:23" ht="16" customHeight="1" x14ac:dyDescent="0.2">
      <c r="A23" s="463"/>
      <c r="B23" s="461" t="s">
        <v>522</v>
      </c>
      <c r="C23" s="20" t="s">
        <v>49</v>
      </c>
      <c r="D23" s="300">
        <v>46.641829999999999</v>
      </c>
      <c r="E23" s="300">
        <v>93.565920000000006</v>
      </c>
      <c r="F23" s="223">
        <v>3240</v>
      </c>
      <c r="G23" s="223" t="s">
        <v>142</v>
      </c>
      <c r="H23" s="223">
        <v>2</v>
      </c>
      <c r="I23" s="223">
        <v>2.65</v>
      </c>
      <c r="J23" s="223">
        <v>0.98</v>
      </c>
      <c r="K23" s="223">
        <v>0</v>
      </c>
      <c r="L23" s="269">
        <v>1160400</v>
      </c>
      <c r="M23" s="269">
        <v>36200</v>
      </c>
      <c r="N23" s="36" t="s">
        <v>25</v>
      </c>
      <c r="O23" s="223">
        <v>0</v>
      </c>
      <c r="P23" s="223">
        <v>0</v>
      </c>
      <c r="Q23" s="223">
        <v>0</v>
      </c>
      <c r="R23" s="270"/>
      <c r="S23" s="433">
        <f t="shared" ref="S23:T23" si="16">H113/1000</f>
        <v>26.227</v>
      </c>
      <c r="T23" s="272">
        <f t="shared" si="16"/>
        <v>1.6719999999999999</v>
      </c>
      <c r="U23" s="272">
        <f t="shared" si="1"/>
        <v>0.82399999999999995</v>
      </c>
      <c r="V23" s="271"/>
      <c r="W23" s="20" t="s">
        <v>183</v>
      </c>
    </row>
    <row r="24" spans="1:23" ht="16" customHeight="1" x14ac:dyDescent="0.2">
      <c r="A24" s="463"/>
      <c r="B24" s="461"/>
      <c r="C24" s="20" t="s">
        <v>47</v>
      </c>
      <c r="D24" s="300">
        <v>46.640320000000003</v>
      </c>
      <c r="E24" s="300">
        <v>93.564779999999999</v>
      </c>
      <c r="F24" s="223">
        <v>3270</v>
      </c>
      <c r="G24" s="223" t="s">
        <v>142</v>
      </c>
      <c r="H24" s="223">
        <v>2</v>
      </c>
      <c r="I24" s="223">
        <v>2.65</v>
      </c>
      <c r="J24" s="223">
        <v>0.96</v>
      </c>
      <c r="K24" s="223">
        <v>0</v>
      </c>
      <c r="L24" s="269">
        <v>1012900</v>
      </c>
      <c r="M24" s="269">
        <v>30600</v>
      </c>
      <c r="N24" s="36" t="s">
        <v>25</v>
      </c>
      <c r="O24" s="223">
        <v>0</v>
      </c>
      <c r="P24" s="223">
        <v>0</v>
      </c>
      <c r="Q24" s="223">
        <v>0</v>
      </c>
      <c r="R24" s="270"/>
      <c r="S24" s="433">
        <f t="shared" ref="S24:T24" si="17">H114/1000</f>
        <v>22.931999999999999</v>
      </c>
      <c r="T24" s="272">
        <f t="shared" si="17"/>
        <v>1.45</v>
      </c>
      <c r="U24" s="272">
        <f t="shared" si="1"/>
        <v>0.69699999999999995</v>
      </c>
      <c r="V24" s="271"/>
      <c r="W24" s="20" t="s">
        <v>183</v>
      </c>
    </row>
    <row r="25" spans="1:23" ht="16" customHeight="1" x14ac:dyDescent="0.2">
      <c r="A25" s="463"/>
      <c r="B25" s="461"/>
      <c r="C25" s="20" t="s">
        <v>53</v>
      </c>
      <c r="D25" s="300">
        <v>46.640099999999997</v>
      </c>
      <c r="E25" s="300">
        <v>93.566270000000003</v>
      </c>
      <c r="F25" s="223">
        <v>3250</v>
      </c>
      <c r="G25" s="223" t="s">
        <v>142</v>
      </c>
      <c r="H25" s="223">
        <v>5</v>
      </c>
      <c r="I25" s="223">
        <v>2.65</v>
      </c>
      <c r="J25" s="223">
        <v>0.97</v>
      </c>
      <c r="K25" s="223">
        <v>0</v>
      </c>
      <c r="L25" s="269">
        <v>1072200</v>
      </c>
      <c r="M25" s="269">
        <v>49300</v>
      </c>
      <c r="N25" s="36" t="s">
        <v>25</v>
      </c>
      <c r="O25" s="223">
        <v>0</v>
      </c>
      <c r="P25" s="223">
        <v>0</v>
      </c>
      <c r="Q25" s="223">
        <v>0</v>
      </c>
      <c r="R25" s="270"/>
      <c r="S25" s="433">
        <f t="shared" ref="S25:T25" si="18">H115/1000</f>
        <v>24.931000000000001</v>
      </c>
      <c r="T25" s="272">
        <f t="shared" si="18"/>
        <v>1.8009999999999999</v>
      </c>
      <c r="U25" s="272">
        <f t="shared" si="1"/>
        <v>1.153</v>
      </c>
      <c r="V25" s="271"/>
      <c r="W25" s="20" t="s">
        <v>183</v>
      </c>
    </row>
    <row r="26" spans="1:23" ht="16" customHeight="1" x14ac:dyDescent="0.2">
      <c r="A26" s="463"/>
      <c r="B26" s="461"/>
      <c r="C26" s="20" t="s">
        <v>50</v>
      </c>
      <c r="D26" s="300">
        <v>46.63993</v>
      </c>
      <c r="E26" s="300">
        <v>93.565179999999998</v>
      </c>
      <c r="F26" s="223">
        <v>3265</v>
      </c>
      <c r="G26" s="223" t="s">
        <v>142</v>
      </c>
      <c r="H26" s="223">
        <v>2</v>
      </c>
      <c r="I26" s="223">
        <v>2.65</v>
      </c>
      <c r="J26" s="223">
        <v>0.96</v>
      </c>
      <c r="K26" s="223">
        <v>0</v>
      </c>
      <c r="L26" s="269">
        <v>298400</v>
      </c>
      <c r="M26" s="269">
        <v>10500</v>
      </c>
      <c r="N26" s="36" t="s">
        <v>25</v>
      </c>
      <c r="O26" s="223">
        <v>0</v>
      </c>
      <c r="P26" s="223">
        <v>0</v>
      </c>
      <c r="Q26" s="223">
        <v>0</v>
      </c>
      <c r="R26" s="270"/>
      <c r="S26" s="433">
        <f t="shared" ref="S26:T26" si="19">H116/1000</f>
        <v>6.7489999999999997</v>
      </c>
      <c r="T26" s="272">
        <f t="shared" si="19"/>
        <v>0.442</v>
      </c>
      <c r="U26" s="272">
        <f t="shared" si="1"/>
        <v>0.23799999999999999</v>
      </c>
      <c r="V26" s="271"/>
      <c r="W26" s="20" t="s">
        <v>183</v>
      </c>
    </row>
    <row r="27" spans="1:23" ht="16" customHeight="1" x14ac:dyDescent="0.2">
      <c r="A27" s="463"/>
      <c r="B27" s="461" t="s">
        <v>195</v>
      </c>
      <c r="C27" s="20" t="s">
        <v>36</v>
      </c>
      <c r="D27" s="300">
        <v>46.632280000000002</v>
      </c>
      <c r="E27" s="300">
        <v>93.568830000000005</v>
      </c>
      <c r="F27" s="223">
        <v>3620</v>
      </c>
      <c r="G27" s="223" t="s">
        <v>142</v>
      </c>
      <c r="H27" s="223">
        <v>1</v>
      </c>
      <c r="I27" s="223">
        <v>2.65</v>
      </c>
      <c r="J27" s="223">
        <v>0.98</v>
      </c>
      <c r="K27" s="223">
        <v>0</v>
      </c>
      <c r="L27" s="269">
        <v>2491100</v>
      </c>
      <c r="M27" s="269">
        <v>63400</v>
      </c>
      <c r="N27" s="36" t="s">
        <v>25</v>
      </c>
      <c r="O27" s="223">
        <v>0</v>
      </c>
      <c r="P27" s="223">
        <v>0</v>
      </c>
      <c r="Q27" s="223">
        <v>0</v>
      </c>
      <c r="R27" s="270"/>
      <c r="S27" s="433">
        <f t="shared" ref="S27:T27" si="20">H117/1000</f>
        <v>44.982999999999997</v>
      </c>
      <c r="T27" s="272">
        <f t="shared" si="20"/>
        <v>2.7629999999999999</v>
      </c>
      <c r="U27" s="272">
        <f t="shared" si="1"/>
        <v>1.1579999999999999</v>
      </c>
      <c r="V27" s="271"/>
      <c r="W27" s="20" t="s">
        <v>183</v>
      </c>
    </row>
    <row r="28" spans="1:23" ht="16" customHeight="1" x14ac:dyDescent="0.2">
      <c r="A28" s="463"/>
      <c r="B28" s="461"/>
      <c r="C28" s="20" t="s">
        <v>37</v>
      </c>
      <c r="D28" s="300">
        <v>46.632280000000002</v>
      </c>
      <c r="E28" s="300">
        <v>93.568830000000005</v>
      </c>
      <c r="F28" s="223">
        <v>3620</v>
      </c>
      <c r="G28" s="223" t="s">
        <v>142</v>
      </c>
      <c r="H28" s="223">
        <v>1</v>
      </c>
      <c r="I28" s="223">
        <v>2.65</v>
      </c>
      <c r="J28" s="223">
        <v>0.98</v>
      </c>
      <c r="K28" s="223">
        <v>0</v>
      </c>
      <c r="L28" s="269">
        <v>738100</v>
      </c>
      <c r="M28" s="269">
        <v>33600</v>
      </c>
      <c r="N28" s="36" t="s">
        <v>25</v>
      </c>
      <c r="O28" s="223">
        <v>0</v>
      </c>
      <c r="P28" s="223">
        <v>0</v>
      </c>
      <c r="Q28" s="223">
        <v>0</v>
      </c>
      <c r="R28" s="270"/>
      <c r="S28" s="433">
        <f t="shared" ref="S28:T28" si="21">H118/1000</f>
        <v>13.223000000000001</v>
      </c>
      <c r="T28" s="272">
        <f t="shared" si="21"/>
        <v>0.94899999999999995</v>
      </c>
      <c r="U28" s="272">
        <f t="shared" si="1"/>
        <v>0.60399999999999998</v>
      </c>
      <c r="V28" s="271"/>
      <c r="W28" s="20" t="s">
        <v>183</v>
      </c>
    </row>
    <row r="29" spans="1:23" ht="16" customHeight="1" x14ac:dyDescent="0.2">
      <c r="A29" s="463"/>
      <c r="B29" s="461"/>
      <c r="C29" s="20" t="s">
        <v>38</v>
      </c>
      <c r="D29" s="300">
        <v>46.631459999999997</v>
      </c>
      <c r="E29" s="300">
        <v>93.568839999999994</v>
      </c>
      <c r="F29" s="223">
        <v>3630</v>
      </c>
      <c r="G29" s="223" t="s">
        <v>142</v>
      </c>
      <c r="H29" s="223">
        <v>2</v>
      </c>
      <c r="I29" s="223">
        <v>2.65</v>
      </c>
      <c r="J29" s="223">
        <v>0.98</v>
      </c>
      <c r="K29" s="223">
        <v>0</v>
      </c>
      <c r="L29" s="269">
        <v>1375600</v>
      </c>
      <c r="M29" s="269">
        <v>85800</v>
      </c>
      <c r="N29" s="36" t="s">
        <v>25</v>
      </c>
      <c r="O29" s="223">
        <v>0</v>
      </c>
      <c r="P29" s="223">
        <v>0</v>
      </c>
      <c r="Q29" s="223">
        <v>0</v>
      </c>
      <c r="R29" s="270"/>
      <c r="S29" s="433">
        <f t="shared" ref="S29:T29" si="22">H119/1000</f>
        <v>24.78</v>
      </c>
      <c r="T29" s="272">
        <f t="shared" si="22"/>
        <v>2.0760000000000001</v>
      </c>
      <c r="U29" s="272">
        <f t="shared" si="1"/>
        <v>1.5549999999999999</v>
      </c>
      <c r="V29" s="271"/>
      <c r="W29" s="20" t="s">
        <v>183</v>
      </c>
    </row>
    <row r="30" spans="1:23" ht="16" customHeight="1" x14ac:dyDescent="0.2">
      <c r="A30" s="463"/>
      <c r="B30" s="461" t="s">
        <v>196</v>
      </c>
      <c r="C30" s="20" t="s">
        <v>15</v>
      </c>
      <c r="D30" s="300">
        <v>46.605170000000001</v>
      </c>
      <c r="E30" s="300">
        <v>93.619169999999997</v>
      </c>
      <c r="F30" s="223">
        <v>3934</v>
      </c>
      <c r="G30" s="223" t="s">
        <v>142</v>
      </c>
      <c r="H30" s="223">
        <v>4</v>
      </c>
      <c r="I30" s="223">
        <v>2.65</v>
      </c>
      <c r="J30" s="223">
        <v>1</v>
      </c>
      <c r="K30" s="223">
        <v>0</v>
      </c>
      <c r="L30" s="269">
        <v>1400900</v>
      </c>
      <c r="M30" s="269">
        <v>26900</v>
      </c>
      <c r="N30" s="36" t="s">
        <v>24</v>
      </c>
      <c r="O30" s="223">
        <v>0</v>
      </c>
      <c r="P30" s="223">
        <v>0</v>
      </c>
      <c r="Q30" s="223">
        <v>0</v>
      </c>
      <c r="R30" s="270"/>
      <c r="S30" s="433">
        <f t="shared" ref="S30:T30" si="23">H120/1000</f>
        <v>21.253</v>
      </c>
      <c r="T30" s="272">
        <f t="shared" si="23"/>
        <v>1.2470000000000001</v>
      </c>
      <c r="U30" s="272">
        <f t="shared" si="1"/>
        <v>0.41</v>
      </c>
      <c r="V30" s="271"/>
      <c r="W30" s="20" t="s">
        <v>183</v>
      </c>
    </row>
    <row r="31" spans="1:23" ht="16" customHeight="1" x14ac:dyDescent="0.2">
      <c r="A31" s="463"/>
      <c r="B31" s="461"/>
      <c r="C31" s="20" t="s">
        <v>16</v>
      </c>
      <c r="D31" s="300">
        <v>46.60436</v>
      </c>
      <c r="E31" s="300">
        <v>93.61936</v>
      </c>
      <c r="F31" s="223">
        <v>3926</v>
      </c>
      <c r="G31" s="223" t="s">
        <v>142</v>
      </c>
      <c r="H31" s="223">
        <v>3</v>
      </c>
      <c r="I31" s="223">
        <v>2.65</v>
      </c>
      <c r="J31" s="223">
        <v>1</v>
      </c>
      <c r="K31" s="223">
        <v>0</v>
      </c>
      <c r="L31" s="269">
        <v>2737000</v>
      </c>
      <c r="M31" s="269">
        <v>64900.000000000007</v>
      </c>
      <c r="N31" s="36" t="s">
        <v>24</v>
      </c>
      <c r="O31" s="223">
        <v>0</v>
      </c>
      <c r="P31" s="223">
        <v>0</v>
      </c>
      <c r="Q31" s="223">
        <v>0</v>
      </c>
      <c r="R31" s="270"/>
      <c r="S31" s="433">
        <f t="shared" ref="S31:T31" si="24">H121/1000</f>
        <v>41.573999999999998</v>
      </c>
      <c r="T31" s="272">
        <f t="shared" si="24"/>
        <v>2.5209999999999999</v>
      </c>
      <c r="U31" s="272">
        <f t="shared" si="1"/>
        <v>0.996</v>
      </c>
      <c r="V31" s="271"/>
      <c r="W31" s="20" t="s">
        <v>183</v>
      </c>
    </row>
    <row r="32" spans="1:23" ht="16" customHeight="1" x14ac:dyDescent="0.2">
      <c r="A32" s="463"/>
      <c r="B32" s="464" t="s">
        <v>517</v>
      </c>
      <c r="C32" s="20" t="s">
        <v>32</v>
      </c>
      <c r="D32" s="300">
        <v>46.601170000000003</v>
      </c>
      <c r="E32" s="300">
        <v>93.549030000000002</v>
      </c>
      <c r="F32" s="223">
        <v>3105</v>
      </c>
      <c r="G32" s="223" t="s">
        <v>142</v>
      </c>
      <c r="H32" s="223">
        <v>2.5</v>
      </c>
      <c r="I32" s="223">
        <v>2.65</v>
      </c>
      <c r="J32" s="223">
        <v>0.99</v>
      </c>
      <c r="K32" s="223">
        <v>0</v>
      </c>
      <c r="L32" s="269">
        <v>908400</v>
      </c>
      <c r="M32" s="269">
        <v>32600</v>
      </c>
      <c r="N32" s="36" t="s">
        <v>25</v>
      </c>
      <c r="O32" s="223">
        <v>0</v>
      </c>
      <c r="P32" s="223">
        <v>0</v>
      </c>
      <c r="Q32" s="223">
        <v>0</v>
      </c>
      <c r="R32" s="270"/>
      <c r="S32" s="433">
        <f t="shared" ref="S32:T32" si="25">H122/1000</f>
        <v>22.146000000000001</v>
      </c>
      <c r="T32" s="272">
        <f t="shared" si="25"/>
        <v>1.4650000000000001</v>
      </c>
      <c r="U32" s="272">
        <f t="shared" si="1"/>
        <v>0.79900000000000004</v>
      </c>
      <c r="V32" s="271"/>
      <c r="W32" s="20" t="s">
        <v>183</v>
      </c>
    </row>
    <row r="33" spans="1:23" ht="16" customHeight="1" x14ac:dyDescent="0.2">
      <c r="A33" s="463"/>
      <c r="B33" s="464"/>
      <c r="C33" s="20" t="s">
        <v>33</v>
      </c>
      <c r="D33" s="300">
        <v>46.601170000000003</v>
      </c>
      <c r="E33" s="300">
        <v>93.549030000000002</v>
      </c>
      <c r="F33" s="223">
        <v>3105</v>
      </c>
      <c r="G33" s="223" t="s">
        <v>142</v>
      </c>
      <c r="H33" s="223">
        <v>2.5</v>
      </c>
      <c r="I33" s="223">
        <v>2.65</v>
      </c>
      <c r="J33" s="223">
        <v>0.99</v>
      </c>
      <c r="K33" s="223">
        <v>0</v>
      </c>
      <c r="L33" s="269">
        <v>2933200</v>
      </c>
      <c r="M33" s="269">
        <v>103700</v>
      </c>
      <c r="N33" s="36" t="s">
        <v>25</v>
      </c>
      <c r="O33" s="223">
        <v>0</v>
      </c>
      <c r="P33" s="223">
        <v>0</v>
      </c>
      <c r="Q33" s="223">
        <v>0</v>
      </c>
      <c r="R33" s="270"/>
      <c r="S33" s="433">
        <f t="shared" ref="S33:T33" si="26">H123/1000</f>
        <v>72.409000000000006</v>
      </c>
      <c r="T33" s="272">
        <f t="shared" si="26"/>
        <v>4.83</v>
      </c>
      <c r="U33" s="272">
        <f t="shared" si="1"/>
        <v>2.6070000000000002</v>
      </c>
      <c r="V33" s="271"/>
      <c r="W33" s="20" t="s">
        <v>183</v>
      </c>
    </row>
    <row r="34" spans="1:23" ht="16" customHeight="1" x14ac:dyDescent="0.2">
      <c r="A34" s="463"/>
      <c r="B34" s="79" t="s">
        <v>523</v>
      </c>
      <c r="C34" s="20" t="s">
        <v>28</v>
      </c>
      <c r="D34" s="300">
        <v>46.609430000000003</v>
      </c>
      <c r="E34" s="300">
        <v>93.552189999999996</v>
      </c>
      <c r="F34" s="223">
        <v>3180</v>
      </c>
      <c r="G34" s="223" t="s">
        <v>142</v>
      </c>
      <c r="H34" s="223">
        <v>2.5</v>
      </c>
      <c r="I34" s="223">
        <v>2.65</v>
      </c>
      <c r="J34" s="223">
        <v>0.99</v>
      </c>
      <c r="K34" s="223">
        <v>0</v>
      </c>
      <c r="L34" s="269">
        <v>1524000</v>
      </c>
      <c r="M34" s="269">
        <v>77200</v>
      </c>
      <c r="N34" s="36" t="s">
        <v>25</v>
      </c>
      <c r="O34" s="223">
        <v>0</v>
      </c>
      <c r="P34" s="223">
        <v>0</v>
      </c>
      <c r="Q34" s="223">
        <v>0</v>
      </c>
      <c r="R34" s="270"/>
      <c r="S34" s="433">
        <f t="shared" ref="S34:T34" si="27">H124/1000</f>
        <v>35.610999999999997</v>
      </c>
      <c r="T34" s="272">
        <f t="shared" si="27"/>
        <v>2.69</v>
      </c>
      <c r="U34" s="272">
        <f t="shared" si="1"/>
        <v>1.82</v>
      </c>
      <c r="V34" s="271"/>
      <c r="W34" s="20" t="s">
        <v>183</v>
      </c>
    </row>
    <row r="35" spans="1:23" ht="16" customHeight="1" x14ac:dyDescent="0.2">
      <c r="A35" s="463"/>
      <c r="B35" s="461" t="s">
        <v>524</v>
      </c>
      <c r="C35" s="20" t="s">
        <v>34</v>
      </c>
      <c r="D35" s="300">
        <v>46.601170000000003</v>
      </c>
      <c r="E35" s="300">
        <v>93.549030000000002</v>
      </c>
      <c r="F35" s="223">
        <v>3189</v>
      </c>
      <c r="G35" s="223" t="s">
        <v>142</v>
      </c>
      <c r="H35" s="223">
        <v>1</v>
      </c>
      <c r="I35" s="223">
        <v>2.65</v>
      </c>
      <c r="J35" s="223">
        <v>0.99</v>
      </c>
      <c r="K35" s="223">
        <v>0</v>
      </c>
      <c r="L35" s="269">
        <v>261300</v>
      </c>
      <c r="M35" s="269">
        <v>9800</v>
      </c>
      <c r="N35" s="36" t="s">
        <v>25</v>
      </c>
      <c r="O35" s="223">
        <v>0</v>
      </c>
      <c r="P35" s="223">
        <v>0</v>
      </c>
      <c r="Q35" s="223">
        <v>0</v>
      </c>
      <c r="R35" s="270"/>
      <c r="S35" s="433">
        <f t="shared" ref="S35:T35" si="28">H125/1000</f>
        <v>5.9550000000000001</v>
      </c>
      <c r="T35" s="272">
        <f t="shared" si="28"/>
        <v>0.39800000000000002</v>
      </c>
      <c r="U35" s="272">
        <f t="shared" si="1"/>
        <v>0.224</v>
      </c>
      <c r="V35" s="271"/>
      <c r="W35" s="20" t="s">
        <v>183</v>
      </c>
    </row>
    <row r="36" spans="1:23" ht="16" customHeight="1" x14ac:dyDescent="0.2">
      <c r="A36" s="463"/>
      <c r="B36" s="461"/>
      <c r="C36" s="20" t="s">
        <v>17</v>
      </c>
      <c r="D36" s="300">
        <v>46.612560000000002</v>
      </c>
      <c r="E36" s="300">
        <v>93.549499999999995</v>
      </c>
      <c r="F36" s="223">
        <v>3238</v>
      </c>
      <c r="G36" s="223" t="s">
        <v>142</v>
      </c>
      <c r="H36" s="223">
        <v>1</v>
      </c>
      <c r="I36" s="223">
        <v>2.65</v>
      </c>
      <c r="J36" s="223">
        <v>0.99</v>
      </c>
      <c r="K36" s="223">
        <v>0</v>
      </c>
      <c r="L36" s="269">
        <v>695000</v>
      </c>
      <c r="M36" s="269">
        <v>17700</v>
      </c>
      <c r="N36" s="36" t="s">
        <v>24</v>
      </c>
      <c r="O36" s="223">
        <v>0</v>
      </c>
      <c r="P36" s="223">
        <v>0</v>
      </c>
      <c r="Q36" s="223">
        <v>0</v>
      </c>
      <c r="R36" s="270"/>
      <c r="S36" s="433">
        <f t="shared" ref="S36:T36" si="29">H126/1000</f>
        <v>15.412000000000001</v>
      </c>
      <c r="T36" s="272">
        <f t="shared" si="29"/>
        <v>0.94</v>
      </c>
      <c r="U36" s="272">
        <f t="shared" si="1"/>
        <v>0.39400000000000002</v>
      </c>
      <c r="V36" s="271"/>
      <c r="W36" s="20" t="s">
        <v>183</v>
      </c>
    </row>
    <row r="37" spans="1:23" ht="16" customHeight="1" x14ac:dyDescent="0.2">
      <c r="A37" s="463"/>
      <c r="B37" s="461"/>
      <c r="C37" s="20" t="s">
        <v>18</v>
      </c>
      <c r="D37" s="300">
        <v>46.613190000000003</v>
      </c>
      <c r="E37" s="300">
        <v>93.550330000000002</v>
      </c>
      <c r="F37" s="223">
        <v>3241</v>
      </c>
      <c r="G37" s="223" t="s">
        <v>142</v>
      </c>
      <c r="H37" s="223">
        <v>4</v>
      </c>
      <c r="I37" s="223">
        <v>2.65</v>
      </c>
      <c r="J37" s="223">
        <v>0.99</v>
      </c>
      <c r="K37" s="223">
        <v>0</v>
      </c>
      <c r="L37" s="269">
        <v>873600</v>
      </c>
      <c r="M37" s="269">
        <v>26800</v>
      </c>
      <c r="N37" s="36" t="s">
        <v>24</v>
      </c>
      <c r="O37" s="223">
        <v>0</v>
      </c>
      <c r="P37" s="223">
        <v>0</v>
      </c>
      <c r="Q37" s="223">
        <v>0</v>
      </c>
      <c r="R37" s="270"/>
      <c r="S37" s="433">
        <f t="shared" ref="S37:T37" si="30">H127/1000</f>
        <v>19.841000000000001</v>
      </c>
      <c r="T37" s="272">
        <f t="shared" si="30"/>
        <v>1.258</v>
      </c>
      <c r="U37" s="272">
        <f t="shared" si="1"/>
        <v>0.61199999999999999</v>
      </c>
      <c r="V37" s="271"/>
      <c r="W37" s="20" t="s">
        <v>183</v>
      </c>
    </row>
    <row r="38" spans="1:23" ht="16" customHeight="1" x14ac:dyDescent="0.2">
      <c r="A38" s="463"/>
      <c r="B38" s="461"/>
      <c r="C38" s="20" t="s">
        <v>19</v>
      </c>
      <c r="D38" s="300">
        <v>46.613190000000003</v>
      </c>
      <c r="E38" s="300">
        <v>93.550330000000002</v>
      </c>
      <c r="F38" s="223">
        <v>3241</v>
      </c>
      <c r="G38" s="223" t="s">
        <v>142</v>
      </c>
      <c r="H38" s="223">
        <v>2</v>
      </c>
      <c r="I38" s="223">
        <v>2.65</v>
      </c>
      <c r="J38" s="223">
        <v>0.99</v>
      </c>
      <c r="K38" s="223">
        <v>0</v>
      </c>
      <c r="L38" s="269">
        <v>623900</v>
      </c>
      <c r="M38" s="269">
        <v>16300</v>
      </c>
      <c r="N38" s="36" t="s">
        <v>24</v>
      </c>
      <c r="O38" s="223">
        <v>0</v>
      </c>
      <c r="P38" s="223">
        <v>0</v>
      </c>
      <c r="Q38" s="223">
        <v>0</v>
      </c>
      <c r="R38" s="270"/>
      <c r="S38" s="433">
        <f t="shared" ref="S38:T38" si="31">H128/1000</f>
        <v>13.919</v>
      </c>
      <c r="T38" s="272">
        <f t="shared" si="31"/>
        <v>0.85199999999999998</v>
      </c>
      <c r="U38" s="272">
        <f t="shared" si="1"/>
        <v>0.36499999999999999</v>
      </c>
      <c r="V38" s="271"/>
      <c r="W38" s="20" t="s">
        <v>183</v>
      </c>
    </row>
    <row r="39" spans="1:23" ht="16" customHeight="1" x14ac:dyDescent="0.2">
      <c r="A39" s="463"/>
      <c r="B39" s="461"/>
      <c r="C39" s="20" t="s">
        <v>20</v>
      </c>
      <c r="D39" s="300">
        <v>46.614669999999997</v>
      </c>
      <c r="E39" s="300">
        <v>93.552000000000007</v>
      </c>
      <c r="F39" s="223">
        <v>3267</v>
      </c>
      <c r="G39" s="223" t="s">
        <v>142</v>
      </c>
      <c r="H39" s="223">
        <v>4</v>
      </c>
      <c r="I39" s="223">
        <v>2.65</v>
      </c>
      <c r="J39" s="223">
        <v>0.99</v>
      </c>
      <c r="K39" s="223">
        <v>0</v>
      </c>
      <c r="L39" s="269">
        <v>695800</v>
      </c>
      <c r="M39" s="269">
        <v>21300</v>
      </c>
      <c r="N39" s="36" t="s">
        <v>24</v>
      </c>
      <c r="O39" s="223">
        <v>0</v>
      </c>
      <c r="P39" s="223">
        <v>0</v>
      </c>
      <c r="Q39" s="223">
        <v>0</v>
      </c>
      <c r="R39" s="270"/>
      <c r="S39" s="433">
        <f t="shared" ref="S39:T39" si="32">H129/1000</f>
        <v>15.542</v>
      </c>
      <c r="T39" s="272">
        <f t="shared" si="32"/>
        <v>0.98399999999999999</v>
      </c>
      <c r="U39" s="272">
        <f t="shared" si="1"/>
        <v>0.47799999999999998</v>
      </c>
      <c r="V39" s="271"/>
      <c r="W39" s="20" t="s">
        <v>183</v>
      </c>
    </row>
    <row r="40" spans="1:23" ht="16" customHeight="1" x14ac:dyDescent="0.2">
      <c r="A40" s="462" t="s">
        <v>76</v>
      </c>
      <c r="B40" s="461" t="s">
        <v>529</v>
      </c>
      <c r="C40" s="20" t="s">
        <v>11</v>
      </c>
      <c r="D40" s="300">
        <v>44.956299999999999</v>
      </c>
      <c r="E40" s="300">
        <v>100.26675</v>
      </c>
      <c r="F40" s="23">
        <v>3385</v>
      </c>
      <c r="G40" s="223" t="s">
        <v>142</v>
      </c>
      <c r="H40" s="223">
        <v>3</v>
      </c>
      <c r="I40" s="223">
        <v>2.65</v>
      </c>
      <c r="J40" s="223">
        <v>0.98</v>
      </c>
      <c r="K40" s="223">
        <v>0</v>
      </c>
      <c r="L40" s="269">
        <v>777100</v>
      </c>
      <c r="M40" s="269">
        <v>57000</v>
      </c>
      <c r="N40" s="36" t="s">
        <v>24</v>
      </c>
      <c r="O40" s="223">
        <v>0</v>
      </c>
      <c r="P40" s="223">
        <v>0</v>
      </c>
      <c r="Q40" s="223">
        <v>0</v>
      </c>
      <c r="R40" s="270"/>
      <c r="S40" s="433">
        <f t="shared" ref="S40:T40" si="33">H130/1000</f>
        <v>16.716000000000001</v>
      </c>
      <c r="T40" s="272">
        <f t="shared" si="33"/>
        <v>1.54</v>
      </c>
      <c r="U40" s="272">
        <f t="shared" si="1"/>
        <v>1.2310000000000001</v>
      </c>
      <c r="V40" s="271"/>
      <c r="W40" s="20" t="s">
        <v>183</v>
      </c>
    </row>
    <row r="41" spans="1:23" ht="16" customHeight="1" x14ac:dyDescent="0.2">
      <c r="A41" s="463"/>
      <c r="B41" s="461"/>
      <c r="C41" s="20" t="s">
        <v>7</v>
      </c>
      <c r="D41" s="300">
        <v>44.956299999999999</v>
      </c>
      <c r="E41" s="300">
        <v>100.26675</v>
      </c>
      <c r="F41" s="23">
        <v>3390</v>
      </c>
      <c r="G41" s="223" t="s">
        <v>142</v>
      </c>
      <c r="H41" s="223">
        <v>3</v>
      </c>
      <c r="I41" s="223">
        <v>2.65</v>
      </c>
      <c r="J41" s="223">
        <v>0.98</v>
      </c>
      <c r="K41" s="223">
        <v>0</v>
      </c>
      <c r="L41" s="269">
        <v>339000</v>
      </c>
      <c r="M41" s="269">
        <v>22900</v>
      </c>
      <c r="N41" s="36" t="s">
        <v>24</v>
      </c>
      <c r="O41" s="223">
        <v>0</v>
      </c>
      <c r="P41" s="223">
        <v>0</v>
      </c>
      <c r="Q41" s="223">
        <v>0</v>
      </c>
      <c r="R41" s="270"/>
      <c r="S41" s="433">
        <f t="shared" ref="S41:T41" si="34">H131/1000</f>
        <v>7.2539999999999996</v>
      </c>
      <c r="T41" s="272">
        <f t="shared" si="34"/>
        <v>0.63400000000000001</v>
      </c>
      <c r="U41" s="272">
        <f t="shared" si="1"/>
        <v>0.49099999999999999</v>
      </c>
      <c r="V41" s="271"/>
      <c r="W41" s="20" t="s">
        <v>183</v>
      </c>
    </row>
    <row r="42" spans="1:23" ht="16" customHeight="1" x14ac:dyDescent="0.2">
      <c r="A42" s="463"/>
      <c r="B42" s="461"/>
      <c r="C42" s="20" t="s">
        <v>8</v>
      </c>
      <c r="D42" s="300">
        <v>44.956299999999999</v>
      </c>
      <c r="E42" s="300">
        <v>100.26675</v>
      </c>
      <c r="F42" s="23">
        <v>3390</v>
      </c>
      <c r="G42" s="223" t="s">
        <v>142</v>
      </c>
      <c r="H42" s="223">
        <v>3</v>
      </c>
      <c r="I42" s="223">
        <v>2.65</v>
      </c>
      <c r="J42" s="223">
        <v>0.98</v>
      </c>
      <c r="K42" s="223">
        <v>0</v>
      </c>
      <c r="L42" s="269">
        <v>616700</v>
      </c>
      <c r="M42" s="269">
        <v>81800</v>
      </c>
      <c r="N42" s="36" t="s">
        <v>24</v>
      </c>
      <c r="O42" s="223">
        <v>0</v>
      </c>
      <c r="P42" s="223">
        <v>0</v>
      </c>
      <c r="Q42" s="223">
        <v>0</v>
      </c>
      <c r="R42" s="270"/>
      <c r="S42" s="433">
        <f t="shared" ref="S42:T42" si="35">H132/1000</f>
        <v>13.215999999999999</v>
      </c>
      <c r="T42" s="272">
        <f t="shared" si="35"/>
        <v>1.905</v>
      </c>
      <c r="U42" s="272">
        <f t="shared" si="1"/>
        <v>1.7589999999999999</v>
      </c>
      <c r="V42" s="271"/>
      <c r="W42" s="20" t="s">
        <v>183</v>
      </c>
    </row>
    <row r="43" spans="1:23" ht="16" customHeight="1" x14ac:dyDescent="0.2">
      <c r="A43" s="463"/>
      <c r="B43" s="461"/>
      <c r="C43" s="20" t="s">
        <v>9</v>
      </c>
      <c r="D43" s="300">
        <v>44.956299999999999</v>
      </c>
      <c r="E43" s="300">
        <v>100.26675</v>
      </c>
      <c r="F43" s="23">
        <v>3390</v>
      </c>
      <c r="G43" s="223" t="s">
        <v>142</v>
      </c>
      <c r="H43" s="223">
        <v>5</v>
      </c>
      <c r="I43" s="223">
        <v>2.65</v>
      </c>
      <c r="J43" s="223">
        <v>0.98</v>
      </c>
      <c r="K43" s="223">
        <v>0</v>
      </c>
      <c r="L43" s="269">
        <v>654400</v>
      </c>
      <c r="M43" s="269">
        <v>33900</v>
      </c>
      <c r="N43" s="36" t="s">
        <v>24</v>
      </c>
      <c r="O43" s="223">
        <v>0</v>
      </c>
      <c r="P43" s="223">
        <v>0</v>
      </c>
      <c r="Q43" s="223">
        <v>0</v>
      </c>
      <c r="R43" s="270"/>
      <c r="S43" s="433">
        <f t="shared" ref="S43:T43" si="36">H133/1000</f>
        <v>14.257999999999999</v>
      </c>
      <c r="T43" s="272">
        <f t="shared" si="36"/>
        <v>1.083</v>
      </c>
      <c r="U43" s="272">
        <f t="shared" si="1"/>
        <v>0.74099999999999999</v>
      </c>
      <c r="V43" s="271"/>
      <c r="W43" s="20" t="s">
        <v>183</v>
      </c>
    </row>
    <row r="44" spans="1:23" ht="16" customHeight="1" x14ac:dyDescent="0.2">
      <c r="A44" s="463"/>
      <c r="B44" s="461"/>
      <c r="C44" s="24" t="s">
        <v>10</v>
      </c>
      <c r="D44" s="301">
        <v>44.956299999999999</v>
      </c>
      <c r="E44" s="301">
        <v>100.26675</v>
      </c>
      <c r="F44" s="26">
        <v>3390</v>
      </c>
      <c r="G44" s="223" t="s">
        <v>142</v>
      </c>
      <c r="H44" s="26">
        <v>5</v>
      </c>
      <c r="I44" s="223">
        <v>2.65</v>
      </c>
      <c r="J44" s="26">
        <v>0.98</v>
      </c>
      <c r="K44" s="223">
        <v>0</v>
      </c>
      <c r="L44" s="273">
        <v>639600</v>
      </c>
      <c r="M44" s="273">
        <v>42600</v>
      </c>
      <c r="N44" s="48" t="s">
        <v>24</v>
      </c>
      <c r="O44" s="223">
        <v>0</v>
      </c>
      <c r="P44" s="223">
        <v>0</v>
      </c>
      <c r="Q44" s="223">
        <v>0</v>
      </c>
      <c r="R44" s="270"/>
      <c r="S44" s="433">
        <f t="shared" ref="S44:T44" si="37">H134/1000</f>
        <v>13.933999999999999</v>
      </c>
      <c r="T44" s="272">
        <f t="shared" si="37"/>
        <v>1.2090000000000001</v>
      </c>
      <c r="U44" s="272">
        <f t="shared" si="1"/>
        <v>0.93100000000000005</v>
      </c>
      <c r="V44" s="271"/>
      <c r="W44" s="20" t="s">
        <v>183</v>
      </c>
    </row>
    <row r="45" spans="1:23" ht="16" customHeight="1" x14ac:dyDescent="0.2">
      <c r="A45" s="463"/>
      <c r="B45" s="461"/>
      <c r="C45" s="24" t="s">
        <v>126</v>
      </c>
      <c r="D45" s="301">
        <v>44.956699999999998</v>
      </c>
      <c r="E45" s="301">
        <v>100.2672</v>
      </c>
      <c r="F45" s="26">
        <v>3402</v>
      </c>
      <c r="G45" s="223" t="s">
        <v>142</v>
      </c>
      <c r="H45" s="26">
        <v>3</v>
      </c>
      <c r="I45" s="223">
        <v>2.65</v>
      </c>
      <c r="J45" s="26">
        <v>0.97</v>
      </c>
      <c r="K45" s="223">
        <v>0</v>
      </c>
      <c r="L45" s="50">
        <v>623900</v>
      </c>
      <c r="M45" s="50">
        <v>32300</v>
      </c>
      <c r="N45" s="48" t="s">
        <v>24</v>
      </c>
      <c r="O45" s="223">
        <v>0</v>
      </c>
      <c r="P45" s="223">
        <v>0</v>
      </c>
      <c r="Q45" s="223">
        <v>0</v>
      </c>
      <c r="R45" s="270"/>
      <c r="S45" s="433">
        <f t="shared" ref="S45:T45" si="38">H135/1000</f>
        <v>13.413</v>
      </c>
      <c r="T45" s="272">
        <f t="shared" si="38"/>
        <v>1.018</v>
      </c>
      <c r="U45" s="272">
        <f t="shared" si="1"/>
        <v>0.69699999999999995</v>
      </c>
      <c r="V45" s="271"/>
      <c r="W45" s="20" t="s">
        <v>183</v>
      </c>
    </row>
    <row r="46" spans="1:23" ht="16" customHeight="1" x14ac:dyDescent="0.2">
      <c r="A46" s="463"/>
      <c r="B46" s="222" t="s">
        <v>525</v>
      </c>
      <c r="C46" s="24" t="s">
        <v>6</v>
      </c>
      <c r="D46" s="301">
        <v>44.957799999999999</v>
      </c>
      <c r="E46" s="301">
        <v>100.2675</v>
      </c>
      <c r="F46" s="26">
        <v>3425</v>
      </c>
      <c r="G46" s="223" t="s">
        <v>142</v>
      </c>
      <c r="H46" s="26">
        <v>5</v>
      </c>
      <c r="I46" s="223">
        <v>2.65</v>
      </c>
      <c r="J46" s="26">
        <v>0.97</v>
      </c>
      <c r="K46" s="223">
        <v>0</v>
      </c>
      <c r="L46" s="273">
        <v>669200</v>
      </c>
      <c r="M46" s="273">
        <v>38900</v>
      </c>
      <c r="N46" s="48" t="s">
        <v>24</v>
      </c>
      <c r="O46" s="223">
        <v>0</v>
      </c>
      <c r="P46" s="223">
        <v>0</v>
      </c>
      <c r="Q46" s="223">
        <v>0</v>
      </c>
      <c r="R46" s="270"/>
      <c r="S46" s="433">
        <f t="shared" ref="S46:T46" si="39">H136/1000</f>
        <v>14.435</v>
      </c>
      <c r="T46" s="272">
        <f t="shared" si="39"/>
        <v>1.161</v>
      </c>
      <c r="U46" s="272">
        <f t="shared" si="1"/>
        <v>0.84199999999999997</v>
      </c>
      <c r="V46" s="271"/>
      <c r="W46" s="20" t="s">
        <v>183</v>
      </c>
    </row>
    <row r="47" spans="1:23" ht="16" customHeight="1" x14ac:dyDescent="0.2">
      <c r="A47" s="462" t="s">
        <v>78</v>
      </c>
      <c r="B47" s="461" t="s">
        <v>526</v>
      </c>
      <c r="C47" s="24" t="s">
        <v>40</v>
      </c>
      <c r="D47" s="301">
        <v>47.683329999999998</v>
      </c>
      <c r="E47" s="301">
        <v>97.206670000000003</v>
      </c>
      <c r="F47" s="26">
        <v>2075</v>
      </c>
      <c r="G47" s="223" t="s">
        <v>142</v>
      </c>
      <c r="H47" s="26">
        <v>5</v>
      </c>
      <c r="I47" s="223">
        <v>2.65</v>
      </c>
      <c r="J47" s="26">
        <v>0.99</v>
      </c>
      <c r="K47" s="223">
        <v>0</v>
      </c>
      <c r="L47" s="273">
        <v>475200</v>
      </c>
      <c r="M47" s="273">
        <v>25900</v>
      </c>
      <c r="N47" s="48" t="s">
        <v>24</v>
      </c>
      <c r="O47" s="223">
        <v>0</v>
      </c>
      <c r="P47" s="223">
        <v>0</v>
      </c>
      <c r="Q47" s="223">
        <v>0</v>
      </c>
      <c r="R47" s="270"/>
      <c r="S47" s="433">
        <f t="shared" ref="S47:T47" si="40">H137/1000</f>
        <v>22.652000000000001</v>
      </c>
      <c r="T47" s="272">
        <f t="shared" si="40"/>
        <v>1.766</v>
      </c>
      <c r="U47" s="272">
        <f t="shared" si="1"/>
        <v>1.242</v>
      </c>
      <c r="V47" s="271"/>
      <c r="W47" s="20" t="s">
        <v>183</v>
      </c>
    </row>
    <row r="48" spans="1:23" ht="16" customHeight="1" x14ac:dyDescent="0.2">
      <c r="A48" s="463"/>
      <c r="B48" s="461"/>
      <c r="C48" s="20" t="s">
        <v>41</v>
      </c>
      <c r="D48" s="300">
        <v>47.683329999999998</v>
      </c>
      <c r="E48" s="300">
        <v>97.206670000000003</v>
      </c>
      <c r="F48" s="223">
        <v>2075</v>
      </c>
      <c r="G48" s="223" t="s">
        <v>142</v>
      </c>
      <c r="H48" s="223">
        <v>5</v>
      </c>
      <c r="I48" s="223">
        <v>2.65</v>
      </c>
      <c r="J48" s="223">
        <v>0.99</v>
      </c>
      <c r="K48" s="223">
        <v>0</v>
      </c>
      <c r="L48" s="269">
        <v>423700</v>
      </c>
      <c r="M48" s="269">
        <v>28400</v>
      </c>
      <c r="N48" s="36" t="s">
        <v>24</v>
      </c>
      <c r="O48" s="223">
        <v>0</v>
      </c>
      <c r="P48" s="223">
        <v>0</v>
      </c>
      <c r="Q48" s="223">
        <v>0</v>
      </c>
      <c r="R48" s="270"/>
      <c r="S48" s="433">
        <f t="shared" ref="S48:T48" si="41">H138/1000</f>
        <v>20.184000000000001</v>
      </c>
      <c r="T48" s="272">
        <f t="shared" si="41"/>
        <v>1.7609999999999999</v>
      </c>
      <c r="U48" s="272">
        <f t="shared" si="1"/>
        <v>1.36</v>
      </c>
      <c r="V48" s="271"/>
      <c r="W48" s="20" t="s">
        <v>183</v>
      </c>
    </row>
    <row r="49" spans="1:23" ht="16" customHeight="1" x14ac:dyDescent="0.2">
      <c r="A49" s="463"/>
      <c r="B49" s="461"/>
      <c r="C49" s="20" t="s">
        <v>42</v>
      </c>
      <c r="D49" s="300">
        <v>47.683329999999998</v>
      </c>
      <c r="E49" s="300">
        <v>97.206670000000003</v>
      </c>
      <c r="F49" s="223">
        <v>2075</v>
      </c>
      <c r="G49" s="223" t="s">
        <v>142</v>
      </c>
      <c r="H49" s="223">
        <v>5</v>
      </c>
      <c r="I49" s="223">
        <v>2.65</v>
      </c>
      <c r="J49" s="223">
        <v>0.99</v>
      </c>
      <c r="K49" s="223">
        <v>0</v>
      </c>
      <c r="L49" s="269">
        <v>494000</v>
      </c>
      <c r="M49" s="269">
        <v>27300</v>
      </c>
      <c r="N49" s="36" t="s">
        <v>24</v>
      </c>
      <c r="O49" s="223">
        <v>0</v>
      </c>
      <c r="P49" s="223">
        <v>0</v>
      </c>
      <c r="Q49" s="223">
        <v>0</v>
      </c>
      <c r="R49" s="270"/>
      <c r="S49" s="433">
        <f t="shared" ref="S49:T49" si="42">H139/1000</f>
        <v>23.553000000000001</v>
      </c>
      <c r="T49" s="272">
        <f t="shared" si="42"/>
        <v>1.85</v>
      </c>
      <c r="U49" s="272">
        <f t="shared" si="1"/>
        <v>1.3089999999999999</v>
      </c>
      <c r="V49" s="271"/>
      <c r="W49" s="20" t="s">
        <v>183</v>
      </c>
    </row>
    <row r="50" spans="1:23" ht="16" customHeight="1" x14ac:dyDescent="0.2">
      <c r="A50" s="463"/>
      <c r="B50" s="461" t="s">
        <v>527</v>
      </c>
      <c r="C50" s="20" t="s">
        <v>43</v>
      </c>
      <c r="D50" s="300">
        <v>47.575470000000003</v>
      </c>
      <c r="E50" s="300">
        <v>97.667649999999995</v>
      </c>
      <c r="F50" s="223">
        <v>2580</v>
      </c>
      <c r="G50" s="223" t="s">
        <v>142</v>
      </c>
      <c r="H50" s="223">
        <v>3</v>
      </c>
      <c r="I50" s="223">
        <v>2.65</v>
      </c>
      <c r="J50" s="223">
        <v>1</v>
      </c>
      <c r="K50" s="223">
        <v>0</v>
      </c>
      <c r="L50" s="269">
        <v>950600</v>
      </c>
      <c r="M50" s="269">
        <v>28700</v>
      </c>
      <c r="N50" s="36" t="s">
        <v>25</v>
      </c>
      <c r="O50" s="223">
        <v>0</v>
      </c>
      <c r="P50" s="223">
        <v>0</v>
      </c>
      <c r="Q50" s="223">
        <v>0</v>
      </c>
      <c r="R50" s="270"/>
      <c r="S50" s="433">
        <f t="shared" ref="S50:T50" si="43">H140/1000</f>
        <v>31.297000000000001</v>
      </c>
      <c r="T50" s="272">
        <f t="shared" si="43"/>
        <v>1.9830000000000001</v>
      </c>
      <c r="U50" s="272">
        <f t="shared" si="1"/>
        <v>0.95199999999999996</v>
      </c>
      <c r="V50" s="271"/>
      <c r="W50" s="20" t="s">
        <v>183</v>
      </c>
    </row>
    <row r="51" spans="1:23" ht="16" customHeight="1" x14ac:dyDescent="0.2">
      <c r="A51" s="463"/>
      <c r="B51" s="461"/>
      <c r="C51" s="20" t="s">
        <v>44</v>
      </c>
      <c r="D51" s="300">
        <v>47.575470000000003</v>
      </c>
      <c r="E51" s="300">
        <v>97.667649999999995</v>
      </c>
      <c r="F51" s="223">
        <v>2580</v>
      </c>
      <c r="G51" s="223" t="s">
        <v>142</v>
      </c>
      <c r="H51" s="223">
        <v>3</v>
      </c>
      <c r="I51" s="223">
        <v>2.65</v>
      </c>
      <c r="J51" s="223">
        <v>1</v>
      </c>
      <c r="K51" s="223">
        <v>0</v>
      </c>
      <c r="L51" s="269">
        <v>2485900</v>
      </c>
      <c r="M51" s="269">
        <v>75700</v>
      </c>
      <c r="N51" s="36" t="s">
        <v>25</v>
      </c>
      <c r="O51" s="223">
        <v>0</v>
      </c>
      <c r="P51" s="223">
        <v>0</v>
      </c>
      <c r="Q51" s="223">
        <v>0</v>
      </c>
      <c r="R51" s="270"/>
      <c r="S51" s="433">
        <f t="shared" ref="S51:T51" si="44">H141/1000</f>
        <v>82.900999999999996</v>
      </c>
      <c r="T51" s="272">
        <f t="shared" si="44"/>
        <v>5.3310000000000004</v>
      </c>
      <c r="U51" s="272">
        <f t="shared" si="1"/>
        <v>2.5779999999999998</v>
      </c>
      <c r="V51" s="271"/>
      <c r="W51" s="20" t="s">
        <v>183</v>
      </c>
    </row>
    <row r="52" spans="1:23" ht="16" customHeight="1" x14ac:dyDescent="0.2">
      <c r="A52" s="463"/>
      <c r="B52" s="461"/>
      <c r="C52" s="20" t="s">
        <v>46</v>
      </c>
      <c r="D52" s="300">
        <v>47.575470000000003</v>
      </c>
      <c r="E52" s="300">
        <v>97.667649999999995</v>
      </c>
      <c r="F52" s="223">
        <v>2580</v>
      </c>
      <c r="G52" s="223" t="s">
        <v>142</v>
      </c>
      <c r="H52" s="223">
        <v>3</v>
      </c>
      <c r="I52" s="223">
        <v>2.65</v>
      </c>
      <c r="J52" s="223">
        <v>1</v>
      </c>
      <c r="K52" s="223">
        <v>0</v>
      </c>
      <c r="L52" s="269">
        <v>908300</v>
      </c>
      <c r="M52" s="269">
        <v>27400</v>
      </c>
      <c r="N52" s="36" t="s">
        <v>25</v>
      </c>
      <c r="O52" s="223">
        <v>0</v>
      </c>
      <c r="P52" s="223">
        <v>0</v>
      </c>
      <c r="Q52" s="223">
        <v>0</v>
      </c>
      <c r="R52" s="270"/>
      <c r="S52" s="433">
        <f t="shared" ref="S52:T52" si="45">H142/1000</f>
        <v>29.893999999999998</v>
      </c>
      <c r="T52" s="272">
        <f t="shared" si="45"/>
        <v>1.893</v>
      </c>
      <c r="U52" s="272">
        <f t="shared" si="1"/>
        <v>0.90900000000000003</v>
      </c>
      <c r="V52" s="271"/>
      <c r="W52" s="20" t="s">
        <v>183</v>
      </c>
    </row>
    <row r="53" spans="1:23" ht="16" customHeight="1" x14ac:dyDescent="0.2">
      <c r="A53" s="463"/>
      <c r="B53" s="222" t="s">
        <v>530</v>
      </c>
      <c r="C53" s="20" t="s">
        <v>26</v>
      </c>
      <c r="D53" s="300">
        <v>47.5974</v>
      </c>
      <c r="E53" s="300">
        <v>97.646079999999998</v>
      </c>
      <c r="F53" s="223">
        <v>2725</v>
      </c>
      <c r="G53" s="223" t="s">
        <v>142</v>
      </c>
      <c r="H53" s="223">
        <v>2.5</v>
      </c>
      <c r="I53" s="223">
        <v>2.65</v>
      </c>
      <c r="J53" s="223">
        <v>0.98</v>
      </c>
      <c r="K53" s="223">
        <v>0</v>
      </c>
      <c r="L53" s="269">
        <v>536500</v>
      </c>
      <c r="M53" s="269">
        <v>19900</v>
      </c>
      <c r="N53" s="36" t="s">
        <v>25</v>
      </c>
      <c r="O53" s="223">
        <v>0</v>
      </c>
      <c r="P53" s="223">
        <v>0</v>
      </c>
      <c r="Q53" s="223">
        <v>0</v>
      </c>
      <c r="R53" s="270"/>
      <c r="S53" s="433">
        <f t="shared" ref="S53:T53" si="46">H143/1000</f>
        <v>16.248999999999999</v>
      </c>
      <c r="T53" s="272">
        <f t="shared" si="46"/>
        <v>1.0840000000000001</v>
      </c>
      <c r="U53" s="272">
        <f t="shared" si="1"/>
        <v>0.60499999999999998</v>
      </c>
      <c r="V53" s="271"/>
      <c r="W53" s="20" t="s">
        <v>183</v>
      </c>
    </row>
    <row r="54" spans="1:23" ht="16" customHeight="1" x14ac:dyDescent="0.2">
      <c r="A54" s="463"/>
      <c r="B54" s="461" t="s">
        <v>612</v>
      </c>
      <c r="C54" s="20" t="s">
        <v>39</v>
      </c>
      <c r="D54" s="300">
        <v>47.603520000000003</v>
      </c>
      <c r="E54" s="300">
        <v>97.640299999999996</v>
      </c>
      <c r="F54" s="223">
        <v>2725</v>
      </c>
      <c r="G54" s="223" t="s">
        <v>142</v>
      </c>
      <c r="H54" s="223">
        <v>2.5</v>
      </c>
      <c r="I54" s="223">
        <v>2.65</v>
      </c>
      <c r="J54" s="223">
        <v>0.98</v>
      </c>
      <c r="K54" s="223">
        <v>0</v>
      </c>
      <c r="L54" s="269">
        <v>495100</v>
      </c>
      <c r="M54" s="269">
        <v>17800</v>
      </c>
      <c r="N54" s="36" t="s">
        <v>25</v>
      </c>
      <c r="O54" s="223">
        <v>0</v>
      </c>
      <c r="P54" s="223">
        <v>0</v>
      </c>
      <c r="Q54" s="223">
        <v>0</v>
      </c>
      <c r="R54" s="270"/>
      <c r="S54" s="433">
        <f t="shared" ref="S54:T54" si="47">H144/1000</f>
        <v>14.989000000000001</v>
      </c>
      <c r="T54" s="272">
        <f t="shared" si="47"/>
        <v>0.99</v>
      </c>
      <c r="U54" s="272">
        <f t="shared" si="1"/>
        <v>0.54100000000000004</v>
      </c>
      <c r="V54" s="271"/>
      <c r="W54" s="20" t="s">
        <v>183</v>
      </c>
    </row>
    <row r="55" spans="1:23" ht="16" customHeight="1" x14ac:dyDescent="0.2">
      <c r="A55" s="463"/>
      <c r="B55" s="461"/>
      <c r="C55" s="20" t="s">
        <v>27</v>
      </c>
      <c r="D55" s="300">
        <v>47.603520000000003</v>
      </c>
      <c r="E55" s="300">
        <v>97.640469999999993</v>
      </c>
      <c r="F55" s="223">
        <v>2725</v>
      </c>
      <c r="G55" s="223" t="s">
        <v>142</v>
      </c>
      <c r="H55" s="223">
        <v>2.5</v>
      </c>
      <c r="I55" s="223">
        <v>2.65</v>
      </c>
      <c r="J55" s="223">
        <v>0.98</v>
      </c>
      <c r="K55" s="223">
        <v>0</v>
      </c>
      <c r="L55" s="269">
        <v>546200</v>
      </c>
      <c r="M55" s="269">
        <v>16500</v>
      </c>
      <c r="N55" s="36" t="s">
        <v>25</v>
      </c>
      <c r="O55" s="223">
        <v>0</v>
      </c>
      <c r="P55" s="223">
        <v>0</v>
      </c>
      <c r="Q55" s="223">
        <v>0</v>
      </c>
      <c r="R55" s="270"/>
      <c r="S55" s="433">
        <f t="shared" ref="S55:T55" si="48">H145/1000</f>
        <v>16.542000000000002</v>
      </c>
      <c r="T55" s="272">
        <f t="shared" si="48"/>
        <v>1.044</v>
      </c>
      <c r="U55" s="272">
        <f t="shared" si="1"/>
        <v>0.502</v>
      </c>
      <c r="V55" s="271"/>
      <c r="W55" s="20" t="s">
        <v>183</v>
      </c>
    </row>
    <row r="56" spans="1:23" ht="16" customHeight="1" x14ac:dyDescent="0.2">
      <c r="A56" s="463"/>
      <c r="B56" s="461"/>
      <c r="C56" s="20" t="s">
        <v>45</v>
      </c>
      <c r="D56" s="300">
        <v>47.603520000000003</v>
      </c>
      <c r="E56" s="300">
        <v>97.640469999999993</v>
      </c>
      <c r="F56" s="223">
        <v>2725</v>
      </c>
      <c r="G56" s="223" t="s">
        <v>142</v>
      </c>
      <c r="H56" s="223">
        <v>2.5</v>
      </c>
      <c r="I56" s="223">
        <v>2.65</v>
      </c>
      <c r="J56" s="223">
        <v>0.98</v>
      </c>
      <c r="K56" s="223">
        <v>0</v>
      </c>
      <c r="L56" s="269">
        <v>548100</v>
      </c>
      <c r="M56" s="269">
        <v>16700</v>
      </c>
      <c r="N56" s="36" t="s">
        <v>25</v>
      </c>
      <c r="O56" s="223">
        <v>0</v>
      </c>
      <c r="P56" s="223">
        <v>0</v>
      </c>
      <c r="Q56" s="223">
        <v>0</v>
      </c>
      <c r="R56" s="270"/>
      <c r="S56" s="433">
        <f t="shared" ref="S56:T56" si="49">H146/1000</f>
        <v>16.600000000000001</v>
      </c>
      <c r="T56" s="272">
        <f t="shared" si="49"/>
        <v>1.05</v>
      </c>
      <c r="U56" s="272">
        <f t="shared" si="1"/>
        <v>0.50800000000000001</v>
      </c>
      <c r="V56" s="271"/>
      <c r="W56" s="20" t="s">
        <v>183</v>
      </c>
    </row>
    <row r="57" spans="1:23" ht="16" customHeight="1" x14ac:dyDescent="0.2">
      <c r="A57" s="463" t="s">
        <v>77</v>
      </c>
      <c r="B57" s="461" t="s">
        <v>600</v>
      </c>
      <c r="C57" s="20" t="s">
        <v>1</v>
      </c>
      <c r="D57" s="300">
        <v>47.435499999999998</v>
      </c>
      <c r="E57" s="300">
        <v>100.34714</v>
      </c>
      <c r="F57" s="223">
        <v>2128</v>
      </c>
      <c r="G57" s="223" t="s">
        <v>142</v>
      </c>
      <c r="H57" s="223">
        <v>2</v>
      </c>
      <c r="I57" s="223">
        <v>2.65</v>
      </c>
      <c r="J57" s="223">
        <v>1</v>
      </c>
      <c r="K57" s="223">
        <v>0</v>
      </c>
      <c r="L57" s="269">
        <v>2284800</v>
      </c>
      <c r="M57" s="269">
        <v>61000</v>
      </c>
      <c r="N57" s="36" t="s">
        <v>24</v>
      </c>
      <c r="O57" s="223">
        <v>0</v>
      </c>
      <c r="P57" s="223">
        <v>0</v>
      </c>
      <c r="Q57" s="223">
        <v>0</v>
      </c>
      <c r="R57" s="270"/>
      <c r="S57" s="433">
        <f t="shared" ref="S57:T57" si="50">H147/1000</f>
        <v>103.73099999999999</v>
      </c>
      <c r="T57" s="272">
        <f t="shared" si="50"/>
        <v>6.5220000000000002</v>
      </c>
      <c r="U57" s="272">
        <f t="shared" si="1"/>
        <v>2.8420000000000001</v>
      </c>
      <c r="V57" s="271"/>
      <c r="W57" s="20" t="s">
        <v>183</v>
      </c>
    </row>
    <row r="58" spans="1:23" ht="16" customHeight="1" x14ac:dyDescent="0.2">
      <c r="A58" s="463"/>
      <c r="B58" s="461"/>
      <c r="C58" s="20" t="s">
        <v>2</v>
      </c>
      <c r="D58" s="300">
        <v>47.435499999999998</v>
      </c>
      <c r="E58" s="300">
        <v>100.34714</v>
      </c>
      <c r="F58" s="223">
        <v>2128</v>
      </c>
      <c r="G58" s="223" t="s">
        <v>142</v>
      </c>
      <c r="H58" s="223">
        <v>3</v>
      </c>
      <c r="I58" s="223">
        <v>2.65</v>
      </c>
      <c r="J58" s="223">
        <v>1</v>
      </c>
      <c r="K58" s="223">
        <v>0</v>
      </c>
      <c r="L58" s="269">
        <v>1186500</v>
      </c>
      <c r="M58" s="269">
        <v>31400</v>
      </c>
      <c r="N58" s="36" t="s">
        <v>24</v>
      </c>
      <c r="O58" s="223">
        <v>0</v>
      </c>
      <c r="P58" s="223">
        <v>0</v>
      </c>
      <c r="Q58" s="223">
        <v>0</v>
      </c>
      <c r="R58" s="270"/>
      <c r="S58" s="433">
        <f t="shared" ref="S58:T58" si="51">H148/1000</f>
        <v>53.637999999999998</v>
      </c>
      <c r="T58" s="272">
        <f t="shared" si="51"/>
        <v>3.3250000000000002</v>
      </c>
      <c r="U58" s="272">
        <f t="shared" si="1"/>
        <v>1.4390000000000001</v>
      </c>
      <c r="V58" s="271"/>
      <c r="W58" s="20" t="s">
        <v>183</v>
      </c>
    </row>
    <row r="59" spans="1:23" ht="16" customHeight="1" x14ac:dyDescent="0.2">
      <c r="A59" s="463"/>
      <c r="B59" s="461"/>
      <c r="C59" s="20" t="s">
        <v>0</v>
      </c>
      <c r="D59" s="300">
        <v>47.435720000000003</v>
      </c>
      <c r="E59" s="300">
        <v>100.34678</v>
      </c>
      <c r="F59" s="223">
        <v>2130</v>
      </c>
      <c r="G59" s="223" t="s">
        <v>142</v>
      </c>
      <c r="H59" s="223">
        <v>3</v>
      </c>
      <c r="I59" s="223">
        <v>2.65</v>
      </c>
      <c r="J59" s="223">
        <v>1</v>
      </c>
      <c r="K59" s="223">
        <v>0</v>
      </c>
      <c r="L59" s="269">
        <v>502200</v>
      </c>
      <c r="M59" s="269">
        <v>23400</v>
      </c>
      <c r="N59" s="36" t="s">
        <v>24</v>
      </c>
      <c r="O59" s="223">
        <v>0</v>
      </c>
      <c r="P59" s="223">
        <v>0</v>
      </c>
      <c r="Q59" s="223">
        <v>0</v>
      </c>
      <c r="R59" s="270"/>
      <c r="S59" s="433">
        <f t="shared" ref="S59:T59" si="52">H149/1000</f>
        <v>22.495000000000001</v>
      </c>
      <c r="T59" s="272">
        <f t="shared" si="52"/>
        <v>1.633</v>
      </c>
      <c r="U59" s="272">
        <f t="shared" si="1"/>
        <v>1.054</v>
      </c>
      <c r="V59" s="271"/>
      <c r="W59" s="20" t="s">
        <v>183</v>
      </c>
    </row>
    <row r="60" spans="1:23" ht="16" customHeight="1" x14ac:dyDescent="0.2">
      <c r="A60" s="463"/>
      <c r="B60" s="461" t="s">
        <v>601</v>
      </c>
      <c r="C60" s="20" t="s">
        <v>3</v>
      </c>
      <c r="D60" s="300">
        <v>47.415750000000003</v>
      </c>
      <c r="E60" s="300">
        <v>100.35731</v>
      </c>
      <c r="F60" s="223">
        <v>2172</v>
      </c>
      <c r="G60" s="223" t="s">
        <v>142</v>
      </c>
      <c r="H60" s="223">
        <v>3</v>
      </c>
      <c r="I60" s="223">
        <v>2.65</v>
      </c>
      <c r="J60" s="223">
        <v>0.99</v>
      </c>
      <c r="K60" s="223">
        <v>0</v>
      </c>
      <c r="L60" s="269">
        <v>504500</v>
      </c>
      <c r="M60" s="269">
        <v>21200</v>
      </c>
      <c r="N60" s="36" t="s">
        <v>24</v>
      </c>
      <c r="O60" s="223">
        <v>0</v>
      </c>
      <c r="P60" s="223">
        <v>0</v>
      </c>
      <c r="Q60" s="223">
        <v>0</v>
      </c>
      <c r="R60" s="270"/>
      <c r="S60" s="433">
        <f t="shared" ref="S60:T60" si="53">H150/1000</f>
        <v>22.161000000000001</v>
      </c>
      <c r="T60" s="272">
        <f t="shared" si="53"/>
        <v>1.5449999999999999</v>
      </c>
      <c r="U60" s="272">
        <f t="shared" si="1"/>
        <v>0.93600000000000005</v>
      </c>
      <c r="V60" s="271"/>
      <c r="W60" s="20" t="s">
        <v>183</v>
      </c>
    </row>
    <row r="61" spans="1:23" ht="16" customHeight="1" x14ac:dyDescent="0.2">
      <c r="A61" s="463"/>
      <c r="B61" s="461"/>
      <c r="C61" s="20" t="s">
        <v>4</v>
      </c>
      <c r="D61" s="300">
        <v>47.416440000000001</v>
      </c>
      <c r="E61" s="300">
        <v>100.35592</v>
      </c>
      <c r="F61" s="223">
        <v>2173</v>
      </c>
      <c r="G61" s="223" t="s">
        <v>142</v>
      </c>
      <c r="H61" s="223">
        <v>4</v>
      </c>
      <c r="I61" s="223">
        <v>2.65</v>
      </c>
      <c r="J61" s="223">
        <v>0.99</v>
      </c>
      <c r="K61" s="223">
        <v>0</v>
      </c>
      <c r="L61" s="269">
        <v>889600</v>
      </c>
      <c r="M61" s="269">
        <v>37000</v>
      </c>
      <c r="N61" s="36" t="s">
        <v>24</v>
      </c>
      <c r="O61" s="223">
        <v>0</v>
      </c>
      <c r="P61" s="223">
        <v>0</v>
      </c>
      <c r="Q61" s="223">
        <v>0</v>
      </c>
      <c r="R61" s="270"/>
      <c r="S61" s="433">
        <f t="shared" ref="S61:T61" si="54">H151/1000</f>
        <v>39.539000000000001</v>
      </c>
      <c r="T61" s="272">
        <f t="shared" si="54"/>
        <v>2.758</v>
      </c>
      <c r="U61" s="272">
        <f t="shared" si="1"/>
        <v>1.661</v>
      </c>
      <c r="V61" s="271"/>
      <c r="W61" s="20" t="s">
        <v>183</v>
      </c>
    </row>
    <row r="62" spans="1:23" ht="16" customHeight="1" x14ac:dyDescent="0.2">
      <c r="A62" s="463"/>
      <c r="B62" s="461"/>
      <c r="C62" s="20" t="s">
        <v>5</v>
      </c>
      <c r="D62" s="300">
        <v>47.416440000000001</v>
      </c>
      <c r="E62" s="300">
        <v>100.35592</v>
      </c>
      <c r="F62" s="223">
        <v>2173</v>
      </c>
      <c r="G62" s="223" t="s">
        <v>142</v>
      </c>
      <c r="H62" s="223">
        <v>3</v>
      </c>
      <c r="I62" s="223">
        <v>2.65</v>
      </c>
      <c r="J62" s="223">
        <v>0.99</v>
      </c>
      <c r="K62" s="223">
        <v>0</v>
      </c>
      <c r="L62" s="269">
        <v>722100</v>
      </c>
      <c r="M62" s="269">
        <v>25500</v>
      </c>
      <c r="N62" s="36" t="s">
        <v>24</v>
      </c>
      <c r="O62" s="223">
        <v>0</v>
      </c>
      <c r="P62" s="223">
        <v>0</v>
      </c>
      <c r="Q62" s="223">
        <v>0</v>
      </c>
      <c r="R62" s="270"/>
      <c r="S62" s="433">
        <f t="shared" ref="S62:T62" si="55">H152/1000</f>
        <v>31.773</v>
      </c>
      <c r="T62" s="272">
        <f t="shared" si="55"/>
        <v>2.097</v>
      </c>
      <c r="U62" s="272">
        <f t="shared" si="1"/>
        <v>1.131</v>
      </c>
      <c r="V62" s="271"/>
      <c r="W62" s="20" t="s">
        <v>183</v>
      </c>
    </row>
    <row r="63" spans="1:23" ht="16" customHeight="1" x14ac:dyDescent="0.2">
      <c r="A63" s="463"/>
      <c r="B63" s="461"/>
      <c r="C63" s="20" t="s">
        <v>21</v>
      </c>
      <c r="D63" s="300">
        <v>47.418030000000002</v>
      </c>
      <c r="E63" s="300">
        <v>100.35250000000001</v>
      </c>
      <c r="F63" s="223">
        <v>2177</v>
      </c>
      <c r="G63" s="223" t="s">
        <v>142</v>
      </c>
      <c r="H63" s="223">
        <v>5</v>
      </c>
      <c r="I63" s="223">
        <v>2.65</v>
      </c>
      <c r="J63" s="223">
        <v>1</v>
      </c>
      <c r="K63" s="223">
        <v>0</v>
      </c>
      <c r="L63" s="269">
        <v>826600</v>
      </c>
      <c r="M63" s="269">
        <v>30700</v>
      </c>
      <c r="N63" s="36" t="s">
        <v>24</v>
      </c>
      <c r="O63" s="223">
        <v>0</v>
      </c>
      <c r="P63" s="223">
        <v>0</v>
      </c>
      <c r="Q63" s="223">
        <v>0</v>
      </c>
      <c r="R63" s="270"/>
      <c r="S63" s="433">
        <f t="shared" ref="S63:T63" si="56">H153/1000</f>
        <v>36.542000000000002</v>
      </c>
      <c r="T63" s="272">
        <f t="shared" si="56"/>
        <v>2.452</v>
      </c>
      <c r="U63" s="272">
        <f t="shared" si="1"/>
        <v>1.37</v>
      </c>
      <c r="V63" s="271"/>
      <c r="W63" s="20" t="s">
        <v>183</v>
      </c>
    </row>
    <row r="64" spans="1:23" ht="16" customHeight="1" x14ac:dyDescent="0.2">
      <c r="A64" s="463"/>
      <c r="B64" s="461"/>
      <c r="C64" s="20" t="s">
        <v>22</v>
      </c>
      <c r="D64" s="300">
        <v>47.418030000000002</v>
      </c>
      <c r="E64" s="300">
        <v>100.35250000000001</v>
      </c>
      <c r="F64" s="223">
        <v>2177</v>
      </c>
      <c r="G64" s="223" t="s">
        <v>142</v>
      </c>
      <c r="H64" s="223">
        <v>4</v>
      </c>
      <c r="I64" s="223">
        <v>2.65</v>
      </c>
      <c r="J64" s="223">
        <v>1</v>
      </c>
      <c r="K64" s="223">
        <v>0</v>
      </c>
      <c r="L64" s="269">
        <v>725500</v>
      </c>
      <c r="M64" s="269">
        <v>40600</v>
      </c>
      <c r="N64" s="36" t="s">
        <v>24</v>
      </c>
      <c r="O64" s="223">
        <v>0</v>
      </c>
      <c r="P64" s="223">
        <v>0</v>
      </c>
      <c r="Q64" s="223">
        <v>0</v>
      </c>
      <c r="R64" s="270"/>
      <c r="S64" s="433">
        <f t="shared" ref="S64:T64" si="57">H154/1000</f>
        <v>31.776</v>
      </c>
      <c r="T64" s="272">
        <f t="shared" si="57"/>
        <v>2.516</v>
      </c>
      <c r="U64" s="272">
        <f t="shared" si="1"/>
        <v>1.792</v>
      </c>
      <c r="V64" s="271"/>
      <c r="W64" s="20" t="s">
        <v>183</v>
      </c>
    </row>
    <row r="65" spans="1:23" ht="16" customHeight="1" x14ac:dyDescent="0.2">
      <c r="A65" s="463"/>
      <c r="B65" s="461"/>
      <c r="C65" s="20" t="s">
        <v>23</v>
      </c>
      <c r="D65" s="300">
        <v>47.418030000000002</v>
      </c>
      <c r="E65" s="300">
        <v>100.35250000000001</v>
      </c>
      <c r="F65" s="223">
        <v>2177</v>
      </c>
      <c r="G65" s="223" t="s">
        <v>142</v>
      </c>
      <c r="H65" s="223">
        <v>5</v>
      </c>
      <c r="I65" s="223">
        <v>2.65</v>
      </c>
      <c r="J65" s="223">
        <v>1</v>
      </c>
      <c r="K65" s="223">
        <v>0</v>
      </c>
      <c r="L65" s="269">
        <v>1124200</v>
      </c>
      <c r="M65" s="269">
        <v>40100</v>
      </c>
      <c r="N65" s="36" t="s">
        <v>24</v>
      </c>
      <c r="O65" s="223">
        <v>0</v>
      </c>
      <c r="P65" s="223">
        <v>0</v>
      </c>
      <c r="Q65" s="223">
        <v>0</v>
      </c>
      <c r="R65" s="270"/>
      <c r="S65" s="433">
        <f t="shared" ref="S65:T65" si="58">H155/1000</f>
        <v>49.863</v>
      </c>
      <c r="T65" s="272">
        <f t="shared" si="58"/>
        <v>3.3159999999999998</v>
      </c>
      <c r="U65" s="272">
        <f t="shared" si="1"/>
        <v>1.8009999999999999</v>
      </c>
      <c r="V65" s="271"/>
      <c r="W65" s="20" t="s">
        <v>183</v>
      </c>
    </row>
    <row r="66" spans="1:23" ht="16" customHeight="1" x14ac:dyDescent="0.2">
      <c r="A66" s="462" t="s">
        <v>81</v>
      </c>
      <c r="B66" s="467"/>
      <c r="C66" s="20" t="s">
        <v>30</v>
      </c>
      <c r="D66" s="300">
        <v>46.606830000000002</v>
      </c>
      <c r="E66" s="300">
        <v>93.562830000000005</v>
      </c>
      <c r="F66" s="223">
        <v>3205</v>
      </c>
      <c r="G66" s="223" t="s">
        <v>142</v>
      </c>
      <c r="H66" s="223">
        <v>3</v>
      </c>
      <c r="I66" s="223">
        <v>2.65</v>
      </c>
      <c r="J66" s="223">
        <v>0.99</v>
      </c>
      <c r="K66" s="223">
        <v>0</v>
      </c>
      <c r="L66" s="269">
        <v>41200</v>
      </c>
      <c r="M66" s="269">
        <v>4100</v>
      </c>
      <c r="N66" s="36" t="s">
        <v>25</v>
      </c>
      <c r="O66" s="223">
        <v>0</v>
      </c>
      <c r="P66" s="223">
        <v>0</v>
      </c>
      <c r="Q66" s="223">
        <v>0</v>
      </c>
      <c r="R66" s="270"/>
      <c r="S66" s="433">
        <f t="shared" ref="S66:T66" si="59">H156/1000</f>
        <v>0.94399999999999995</v>
      </c>
      <c r="T66" s="272">
        <f t="shared" si="59"/>
        <v>0.107</v>
      </c>
      <c r="U66" s="272">
        <f t="shared" si="1"/>
        <v>9.4E-2</v>
      </c>
      <c r="V66" s="271"/>
      <c r="W66" s="20" t="s">
        <v>183</v>
      </c>
    </row>
    <row r="67" spans="1:23" ht="16" customHeight="1" x14ac:dyDescent="0.2">
      <c r="A67" s="462"/>
      <c r="B67" s="467"/>
      <c r="C67" s="20" t="s">
        <v>31</v>
      </c>
      <c r="D67" s="300">
        <v>46.606830000000002</v>
      </c>
      <c r="E67" s="300">
        <v>93.562830000000005</v>
      </c>
      <c r="F67" s="223">
        <v>3205</v>
      </c>
      <c r="G67" s="223" t="s">
        <v>142</v>
      </c>
      <c r="H67" s="223">
        <v>3</v>
      </c>
      <c r="I67" s="223">
        <v>2.65</v>
      </c>
      <c r="J67" s="223">
        <v>0.99</v>
      </c>
      <c r="K67" s="223">
        <v>0</v>
      </c>
      <c r="L67" s="269">
        <v>69400</v>
      </c>
      <c r="M67" s="269">
        <v>4400</v>
      </c>
      <c r="N67" s="36" t="s">
        <v>25</v>
      </c>
      <c r="O67" s="223">
        <v>0</v>
      </c>
      <c r="P67" s="223">
        <v>0</v>
      </c>
      <c r="Q67" s="223">
        <v>0</v>
      </c>
      <c r="R67" s="270"/>
      <c r="S67" s="433">
        <f t="shared" ref="S67:T67" si="60">H157/1000</f>
        <v>1.59</v>
      </c>
      <c r="T67" s="272">
        <f t="shared" si="60"/>
        <v>0.13400000000000001</v>
      </c>
      <c r="U67" s="272">
        <f t="shared" si="1"/>
        <v>0.10100000000000001</v>
      </c>
      <c r="V67" s="271"/>
      <c r="W67" s="20" t="s">
        <v>183</v>
      </c>
    </row>
    <row r="68" spans="1:23" ht="16" customHeight="1" x14ac:dyDescent="0.2">
      <c r="A68" s="462"/>
      <c r="B68" s="467"/>
      <c r="C68" s="20" t="s">
        <v>35</v>
      </c>
      <c r="D68" s="300">
        <v>46.616019999999999</v>
      </c>
      <c r="E68" s="300">
        <v>93.563869999999994</v>
      </c>
      <c r="F68" s="223">
        <v>3273</v>
      </c>
      <c r="G68" s="223" t="s">
        <v>142</v>
      </c>
      <c r="H68" s="223">
        <v>2.5</v>
      </c>
      <c r="I68" s="223">
        <v>2.65</v>
      </c>
      <c r="J68" s="223">
        <v>0.99</v>
      </c>
      <c r="K68" s="223">
        <v>0</v>
      </c>
      <c r="L68" s="269">
        <v>540500</v>
      </c>
      <c r="M68" s="269">
        <v>19200</v>
      </c>
      <c r="N68" s="36" t="s">
        <v>25</v>
      </c>
      <c r="O68" s="223">
        <v>0</v>
      </c>
      <c r="P68" s="223">
        <v>0</v>
      </c>
      <c r="Q68" s="223">
        <v>0</v>
      </c>
      <c r="R68" s="270"/>
      <c r="S68" s="433">
        <f t="shared" ref="S68:T68" si="61">H158/1000</f>
        <v>11.872</v>
      </c>
      <c r="T68" s="272">
        <f t="shared" si="61"/>
        <v>0.78100000000000003</v>
      </c>
      <c r="U68" s="272">
        <f t="shared" si="1"/>
        <v>0.42299999999999999</v>
      </c>
      <c r="V68" s="271"/>
      <c r="W68" s="20" t="s">
        <v>183</v>
      </c>
    </row>
    <row r="69" spans="1:23" ht="16" customHeight="1" x14ac:dyDescent="0.2">
      <c r="A69" s="462"/>
      <c r="B69" s="467"/>
      <c r="C69" s="20" t="s">
        <v>51</v>
      </c>
      <c r="D69" s="300">
        <v>46.616799999999998</v>
      </c>
      <c r="E69" s="300">
        <v>93.564480000000003</v>
      </c>
      <c r="F69" s="223">
        <v>3290</v>
      </c>
      <c r="G69" s="223" t="s">
        <v>142</v>
      </c>
      <c r="H69" s="223">
        <v>3</v>
      </c>
      <c r="I69" s="223">
        <v>2.65</v>
      </c>
      <c r="J69" s="223">
        <v>0.98</v>
      </c>
      <c r="K69" s="223">
        <v>0</v>
      </c>
      <c r="L69" s="269">
        <v>184500</v>
      </c>
      <c r="M69" s="269">
        <v>6600</v>
      </c>
      <c r="N69" s="36" t="s">
        <v>25</v>
      </c>
      <c r="O69" s="223">
        <v>0</v>
      </c>
      <c r="P69" s="223">
        <v>0</v>
      </c>
      <c r="Q69" s="223">
        <v>0</v>
      </c>
      <c r="R69" s="270"/>
      <c r="S69" s="433">
        <f t="shared" ref="S69:T69" si="62">H159/1000</f>
        <v>4.0609999999999999</v>
      </c>
      <c r="T69" s="272">
        <f t="shared" si="62"/>
        <v>0.26700000000000002</v>
      </c>
      <c r="U69" s="272">
        <f t="shared" si="1"/>
        <v>0.14499999999999999</v>
      </c>
      <c r="V69" s="271"/>
      <c r="W69" s="20" t="s">
        <v>183</v>
      </c>
    </row>
    <row r="70" spans="1:23" ht="16" customHeight="1" x14ac:dyDescent="0.2">
      <c r="A70" s="462"/>
      <c r="B70" s="467"/>
      <c r="C70" s="20" t="s">
        <v>52</v>
      </c>
      <c r="D70" s="300">
        <v>46.617019999999997</v>
      </c>
      <c r="E70" s="300">
        <v>93.563699999999997</v>
      </c>
      <c r="F70" s="223">
        <v>3290</v>
      </c>
      <c r="G70" s="223" t="s">
        <v>142</v>
      </c>
      <c r="H70" s="223">
        <v>1</v>
      </c>
      <c r="I70" s="223">
        <v>2.65</v>
      </c>
      <c r="J70" s="223">
        <v>0.98</v>
      </c>
      <c r="K70" s="223">
        <v>0</v>
      </c>
      <c r="L70" s="269">
        <v>841400</v>
      </c>
      <c r="M70" s="269">
        <v>25500</v>
      </c>
      <c r="N70" s="36" t="s">
        <v>25</v>
      </c>
      <c r="O70" s="223">
        <v>0</v>
      </c>
      <c r="P70" s="223">
        <v>0</v>
      </c>
      <c r="Q70" s="223">
        <v>0</v>
      </c>
      <c r="R70" s="270"/>
      <c r="S70" s="433">
        <f t="shared" ref="S70:T70" si="63">H160/1000</f>
        <v>18.282</v>
      </c>
      <c r="T70" s="272">
        <f t="shared" si="63"/>
        <v>1.1559999999999999</v>
      </c>
      <c r="U70" s="272">
        <f t="shared" si="1"/>
        <v>0.55700000000000005</v>
      </c>
      <c r="V70" s="271"/>
      <c r="W70" s="20" t="s">
        <v>183</v>
      </c>
    </row>
    <row r="71" spans="1:23" ht="16" customHeight="1" x14ac:dyDescent="0.2">
      <c r="A71" s="462"/>
      <c r="B71" s="467"/>
      <c r="C71" s="20" t="s">
        <v>29</v>
      </c>
      <c r="D71" s="300">
        <v>46.616799999999998</v>
      </c>
      <c r="E71" s="300">
        <v>93.564480000000003</v>
      </c>
      <c r="F71" s="223">
        <v>3290</v>
      </c>
      <c r="G71" s="223" t="s">
        <v>142</v>
      </c>
      <c r="H71" s="223">
        <v>3</v>
      </c>
      <c r="I71" s="223">
        <v>2.65</v>
      </c>
      <c r="J71" s="223">
        <v>0.98</v>
      </c>
      <c r="K71" s="223">
        <v>0</v>
      </c>
      <c r="L71" s="269">
        <v>42200</v>
      </c>
      <c r="M71" s="269">
        <v>5600</v>
      </c>
      <c r="N71" s="36" t="s">
        <v>25</v>
      </c>
      <c r="O71" s="223">
        <v>0</v>
      </c>
      <c r="P71" s="223">
        <v>0</v>
      </c>
      <c r="Q71" s="223">
        <v>0</v>
      </c>
      <c r="R71" s="270"/>
      <c r="S71" s="433">
        <f t="shared" ref="S71:T71" si="64">H161/1000</f>
        <v>0.92800000000000005</v>
      </c>
      <c r="T71" s="272">
        <f t="shared" si="64"/>
        <v>0.13300000000000001</v>
      </c>
      <c r="U71" s="272">
        <f t="shared" si="1"/>
        <v>0.123</v>
      </c>
      <c r="V71" s="271"/>
      <c r="W71" s="20" t="s">
        <v>183</v>
      </c>
    </row>
    <row r="72" spans="1:23" ht="16" customHeight="1" x14ac:dyDescent="0.2">
      <c r="A72" s="462"/>
      <c r="B72" s="467"/>
      <c r="C72" s="20" t="s">
        <v>12</v>
      </c>
      <c r="D72" s="300">
        <v>46.617690000000003</v>
      </c>
      <c r="E72" s="300">
        <v>93.565640000000002</v>
      </c>
      <c r="F72" s="223">
        <v>3310</v>
      </c>
      <c r="G72" s="223" t="s">
        <v>142</v>
      </c>
      <c r="H72" s="223">
        <v>4</v>
      </c>
      <c r="I72" s="223">
        <v>2.65</v>
      </c>
      <c r="J72" s="223">
        <v>0.96</v>
      </c>
      <c r="K72" s="223">
        <v>0</v>
      </c>
      <c r="L72" s="269">
        <v>116500</v>
      </c>
      <c r="M72" s="269">
        <v>4300</v>
      </c>
      <c r="N72" s="36" t="s">
        <v>24</v>
      </c>
      <c r="O72" s="223">
        <v>0</v>
      </c>
      <c r="P72" s="223">
        <v>0</v>
      </c>
      <c r="Q72" s="223">
        <v>0</v>
      </c>
      <c r="R72" s="270"/>
      <c r="S72" s="433">
        <f t="shared" ref="S72:T72" si="65">H162/1000</f>
        <v>2.6059999999999999</v>
      </c>
      <c r="T72" s="272">
        <f t="shared" si="65"/>
        <v>0.17299999999999999</v>
      </c>
      <c r="U72" s="272">
        <f t="shared" ref="U72:U74" si="66">G162/1000</f>
        <v>9.6000000000000002E-2</v>
      </c>
      <c r="V72" s="271"/>
      <c r="W72" s="20" t="s">
        <v>183</v>
      </c>
    </row>
    <row r="73" spans="1:23" ht="16" customHeight="1" x14ac:dyDescent="0.2">
      <c r="A73" s="462"/>
      <c r="B73" s="467"/>
      <c r="C73" s="20" t="s">
        <v>13</v>
      </c>
      <c r="D73" s="300">
        <v>46.617690000000003</v>
      </c>
      <c r="E73" s="300">
        <v>93.565640000000002</v>
      </c>
      <c r="F73" s="223">
        <v>3310</v>
      </c>
      <c r="G73" s="223" t="s">
        <v>142</v>
      </c>
      <c r="H73" s="223">
        <v>3</v>
      </c>
      <c r="I73" s="223">
        <v>2.65</v>
      </c>
      <c r="J73" s="223">
        <v>0.96</v>
      </c>
      <c r="K73" s="223">
        <v>0</v>
      </c>
      <c r="L73" s="269">
        <v>130000</v>
      </c>
      <c r="M73" s="269">
        <v>4700</v>
      </c>
      <c r="N73" s="36" t="s">
        <v>24</v>
      </c>
      <c r="O73" s="223">
        <v>0</v>
      </c>
      <c r="P73" s="223">
        <v>0</v>
      </c>
      <c r="Q73" s="223">
        <v>0</v>
      </c>
      <c r="R73" s="270"/>
      <c r="S73" s="433">
        <f t="shared" ref="S73:T73" si="67">H163/1000</f>
        <v>2.8849999999999998</v>
      </c>
      <c r="T73" s="272">
        <f t="shared" si="67"/>
        <v>0.19</v>
      </c>
      <c r="U73" s="272">
        <f t="shared" si="66"/>
        <v>0.104</v>
      </c>
      <c r="V73" s="271"/>
      <c r="W73" s="20" t="s">
        <v>183</v>
      </c>
    </row>
    <row r="74" spans="1:23" ht="16" customHeight="1" x14ac:dyDescent="0.2">
      <c r="A74" s="462"/>
      <c r="B74" s="467"/>
      <c r="C74" s="20" t="s">
        <v>14</v>
      </c>
      <c r="D74" s="300">
        <v>46.617690000000003</v>
      </c>
      <c r="E74" s="300">
        <v>93.565640000000002</v>
      </c>
      <c r="F74" s="223">
        <v>3310</v>
      </c>
      <c r="G74" s="223" t="s">
        <v>142</v>
      </c>
      <c r="H74" s="223">
        <v>2</v>
      </c>
      <c r="I74" s="223">
        <v>2.65</v>
      </c>
      <c r="J74" s="223">
        <v>0.96</v>
      </c>
      <c r="K74" s="223">
        <v>0</v>
      </c>
      <c r="L74" s="269">
        <v>126300</v>
      </c>
      <c r="M74" s="269">
        <v>5000</v>
      </c>
      <c r="N74" s="36" t="s">
        <v>24</v>
      </c>
      <c r="O74" s="223">
        <v>0</v>
      </c>
      <c r="P74" s="223">
        <v>0</v>
      </c>
      <c r="Q74" s="223">
        <v>0</v>
      </c>
      <c r="R74" s="270"/>
      <c r="S74" s="433">
        <f t="shared" ref="S74:T74" si="68">H164/1000</f>
        <v>2.78</v>
      </c>
      <c r="T74" s="272">
        <f t="shared" si="68"/>
        <v>0.189</v>
      </c>
      <c r="U74" s="272">
        <f t="shared" si="66"/>
        <v>0.11</v>
      </c>
      <c r="V74" s="271"/>
      <c r="W74" s="20" t="s">
        <v>183</v>
      </c>
    </row>
    <row r="75" spans="1:23" ht="16" customHeight="1" x14ac:dyDescent="0.2">
      <c r="D75" s="223"/>
      <c r="E75" s="223"/>
      <c r="S75" s="271"/>
    </row>
    <row r="76" spans="1:23" ht="16" customHeight="1" x14ac:dyDescent="0.2">
      <c r="A76" s="463" t="s">
        <v>653</v>
      </c>
      <c r="B76" s="466" t="s">
        <v>650</v>
      </c>
      <c r="C76" s="20" t="s">
        <v>184</v>
      </c>
      <c r="D76" s="223">
        <v>47.678899999999999</v>
      </c>
      <c r="E76" s="223">
        <v>97.208299999999994</v>
      </c>
      <c r="F76" s="223">
        <v>2084</v>
      </c>
      <c r="G76" s="223" t="s">
        <v>142</v>
      </c>
      <c r="H76" s="223">
        <v>4</v>
      </c>
      <c r="I76" s="223">
        <v>2.7</v>
      </c>
      <c r="J76" s="223">
        <v>1</v>
      </c>
      <c r="K76" s="223">
        <v>0</v>
      </c>
      <c r="L76" s="20">
        <v>358000</v>
      </c>
      <c r="M76" s="20">
        <v>9000</v>
      </c>
      <c r="N76" s="268" t="s">
        <v>24</v>
      </c>
      <c r="O76" s="223">
        <v>0</v>
      </c>
      <c r="P76" s="223">
        <v>0</v>
      </c>
      <c r="Q76" s="223">
        <v>0</v>
      </c>
      <c r="R76" s="270"/>
      <c r="S76" s="274">
        <v>16.600000000000001</v>
      </c>
      <c r="T76" s="274">
        <v>1</v>
      </c>
      <c r="U76" s="274">
        <v>0.4</v>
      </c>
      <c r="W76" s="20" t="s">
        <v>643</v>
      </c>
    </row>
    <row r="77" spans="1:23" ht="16" customHeight="1" x14ac:dyDescent="0.2">
      <c r="A77" s="463"/>
      <c r="B77" s="466"/>
      <c r="C77" s="20" t="s">
        <v>185</v>
      </c>
      <c r="D77" s="223">
        <v>47.679099999999998</v>
      </c>
      <c r="E77" s="223">
        <v>97.208399999999997</v>
      </c>
      <c r="F77" s="223">
        <v>2082</v>
      </c>
      <c r="G77" s="223" t="s">
        <v>142</v>
      </c>
      <c r="H77" s="223">
        <v>4</v>
      </c>
      <c r="I77" s="223">
        <v>2.7</v>
      </c>
      <c r="J77" s="223">
        <v>1</v>
      </c>
      <c r="K77" s="223">
        <v>0</v>
      </c>
      <c r="L77" s="20">
        <v>354000</v>
      </c>
      <c r="M77" s="20">
        <v>9000</v>
      </c>
      <c r="N77" s="268" t="s">
        <v>24</v>
      </c>
      <c r="O77" s="223">
        <v>0</v>
      </c>
      <c r="P77" s="223">
        <v>0</v>
      </c>
      <c r="Q77" s="223">
        <v>0</v>
      </c>
      <c r="R77" s="270"/>
      <c r="S77" s="274">
        <v>16.5</v>
      </c>
      <c r="T77" s="274">
        <v>1</v>
      </c>
      <c r="U77" s="274">
        <v>0.4</v>
      </c>
      <c r="W77" s="20" t="s">
        <v>643</v>
      </c>
    </row>
    <row r="78" spans="1:23" ht="16" customHeight="1" x14ac:dyDescent="0.2">
      <c r="A78" s="463"/>
      <c r="B78" s="466"/>
      <c r="C78" s="20" t="s">
        <v>186</v>
      </c>
      <c r="D78" s="223">
        <v>47.677999999999997</v>
      </c>
      <c r="E78" s="223">
        <v>97.209699999999998</v>
      </c>
      <c r="F78" s="223">
        <v>2094</v>
      </c>
      <c r="G78" s="223" t="s">
        <v>142</v>
      </c>
      <c r="H78" s="223">
        <v>4</v>
      </c>
      <c r="I78" s="223">
        <v>2.7</v>
      </c>
      <c r="J78" s="223">
        <v>1</v>
      </c>
      <c r="K78" s="223">
        <v>0</v>
      </c>
      <c r="L78" s="20">
        <v>723000</v>
      </c>
      <c r="M78" s="20">
        <v>18000</v>
      </c>
      <c r="N78" s="268" t="s">
        <v>24</v>
      </c>
      <c r="O78" s="223">
        <v>0</v>
      </c>
      <c r="P78" s="223">
        <v>0</v>
      </c>
      <c r="Q78" s="223">
        <v>0</v>
      </c>
      <c r="R78" s="270"/>
      <c r="S78" s="274">
        <v>33.5</v>
      </c>
      <c r="T78" s="274">
        <v>2</v>
      </c>
      <c r="U78" s="274">
        <v>0.8</v>
      </c>
      <c r="W78" s="20" t="s">
        <v>643</v>
      </c>
    </row>
    <row r="79" spans="1:23" ht="16" customHeight="1" x14ac:dyDescent="0.2">
      <c r="A79" s="463"/>
      <c r="B79" s="466" t="s">
        <v>160</v>
      </c>
      <c r="C79" s="20" t="s">
        <v>110</v>
      </c>
      <c r="D79" s="223">
        <v>47.688299999999998</v>
      </c>
      <c r="E79" s="223">
        <v>97.249600000000001</v>
      </c>
      <c r="F79" s="223">
        <v>2150</v>
      </c>
      <c r="G79" s="223" t="s">
        <v>142</v>
      </c>
      <c r="H79" s="223">
        <v>4</v>
      </c>
      <c r="I79" s="223">
        <v>2.7</v>
      </c>
      <c r="J79" s="223">
        <v>1</v>
      </c>
      <c r="K79" s="223">
        <v>0</v>
      </c>
      <c r="L79" s="20">
        <v>487000</v>
      </c>
      <c r="M79" s="20">
        <v>12000</v>
      </c>
      <c r="N79" s="268" t="s">
        <v>24</v>
      </c>
      <c r="O79" s="223">
        <v>0</v>
      </c>
      <c r="P79" s="223">
        <v>0</v>
      </c>
      <c r="Q79" s="223">
        <v>0</v>
      </c>
      <c r="R79" s="270"/>
      <c r="S79" s="274">
        <v>21.6</v>
      </c>
      <c r="T79" s="274">
        <v>1.3</v>
      </c>
      <c r="U79" s="274">
        <v>0.5</v>
      </c>
      <c r="W79" s="20" t="s">
        <v>643</v>
      </c>
    </row>
    <row r="80" spans="1:23" ht="16" customHeight="1" x14ac:dyDescent="0.2">
      <c r="A80" s="463"/>
      <c r="B80" s="466"/>
      <c r="C80" s="20" t="s">
        <v>112</v>
      </c>
      <c r="D80" s="223">
        <v>47.688099999999999</v>
      </c>
      <c r="E80" s="223">
        <v>97.25</v>
      </c>
      <c r="F80" s="223">
        <v>2150</v>
      </c>
      <c r="G80" s="223" t="s">
        <v>142</v>
      </c>
      <c r="H80" s="223">
        <v>4</v>
      </c>
      <c r="I80" s="223">
        <v>2.7</v>
      </c>
      <c r="J80" s="223">
        <v>1</v>
      </c>
      <c r="K80" s="223">
        <v>0</v>
      </c>
      <c r="L80" s="20">
        <v>422000</v>
      </c>
      <c r="M80" s="20">
        <v>11000</v>
      </c>
      <c r="N80" s="268" t="s">
        <v>24</v>
      </c>
      <c r="O80" s="223">
        <v>0</v>
      </c>
      <c r="P80" s="223">
        <v>0</v>
      </c>
      <c r="Q80" s="223">
        <v>0</v>
      </c>
      <c r="R80" s="270"/>
      <c r="S80" s="274">
        <v>18.7</v>
      </c>
      <c r="T80" s="274">
        <v>1.1000000000000001</v>
      </c>
      <c r="U80" s="274">
        <v>0.5</v>
      </c>
      <c r="W80" s="20" t="s">
        <v>643</v>
      </c>
    </row>
    <row r="81" spans="1:23" ht="16" customHeight="1" x14ac:dyDescent="0.2">
      <c r="A81" s="463"/>
      <c r="B81" s="466"/>
      <c r="C81" s="20" t="s">
        <v>113</v>
      </c>
      <c r="D81" s="223">
        <v>47.688099999999999</v>
      </c>
      <c r="E81" s="223">
        <v>97.250500000000002</v>
      </c>
      <c r="F81" s="223">
        <v>2151</v>
      </c>
      <c r="G81" s="223" t="s">
        <v>142</v>
      </c>
      <c r="H81" s="223">
        <v>5</v>
      </c>
      <c r="I81" s="223">
        <v>2.7</v>
      </c>
      <c r="J81" s="223">
        <v>1</v>
      </c>
      <c r="K81" s="223">
        <v>0</v>
      </c>
      <c r="L81" s="20">
        <v>336000</v>
      </c>
      <c r="M81" s="20">
        <v>10000</v>
      </c>
      <c r="N81" s="268" t="s">
        <v>24</v>
      </c>
      <c r="O81" s="223">
        <v>0</v>
      </c>
      <c r="P81" s="223">
        <v>0</v>
      </c>
      <c r="Q81" s="223">
        <v>0</v>
      </c>
      <c r="R81" s="270"/>
      <c r="S81" s="274">
        <v>15</v>
      </c>
      <c r="T81" s="274">
        <v>0.9</v>
      </c>
      <c r="U81" s="274">
        <v>0.4</v>
      </c>
      <c r="W81" s="20" t="s">
        <v>643</v>
      </c>
    </row>
    <row r="82" spans="1:23" ht="16" customHeight="1" x14ac:dyDescent="0.2">
      <c r="A82" s="463"/>
      <c r="B82" s="466" t="s">
        <v>651</v>
      </c>
      <c r="C82" s="20" t="s">
        <v>187</v>
      </c>
      <c r="D82" s="223">
        <v>47.669899999999998</v>
      </c>
      <c r="E82" s="223">
        <v>97.261799999999994</v>
      </c>
      <c r="F82" s="223">
        <v>2243</v>
      </c>
      <c r="G82" s="223" t="s">
        <v>142</v>
      </c>
      <c r="H82" s="223">
        <v>5</v>
      </c>
      <c r="I82" s="223">
        <v>2.7</v>
      </c>
      <c r="J82" s="223">
        <v>1</v>
      </c>
      <c r="K82" s="223">
        <v>0</v>
      </c>
      <c r="L82" s="20">
        <v>637000</v>
      </c>
      <c r="M82" s="20">
        <v>17000</v>
      </c>
      <c r="N82" s="268" t="s">
        <v>24</v>
      </c>
      <c r="O82" s="223">
        <v>0</v>
      </c>
      <c r="P82" s="223">
        <v>0</v>
      </c>
      <c r="Q82" s="223">
        <v>0</v>
      </c>
      <c r="R82" s="270"/>
      <c r="S82" s="274">
        <v>26.8</v>
      </c>
      <c r="T82" s="274">
        <v>1.7</v>
      </c>
      <c r="U82" s="274">
        <v>0.7</v>
      </c>
      <c r="W82" s="20" t="s">
        <v>643</v>
      </c>
    </row>
    <row r="83" spans="1:23" ht="16" customHeight="1" x14ac:dyDescent="0.2">
      <c r="A83" s="463"/>
      <c r="B83" s="466"/>
      <c r="C83" s="20" t="s">
        <v>188</v>
      </c>
      <c r="D83" s="223">
        <v>47.669800000000002</v>
      </c>
      <c r="E83" s="223">
        <v>97.261799999999994</v>
      </c>
      <c r="F83" s="223">
        <v>2272</v>
      </c>
      <c r="G83" s="223" t="s">
        <v>142</v>
      </c>
      <c r="H83" s="223">
        <v>4</v>
      </c>
      <c r="I83" s="223">
        <v>2.7</v>
      </c>
      <c r="J83" s="223">
        <v>1</v>
      </c>
      <c r="K83" s="223">
        <v>0</v>
      </c>
      <c r="L83" s="20">
        <v>697000</v>
      </c>
      <c r="M83" s="20">
        <v>18000</v>
      </c>
      <c r="N83" s="268" t="s">
        <v>24</v>
      </c>
      <c r="O83" s="223">
        <v>0</v>
      </c>
      <c r="P83" s="223">
        <v>0</v>
      </c>
      <c r="Q83" s="223">
        <v>0</v>
      </c>
      <c r="R83" s="270"/>
      <c r="S83" s="274">
        <v>28.5</v>
      </c>
      <c r="T83" s="274">
        <v>1.7</v>
      </c>
      <c r="U83" s="274">
        <v>0.7</v>
      </c>
      <c r="W83" s="20" t="s">
        <v>643</v>
      </c>
    </row>
    <row r="84" spans="1:23" ht="16" customHeight="1" x14ac:dyDescent="0.2">
      <c r="A84" s="463"/>
      <c r="B84" s="466"/>
      <c r="C84" s="20" t="s">
        <v>189</v>
      </c>
      <c r="D84" s="223">
        <v>47.673400000000001</v>
      </c>
      <c r="E84" s="223">
        <v>97.272300000000001</v>
      </c>
      <c r="F84" s="223">
        <v>2300</v>
      </c>
      <c r="G84" s="223" t="s">
        <v>142</v>
      </c>
      <c r="H84" s="223">
        <v>4</v>
      </c>
      <c r="I84" s="223">
        <v>2.7</v>
      </c>
      <c r="J84" s="223">
        <v>1</v>
      </c>
      <c r="K84" s="223">
        <v>0</v>
      </c>
      <c r="L84" s="20">
        <v>585000</v>
      </c>
      <c r="M84" s="20">
        <v>15000</v>
      </c>
      <c r="N84" s="268" t="s">
        <v>24</v>
      </c>
      <c r="O84" s="223">
        <v>0</v>
      </c>
      <c r="P84" s="223">
        <v>0</v>
      </c>
      <c r="Q84" s="223">
        <v>0</v>
      </c>
      <c r="R84" s="270"/>
      <c r="S84" s="274">
        <v>23.4</v>
      </c>
      <c r="T84" s="274">
        <v>1.4</v>
      </c>
      <c r="U84" s="274">
        <v>0.6</v>
      </c>
      <c r="W84" s="20" t="s">
        <v>643</v>
      </c>
    </row>
    <row r="85" spans="1:23" ht="16" customHeight="1" x14ac:dyDescent="0.2">
      <c r="A85" s="463"/>
      <c r="B85" s="466" t="s">
        <v>652</v>
      </c>
      <c r="C85" s="20" t="s">
        <v>190</v>
      </c>
      <c r="D85" s="223">
        <v>47.683500000000002</v>
      </c>
      <c r="E85" s="223">
        <v>97.209800000000001</v>
      </c>
      <c r="F85" s="223">
        <v>2140</v>
      </c>
      <c r="G85" s="223" t="s">
        <v>142</v>
      </c>
      <c r="H85" s="223">
        <v>5</v>
      </c>
      <c r="I85" s="223">
        <v>2.7</v>
      </c>
      <c r="J85" s="223">
        <v>1</v>
      </c>
      <c r="K85" s="223">
        <v>0</v>
      </c>
      <c r="L85" s="20">
        <v>995000</v>
      </c>
      <c r="M85" s="20">
        <v>24000</v>
      </c>
      <c r="N85" s="268" t="s">
        <v>24</v>
      </c>
      <c r="O85" s="223">
        <v>0</v>
      </c>
      <c r="P85" s="223">
        <v>0</v>
      </c>
      <c r="Q85" s="223">
        <v>0</v>
      </c>
      <c r="R85" s="270"/>
      <c r="S85" s="274">
        <v>45.1</v>
      </c>
      <c r="T85" s="274">
        <v>2.7</v>
      </c>
      <c r="U85" s="274">
        <v>1.1000000000000001</v>
      </c>
      <c r="W85" s="20" t="s">
        <v>643</v>
      </c>
    </row>
    <row r="86" spans="1:23" ht="16" customHeight="1" x14ac:dyDescent="0.2">
      <c r="A86" s="463"/>
      <c r="B86" s="466"/>
      <c r="C86" s="20" t="s">
        <v>191</v>
      </c>
      <c r="D86" s="223">
        <v>47.683700000000002</v>
      </c>
      <c r="E86" s="223">
        <v>97.209900000000005</v>
      </c>
      <c r="F86" s="223">
        <v>2133</v>
      </c>
      <c r="G86" s="223" t="s">
        <v>142</v>
      </c>
      <c r="H86" s="223">
        <v>4</v>
      </c>
      <c r="I86" s="223">
        <v>2.7</v>
      </c>
      <c r="J86" s="223">
        <v>1</v>
      </c>
      <c r="K86" s="223">
        <v>0</v>
      </c>
      <c r="L86" s="20">
        <v>498000</v>
      </c>
      <c r="M86" s="20">
        <v>12000</v>
      </c>
      <c r="N86" s="268" t="s">
        <v>24</v>
      </c>
      <c r="O86" s="223">
        <v>0</v>
      </c>
      <c r="P86" s="223">
        <v>0</v>
      </c>
      <c r="Q86" s="223">
        <v>0</v>
      </c>
      <c r="R86" s="270"/>
      <c r="S86" s="274">
        <v>22.4</v>
      </c>
      <c r="T86" s="274">
        <v>1.4</v>
      </c>
      <c r="U86" s="274">
        <v>0.5</v>
      </c>
      <c r="W86" s="20" t="s">
        <v>643</v>
      </c>
    </row>
    <row r="87" spans="1:23" ht="16" customHeight="1" x14ac:dyDescent="0.2">
      <c r="A87" s="463"/>
      <c r="B87" s="466"/>
      <c r="C87" s="20" t="s">
        <v>192</v>
      </c>
      <c r="D87" s="223">
        <v>47.683599999999998</v>
      </c>
      <c r="E87" s="223">
        <v>97.209800000000001</v>
      </c>
      <c r="F87" s="223">
        <v>2137</v>
      </c>
      <c r="G87" s="223" t="s">
        <v>142</v>
      </c>
      <c r="H87" s="223">
        <v>4</v>
      </c>
      <c r="I87" s="223">
        <v>2.7</v>
      </c>
      <c r="J87" s="223">
        <v>1</v>
      </c>
      <c r="K87" s="223">
        <v>0</v>
      </c>
      <c r="L87" s="20">
        <v>931000</v>
      </c>
      <c r="M87" s="20">
        <v>23000</v>
      </c>
      <c r="N87" s="268" t="s">
        <v>24</v>
      </c>
      <c r="O87" s="223">
        <v>0</v>
      </c>
      <c r="P87" s="223">
        <v>0</v>
      </c>
      <c r="Q87" s="223">
        <v>0</v>
      </c>
      <c r="R87" s="270"/>
      <c r="S87" s="274">
        <v>41.9</v>
      </c>
      <c r="T87" s="274">
        <v>2.6</v>
      </c>
      <c r="U87" s="274">
        <v>1</v>
      </c>
      <c r="W87" s="20" t="s">
        <v>643</v>
      </c>
    </row>
    <row r="91" spans="1:23" ht="16" x14ac:dyDescent="0.2">
      <c r="A91" s="281" t="s">
        <v>644</v>
      </c>
    </row>
    <row r="92" spans="1:23" x14ac:dyDescent="0.2">
      <c r="A92" s="282" t="s">
        <v>154</v>
      </c>
    </row>
    <row r="94" spans="1:23" x14ac:dyDescent="0.2">
      <c r="A94" s="283"/>
      <c r="B94" s="283"/>
      <c r="C94" s="283" t="s">
        <v>143</v>
      </c>
      <c r="D94" s="283" t="s">
        <v>144</v>
      </c>
      <c r="E94" s="283"/>
      <c r="F94" s="283"/>
      <c r="G94" s="283"/>
      <c r="H94" s="283"/>
      <c r="I94" s="283"/>
      <c r="J94" s="283"/>
    </row>
    <row r="95" spans="1:23" x14ac:dyDescent="0.2">
      <c r="D95" s="282" t="s">
        <v>145</v>
      </c>
    </row>
    <row r="96" spans="1:23" ht="50" customHeight="1" x14ac:dyDescent="0.2">
      <c r="A96" s="20" t="s">
        <v>71</v>
      </c>
      <c r="B96" s="275" t="s">
        <v>72</v>
      </c>
      <c r="C96" s="276" t="s">
        <v>146</v>
      </c>
      <c r="D96" s="277" t="s">
        <v>511</v>
      </c>
      <c r="E96" s="277" t="s">
        <v>66</v>
      </c>
      <c r="F96" s="277" t="s">
        <v>512</v>
      </c>
      <c r="G96" s="277" t="s">
        <v>513</v>
      </c>
      <c r="H96" s="277" t="s">
        <v>514</v>
      </c>
      <c r="I96" s="277" t="s">
        <v>515</v>
      </c>
      <c r="J96" s="277" t="s">
        <v>516</v>
      </c>
      <c r="W96" s="219"/>
    </row>
    <row r="97" spans="1:15" ht="16" customHeight="1" x14ac:dyDescent="0.2">
      <c r="A97" s="462" t="s">
        <v>79</v>
      </c>
      <c r="B97" s="461" t="s">
        <v>518</v>
      </c>
      <c r="C97" s="20" t="s">
        <v>64</v>
      </c>
      <c r="D97" s="20">
        <v>0.99180000000000001</v>
      </c>
      <c r="E97" s="20">
        <v>0.99</v>
      </c>
      <c r="F97" s="284">
        <v>0.51300000000000001</v>
      </c>
      <c r="G97" s="20">
        <v>228</v>
      </c>
      <c r="H97" s="20">
        <v>6880</v>
      </c>
      <c r="I97" s="20">
        <v>443</v>
      </c>
      <c r="J97" s="20">
        <v>44.9</v>
      </c>
      <c r="L97" s="271"/>
    </row>
    <row r="98" spans="1:15" ht="16" customHeight="1" x14ac:dyDescent="0.2">
      <c r="A98" s="463"/>
      <c r="B98" s="461"/>
      <c r="C98" s="20" t="s">
        <v>65</v>
      </c>
      <c r="D98" s="20">
        <v>0.98360000000000003</v>
      </c>
      <c r="E98" s="20">
        <v>0.99</v>
      </c>
      <c r="F98" s="284">
        <v>0.50900000000000001</v>
      </c>
      <c r="G98" s="20">
        <v>169</v>
      </c>
      <c r="H98" s="20">
        <v>8147</v>
      </c>
      <c r="I98" s="20">
        <v>481</v>
      </c>
      <c r="J98" s="20">
        <v>44.53</v>
      </c>
      <c r="L98" s="271"/>
      <c r="O98" s="275"/>
    </row>
    <row r="99" spans="1:15" ht="16" customHeight="1" x14ac:dyDescent="0.2">
      <c r="A99" s="463"/>
      <c r="B99" s="461"/>
      <c r="C99" s="20" t="s">
        <v>73</v>
      </c>
      <c r="D99" s="20">
        <v>0.98360000000000003</v>
      </c>
      <c r="E99" s="20">
        <v>0.99</v>
      </c>
      <c r="F99" s="284">
        <v>0.51500000000000001</v>
      </c>
      <c r="G99" s="20">
        <v>335</v>
      </c>
      <c r="H99" s="20">
        <v>5288</v>
      </c>
      <c r="I99" s="20">
        <v>445</v>
      </c>
      <c r="J99" s="20">
        <v>45.54</v>
      </c>
      <c r="L99" s="271"/>
    </row>
    <row r="100" spans="1:15" ht="16" customHeight="1" x14ac:dyDescent="0.2">
      <c r="A100" s="463"/>
      <c r="B100" s="461"/>
      <c r="C100" s="20" t="s">
        <v>74</v>
      </c>
      <c r="D100" s="20">
        <v>0.98360000000000003</v>
      </c>
      <c r="E100" s="20">
        <v>0.99</v>
      </c>
      <c r="F100" s="284">
        <v>0.50900000000000001</v>
      </c>
      <c r="G100" s="20">
        <v>284</v>
      </c>
      <c r="H100" s="20">
        <v>7472</v>
      </c>
      <c r="I100" s="20">
        <v>501</v>
      </c>
      <c r="J100" s="20">
        <v>44.37</v>
      </c>
      <c r="L100" s="271"/>
    </row>
    <row r="101" spans="1:15" ht="16" customHeight="1" x14ac:dyDescent="0.2">
      <c r="A101" s="463"/>
      <c r="B101" s="461" t="s">
        <v>519</v>
      </c>
      <c r="C101" s="20" t="s">
        <v>62</v>
      </c>
      <c r="D101" s="20">
        <v>0.98360000000000003</v>
      </c>
      <c r="E101" s="20">
        <v>0.99</v>
      </c>
      <c r="F101" s="284">
        <v>0.51700000000000002</v>
      </c>
      <c r="G101" s="20">
        <v>91</v>
      </c>
      <c r="H101" s="20">
        <v>1563</v>
      </c>
      <c r="I101" s="20">
        <v>125</v>
      </c>
      <c r="J101" s="20">
        <v>45.89</v>
      </c>
    </row>
    <row r="102" spans="1:15" ht="16" customHeight="1" x14ac:dyDescent="0.2">
      <c r="A102" s="463"/>
      <c r="B102" s="461"/>
      <c r="C102" s="20" t="s">
        <v>63</v>
      </c>
      <c r="D102" s="20">
        <v>0.98360000000000003</v>
      </c>
      <c r="E102" s="20">
        <v>0.99</v>
      </c>
      <c r="F102" s="284">
        <v>0.51700000000000002</v>
      </c>
      <c r="G102" s="20">
        <v>76</v>
      </c>
      <c r="H102" s="20">
        <v>3201</v>
      </c>
      <c r="I102" s="20">
        <v>192</v>
      </c>
      <c r="J102" s="20">
        <v>45.89</v>
      </c>
    </row>
    <row r="103" spans="1:15" ht="16" customHeight="1" x14ac:dyDescent="0.2">
      <c r="A103" s="463"/>
      <c r="B103" s="461"/>
      <c r="C103" s="20" t="s">
        <v>59</v>
      </c>
      <c r="D103" s="20">
        <v>0.98360000000000003</v>
      </c>
      <c r="E103" s="20">
        <v>0.99</v>
      </c>
      <c r="F103" s="284">
        <v>0.52</v>
      </c>
      <c r="G103" s="20">
        <v>26</v>
      </c>
      <c r="H103" s="20">
        <v>796</v>
      </c>
      <c r="I103" s="20">
        <v>51</v>
      </c>
      <c r="J103" s="20">
        <v>46.46</v>
      </c>
    </row>
    <row r="104" spans="1:15" ht="16" customHeight="1" x14ac:dyDescent="0.2">
      <c r="A104" s="463"/>
      <c r="B104" s="461"/>
      <c r="C104" s="20" t="s">
        <v>60</v>
      </c>
      <c r="D104" s="20">
        <v>0.9597</v>
      </c>
      <c r="E104" s="20">
        <v>0.99</v>
      </c>
      <c r="F104" s="284">
        <v>0.51300000000000001</v>
      </c>
      <c r="G104" s="20">
        <v>79</v>
      </c>
      <c r="H104" s="20">
        <v>2814</v>
      </c>
      <c r="I104" s="20">
        <v>174</v>
      </c>
      <c r="J104" s="20">
        <v>45.33</v>
      </c>
    </row>
    <row r="105" spans="1:15" ht="16" customHeight="1" x14ac:dyDescent="0.2">
      <c r="A105" s="463"/>
      <c r="B105" s="461"/>
      <c r="C105" s="20" t="s">
        <v>61</v>
      </c>
      <c r="D105" s="20">
        <v>0.99180000000000001</v>
      </c>
      <c r="E105" s="20">
        <v>0.99</v>
      </c>
      <c r="F105" s="284">
        <v>0.52400000000000002</v>
      </c>
      <c r="G105" s="20">
        <v>68</v>
      </c>
      <c r="H105" s="20">
        <v>2554</v>
      </c>
      <c r="I105" s="20">
        <v>156</v>
      </c>
      <c r="J105" s="20">
        <v>46.84</v>
      </c>
    </row>
    <row r="106" spans="1:15" ht="16" customHeight="1" x14ac:dyDescent="0.2">
      <c r="A106" s="463"/>
      <c r="B106" s="461" t="s">
        <v>520</v>
      </c>
      <c r="C106" s="20" t="s">
        <v>87</v>
      </c>
      <c r="D106" s="20">
        <v>0.98360000000000003</v>
      </c>
      <c r="E106" s="20">
        <v>0.99</v>
      </c>
      <c r="F106" s="284">
        <v>0.51500000000000001</v>
      </c>
      <c r="G106" s="20">
        <v>98</v>
      </c>
      <c r="H106" s="20">
        <v>900</v>
      </c>
      <c r="I106" s="20">
        <v>109</v>
      </c>
      <c r="J106" s="20">
        <v>45.62</v>
      </c>
    </row>
    <row r="107" spans="1:15" ht="16" customHeight="1" x14ac:dyDescent="0.2">
      <c r="A107" s="463"/>
      <c r="B107" s="461"/>
      <c r="C107" s="20" t="s">
        <v>88</v>
      </c>
      <c r="D107" s="20">
        <v>0.98360000000000003</v>
      </c>
      <c r="E107" s="20">
        <v>0.99</v>
      </c>
      <c r="F107" s="284">
        <v>0.51500000000000001</v>
      </c>
      <c r="G107" s="20">
        <v>102</v>
      </c>
      <c r="H107" s="20">
        <v>1039</v>
      </c>
      <c r="I107" s="20">
        <v>117</v>
      </c>
      <c r="J107" s="20">
        <v>45.62</v>
      </c>
    </row>
    <row r="108" spans="1:15" ht="16" customHeight="1" x14ac:dyDescent="0.2">
      <c r="A108" s="463"/>
      <c r="B108" s="461"/>
      <c r="C108" s="20" t="s">
        <v>89</v>
      </c>
      <c r="D108" s="20">
        <v>0.98360000000000003</v>
      </c>
      <c r="E108" s="20">
        <v>0.99</v>
      </c>
      <c r="F108" s="284">
        <v>0.51600000000000001</v>
      </c>
      <c r="G108" s="20">
        <v>268</v>
      </c>
      <c r="H108" s="20">
        <v>1474</v>
      </c>
      <c r="I108" s="20">
        <v>280</v>
      </c>
      <c r="J108" s="20">
        <v>45.78</v>
      </c>
    </row>
    <row r="109" spans="1:15" ht="16" customHeight="1" x14ac:dyDescent="0.2">
      <c r="A109" s="463"/>
      <c r="B109" s="461"/>
      <c r="C109" s="20" t="s">
        <v>56</v>
      </c>
      <c r="D109" s="20">
        <v>0.99180000000000001</v>
      </c>
      <c r="E109" s="20">
        <v>0.99</v>
      </c>
      <c r="F109" s="284">
        <v>0.52</v>
      </c>
      <c r="G109" s="20">
        <v>51</v>
      </c>
      <c r="H109" s="20">
        <v>1828</v>
      </c>
      <c r="I109" s="20">
        <v>113</v>
      </c>
      <c r="J109" s="20">
        <v>46.21</v>
      </c>
    </row>
    <row r="110" spans="1:15" ht="16" customHeight="1" x14ac:dyDescent="0.2">
      <c r="A110" s="463"/>
      <c r="B110" s="461"/>
      <c r="C110" s="20" t="s">
        <v>57</v>
      </c>
      <c r="D110" s="20">
        <v>0.98360000000000003</v>
      </c>
      <c r="E110" s="20">
        <v>0.99</v>
      </c>
      <c r="F110" s="284">
        <v>0.51700000000000002</v>
      </c>
      <c r="G110" s="20">
        <v>56</v>
      </c>
      <c r="H110" s="20">
        <v>1865</v>
      </c>
      <c r="I110" s="20">
        <v>117</v>
      </c>
      <c r="J110" s="20">
        <v>45.83</v>
      </c>
    </row>
    <row r="111" spans="1:15" ht="16" customHeight="1" x14ac:dyDescent="0.2">
      <c r="A111" s="463"/>
      <c r="B111" s="461"/>
      <c r="C111" s="20" t="s">
        <v>58</v>
      </c>
      <c r="D111" s="20">
        <v>0.98360000000000003</v>
      </c>
      <c r="E111" s="20">
        <v>0.99</v>
      </c>
      <c r="F111" s="284">
        <v>0.51700000000000002</v>
      </c>
      <c r="G111" s="20">
        <v>48</v>
      </c>
      <c r="H111" s="20">
        <v>1576</v>
      </c>
      <c r="I111" s="20">
        <v>99</v>
      </c>
      <c r="J111" s="20">
        <v>45.83</v>
      </c>
    </row>
    <row r="112" spans="1:15" ht="16" customHeight="1" x14ac:dyDescent="0.2">
      <c r="A112" s="462" t="s">
        <v>80</v>
      </c>
      <c r="B112" s="222" t="s">
        <v>521</v>
      </c>
      <c r="C112" s="20" t="s">
        <v>48</v>
      </c>
      <c r="D112" s="20">
        <v>0.98360000000000003</v>
      </c>
      <c r="E112" s="20">
        <v>0.96</v>
      </c>
      <c r="F112" s="284">
        <v>0.49199999999999999</v>
      </c>
      <c r="G112" s="20">
        <v>275</v>
      </c>
      <c r="H112" s="20">
        <v>7346</v>
      </c>
      <c r="I112" s="20">
        <v>490</v>
      </c>
      <c r="J112" s="20">
        <v>41.09</v>
      </c>
    </row>
    <row r="113" spans="1:23" ht="16" customHeight="1" x14ac:dyDescent="0.2">
      <c r="A113" s="463"/>
      <c r="B113" s="461" t="s">
        <v>522</v>
      </c>
      <c r="C113" s="20" t="s">
        <v>49</v>
      </c>
      <c r="D113" s="20">
        <v>0.98360000000000003</v>
      </c>
      <c r="E113" s="20">
        <v>0.98</v>
      </c>
      <c r="F113" s="284">
        <v>0.504</v>
      </c>
      <c r="G113" s="20">
        <v>824</v>
      </c>
      <c r="H113" s="20">
        <v>26227</v>
      </c>
      <c r="I113" s="20">
        <v>1672</v>
      </c>
      <c r="J113" s="20">
        <v>44.03</v>
      </c>
    </row>
    <row r="114" spans="1:23" ht="16" customHeight="1" x14ac:dyDescent="0.2">
      <c r="A114" s="463"/>
      <c r="B114" s="461"/>
      <c r="C114" s="20" t="s">
        <v>47</v>
      </c>
      <c r="D114" s="20">
        <v>0.98360000000000003</v>
      </c>
      <c r="E114" s="20">
        <v>0.96</v>
      </c>
      <c r="F114" s="284">
        <v>0.50800000000000001</v>
      </c>
      <c r="G114" s="20">
        <v>697</v>
      </c>
      <c r="H114" s="20">
        <v>22932</v>
      </c>
      <c r="I114" s="20">
        <v>1450</v>
      </c>
      <c r="J114" s="20">
        <v>43.92</v>
      </c>
    </row>
    <row r="115" spans="1:23" ht="16" customHeight="1" x14ac:dyDescent="0.2">
      <c r="A115" s="463"/>
      <c r="B115" s="461"/>
      <c r="C115" s="20" t="s">
        <v>53</v>
      </c>
      <c r="D115" s="20">
        <v>0.9597</v>
      </c>
      <c r="E115" s="20">
        <v>0.97</v>
      </c>
      <c r="F115" s="284">
        <v>0.498</v>
      </c>
      <c r="G115" s="20">
        <v>1153</v>
      </c>
      <c r="H115" s="20">
        <v>24931</v>
      </c>
      <c r="I115" s="20">
        <v>1801</v>
      </c>
      <c r="J115" s="20">
        <v>42.78</v>
      </c>
    </row>
    <row r="116" spans="1:23" ht="16" customHeight="1" x14ac:dyDescent="0.2">
      <c r="A116" s="463"/>
      <c r="B116" s="461"/>
      <c r="C116" s="285" t="s">
        <v>50</v>
      </c>
      <c r="D116" s="285">
        <v>0.98360000000000003</v>
      </c>
      <c r="E116" s="285">
        <v>0.96</v>
      </c>
      <c r="F116" s="286">
        <v>0.50700000000000001</v>
      </c>
      <c r="G116" s="285">
        <v>238</v>
      </c>
      <c r="H116" s="285">
        <v>6749</v>
      </c>
      <c r="I116" s="285">
        <v>442</v>
      </c>
      <c r="J116" s="285">
        <v>43.78</v>
      </c>
    </row>
    <row r="117" spans="1:23" ht="16" customHeight="1" x14ac:dyDescent="0.2">
      <c r="A117" s="463"/>
      <c r="B117" s="461" t="s">
        <v>195</v>
      </c>
      <c r="C117" s="20" t="s">
        <v>36</v>
      </c>
      <c r="D117" s="20">
        <v>0.99180000000000001</v>
      </c>
      <c r="E117" s="20">
        <v>0.98</v>
      </c>
      <c r="F117" s="284">
        <v>0.56499999999999995</v>
      </c>
      <c r="G117" s="20">
        <v>1158</v>
      </c>
      <c r="H117" s="20">
        <v>44983</v>
      </c>
      <c r="I117" s="20">
        <v>2763</v>
      </c>
      <c r="J117" s="20">
        <v>55.44</v>
      </c>
      <c r="Q117" s="287"/>
      <c r="R117" s="287"/>
      <c r="S117" s="288"/>
      <c r="T117" s="288"/>
      <c r="U117" s="288"/>
      <c r="V117" s="288"/>
      <c r="W117" s="288"/>
    </row>
    <row r="118" spans="1:23" ht="16" customHeight="1" x14ac:dyDescent="0.2">
      <c r="A118" s="463"/>
      <c r="B118" s="461"/>
      <c r="C118" s="20" t="s">
        <v>37</v>
      </c>
      <c r="D118" s="20">
        <v>0.99180000000000001</v>
      </c>
      <c r="E118" s="20">
        <v>0.98</v>
      </c>
      <c r="F118" s="284">
        <v>0.56499999999999995</v>
      </c>
      <c r="G118" s="20">
        <v>604</v>
      </c>
      <c r="H118" s="20">
        <v>13223</v>
      </c>
      <c r="I118" s="20">
        <v>949</v>
      </c>
      <c r="J118" s="20">
        <v>55.44</v>
      </c>
      <c r="Q118" s="289"/>
      <c r="R118" s="289"/>
      <c r="S118" s="289"/>
      <c r="T118" s="289"/>
      <c r="U118" s="289"/>
      <c r="V118" s="289"/>
      <c r="W118" s="289"/>
    </row>
    <row r="119" spans="1:23" ht="16" customHeight="1" x14ac:dyDescent="0.2">
      <c r="A119" s="463"/>
      <c r="B119" s="461"/>
      <c r="C119" s="20" t="s">
        <v>38</v>
      </c>
      <c r="D119" s="20">
        <v>0.98360000000000003</v>
      </c>
      <c r="E119" s="20">
        <v>0.98</v>
      </c>
      <c r="F119" s="284">
        <v>0.56200000000000006</v>
      </c>
      <c r="G119" s="20">
        <v>1555</v>
      </c>
      <c r="H119" s="20">
        <v>24780</v>
      </c>
      <c r="I119" s="20">
        <v>2076</v>
      </c>
      <c r="J119" s="20">
        <v>55.29</v>
      </c>
      <c r="T119" s="289"/>
      <c r="U119" s="289"/>
      <c r="V119" s="289"/>
      <c r="W119" s="289"/>
    </row>
    <row r="120" spans="1:23" ht="16" customHeight="1" x14ac:dyDescent="0.2">
      <c r="A120" s="463"/>
      <c r="B120" s="461" t="s">
        <v>196</v>
      </c>
      <c r="C120" s="20" t="s">
        <v>15</v>
      </c>
      <c r="D120" s="20">
        <v>0.96760000000000002</v>
      </c>
      <c r="E120" s="20">
        <v>1</v>
      </c>
      <c r="F120" s="284">
        <v>0.60399999999999998</v>
      </c>
      <c r="G120" s="20">
        <v>410</v>
      </c>
      <c r="H120" s="20">
        <v>21253</v>
      </c>
      <c r="I120" s="20">
        <v>1247</v>
      </c>
      <c r="J120" s="20">
        <v>65.66</v>
      </c>
      <c r="T120" s="289"/>
      <c r="U120" s="289"/>
      <c r="V120" s="289"/>
      <c r="W120" s="289"/>
    </row>
    <row r="121" spans="1:23" ht="16" customHeight="1" x14ac:dyDescent="0.2">
      <c r="A121" s="463"/>
      <c r="B121" s="461"/>
      <c r="C121" s="20" t="s">
        <v>16</v>
      </c>
      <c r="D121" s="20">
        <v>0.97560000000000002</v>
      </c>
      <c r="E121" s="20">
        <v>1</v>
      </c>
      <c r="F121" s="284">
        <v>0.60599999999999998</v>
      </c>
      <c r="G121" s="20">
        <v>996</v>
      </c>
      <c r="H121" s="20">
        <v>41574</v>
      </c>
      <c r="I121" s="20">
        <v>2521</v>
      </c>
      <c r="J121" s="20">
        <v>65.91</v>
      </c>
      <c r="T121" s="289"/>
      <c r="U121" s="289"/>
      <c r="V121" s="289"/>
      <c r="W121" s="289"/>
    </row>
    <row r="122" spans="1:23" ht="16" customHeight="1" x14ac:dyDescent="0.2">
      <c r="A122" s="463"/>
      <c r="B122" s="464" t="s">
        <v>517</v>
      </c>
      <c r="C122" s="20" t="s">
        <v>32</v>
      </c>
      <c r="D122" s="20">
        <v>0.97960000000000003</v>
      </c>
      <c r="E122" s="20">
        <v>0.99</v>
      </c>
      <c r="F122" s="284">
        <v>0.48299999999999998</v>
      </c>
      <c r="G122" s="20">
        <v>799</v>
      </c>
      <c r="H122" s="20">
        <v>22146</v>
      </c>
      <c r="I122" s="20">
        <v>1465</v>
      </c>
      <c r="J122" s="20">
        <v>40.76</v>
      </c>
      <c r="T122" s="289"/>
      <c r="U122" s="289"/>
      <c r="V122" s="289"/>
      <c r="W122" s="289"/>
    </row>
    <row r="123" spans="1:23" ht="16" customHeight="1" x14ac:dyDescent="0.2">
      <c r="A123" s="463"/>
      <c r="B123" s="464"/>
      <c r="C123" s="20" t="s">
        <v>33</v>
      </c>
      <c r="D123" s="20">
        <v>0.97960000000000003</v>
      </c>
      <c r="E123" s="20">
        <v>0.99</v>
      </c>
      <c r="F123" s="284">
        <v>0.48299999999999998</v>
      </c>
      <c r="G123" s="20">
        <v>2607</v>
      </c>
      <c r="H123" s="20">
        <v>72409</v>
      </c>
      <c r="I123" s="20">
        <v>4830</v>
      </c>
      <c r="J123" s="20">
        <v>40.76</v>
      </c>
      <c r="T123" s="289"/>
      <c r="U123" s="289"/>
      <c r="V123" s="289"/>
      <c r="W123" s="289"/>
    </row>
    <row r="124" spans="1:23" ht="16" customHeight="1" x14ac:dyDescent="0.2">
      <c r="A124" s="463"/>
      <c r="B124" s="79" t="s">
        <v>523</v>
      </c>
      <c r="C124" s="20" t="s">
        <v>28</v>
      </c>
      <c r="D124" s="20">
        <v>0.97960000000000003</v>
      </c>
      <c r="E124" s="20">
        <v>0.99</v>
      </c>
      <c r="F124" s="284">
        <v>0.49299999999999999</v>
      </c>
      <c r="G124" s="20">
        <v>1820</v>
      </c>
      <c r="H124" s="20">
        <v>35611</v>
      </c>
      <c r="I124" s="20">
        <v>2690</v>
      </c>
      <c r="J124" s="20">
        <v>42.68</v>
      </c>
      <c r="T124" s="289"/>
      <c r="U124" s="289"/>
      <c r="V124" s="289"/>
      <c r="W124" s="289"/>
    </row>
    <row r="125" spans="1:23" ht="16" customHeight="1" x14ac:dyDescent="0.2">
      <c r="A125" s="463"/>
      <c r="B125" s="461" t="s">
        <v>524</v>
      </c>
      <c r="C125" s="20" t="s">
        <v>34</v>
      </c>
      <c r="D125" s="20">
        <v>0.99180000000000001</v>
      </c>
      <c r="E125" s="20">
        <v>0.99</v>
      </c>
      <c r="F125" s="284">
        <v>0.5</v>
      </c>
      <c r="G125" s="20">
        <v>224</v>
      </c>
      <c r="H125" s="20">
        <v>5955</v>
      </c>
      <c r="I125" s="20">
        <v>398</v>
      </c>
      <c r="J125" s="20">
        <v>43.44</v>
      </c>
      <c r="T125" s="289"/>
      <c r="U125" s="289"/>
      <c r="V125" s="289"/>
      <c r="W125" s="289"/>
    </row>
    <row r="126" spans="1:23" ht="16" customHeight="1" x14ac:dyDescent="0.2">
      <c r="A126" s="463"/>
      <c r="B126" s="461"/>
      <c r="C126" s="20" t="s">
        <v>17</v>
      </c>
      <c r="D126" s="20">
        <v>0.99180000000000001</v>
      </c>
      <c r="E126" s="20">
        <v>0.99</v>
      </c>
      <c r="F126" s="284">
        <v>0.50700000000000001</v>
      </c>
      <c r="G126" s="20">
        <v>394</v>
      </c>
      <c r="H126" s="20">
        <v>15412</v>
      </c>
      <c r="I126" s="20">
        <v>940</v>
      </c>
      <c r="J126" s="20">
        <v>44.76</v>
      </c>
      <c r="T126" s="289"/>
      <c r="U126" s="289"/>
      <c r="V126" s="289"/>
      <c r="W126" s="289"/>
    </row>
    <row r="127" spans="1:23" ht="16" customHeight="1" x14ac:dyDescent="0.2">
      <c r="A127" s="463"/>
      <c r="B127" s="461"/>
      <c r="C127" s="20" t="s">
        <v>18</v>
      </c>
      <c r="D127" s="20">
        <v>0.96760000000000002</v>
      </c>
      <c r="E127" s="20">
        <v>0.99</v>
      </c>
      <c r="F127" s="284">
        <v>0.499</v>
      </c>
      <c r="G127" s="20">
        <v>612</v>
      </c>
      <c r="H127" s="20">
        <v>19841</v>
      </c>
      <c r="I127" s="20">
        <v>1258</v>
      </c>
      <c r="J127" s="20">
        <v>43.75</v>
      </c>
      <c r="M127" s="291"/>
      <c r="N127" s="291"/>
      <c r="O127" s="289"/>
      <c r="P127" s="289"/>
      <c r="Q127" s="289"/>
      <c r="R127" s="289"/>
      <c r="S127" s="289"/>
      <c r="T127" s="289"/>
      <c r="U127" s="289"/>
      <c r="V127" s="289"/>
      <c r="W127" s="289"/>
    </row>
    <row r="128" spans="1:23" ht="16" customHeight="1" x14ac:dyDescent="0.2">
      <c r="A128" s="463"/>
      <c r="B128" s="461"/>
      <c r="C128" s="20" t="s">
        <v>19</v>
      </c>
      <c r="D128" s="20">
        <v>0.98360000000000003</v>
      </c>
      <c r="E128" s="20">
        <v>0.99</v>
      </c>
      <c r="F128" s="284">
        <v>0.504</v>
      </c>
      <c r="G128" s="20">
        <v>365</v>
      </c>
      <c r="H128" s="20">
        <v>13919</v>
      </c>
      <c r="I128" s="20">
        <v>852</v>
      </c>
      <c r="J128" s="20">
        <v>44.47</v>
      </c>
      <c r="M128" s="290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</row>
    <row r="129" spans="1:23" ht="16" customHeight="1" x14ac:dyDescent="0.2">
      <c r="A129" s="463"/>
      <c r="B129" s="461"/>
      <c r="C129" s="20" t="s">
        <v>20</v>
      </c>
      <c r="D129" s="20">
        <v>0.96760000000000002</v>
      </c>
      <c r="E129" s="20">
        <v>0.99</v>
      </c>
      <c r="F129" s="284">
        <v>0.502</v>
      </c>
      <c r="G129" s="20">
        <v>478</v>
      </c>
      <c r="H129" s="20">
        <v>15542</v>
      </c>
      <c r="I129" s="20">
        <v>984</v>
      </c>
      <c r="J129" s="20">
        <v>44.44</v>
      </c>
      <c r="M129" s="290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</row>
    <row r="130" spans="1:23" ht="16" customHeight="1" x14ac:dyDescent="0.2">
      <c r="A130" s="462" t="s">
        <v>76</v>
      </c>
      <c r="B130" s="461" t="s">
        <v>529</v>
      </c>
      <c r="C130" s="20" t="s">
        <v>11</v>
      </c>
      <c r="D130" s="20">
        <v>0.97560000000000002</v>
      </c>
      <c r="E130" s="20">
        <v>0.98</v>
      </c>
      <c r="F130" s="284">
        <v>0.52200000000000002</v>
      </c>
      <c r="G130" s="20">
        <v>1231</v>
      </c>
      <c r="H130" s="20">
        <v>16716</v>
      </c>
      <c r="I130" s="20">
        <v>1540</v>
      </c>
      <c r="J130" s="20">
        <v>46.16</v>
      </c>
      <c r="M130" s="290"/>
      <c r="N130" s="290"/>
      <c r="O130" s="289"/>
      <c r="P130" s="289"/>
      <c r="Q130" s="289"/>
      <c r="R130" s="289"/>
      <c r="S130" s="289"/>
      <c r="T130" s="289"/>
      <c r="U130" s="289"/>
      <c r="V130" s="289"/>
      <c r="W130" s="289"/>
    </row>
    <row r="131" spans="1:23" ht="16" customHeight="1" x14ac:dyDescent="0.2">
      <c r="A131" s="463"/>
      <c r="B131" s="461"/>
      <c r="C131" s="20" t="s">
        <v>7</v>
      </c>
      <c r="D131" s="20">
        <v>0.97560000000000002</v>
      </c>
      <c r="E131" s="20">
        <v>0.98</v>
      </c>
      <c r="F131" s="284">
        <v>0.52300000000000002</v>
      </c>
      <c r="G131" s="20">
        <v>491</v>
      </c>
      <c r="H131" s="20">
        <v>7254</v>
      </c>
      <c r="I131" s="20">
        <v>634</v>
      </c>
      <c r="J131" s="20">
        <v>46.3</v>
      </c>
      <c r="M131" s="289"/>
      <c r="N131" s="289"/>
      <c r="O131" s="289"/>
      <c r="P131" s="289"/>
      <c r="Q131" s="289"/>
      <c r="R131" s="289"/>
      <c r="S131" s="289"/>
      <c r="T131" s="289"/>
      <c r="U131" s="289"/>
      <c r="V131" s="289"/>
      <c r="W131" s="289"/>
    </row>
    <row r="132" spans="1:23" ht="16" customHeight="1" x14ac:dyDescent="0.2">
      <c r="A132" s="463"/>
      <c r="B132" s="461"/>
      <c r="C132" s="20" t="s">
        <v>8</v>
      </c>
      <c r="D132" s="20">
        <v>0.97560000000000002</v>
      </c>
      <c r="E132" s="20">
        <v>0.98</v>
      </c>
      <c r="F132" s="284">
        <v>0.52300000000000002</v>
      </c>
      <c r="G132" s="20">
        <v>1759</v>
      </c>
      <c r="H132" s="20">
        <v>13216</v>
      </c>
      <c r="I132" s="20">
        <v>1905</v>
      </c>
      <c r="J132" s="20">
        <v>46.3</v>
      </c>
      <c r="M132" s="289"/>
      <c r="N132" s="289"/>
      <c r="O132" s="289"/>
      <c r="P132" s="289"/>
      <c r="Q132" s="289"/>
      <c r="R132" s="289"/>
      <c r="S132" s="289"/>
      <c r="T132" s="289"/>
      <c r="U132" s="289"/>
      <c r="V132" s="289"/>
      <c r="W132" s="289"/>
    </row>
    <row r="133" spans="1:23" ht="16" customHeight="1" x14ac:dyDescent="0.2">
      <c r="A133" s="463"/>
      <c r="B133" s="461"/>
      <c r="C133" s="20" t="s">
        <v>9</v>
      </c>
      <c r="D133" s="20">
        <v>0.9597</v>
      </c>
      <c r="E133" s="20">
        <v>0.98</v>
      </c>
      <c r="F133" s="284">
        <v>0.51800000000000002</v>
      </c>
      <c r="G133" s="20">
        <v>741</v>
      </c>
      <c r="H133" s="20">
        <v>14258</v>
      </c>
      <c r="I133" s="20">
        <v>1083</v>
      </c>
      <c r="J133" s="20">
        <v>45.54</v>
      </c>
      <c r="M133" s="292"/>
      <c r="N133" s="289"/>
      <c r="O133" s="289"/>
      <c r="P133" s="289"/>
      <c r="Q133" s="289"/>
      <c r="R133" s="289"/>
      <c r="S133" s="289"/>
      <c r="T133" s="289"/>
      <c r="U133" s="289"/>
      <c r="V133" s="289"/>
      <c r="W133" s="289"/>
    </row>
    <row r="134" spans="1:23" ht="16" customHeight="1" x14ac:dyDescent="0.2">
      <c r="A134" s="463"/>
      <c r="B134" s="461"/>
      <c r="C134" s="20" t="s">
        <v>10</v>
      </c>
      <c r="D134" s="20">
        <v>0.9597</v>
      </c>
      <c r="E134" s="20">
        <v>0.98</v>
      </c>
      <c r="F134" s="284">
        <v>0.51800000000000002</v>
      </c>
      <c r="G134" s="20">
        <v>931</v>
      </c>
      <c r="H134" s="20">
        <v>13934</v>
      </c>
      <c r="I134" s="20">
        <v>1209</v>
      </c>
      <c r="J134" s="20">
        <v>45.54</v>
      </c>
      <c r="M134" s="289"/>
      <c r="N134" s="289"/>
      <c r="O134" s="289"/>
      <c r="P134" s="289"/>
      <c r="Q134" s="289"/>
      <c r="R134" s="289"/>
      <c r="S134" s="289"/>
      <c r="T134" s="289"/>
      <c r="U134" s="289"/>
      <c r="V134" s="289"/>
      <c r="W134" s="289"/>
    </row>
    <row r="135" spans="1:23" ht="16" customHeight="1" x14ac:dyDescent="0.2">
      <c r="A135" s="463"/>
      <c r="B135" s="461"/>
      <c r="C135" s="20" t="s">
        <v>126</v>
      </c>
      <c r="D135" s="20">
        <v>0.97560000000000002</v>
      </c>
      <c r="E135" s="20">
        <v>0.97</v>
      </c>
      <c r="F135" s="284">
        <v>0.52500000000000002</v>
      </c>
      <c r="G135" s="20">
        <v>697</v>
      </c>
      <c r="H135" s="20">
        <v>13413</v>
      </c>
      <c r="I135" s="20">
        <v>1018</v>
      </c>
      <c r="J135" s="20">
        <v>46.14</v>
      </c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</row>
    <row r="136" spans="1:23" ht="16" customHeight="1" x14ac:dyDescent="0.2">
      <c r="A136" s="463"/>
      <c r="B136" s="222" t="s">
        <v>525</v>
      </c>
      <c r="C136" s="20" t="s">
        <v>6</v>
      </c>
      <c r="D136" s="20">
        <v>0.9597</v>
      </c>
      <c r="E136" s="20">
        <v>0.97</v>
      </c>
      <c r="F136" s="284">
        <v>0.52300000000000002</v>
      </c>
      <c r="G136" s="20">
        <v>842</v>
      </c>
      <c r="H136" s="20">
        <v>14435</v>
      </c>
      <c r="I136" s="20">
        <v>1161</v>
      </c>
      <c r="J136" s="20">
        <v>46.01</v>
      </c>
      <c r="M136" s="291"/>
      <c r="N136" s="291"/>
      <c r="O136" s="289"/>
      <c r="P136" s="289"/>
      <c r="Q136" s="289"/>
      <c r="R136" s="289"/>
      <c r="S136" s="289"/>
      <c r="T136" s="289"/>
      <c r="U136" s="289"/>
      <c r="V136" s="289"/>
      <c r="W136" s="289"/>
    </row>
    <row r="137" spans="1:23" ht="16" customHeight="1" x14ac:dyDescent="0.2">
      <c r="A137" s="462" t="s">
        <v>78</v>
      </c>
      <c r="B137" s="461" t="s">
        <v>526</v>
      </c>
      <c r="C137" s="20" t="s">
        <v>40</v>
      </c>
      <c r="D137" s="20">
        <v>0.9597</v>
      </c>
      <c r="E137" s="20">
        <v>0.99</v>
      </c>
      <c r="F137" s="284">
        <v>0.35299999999999998</v>
      </c>
      <c r="G137" s="20">
        <v>1242</v>
      </c>
      <c r="H137" s="20">
        <v>22652</v>
      </c>
      <c r="I137" s="20">
        <v>1766</v>
      </c>
      <c r="J137" s="20">
        <v>20.74</v>
      </c>
      <c r="M137" s="290"/>
      <c r="N137" s="289"/>
      <c r="O137" s="292"/>
      <c r="P137" s="289"/>
      <c r="Q137" s="289"/>
      <c r="R137" s="289"/>
      <c r="S137" s="289"/>
      <c r="T137" s="289"/>
      <c r="U137" s="289"/>
      <c r="V137" s="289"/>
      <c r="W137" s="289"/>
    </row>
    <row r="138" spans="1:23" ht="16" customHeight="1" x14ac:dyDescent="0.2">
      <c r="A138" s="463"/>
      <c r="B138" s="461"/>
      <c r="C138" s="20" t="s">
        <v>41</v>
      </c>
      <c r="D138" s="20">
        <v>0.9597</v>
      </c>
      <c r="E138" s="20">
        <v>0.99</v>
      </c>
      <c r="F138" s="284">
        <v>0.35299999999999998</v>
      </c>
      <c r="G138" s="20">
        <v>1360</v>
      </c>
      <c r="H138" s="20">
        <v>20184</v>
      </c>
      <c r="I138" s="20">
        <v>1761</v>
      </c>
      <c r="J138" s="20">
        <v>20.74</v>
      </c>
      <c r="M138" s="290"/>
      <c r="N138" s="289"/>
      <c r="O138" s="289"/>
      <c r="P138" s="289"/>
      <c r="Q138" s="289"/>
      <c r="R138" s="289"/>
      <c r="S138" s="289"/>
      <c r="T138" s="289"/>
      <c r="U138" s="289"/>
      <c r="V138" s="289"/>
      <c r="W138" s="289"/>
    </row>
    <row r="139" spans="1:23" ht="16" customHeight="1" x14ac:dyDescent="0.2">
      <c r="A139" s="463"/>
      <c r="B139" s="461"/>
      <c r="C139" s="20" t="s">
        <v>42</v>
      </c>
      <c r="D139" s="20">
        <v>0.9597</v>
      </c>
      <c r="E139" s="20">
        <v>0.99</v>
      </c>
      <c r="F139" s="284">
        <v>0.35299999999999998</v>
      </c>
      <c r="G139" s="20">
        <v>1309</v>
      </c>
      <c r="H139" s="20">
        <v>23553</v>
      </c>
      <c r="I139" s="20">
        <v>1850</v>
      </c>
      <c r="J139" s="20">
        <v>20.74</v>
      </c>
      <c r="M139" s="290"/>
      <c r="N139" s="290"/>
      <c r="O139" s="289"/>
      <c r="P139" s="289"/>
      <c r="Q139" s="289"/>
      <c r="R139" s="289"/>
      <c r="S139" s="289"/>
      <c r="T139" s="289"/>
      <c r="U139" s="289"/>
      <c r="V139" s="289"/>
      <c r="W139" s="289"/>
    </row>
    <row r="140" spans="1:23" ht="16" customHeight="1" x14ac:dyDescent="0.2">
      <c r="A140" s="463"/>
      <c r="B140" s="461" t="s">
        <v>527</v>
      </c>
      <c r="C140" s="20" t="s">
        <v>43</v>
      </c>
      <c r="D140" s="20">
        <v>0.97560000000000002</v>
      </c>
      <c r="E140" s="20">
        <v>1</v>
      </c>
      <c r="F140" s="284">
        <v>0.41499999999999998</v>
      </c>
      <c r="G140" s="20">
        <v>952</v>
      </c>
      <c r="H140" s="20">
        <v>31297</v>
      </c>
      <c r="I140" s="20">
        <v>1983</v>
      </c>
      <c r="J140" s="20">
        <v>30.2</v>
      </c>
      <c r="M140" s="289"/>
      <c r="N140" s="289"/>
      <c r="O140" s="291"/>
      <c r="P140" s="291"/>
      <c r="Q140" s="289"/>
      <c r="R140" s="289"/>
      <c r="S140" s="289"/>
      <c r="T140" s="289"/>
      <c r="U140" s="289"/>
      <c r="V140" s="289"/>
      <c r="W140" s="289"/>
    </row>
    <row r="141" spans="1:23" ht="16" customHeight="1" x14ac:dyDescent="0.2">
      <c r="A141" s="463"/>
      <c r="B141" s="461"/>
      <c r="C141" s="20" t="s">
        <v>44</v>
      </c>
      <c r="D141" s="20">
        <v>0.97560000000000002</v>
      </c>
      <c r="E141" s="20">
        <v>1</v>
      </c>
      <c r="F141" s="284">
        <v>0.41499999999999998</v>
      </c>
      <c r="G141" s="20">
        <v>2578</v>
      </c>
      <c r="H141" s="20">
        <v>82901</v>
      </c>
      <c r="I141" s="20">
        <v>5331</v>
      </c>
      <c r="J141" s="20">
        <v>30.2</v>
      </c>
      <c r="M141" s="289"/>
      <c r="N141" s="289"/>
      <c r="O141" s="290"/>
      <c r="P141" s="289"/>
      <c r="Q141" s="289"/>
      <c r="R141" s="289"/>
      <c r="S141" s="289"/>
      <c r="T141" s="289"/>
      <c r="U141" s="289"/>
      <c r="V141" s="289"/>
      <c r="W141" s="289"/>
    </row>
    <row r="142" spans="1:23" ht="16" customHeight="1" x14ac:dyDescent="0.2">
      <c r="A142" s="463"/>
      <c r="B142" s="461"/>
      <c r="C142" s="20" t="s">
        <v>46</v>
      </c>
      <c r="D142" s="20">
        <v>0.97560000000000002</v>
      </c>
      <c r="E142" s="20">
        <v>1</v>
      </c>
      <c r="F142" s="284">
        <v>0.41499999999999998</v>
      </c>
      <c r="G142" s="20">
        <v>909</v>
      </c>
      <c r="H142" s="20">
        <v>29894</v>
      </c>
      <c r="I142" s="20">
        <v>1893</v>
      </c>
      <c r="J142" s="20">
        <v>30.2</v>
      </c>
      <c r="M142" s="290"/>
      <c r="N142" s="290"/>
      <c r="O142" s="290"/>
      <c r="P142" s="289"/>
      <c r="Q142" s="289"/>
      <c r="R142" s="289"/>
      <c r="S142" s="289"/>
      <c r="T142" s="289"/>
      <c r="U142" s="289"/>
      <c r="V142" s="289"/>
      <c r="W142" s="289"/>
    </row>
    <row r="143" spans="1:23" ht="16" customHeight="1" x14ac:dyDescent="0.2">
      <c r="A143" s="463"/>
      <c r="B143" s="222" t="s">
        <v>530</v>
      </c>
      <c r="C143" s="20" t="s">
        <v>26</v>
      </c>
      <c r="D143" s="20">
        <v>0.97960000000000003</v>
      </c>
      <c r="E143" s="20">
        <v>0.98</v>
      </c>
      <c r="F143" s="284">
        <v>0.434</v>
      </c>
      <c r="G143" s="20">
        <v>605</v>
      </c>
      <c r="H143" s="20">
        <v>16249</v>
      </c>
      <c r="I143" s="20">
        <v>1084</v>
      </c>
      <c r="J143" s="20">
        <v>32.72</v>
      </c>
      <c r="M143" s="290"/>
      <c r="N143" s="290"/>
      <c r="O143" s="290"/>
      <c r="P143" s="290"/>
      <c r="Q143" s="289"/>
      <c r="R143" s="289"/>
      <c r="S143" s="289"/>
      <c r="T143" s="289"/>
      <c r="U143" s="289"/>
      <c r="V143" s="289"/>
      <c r="W143" s="289"/>
    </row>
    <row r="144" spans="1:23" ht="16" customHeight="1" x14ac:dyDescent="0.2">
      <c r="A144" s="463"/>
      <c r="B144" s="461" t="s">
        <v>531</v>
      </c>
      <c r="C144" s="20" t="s">
        <v>39</v>
      </c>
      <c r="D144" s="20">
        <v>0.97960000000000003</v>
      </c>
      <c r="E144" s="20">
        <v>0.98</v>
      </c>
      <c r="F144" s="284">
        <v>0.434</v>
      </c>
      <c r="G144" s="20">
        <v>541</v>
      </c>
      <c r="H144" s="20">
        <v>14989</v>
      </c>
      <c r="I144" s="20">
        <v>990</v>
      </c>
      <c r="J144" s="20">
        <v>32.72</v>
      </c>
      <c r="M144" s="290"/>
      <c r="N144" s="290"/>
      <c r="O144" s="289"/>
      <c r="P144" s="289"/>
      <c r="Q144" s="289"/>
      <c r="R144" s="289"/>
      <c r="S144" s="289"/>
      <c r="T144" s="289"/>
      <c r="U144" s="289"/>
      <c r="V144" s="289"/>
      <c r="W144" s="289"/>
    </row>
    <row r="145" spans="1:23" ht="16" customHeight="1" x14ac:dyDescent="0.2">
      <c r="A145" s="463"/>
      <c r="B145" s="461"/>
      <c r="C145" s="20" t="s">
        <v>27</v>
      </c>
      <c r="D145" s="20">
        <v>0.97960000000000003</v>
      </c>
      <c r="E145" s="20">
        <v>0.98</v>
      </c>
      <c r="F145" s="284">
        <v>0.434</v>
      </c>
      <c r="G145" s="20">
        <v>502</v>
      </c>
      <c r="H145" s="20">
        <v>16542</v>
      </c>
      <c r="I145" s="20">
        <v>1044</v>
      </c>
      <c r="J145" s="20">
        <v>32.72</v>
      </c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</row>
    <row r="146" spans="1:23" ht="16" customHeight="1" x14ac:dyDescent="0.2">
      <c r="A146" s="463"/>
      <c r="B146" s="461"/>
      <c r="C146" s="20" t="s">
        <v>45</v>
      </c>
      <c r="D146" s="20">
        <v>0.97960000000000003</v>
      </c>
      <c r="E146" s="20">
        <v>0.98</v>
      </c>
      <c r="F146" s="284">
        <v>0.434</v>
      </c>
      <c r="G146" s="20">
        <v>508</v>
      </c>
      <c r="H146" s="20">
        <v>16600</v>
      </c>
      <c r="I146" s="20">
        <v>1050</v>
      </c>
      <c r="J146" s="20">
        <v>32.72</v>
      </c>
      <c r="M146" s="289"/>
      <c r="N146" s="289"/>
      <c r="O146" s="290"/>
      <c r="P146" s="290"/>
      <c r="Q146" s="290"/>
      <c r="R146" s="290"/>
      <c r="S146" s="290"/>
      <c r="T146" s="290"/>
      <c r="U146" s="290"/>
      <c r="V146" s="290"/>
      <c r="W146" s="290"/>
    </row>
    <row r="147" spans="1:23" ht="16" customHeight="1" x14ac:dyDescent="0.2">
      <c r="A147" s="463" t="s">
        <v>77</v>
      </c>
      <c r="B147" s="461" t="s">
        <v>528</v>
      </c>
      <c r="C147" s="20" t="s">
        <v>1</v>
      </c>
      <c r="D147" s="20">
        <v>0.98360000000000003</v>
      </c>
      <c r="E147" s="20">
        <v>1</v>
      </c>
      <c r="F147" s="284">
        <v>0.36299999999999999</v>
      </c>
      <c r="G147" s="20">
        <v>2842</v>
      </c>
      <c r="H147" s="20">
        <v>103731</v>
      </c>
      <c r="I147" s="20">
        <v>6522</v>
      </c>
      <c r="J147" s="20">
        <v>22.24</v>
      </c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</row>
    <row r="148" spans="1:23" ht="16" customHeight="1" x14ac:dyDescent="0.2">
      <c r="A148" s="463"/>
      <c r="B148" s="461"/>
      <c r="C148" s="20" t="s">
        <v>2</v>
      </c>
      <c r="D148" s="20">
        <v>0.97560000000000002</v>
      </c>
      <c r="E148" s="20">
        <v>1</v>
      </c>
      <c r="F148" s="284">
        <v>0.36099999999999999</v>
      </c>
      <c r="G148" s="20">
        <v>1439</v>
      </c>
      <c r="H148" s="20">
        <v>53638</v>
      </c>
      <c r="I148" s="20">
        <v>3325</v>
      </c>
      <c r="J148" s="20">
        <v>22.06</v>
      </c>
      <c r="M148" s="289"/>
      <c r="N148" s="289"/>
      <c r="O148" s="290"/>
      <c r="P148" s="290"/>
      <c r="Q148" s="290"/>
      <c r="R148" s="290"/>
      <c r="S148" s="290"/>
      <c r="T148" s="290"/>
      <c r="U148" s="290"/>
      <c r="V148" s="290"/>
      <c r="W148" s="290"/>
    </row>
    <row r="149" spans="1:23" ht="16" customHeight="1" x14ac:dyDescent="0.2">
      <c r="A149" s="463"/>
      <c r="B149" s="461"/>
      <c r="C149" s="20" t="s">
        <v>0</v>
      </c>
      <c r="D149" s="20">
        <v>0.97560000000000002</v>
      </c>
      <c r="E149" s="20">
        <v>1</v>
      </c>
      <c r="F149" s="284">
        <v>0.36199999999999999</v>
      </c>
      <c r="G149" s="20">
        <v>1054</v>
      </c>
      <c r="H149" s="20">
        <v>22495</v>
      </c>
      <c r="I149" s="20">
        <v>1633</v>
      </c>
      <c r="J149" s="20">
        <v>22.09</v>
      </c>
      <c r="M149" s="289"/>
      <c r="N149" s="289"/>
      <c r="O149" s="289"/>
      <c r="P149" s="289"/>
      <c r="Q149" s="289"/>
      <c r="R149" s="289"/>
      <c r="S149" s="289"/>
      <c r="T149" s="289"/>
      <c r="U149" s="289"/>
      <c r="V149" s="289"/>
      <c r="W149" s="289"/>
    </row>
    <row r="150" spans="1:23" ht="16" customHeight="1" x14ac:dyDescent="0.2">
      <c r="A150" s="463"/>
      <c r="B150" s="461" t="s">
        <v>534</v>
      </c>
      <c r="C150" s="20" t="s">
        <v>3</v>
      </c>
      <c r="D150" s="20">
        <v>0.97560000000000002</v>
      </c>
      <c r="E150" s="20">
        <v>0.99</v>
      </c>
      <c r="F150" s="284">
        <v>0.36599999999999999</v>
      </c>
      <c r="G150" s="20">
        <v>936</v>
      </c>
      <c r="H150" s="20">
        <v>22161</v>
      </c>
      <c r="I150" s="20">
        <v>1545</v>
      </c>
      <c r="J150" s="20">
        <v>22.52</v>
      </c>
      <c r="M150" s="291"/>
      <c r="N150" s="289"/>
      <c r="O150" s="289"/>
      <c r="P150" s="289"/>
      <c r="Q150" s="289"/>
      <c r="R150" s="289"/>
      <c r="S150" s="289"/>
      <c r="T150" s="289"/>
      <c r="U150" s="289"/>
      <c r="V150" s="289"/>
      <c r="W150" s="289"/>
    </row>
    <row r="151" spans="1:23" ht="16" customHeight="1" x14ac:dyDescent="0.2">
      <c r="A151" s="463"/>
      <c r="B151" s="461"/>
      <c r="C151" s="20" t="s">
        <v>4</v>
      </c>
      <c r="D151" s="20">
        <v>0.96760000000000002</v>
      </c>
      <c r="E151" s="20">
        <v>0.99</v>
      </c>
      <c r="F151" s="284">
        <v>0.36499999999999999</v>
      </c>
      <c r="G151" s="20">
        <v>1661</v>
      </c>
      <c r="H151" s="20">
        <v>39539</v>
      </c>
      <c r="I151" s="20">
        <v>2758</v>
      </c>
      <c r="J151" s="20">
        <v>22.36</v>
      </c>
      <c r="M151" s="289"/>
      <c r="N151" s="289"/>
      <c r="O151" s="290"/>
      <c r="P151" s="290"/>
      <c r="Q151" s="290"/>
      <c r="R151" s="290"/>
      <c r="S151" s="290"/>
      <c r="T151" s="290"/>
      <c r="U151" s="290"/>
      <c r="V151" s="290"/>
      <c r="W151" s="290"/>
    </row>
    <row r="152" spans="1:23" ht="16" customHeight="1" x14ac:dyDescent="0.2">
      <c r="A152" s="463"/>
      <c r="B152" s="461"/>
      <c r="C152" s="20" t="s">
        <v>5</v>
      </c>
      <c r="D152" s="20">
        <v>0.97560000000000002</v>
      </c>
      <c r="E152" s="20">
        <v>0.99</v>
      </c>
      <c r="F152" s="284">
        <v>0.36599999999999999</v>
      </c>
      <c r="G152" s="20">
        <v>1131</v>
      </c>
      <c r="H152" s="20">
        <v>31773</v>
      </c>
      <c r="I152" s="20">
        <v>2097</v>
      </c>
      <c r="J152" s="20">
        <v>22.54</v>
      </c>
      <c r="M152" s="289"/>
      <c r="N152" s="289"/>
      <c r="O152" s="290"/>
      <c r="P152" s="290"/>
      <c r="Q152" s="290"/>
      <c r="R152" s="290"/>
      <c r="S152" s="290"/>
      <c r="T152" s="290"/>
      <c r="U152" s="290"/>
      <c r="V152" s="290"/>
      <c r="W152" s="290"/>
    </row>
    <row r="153" spans="1:23" ht="16" customHeight="1" x14ac:dyDescent="0.2">
      <c r="A153" s="463"/>
      <c r="B153" s="461"/>
      <c r="C153" s="20" t="s">
        <v>21</v>
      </c>
      <c r="D153" s="20">
        <v>0.9597</v>
      </c>
      <c r="E153" s="20">
        <v>1</v>
      </c>
      <c r="F153" s="284">
        <v>0.36499999999999999</v>
      </c>
      <c r="G153" s="20">
        <v>1370</v>
      </c>
      <c r="H153" s="20">
        <v>36542</v>
      </c>
      <c r="I153" s="20">
        <v>2452</v>
      </c>
      <c r="J153" s="20">
        <v>22.46</v>
      </c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</row>
    <row r="154" spans="1:23" ht="16" customHeight="1" x14ac:dyDescent="0.2">
      <c r="A154" s="463"/>
      <c r="B154" s="461"/>
      <c r="C154" s="20" t="s">
        <v>22</v>
      </c>
      <c r="D154" s="20">
        <v>0.96760000000000002</v>
      </c>
      <c r="E154" s="20">
        <v>1</v>
      </c>
      <c r="F154" s="284">
        <v>0.36599999999999999</v>
      </c>
      <c r="G154" s="20">
        <v>1792</v>
      </c>
      <c r="H154" s="20">
        <v>31776</v>
      </c>
      <c r="I154" s="20">
        <v>2516</v>
      </c>
      <c r="J154" s="20">
        <v>22.65</v>
      </c>
      <c r="M154" s="290"/>
      <c r="N154" s="293"/>
      <c r="O154" s="289"/>
      <c r="P154" s="289"/>
      <c r="Q154" s="289"/>
      <c r="R154" s="289"/>
      <c r="S154" s="289"/>
      <c r="T154" s="289"/>
      <c r="U154" s="289"/>
      <c r="V154" s="289"/>
      <c r="W154" s="289"/>
    </row>
    <row r="155" spans="1:23" ht="16" customHeight="1" x14ac:dyDescent="0.2">
      <c r="A155" s="463"/>
      <c r="B155" s="461"/>
      <c r="C155" s="20" t="s">
        <v>23</v>
      </c>
      <c r="D155" s="20">
        <v>0.9597</v>
      </c>
      <c r="E155" s="20">
        <v>1</v>
      </c>
      <c r="F155" s="284">
        <v>0.36499999999999999</v>
      </c>
      <c r="G155" s="20">
        <v>1801</v>
      </c>
      <c r="H155" s="20">
        <v>49863</v>
      </c>
      <c r="I155" s="20">
        <v>3316</v>
      </c>
      <c r="J155" s="20">
        <v>22.46</v>
      </c>
      <c r="M155" s="289"/>
      <c r="N155" s="289"/>
      <c r="O155" s="289"/>
      <c r="P155" s="289"/>
      <c r="Q155" s="289"/>
      <c r="R155" s="289"/>
      <c r="S155" s="289"/>
      <c r="T155" s="289"/>
      <c r="U155" s="289"/>
      <c r="V155" s="289"/>
      <c r="W155" s="289"/>
    </row>
    <row r="156" spans="1:23" ht="16" customHeight="1" x14ac:dyDescent="0.2">
      <c r="A156" s="462" t="s">
        <v>81</v>
      </c>
      <c r="B156" s="467"/>
      <c r="C156" s="20" t="s">
        <v>30</v>
      </c>
      <c r="D156" s="20">
        <v>0.97560000000000002</v>
      </c>
      <c r="E156" s="20">
        <v>0.99</v>
      </c>
      <c r="F156" s="284">
        <v>0.496</v>
      </c>
      <c r="G156" s="20">
        <v>94</v>
      </c>
      <c r="H156" s="20">
        <v>944</v>
      </c>
      <c r="I156" s="20">
        <v>107</v>
      </c>
      <c r="J156" s="20">
        <v>43.16</v>
      </c>
      <c r="M156" s="289"/>
      <c r="N156" s="289"/>
      <c r="O156" s="291"/>
      <c r="P156" s="289"/>
      <c r="Q156" s="289"/>
      <c r="R156" s="289"/>
      <c r="S156" s="289"/>
      <c r="T156" s="289"/>
      <c r="U156" s="289"/>
      <c r="V156" s="289"/>
      <c r="W156" s="289"/>
    </row>
    <row r="157" spans="1:23" ht="16" customHeight="1" x14ac:dyDescent="0.2">
      <c r="A157" s="462"/>
      <c r="B157" s="467"/>
      <c r="C157" s="20" t="s">
        <v>31</v>
      </c>
      <c r="D157" s="20">
        <v>0.97560000000000002</v>
      </c>
      <c r="E157" s="20">
        <v>0.99</v>
      </c>
      <c r="F157" s="284">
        <v>0.496</v>
      </c>
      <c r="G157" s="20">
        <v>101</v>
      </c>
      <c r="H157" s="20">
        <v>1590</v>
      </c>
      <c r="I157" s="20">
        <v>134</v>
      </c>
      <c r="J157" s="20">
        <v>43.16</v>
      </c>
      <c r="M157" s="290"/>
      <c r="N157" s="290"/>
      <c r="O157" s="289"/>
      <c r="P157" s="289"/>
      <c r="Q157" s="289"/>
      <c r="R157" s="289"/>
      <c r="S157" s="289"/>
      <c r="T157" s="289"/>
      <c r="U157" s="289"/>
      <c r="V157" s="289"/>
      <c r="W157" s="289"/>
    </row>
    <row r="158" spans="1:23" ht="16" customHeight="1" x14ac:dyDescent="0.2">
      <c r="A158" s="462"/>
      <c r="B158" s="467"/>
      <c r="C158" s="20" t="s">
        <v>35</v>
      </c>
      <c r="D158" s="20">
        <v>0.97960000000000003</v>
      </c>
      <c r="E158" s="20">
        <v>0.99</v>
      </c>
      <c r="F158" s="284">
        <v>0.50700000000000001</v>
      </c>
      <c r="G158" s="20">
        <v>423</v>
      </c>
      <c r="H158" s="20">
        <v>11872</v>
      </c>
      <c r="I158" s="20">
        <v>781</v>
      </c>
      <c r="J158" s="20">
        <v>45.16</v>
      </c>
      <c r="M158" s="290"/>
      <c r="N158" s="290"/>
      <c r="O158" s="289"/>
      <c r="P158" s="289"/>
      <c r="Q158" s="289"/>
      <c r="R158" s="289"/>
      <c r="S158" s="289"/>
      <c r="T158" s="289"/>
      <c r="U158" s="289"/>
      <c r="V158" s="289"/>
      <c r="W158" s="289"/>
    </row>
    <row r="159" spans="1:23" ht="16" customHeight="1" x14ac:dyDescent="0.2">
      <c r="A159" s="462"/>
      <c r="B159" s="467"/>
      <c r="C159" s="20" t="s">
        <v>147</v>
      </c>
      <c r="D159" s="20">
        <v>0.97560000000000002</v>
      </c>
      <c r="E159" s="20">
        <v>0.98</v>
      </c>
      <c r="F159" s="284">
        <v>0.50800000000000001</v>
      </c>
      <c r="G159" s="20">
        <v>145</v>
      </c>
      <c r="H159" s="20">
        <v>4061</v>
      </c>
      <c r="I159" s="20">
        <v>267</v>
      </c>
      <c r="J159" s="20">
        <v>44.97</v>
      </c>
      <c r="M159" s="289"/>
      <c r="N159" s="289"/>
      <c r="O159" s="290"/>
      <c r="P159" s="290"/>
      <c r="Q159" s="290"/>
      <c r="R159" s="290"/>
      <c r="S159" s="290"/>
      <c r="T159" s="290"/>
      <c r="U159" s="290"/>
      <c r="V159" s="290"/>
      <c r="W159" s="289"/>
    </row>
    <row r="160" spans="1:23" ht="16" customHeight="1" x14ac:dyDescent="0.2">
      <c r="A160" s="462"/>
      <c r="B160" s="467"/>
      <c r="C160" s="20" t="s">
        <v>52</v>
      </c>
      <c r="D160" s="20">
        <v>0.99180000000000001</v>
      </c>
      <c r="E160" s="20">
        <v>0.98</v>
      </c>
      <c r="F160" s="284">
        <v>0.51400000000000001</v>
      </c>
      <c r="G160" s="20">
        <v>557</v>
      </c>
      <c r="H160" s="20">
        <v>18282</v>
      </c>
      <c r="I160" s="20">
        <v>1156</v>
      </c>
      <c r="J160" s="20">
        <v>45.72</v>
      </c>
      <c r="M160" s="289"/>
      <c r="N160" s="289"/>
      <c r="O160" s="290"/>
      <c r="P160" s="293"/>
      <c r="Q160" s="290"/>
      <c r="R160" s="290"/>
      <c r="S160" s="290"/>
      <c r="T160" s="290"/>
      <c r="U160" s="290"/>
      <c r="V160" s="290"/>
      <c r="W160" s="289"/>
    </row>
    <row r="161" spans="1:23" ht="16" customHeight="1" x14ac:dyDescent="0.2">
      <c r="A161" s="462"/>
      <c r="B161" s="467"/>
      <c r="C161" s="20" t="s">
        <v>29</v>
      </c>
      <c r="D161" s="20">
        <v>0.97560000000000002</v>
      </c>
      <c r="E161" s="20">
        <v>0.98</v>
      </c>
      <c r="F161" s="284">
        <v>0.50800000000000001</v>
      </c>
      <c r="G161" s="20">
        <v>123</v>
      </c>
      <c r="H161" s="20">
        <v>928</v>
      </c>
      <c r="I161" s="20">
        <v>133</v>
      </c>
      <c r="J161" s="20">
        <v>44.97</v>
      </c>
      <c r="M161" s="290"/>
      <c r="N161" s="290"/>
      <c r="O161" s="289"/>
      <c r="P161" s="289"/>
      <c r="Q161" s="289"/>
      <c r="R161" s="289"/>
      <c r="S161" s="289"/>
      <c r="T161" s="289"/>
      <c r="U161" s="289"/>
      <c r="V161" s="289"/>
      <c r="W161" s="289"/>
    </row>
    <row r="162" spans="1:23" ht="16" customHeight="1" x14ac:dyDescent="0.2">
      <c r="A162" s="462"/>
      <c r="B162" s="467"/>
      <c r="C162" s="20" t="s">
        <v>12</v>
      </c>
      <c r="D162" s="20">
        <v>0.96760000000000002</v>
      </c>
      <c r="E162" s="20">
        <v>0.96</v>
      </c>
      <c r="F162" s="284">
        <v>0.50900000000000001</v>
      </c>
      <c r="G162" s="20">
        <v>96</v>
      </c>
      <c r="H162" s="20">
        <v>2606</v>
      </c>
      <c r="I162" s="20">
        <v>173</v>
      </c>
      <c r="J162" s="20">
        <v>44.22</v>
      </c>
      <c r="M162" s="289"/>
      <c r="N162" s="289"/>
      <c r="O162" s="289"/>
      <c r="P162" s="289"/>
      <c r="Q162" s="289"/>
      <c r="R162" s="289"/>
      <c r="S162" s="289"/>
      <c r="T162" s="289"/>
      <c r="U162" s="289"/>
      <c r="V162" s="289"/>
      <c r="W162" s="289"/>
    </row>
    <row r="163" spans="1:23" ht="16" customHeight="1" x14ac:dyDescent="0.2">
      <c r="A163" s="462"/>
      <c r="B163" s="467"/>
      <c r="C163" s="20" t="s">
        <v>13</v>
      </c>
      <c r="D163" s="20">
        <v>0.97560000000000002</v>
      </c>
      <c r="E163" s="20">
        <v>0.96</v>
      </c>
      <c r="F163" s="284">
        <v>0.51100000000000001</v>
      </c>
      <c r="G163" s="20">
        <v>104</v>
      </c>
      <c r="H163" s="20">
        <v>2885</v>
      </c>
      <c r="I163" s="20">
        <v>190</v>
      </c>
      <c r="J163" s="20">
        <v>44.58</v>
      </c>
      <c r="M163" s="289"/>
      <c r="N163" s="289"/>
      <c r="O163" s="290"/>
      <c r="P163" s="290"/>
      <c r="Q163" s="290"/>
      <c r="R163" s="290"/>
      <c r="S163" s="290"/>
      <c r="T163" s="290"/>
      <c r="U163" s="290"/>
      <c r="V163" s="290"/>
      <c r="W163" s="290"/>
    </row>
    <row r="164" spans="1:23" ht="16" customHeight="1" x14ac:dyDescent="0.2">
      <c r="A164" s="462"/>
      <c r="B164" s="467"/>
      <c r="C164" s="294" t="s">
        <v>14</v>
      </c>
      <c r="D164" s="294">
        <v>0.98360000000000003</v>
      </c>
      <c r="E164" s="294">
        <v>0.96</v>
      </c>
      <c r="F164" s="295">
        <v>0.51400000000000001</v>
      </c>
      <c r="G164" s="294">
        <v>110</v>
      </c>
      <c r="H164" s="294">
        <v>2780</v>
      </c>
      <c r="I164" s="294">
        <v>189</v>
      </c>
      <c r="J164" s="294">
        <v>44.95</v>
      </c>
      <c r="M164" s="290"/>
      <c r="N164" s="293"/>
      <c r="O164" s="290"/>
      <c r="P164" s="290"/>
      <c r="Q164" s="290"/>
      <c r="R164" s="290"/>
      <c r="S164" s="290"/>
      <c r="T164" s="290"/>
      <c r="U164" s="290"/>
      <c r="V164" s="290"/>
      <c r="W164" s="290"/>
    </row>
    <row r="165" spans="1:23" ht="16" customHeight="1" x14ac:dyDescent="0.2">
      <c r="M165" s="289"/>
      <c r="N165" s="289"/>
      <c r="O165" s="289"/>
      <c r="P165" s="289"/>
      <c r="Q165" s="289"/>
      <c r="R165" s="289"/>
      <c r="S165" s="289"/>
      <c r="T165" s="289"/>
      <c r="U165" s="289"/>
      <c r="V165" s="289"/>
      <c r="W165" s="289"/>
    </row>
    <row r="166" spans="1:23" ht="16" customHeight="1" x14ac:dyDescent="0.2">
      <c r="A166" s="240"/>
      <c r="B166" s="240"/>
      <c r="M166" s="289"/>
      <c r="N166" s="289"/>
      <c r="O166" s="289"/>
      <c r="P166" s="289"/>
      <c r="Q166" s="289"/>
      <c r="R166" s="289"/>
      <c r="S166" s="289"/>
      <c r="T166" s="289"/>
      <c r="U166" s="289"/>
      <c r="V166" s="289"/>
      <c r="W166" s="289"/>
    </row>
    <row r="167" spans="1:23" ht="16" customHeight="1" x14ac:dyDescent="0.2">
      <c r="A167" s="240"/>
      <c r="B167" s="24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</row>
    <row r="168" spans="1:23" ht="16" customHeight="1" x14ac:dyDescent="0.2">
      <c r="A168" s="240"/>
      <c r="B168" s="240"/>
      <c r="C168" s="282" t="s">
        <v>148</v>
      </c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</row>
    <row r="169" spans="1:23" ht="16" customHeight="1" x14ac:dyDescent="0.2">
      <c r="A169" s="240"/>
      <c r="B169" s="240"/>
      <c r="D169" s="282" t="s">
        <v>149</v>
      </c>
      <c r="M169" s="289"/>
      <c r="N169" s="289"/>
      <c r="O169" s="290"/>
      <c r="P169" s="290"/>
      <c r="Q169" s="290"/>
      <c r="R169" s="290"/>
      <c r="S169" s="290"/>
      <c r="T169" s="290"/>
      <c r="U169" s="290"/>
      <c r="V169" s="290"/>
      <c r="W169" s="290"/>
    </row>
    <row r="170" spans="1:23" ht="33" customHeight="1" x14ac:dyDescent="0.2">
      <c r="A170" s="466" t="s">
        <v>71</v>
      </c>
      <c r="B170" s="465" t="s">
        <v>72</v>
      </c>
      <c r="C170" s="469" t="s">
        <v>146</v>
      </c>
      <c r="D170" s="469" t="s">
        <v>150</v>
      </c>
      <c r="E170" s="470"/>
      <c r="F170" s="468" t="s">
        <v>151</v>
      </c>
      <c r="G170" s="470"/>
      <c r="H170" s="468" t="s">
        <v>152</v>
      </c>
      <c r="I170" s="469"/>
      <c r="J170" s="468" t="s">
        <v>153</v>
      </c>
      <c r="K170" s="469"/>
      <c r="M170" s="289"/>
      <c r="N170" s="289"/>
      <c r="O170" s="289"/>
      <c r="P170" s="289"/>
      <c r="Q170" s="289"/>
      <c r="R170" s="289"/>
      <c r="S170" s="289"/>
      <c r="T170" s="289"/>
      <c r="U170" s="289"/>
      <c r="V170" s="289"/>
      <c r="W170" s="289"/>
    </row>
    <row r="171" spans="1:23" ht="49" customHeight="1" x14ac:dyDescent="0.2">
      <c r="A171" s="475"/>
      <c r="B171" s="476"/>
      <c r="C171" s="471"/>
      <c r="D171" s="278" t="s">
        <v>514</v>
      </c>
      <c r="E171" s="279" t="s">
        <v>515</v>
      </c>
      <c r="F171" s="278" t="s">
        <v>514</v>
      </c>
      <c r="G171" s="279" t="s">
        <v>515</v>
      </c>
      <c r="H171" s="278" t="s">
        <v>514</v>
      </c>
      <c r="I171" s="278" t="s">
        <v>515</v>
      </c>
      <c r="J171" s="280" t="s">
        <v>514</v>
      </c>
      <c r="K171" s="278" t="s">
        <v>515</v>
      </c>
      <c r="M171" s="290"/>
      <c r="N171" s="290"/>
      <c r="O171" s="289"/>
      <c r="P171" s="289"/>
      <c r="Q171" s="289"/>
      <c r="R171" s="289"/>
      <c r="S171" s="289"/>
      <c r="T171" s="289"/>
      <c r="U171" s="289"/>
      <c r="V171" s="289"/>
      <c r="W171" s="289"/>
    </row>
    <row r="172" spans="1:23" ht="16" customHeight="1" x14ac:dyDescent="0.2">
      <c r="A172" s="462" t="s">
        <v>79</v>
      </c>
      <c r="B172" s="461" t="s">
        <v>518</v>
      </c>
      <c r="C172" s="20" t="s">
        <v>64</v>
      </c>
      <c r="D172" s="20">
        <v>6544</v>
      </c>
      <c r="E172" s="296">
        <v>520</v>
      </c>
      <c r="F172" s="297">
        <v>6780</v>
      </c>
      <c r="G172" s="296">
        <v>522</v>
      </c>
      <c r="H172" s="297">
        <v>6458</v>
      </c>
      <c r="I172" s="296">
        <v>471</v>
      </c>
      <c r="J172" s="297">
        <v>6889</v>
      </c>
      <c r="K172" s="20">
        <v>418</v>
      </c>
      <c r="M172" s="289"/>
      <c r="N172" s="289"/>
      <c r="O172" s="289"/>
      <c r="P172" s="289"/>
      <c r="Q172" s="289"/>
      <c r="R172" s="289"/>
      <c r="S172" s="289"/>
      <c r="T172" s="289"/>
      <c r="U172" s="289"/>
      <c r="V172" s="289"/>
      <c r="W172" s="289"/>
    </row>
    <row r="173" spans="1:23" ht="16" customHeight="1" x14ac:dyDescent="0.2">
      <c r="A173" s="463"/>
      <c r="B173" s="461"/>
      <c r="C173" s="20" t="s">
        <v>65</v>
      </c>
      <c r="D173" s="20">
        <v>7716</v>
      </c>
      <c r="E173" s="296">
        <v>580</v>
      </c>
      <c r="F173" s="297">
        <v>7950</v>
      </c>
      <c r="G173" s="296">
        <v>578</v>
      </c>
      <c r="H173" s="297">
        <v>7623</v>
      </c>
      <c r="I173" s="296">
        <v>520</v>
      </c>
      <c r="J173" s="297">
        <v>8139</v>
      </c>
      <c r="K173" s="20">
        <v>447</v>
      </c>
    </row>
    <row r="174" spans="1:23" ht="16" customHeight="1" x14ac:dyDescent="0.2">
      <c r="A174" s="463"/>
      <c r="B174" s="461"/>
      <c r="C174" s="20" t="s">
        <v>73</v>
      </c>
      <c r="D174" s="20">
        <v>5059</v>
      </c>
      <c r="E174" s="296">
        <v>486</v>
      </c>
      <c r="F174" s="297">
        <v>5259</v>
      </c>
      <c r="G174" s="296">
        <v>495</v>
      </c>
      <c r="H174" s="297">
        <v>5006</v>
      </c>
      <c r="I174" s="296">
        <v>454</v>
      </c>
      <c r="J174" s="297">
        <v>5335</v>
      </c>
      <c r="K174" s="20">
        <v>434</v>
      </c>
    </row>
    <row r="175" spans="1:23" ht="16" customHeight="1" x14ac:dyDescent="0.2">
      <c r="A175" s="463"/>
      <c r="B175" s="461"/>
      <c r="C175" s="20" t="s">
        <v>74</v>
      </c>
      <c r="D175" s="20">
        <v>7101</v>
      </c>
      <c r="E175" s="296">
        <v>580</v>
      </c>
      <c r="F175" s="297">
        <v>7344</v>
      </c>
      <c r="G175" s="296">
        <v>582</v>
      </c>
      <c r="H175" s="297">
        <v>7011</v>
      </c>
      <c r="I175" s="296">
        <v>527</v>
      </c>
      <c r="J175" s="297">
        <v>7466</v>
      </c>
      <c r="K175" s="20">
        <v>474</v>
      </c>
    </row>
    <row r="176" spans="1:23" ht="16" customHeight="1" x14ac:dyDescent="0.2">
      <c r="A176" s="463"/>
      <c r="B176" s="461" t="s">
        <v>519</v>
      </c>
      <c r="C176" s="20" t="s">
        <v>62</v>
      </c>
      <c r="D176" s="20">
        <v>1528</v>
      </c>
      <c r="E176" s="296">
        <v>141</v>
      </c>
      <c r="F176" s="297">
        <v>1570</v>
      </c>
      <c r="G176" s="296">
        <v>142</v>
      </c>
      <c r="H176" s="297">
        <v>1506</v>
      </c>
      <c r="I176" s="296">
        <v>131</v>
      </c>
      <c r="J176" s="297">
        <v>1612</v>
      </c>
      <c r="K176" s="20">
        <v>124</v>
      </c>
    </row>
    <row r="177" spans="1:11" ht="16" customHeight="1" x14ac:dyDescent="0.2">
      <c r="A177" s="463"/>
      <c r="B177" s="461"/>
      <c r="C177" s="20" t="s">
        <v>63</v>
      </c>
      <c r="D177" s="20">
        <v>3118</v>
      </c>
      <c r="E177" s="296">
        <v>237</v>
      </c>
      <c r="F177" s="297">
        <v>3285</v>
      </c>
      <c r="G177" s="296">
        <v>241</v>
      </c>
      <c r="H177" s="297">
        <v>3083</v>
      </c>
      <c r="I177" s="296">
        <v>213</v>
      </c>
      <c r="J177" s="297">
        <v>3295</v>
      </c>
      <c r="K177" s="20">
        <v>185</v>
      </c>
    </row>
    <row r="178" spans="1:11" ht="16" customHeight="1" x14ac:dyDescent="0.2">
      <c r="A178" s="463"/>
      <c r="B178" s="461"/>
      <c r="C178" s="20" t="s">
        <v>59</v>
      </c>
      <c r="D178" s="20">
        <v>812</v>
      </c>
      <c r="E178" s="296">
        <v>64</v>
      </c>
      <c r="F178" s="297">
        <v>807</v>
      </c>
      <c r="G178" s="296">
        <v>62</v>
      </c>
      <c r="H178" s="297">
        <v>806</v>
      </c>
      <c r="I178" s="296">
        <v>58</v>
      </c>
      <c r="J178" s="297">
        <v>844</v>
      </c>
      <c r="K178" s="20">
        <v>51</v>
      </c>
    </row>
    <row r="179" spans="1:11" ht="16" customHeight="1" x14ac:dyDescent="0.2">
      <c r="A179" s="463"/>
      <c r="B179" s="461"/>
      <c r="C179" s="20" t="s">
        <v>60</v>
      </c>
      <c r="D179" s="20">
        <v>2757</v>
      </c>
      <c r="E179" s="296">
        <v>213</v>
      </c>
      <c r="F179" s="297">
        <v>2934</v>
      </c>
      <c r="G179" s="296">
        <v>220</v>
      </c>
      <c r="H179" s="297">
        <v>2725</v>
      </c>
      <c r="I179" s="296">
        <v>192</v>
      </c>
      <c r="J179" s="297">
        <v>2914</v>
      </c>
      <c r="K179" s="20">
        <v>169</v>
      </c>
    </row>
    <row r="180" spans="1:11" ht="16" customHeight="1" x14ac:dyDescent="0.2">
      <c r="A180" s="463"/>
      <c r="B180" s="461"/>
      <c r="C180" s="20" t="s">
        <v>61</v>
      </c>
      <c r="D180" s="20">
        <v>2514</v>
      </c>
      <c r="E180" s="296">
        <v>193</v>
      </c>
      <c r="F180" s="297">
        <v>2679</v>
      </c>
      <c r="G180" s="296">
        <v>199</v>
      </c>
      <c r="H180" s="297">
        <v>2485</v>
      </c>
      <c r="I180" s="296">
        <v>174</v>
      </c>
      <c r="J180" s="297">
        <v>2651</v>
      </c>
      <c r="K180" s="20">
        <v>152</v>
      </c>
    </row>
    <row r="181" spans="1:11" ht="16" customHeight="1" x14ac:dyDescent="0.2">
      <c r="A181" s="463"/>
      <c r="B181" s="461" t="s">
        <v>520</v>
      </c>
      <c r="C181" s="20" t="s">
        <v>87</v>
      </c>
      <c r="D181" s="20">
        <v>913</v>
      </c>
      <c r="E181" s="296">
        <v>119</v>
      </c>
      <c r="F181" s="297">
        <v>915</v>
      </c>
      <c r="G181" s="296">
        <v>118</v>
      </c>
      <c r="H181" s="297">
        <v>905</v>
      </c>
      <c r="I181" s="296">
        <v>114</v>
      </c>
      <c r="J181" s="297">
        <v>948</v>
      </c>
      <c r="K181" s="20">
        <v>114</v>
      </c>
    </row>
    <row r="182" spans="1:11" ht="16" customHeight="1" x14ac:dyDescent="0.2">
      <c r="A182" s="463"/>
      <c r="B182" s="461"/>
      <c r="C182" s="20" t="s">
        <v>88</v>
      </c>
      <c r="D182" s="20">
        <v>1045</v>
      </c>
      <c r="E182" s="296">
        <v>127</v>
      </c>
      <c r="F182" s="297">
        <v>1054</v>
      </c>
      <c r="G182" s="296">
        <v>127</v>
      </c>
      <c r="H182" s="297">
        <v>1035</v>
      </c>
      <c r="I182" s="296">
        <v>122</v>
      </c>
      <c r="J182" s="297">
        <v>1087</v>
      </c>
      <c r="K182" s="20">
        <v>120</v>
      </c>
    </row>
    <row r="183" spans="1:11" ht="16" customHeight="1" x14ac:dyDescent="0.2">
      <c r="A183" s="463"/>
      <c r="B183" s="461"/>
      <c r="C183" s="20" t="s">
        <v>89</v>
      </c>
      <c r="D183" s="20">
        <v>1445</v>
      </c>
      <c r="E183" s="296">
        <v>283</v>
      </c>
      <c r="F183" s="297">
        <v>1475</v>
      </c>
      <c r="G183" s="296">
        <v>287</v>
      </c>
      <c r="H183" s="297">
        <v>1426</v>
      </c>
      <c r="I183" s="296">
        <v>275</v>
      </c>
      <c r="J183" s="297">
        <v>1519</v>
      </c>
      <c r="K183" s="20">
        <v>287</v>
      </c>
    </row>
    <row r="184" spans="1:11" ht="16" customHeight="1" x14ac:dyDescent="0.2">
      <c r="A184" s="463"/>
      <c r="B184" s="461"/>
      <c r="C184" s="20" t="s">
        <v>56</v>
      </c>
      <c r="D184" s="20">
        <v>1790</v>
      </c>
      <c r="E184" s="296">
        <v>139</v>
      </c>
      <c r="F184" s="297">
        <v>1866</v>
      </c>
      <c r="G184" s="296">
        <v>140</v>
      </c>
      <c r="H184" s="297">
        <v>1766</v>
      </c>
      <c r="I184" s="296">
        <v>125</v>
      </c>
      <c r="J184" s="297">
        <v>1890</v>
      </c>
      <c r="K184" s="20">
        <v>110</v>
      </c>
    </row>
    <row r="185" spans="1:11" ht="16" customHeight="1" x14ac:dyDescent="0.2">
      <c r="A185" s="463"/>
      <c r="B185" s="461"/>
      <c r="C185" s="20" t="s">
        <v>57</v>
      </c>
      <c r="D185" s="20">
        <v>1826</v>
      </c>
      <c r="E185" s="296">
        <v>143</v>
      </c>
      <c r="F185" s="297">
        <v>1907</v>
      </c>
      <c r="G185" s="296">
        <v>144</v>
      </c>
      <c r="H185" s="297">
        <v>1802</v>
      </c>
      <c r="I185" s="296">
        <v>129</v>
      </c>
      <c r="J185" s="297">
        <v>1928</v>
      </c>
      <c r="K185" s="20">
        <v>114</v>
      </c>
    </row>
    <row r="186" spans="1:11" ht="16" customHeight="1" x14ac:dyDescent="0.2">
      <c r="A186" s="463"/>
      <c r="B186" s="461"/>
      <c r="C186" s="20" t="s">
        <v>58</v>
      </c>
      <c r="D186" s="20">
        <v>1541</v>
      </c>
      <c r="E186" s="296">
        <v>121</v>
      </c>
      <c r="F186" s="297">
        <v>1584</v>
      </c>
      <c r="G186" s="296">
        <v>120</v>
      </c>
      <c r="H186" s="297">
        <v>1519</v>
      </c>
      <c r="I186" s="296">
        <v>109</v>
      </c>
      <c r="J186" s="297">
        <v>1626</v>
      </c>
      <c r="K186" s="20">
        <v>96</v>
      </c>
    </row>
    <row r="187" spans="1:11" ht="16" customHeight="1" x14ac:dyDescent="0.2">
      <c r="A187" s="462" t="s">
        <v>80</v>
      </c>
      <c r="B187" s="222" t="s">
        <v>521</v>
      </c>
      <c r="C187" s="20" t="s">
        <v>48</v>
      </c>
      <c r="D187" s="20">
        <v>7064</v>
      </c>
      <c r="E187" s="296">
        <v>575</v>
      </c>
      <c r="F187" s="297">
        <v>7263</v>
      </c>
      <c r="G187" s="296">
        <v>574</v>
      </c>
      <c r="H187" s="297">
        <v>6959</v>
      </c>
      <c r="I187" s="296">
        <v>522</v>
      </c>
      <c r="J187" s="297">
        <v>7357</v>
      </c>
      <c r="K187" s="20">
        <v>465</v>
      </c>
    </row>
    <row r="188" spans="1:11" ht="16" customHeight="1" x14ac:dyDescent="0.2">
      <c r="A188" s="463"/>
      <c r="B188" s="461" t="s">
        <v>522</v>
      </c>
      <c r="C188" s="20" t="s">
        <v>49</v>
      </c>
      <c r="D188" s="20">
        <v>23767</v>
      </c>
      <c r="E188" s="296">
        <v>1879</v>
      </c>
      <c r="F188" s="297">
        <v>23853</v>
      </c>
      <c r="G188" s="296">
        <v>1828</v>
      </c>
      <c r="H188" s="297">
        <v>23427</v>
      </c>
      <c r="I188" s="296">
        <v>1695</v>
      </c>
      <c r="J188" s="297">
        <v>25656</v>
      </c>
      <c r="K188" s="20">
        <v>1538</v>
      </c>
    </row>
    <row r="189" spans="1:11" ht="16" customHeight="1" x14ac:dyDescent="0.2">
      <c r="A189" s="463"/>
      <c r="B189" s="461"/>
      <c r="C189" s="20" t="s">
        <v>47</v>
      </c>
      <c r="D189" s="20">
        <v>20866</v>
      </c>
      <c r="E189" s="296">
        <v>1640</v>
      </c>
      <c r="F189" s="297">
        <v>20956</v>
      </c>
      <c r="G189" s="296">
        <v>1596</v>
      </c>
      <c r="H189" s="297">
        <v>20606</v>
      </c>
      <c r="I189" s="296">
        <v>1481</v>
      </c>
      <c r="J189" s="297">
        <v>22529</v>
      </c>
      <c r="K189" s="20">
        <v>1338</v>
      </c>
    </row>
    <row r="190" spans="1:11" ht="16" customHeight="1" x14ac:dyDescent="0.2">
      <c r="A190" s="463"/>
      <c r="B190" s="461"/>
      <c r="C190" s="20" t="s">
        <v>53</v>
      </c>
      <c r="D190" s="20">
        <v>22631</v>
      </c>
      <c r="E190" s="296">
        <v>1947</v>
      </c>
      <c r="F190" s="297">
        <v>22718</v>
      </c>
      <c r="G190" s="296">
        <v>1904</v>
      </c>
      <c r="H190" s="297">
        <v>22327</v>
      </c>
      <c r="I190" s="296">
        <v>1784</v>
      </c>
      <c r="J190" s="297">
        <v>24424</v>
      </c>
      <c r="K190" s="20">
        <v>1683</v>
      </c>
    </row>
    <row r="191" spans="1:11" ht="16" customHeight="1" x14ac:dyDescent="0.2">
      <c r="A191" s="463"/>
      <c r="B191" s="461"/>
      <c r="C191" s="285" t="s">
        <v>50</v>
      </c>
      <c r="D191" s="285">
        <v>6439</v>
      </c>
      <c r="E191" s="296">
        <v>518</v>
      </c>
      <c r="F191" s="285">
        <v>6626</v>
      </c>
      <c r="G191" s="296">
        <v>517</v>
      </c>
      <c r="H191" s="285">
        <v>6333</v>
      </c>
      <c r="I191" s="296">
        <v>468</v>
      </c>
      <c r="J191" s="285">
        <v>6773</v>
      </c>
      <c r="K191" s="20">
        <v>419</v>
      </c>
    </row>
    <row r="192" spans="1:11" ht="16" customHeight="1" x14ac:dyDescent="0.2">
      <c r="A192" s="463"/>
      <c r="B192" s="461" t="s">
        <v>195</v>
      </c>
      <c r="C192" s="20" t="s">
        <v>36</v>
      </c>
      <c r="D192" s="20">
        <v>38610</v>
      </c>
      <c r="E192" s="296">
        <v>2982</v>
      </c>
      <c r="F192" s="297">
        <v>38563</v>
      </c>
      <c r="G192" s="296">
        <v>2881</v>
      </c>
      <c r="H192" s="297">
        <v>37592</v>
      </c>
      <c r="I192" s="296">
        <v>2642</v>
      </c>
      <c r="J192" s="297">
        <v>43143</v>
      </c>
      <c r="K192" s="20">
        <v>2476</v>
      </c>
    </row>
    <row r="193" spans="1:11" ht="16" customHeight="1" x14ac:dyDescent="0.2">
      <c r="A193" s="463"/>
      <c r="B193" s="461"/>
      <c r="C193" s="20" t="s">
        <v>37</v>
      </c>
      <c r="D193" s="20">
        <v>12015</v>
      </c>
      <c r="E193" s="296">
        <v>1028</v>
      </c>
      <c r="F193" s="297">
        <v>12138</v>
      </c>
      <c r="G193" s="296">
        <v>1011</v>
      </c>
      <c r="H193" s="297">
        <v>11907</v>
      </c>
      <c r="I193" s="296">
        <v>946</v>
      </c>
      <c r="J193" s="297">
        <v>13206</v>
      </c>
      <c r="K193" s="20">
        <v>903</v>
      </c>
    </row>
    <row r="194" spans="1:11" ht="16" customHeight="1" x14ac:dyDescent="0.2">
      <c r="A194" s="463"/>
      <c r="B194" s="461"/>
      <c r="C194" s="20" t="s">
        <v>38</v>
      </c>
      <c r="D194" s="20">
        <v>21847</v>
      </c>
      <c r="E194" s="296">
        <v>2095</v>
      </c>
      <c r="F194" s="297">
        <v>21882</v>
      </c>
      <c r="G194" s="296">
        <v>2054</v>
      </c>
      <c r="H194" s="297">
        <v>21531</v>
      </c>
      <c r="I194" s="296">
        <v>1947</v>
      </c>
      <c r="J194" s="297">
        <v>24257</v>
      </c>
      <c r="K194" s="20">
        <v>1963</v>
      </c>
    </row>
    <row r="195" spans="1:11" ht="16" customHeight="1" x14ac:dyDescent="0.2">
      <c r="A195" s="463"/>
      <c r="B195" s="461" t="s">
        <v>196</v>
      </c>
      <c r="C195" s="20" t="s">
        <v>15</v>
      </c>
      <c r="D195" s="20">
        <v>18408</v>
      </c>
      <c r="E195" s="296">
        <v>1381</v>
      </c>
      <c r="F195" s="297">
        <v>18426</v>
      </c>
      <c r="G195" s="296">
        <v>1334</v>
      </c>
      <c r="H195" s="297">
        <v>18161</v>
      </c>
      <c r="I195" s="296">
        <v>1233</v>
      </c>
      <c r="J195" s="297">
        <v>20902</v>
      </c>
      <c r="K195" s="20">
        <v>1140</v>
      </c>
    </row>
    <row r="196" spans="1:11" ht="16" customHeight="1" x14ac:dyDescent="0.2">
      <c r="A196" s="463"/>
      <c r="B196" s="461"/>
      <c r="C196" s="20" t="s">
        <v>16</v>
      </c>
      <c r="D196" s="20">
        <v>34890</v>
      </c>
      <c r="E196" s="296">
        <v>2673</v>
      </c>
      <c r="F196" s="297">
        <v>34803</v>
      </c>
      <c r="G196" s="296">
        <v>2577</v>
      </c>
      <c r="H196" s="297">
        <v>34054</v>
      </c>
      <c r="I196" s="296">
        <v>2370</v>
      </c>
      <c r="J196" s="297">
        <v>39937</v>
      </c>
      <c r="K196" s="20">
        <v>2260</v>
      </c>
    </row>
    <row r="197" spans="1:11" ht="16" customHeight="1" x14ac:dyDescent="0.2">
      <c r="A197" s="463"/>
      <c r="B197" s="464" t="s">
        <v>517</v>
      </c>
      <c r="C197" s="20" t="s">
        <v>32</v>
      </c>
      <c r="D197" s="20">
        <v>20426</v>
      </c>
      <c r="E197" s="296">
        <v>1654</v>
      </c>
      <c r="F197" s="297">
        <v>20536</v>
      </c>
      <c r="G197" s="296">
        <v>1614</v>
      </c>
      <c r="H197" s="297">
        <v>20194</v>
      </c>
      <c r="I197" s="296">
        <v>1504</v>
      </c>
      <c r="J197" s="297">
        <v>21788</v>
      </c>
      <c r="K197" s="20">
        <v>1362</v>
      </c>
    </row>
    <row r="198" spans="1:11" ht="16" customHeight="1" x14ac:dyDescent="0.2">
      <c r="A198" s="463"/>
      <c r="B198" s="464"/>
      <c r="C198" s="20" t="s">
        <v>33</v>
      </c>
      <c r="D198" s="20">
        <v>64507</v>
      </c>
      <c r="E198" s="296">
        <v>5267</v>
      </c>
      <c r="F198" s="297">
        <v>64448</v>
      </c>
      <c r="G198" s="296">
        <v>5106</v>
      </c>
      <c r="H198" s="297">
        <v>62831</v>
      </c>
      <c r="I198" s="296">
        <v>4712</v>
      </c>
      <c r="J198" s="297">
        <v>69640</v>
      </c>
      <c r="K198" s="20">
        <v>4384</v>
      </c>
    </row>
    <row r="199" spans="1:11" ht="16" customHeight="1" x14ac:dyDescent="0.2">
      <c r="A199" s="463"/>
      <c r="B199" s="79" t="s">
        <v>523</v>
      </c>
      <c r="C199" s="20" t="s">
        <v>28</v>
      </c>
      <c r="D199" s="20">
        <v>31975</v>
      </c>
      <c r="E199" s="296">
        <v>2841</v>
      </c>
      <c r="F199" s="297">
        <v>32068</v>
      </c>
      <c r="G199" s="296">
        <v>2780</v>
      </c>
      <c r="H199" s="297">
        <v>31356</v>
      </c>
      <c r="I199" s="296">
        <v>2600</v>
      </c>
      <c r="J199" s="297">
        <v>34505</v>
      </c>
      <c r="K199" s="20">
        <v>2496</v>
      </c>
    </row>
    <row r="200" spans="1:11" ht="16" customHeight="1" x14ac:dyDescent="0.2">
      <c r="A200" s="463"/>
      <c r="B200" s="461" t="s">
        <v>524</v>
      </c>
      <c r="C200" s="20" t="s">
        <v>34</v>
      </c>
      <c r="D200" s="20">
        <v>5703</v>
      </c>
      <c r="E200" s="296">
        <v>464</v>
      </c>
      <c r="F200" s="297">
        <v>5875</v>
      </c>
      <c r="G200" s="296">
        <v>465</v>
      </c>
      <c r="H200" s="297">
        <v>5617</v>
      </c>
      <c r="I200" s="296">
        <v>421</v>
      </c>
      <c r="J200" s="297">
        <v>5995</v>
      </c>
      <c r="K200" s="20">
        <v>379</v>
      </c>
    </row>
    <row r="201" spans="1:11" ht="16" customHeight="1" x14ac:dyDescent="0.2">
      <c r="A201" s="463"/>
      <c r="B201" s="461"/>
      <c r="C201" s="20" t="s">
        <v>17</v>
      </c>
      <c r="D201" s="20">
        <v>14321</v>
      </c>
      <c r="E201" s="296">
        <v>1100</v>
      </c>
      <c r="F201" s="297">
        <v>14447</v>
      </c>
      <c r="G201" s="296">
        <v>1073</v>
      </c>
      <c r="H201" s="297">
        <v>14210</v>
      </c>
      <c r="I201" s="296">
        <v>993</v>
      </c>
      <c r="J201" s="297">
        <v>15339</v>
      </c>
      <c r="K201" s="20">
        <v>874</v>
      </c>
    </row>
    <row r="202" spans="1:11" ht="16" customHeight="1" x14ac:dyDescent="0.2">
      <c r="A202" s="463"/>
      <c r="B202" s="461"/>
      <c r="C202" s="20" t="s">
        <v>18</v>
      </c>
      <c r="D202" s="20">
        <v>18203</v>
      </c>
      <c r="E202" s="296">
        <v>1433</v>
      </c>
      <c r="F202" s="297">
        <v>18309</v>
      </c>
      <c r="G202" s="296">
        <v>1397</v>
      </c>
      <c r="H202" s="297">
        <v>18008</v>
      </c>
      <c r="I202" s="296">
        <v>1297</v>
      </c>
      <c r="J202" s="297">
        <v>19581</v>
      </c>
      <c r="K202" s="20">
        <v>1167</v>
      </c>
    </row>
    <row r="203" spans="1:11" ht="16" customHeight="1" x14ac:dyDescent="0.2">
      <c r="A203" s="463"/>
      <c r="B203" s="461"/>
      <c r="C203" s="20" t="s">
        <v>19</v>
      </c>
      <c r="D203" s="20">
        <v>12988</v>
      </c>
      <c r="E203" s="296">
        <v>1000</v>
      </c>
      <c r="F203" s="297">
        <v>13125</v>
      </c>
      <c r="G203" s="296">
        <v>977</v>
      </c>
      <c r="H203" s="297">
        <v>12893</v>
      </c>
      <c r="I203" s="296">
        <v>904</v>
      </c>
      <c r="J203" s="297">
        <v>13894</v>
      </c>
      <c r="K203" s="20">
        <v>796</v>
      </c>
    </row>
    <row r="204" spans="1:11" ht="16" customHeight="1" x14ac:dyDescent="0.2">
      <c r="A204" s="463"/>
      <c r="B204" s="461"/>
      <c r="C204" s="20" t="s">
        <v>20</v>
      </c>
      <c r="D204" s="20">
        <v>14405</v>
      </c>
      <c r="E204" s="296">
        <v>1133</v>
      </c>
      <c r="F204" s="297">
        <v>14529</v>
      </c>
      <c r="G204" s="296">
        <v>1107</v>
      </c>
      <c r="H204" s="297">
        <v>14291</v>
      </c>
      <c r="I204" s="296">
        <v>1028</v>
      </c>
      <c r="J204" s="297">
        <v>15463</v>
      </c>
      <c r="K204" s="20">
        <v>920</v>
      </c>
    </row>
    <row r="205" spans="1:11" ht="16" customHeight="1" x14ac:dyDescent="0.2">
      <c r="A205" s="462" t="s">
        <v>76</v>
      </c>
      <c r="B205" s="461" t="s">
        <v>529</v>
      </c>
      <c r="C205" s="20" t="s">
        <v>11</v>
      </c>
      <c r="D205" s="20">
        <v>15198</v>
      </c>
      <c r="E205" s="296">
        <v>1569</v>
      </c>
      <c r="F205" s="297">
        <v>15334</v>
      </c>
      <c r="G205" s="296">
        <v>1555</v>
      </c>
      <c r="H205" s="297">
        <v>15132</v>
      </c>
      <c r="I205" s="296">
        <v>1487</v>
      </c>
      <c r="J205" s="297">
        <v>16532</v>
      </c>
      <c r="K205" s="20">
        <v>1481</v>
      </c>
    </row>
    <row r="206" spans="1:11" ht="16" customHeight="1" x14ac:dyDescent="0.2">
      <c r="A206" s="463"/>
      <c r="B206" s="461"/>
      <c r="C206" s="20" t="s">
        <v>7</v>
      </c>
      <c r="D206" s="20">
        <v>6819</v>
      </c>
      <c r="E206" s="296">
        <v>675</v>
      </c>
      <c r="F206" s="297">
        <v>7067</v>
      </c>
      <c r="G206" s="296">
        <v>686</v>
      </c>
      <c r="H206" s="297">
        <v>6732</v>
      </c>
      <c r="I206" s="296">
        <v>631</v>
      </c>
      <c r="J206" s="297">
        <v>7251</v>
      </c>
      <c r="K206" s="20">
        <v>614</v>
      </c>
    </row>
    <row r="207" spans="1:11" ht="16" customHeight="1" x14ac:dyDescent="0.2">
      <c r="A207" s="463"/>
      <c r="B207" s="461"/>
      <c r="C207" s="20" t="s">
        <v>8</v>
      </c>
      <c r="D207" s="20">
        <v>12141</v>
      </c>
      <c r="E207" s="296">
        <v>1839</v>
      </c>
      <c r="F207" s="297">
        <v>12320</v>
      </c>
      <c r="G207" s="296">
        <v>1850</v>
      </c>
      <c r="H207" s="297">
        <v>12093</v>
      </c>
      <c r="I207" s="296">
        <v>1791</v>
      </c>
      <c r="J207" s="297">
        <v>13171</v>
      </c>
      <c r="K207" s="20">
        <v>1877</v>
      </c>
    </row>
    <row r="208" spans="1:11" ht="16" customHeight="1" x14ac:dyDescent="0.2">
      <c r="A208" s="463"/>
      <c r="B208" s="461"/>
      <c r="C208" s="20" t="s">
        <v>9</v>
      </c>
      <c r="D208" s="20">
        <v>13059</v>
      </c>
      <c r="E208" s="296">
        <v>1164</v>
      </c>
      <c r="F208" s="297">
        <v>13224</v>
      </c>
      <c r="G208" s="296">
        <v>1150</v>
      </c>
      <c r="H208" s="297">
        <v>13010</v>
      </c>
      <c r="I208" s="296">
        <v>1083</v>
      </c>
      <c r="J208" s="297">
        <v>14186</v>
      </c>
      <c r="K208" s="20">
        <v>1033</v>
      </c>
    </row>
    <row r="209" spans="1:11" ht="16" customHeight="1" x14ac:dyDescent="0.2">
      <c r="A209" s="463"/>
      <c r="B209" s="461"/>
      <c r="C209" s="20" t="s">
        <v>10</v>
      </c>
      <c r="D209" s="20">
        <v>12775</v>
      </c>
      <c r="E209" s="296">
        <v>1258</v>
      </c>
      <c r="F209" s="297">
        <v>12944</v>
      </c>
      <c r="G209" s="296">
        <v>1250</v>
      </c>
      <c r="H209" s="297">
        <v>12726</v>
      </c>
      <c r="I209" s="296">
        <v>1186</v>
      </c>
      <c r="J209" s="297">
        <v>13873</v>
      </c>
      <c r="K209" s="20">
        <v>1166</v>
      </c>
    </row>
    <row r="210" spans="1:11" ht="16" customHeight="1" x14ac:dyDescent="0.2">
      <c r="A210" s="463"/>
      <c r="B210" s="461"/>
      <c r="C210" s="20" t="s">
        <v>126</v>
      </c>
      <c r="D210" s="20">
        <v>12304</v>
      </c>
      <c r="E210" s="296">
        <v>1096</v>
      </c>
      <c r="F210" s="297">
        <v>12480</v>
      </c>
      <c r="G210" s="296">
        <v>1085</v>
      </c>
      <c r="H210" s="297">
        <v>12256</v>
      </c>
      <c r="I210" s="296">
        <v>1020</v>
      </c>
      <c r="J210" s="297">
        <v>13364</v>
      </c>
      <c r="K210" s="20">
        <v>972</v>
      </c>
    </row>
    <row r="211" spans="1:11" ht="16" customHeight="1" x14ac:dyDescent="0.2">
      <c r="A211" s="463"/>
      <c r="B211" s="222" t="s">
        <v>525</v>
      </c>
      <c r="C211" s="20" t="s">
        <v>6</v>
      </c>
      <c r="D211" s="20">
        <v>13180</v>
      </c>
      <c r="E211" s="296">
        <v>1225</v>
      </c>
      <c r="F211" s="297">
        <v>13341</v>
      </c>
      <c r="G211" s="296">
        <v>1213</v>
      </c>
      <c r="H211" s="297">
        <v>13128</v>
      </c>
      <c r="I211" s="296">
        <v>1147</v>
      </c>
      <c r="J211" s="297">
        <v>14356</v>
      </c>
      <c r="K211" s="20">
        <v>1112</v>
      </c>
    </row>
    <row r="212" spans="1:11" ht="16" customHeight="1" x14ac:dyDescent="0.2">
      <c r="A212" s="462" t="s">
        <v>78</v>
      </c>
      <c r="B212" s="461" t="s">
        <v>526</v>
      </c>
      <c r="C212" s="20" t="s">
        <v>40</v>
      </c>
      <c r="D212" s="20">
        <v>22325</v>
      </c>
      <c r="E212" s="296">
        <v>2030</v>
      </c>
      <c r="F212" s="297">
        <v>22503</v>
      </c>
      <c r="G212" s="296">
        <v>1998</v>
      </c>
      <c r="H212" s="297">
        <v>22086</v>
      </c>
      <c r="I212" s="296">
        <v>1881</v>
      </c>
      <c r="J212" s="297">
        <v>22462</v>
      </c>
      <c r="K212" s="20">
        <v>1682</v>
      </c>
    </row>
    <row r="213" spans="1:11" ht="16" customHeight="1" x14ac:dyDescent="0.2">
      <c r="A213" s="463"/>
      <c r="B213" s="461"/>
      <c r="C213" s="20" t="s">
        <v>41</v>
      </c>
      <c r="D213" s="20">
        <v>19968</v>
      </c>
      <c r="E213" s="296">
        <v>1976</v>
      </c>
      <c r="F213" s="297">
        <v>20138</v>
      </c>
      <c r="G213" s="296">
        <v>1954</v>
      </c>
      <c r="H213" s="297">
        <v>19782</v>
      </c>
      <c r="I213" s="296">
        <v>1854</v>
      </c>
      <c r="J213" s="297">
        <v>20065</v>
      </c>
      <c r="K213" s="20">
        <v>1696</v>
      </c>
    </row>
    <row r="214" spans="1:11" ht="16" customHeight="1" x14ac:dyDescent="0.2">
      <c r="A214" s="463"/>
      <c r="B214" s="461"/>
      <c r="C214" s="20" t="s">
        <v>42</v>
      </c>
      <c r="D214" s="20">
        <v>23181</v>
      </c>
      <c r="E214" s="296">
        <v>2119</v>
      </c>
      <c r="F214" s="297">
        <v>23364</v>
      </c>
      <c r="G214" s="296">
        <v>2086</v>
      </c>
      <c r="H214" s="297">
        <v>22918</v>
      </c>
      <c r="I214" s="296">
        <v>1963</v>
      </c>
      <c r="J214" s="297">
        <v>23335</v>
      </c>
      <c r="K214" s="20">
        <v>1761</v>
      </c>
    </row>
    <row r="215" spans="1:11" ht="16" customHeight="1" x14ac:dyDescent="0.2">
      <c r="A215" s="463"/>
      <c r="B215" s="461" t="s">
        <v>527</v>
      </c>
      <c r="C215" s="20" t="s">
        <v>43</v>
      </c>
      <c r="D215" s="20">
        <v>29603</v>
      </c>
      <c r="E215" s="296">
        <v>2332</v>
      </c>
      <c r="F215" s="297">
        <v>29764</v>
      </c>
      <c r="G215" s="296">
        <v>2272</v>
      </c>
      <c r="H215" s="297">
        <v>29045</v>
      </c>
      <c r="I215" s="296">
        <v>2092</v>
      </c>
      <c r="J215" s="297">
        <v>30729</v>
      </c>
      <c r="K215" s="20">
        <v>1829</v>
      </c>
    </row>
    <row r="216" spans="1:11" ht="16" customHeight="1" x14ac:dyDescent="0.2">
      <c r="A216" s="463"/>
      <c r="B216" s="461"/>
      <c r="C216" s="20" t="s">
        <v>44</v>
      </c>
      <c r="D216" s="20">
        <v>77196</v>
      </c>
      <c r="E216" s="296">
        <v>6163</v>
      </c>
      <c r="F216" s="297">
        <v>77331</v>
      </c>
      <c r="G216" s="296">
        <v>5981</v>
      </c>
      <c r="H216" s="297">
        <v>75014</v>
      </c>
      <c r="I216" s="296">
        <v>5474</v>
      </c>
      <c r="J216" s="297">
        <v>80603</v>
      </c>
      <c r="K216" s="20">
        <v>4869</v>
      </c>
    </row>
    <row r="217" spans="1:11" ht="16" customHeight="1" x14ac:dyDescent="0.2">
      <c r="A217" s="463"/>
      <c r="B217" s="461"/>
      <c r="C217" s="20" t="s">
        <v>46</v>
      </c>
      <c r="D217" s="20">
        <v>28323</v>
      </c>
      <c r="E217" s="296">
        <v>2230</v>
      </c>
      <c r="F217" s="297">
        <v>28479</v>
      </c>
      <c r="G217" s="296">
        <v>2173</v>
      </c>
      <c r="H217" s="297">
        <v>27820</v>
      </c>
      <c r="I217" s="296">
        <v>2003</v>
      </c>
      <c r="J217" s="297">
        <v>29382</v>
      </c>
      <c r="K217" s="20">
        <v>1748</v>
      </c>
    </row>
    <row r="218" spans="1:11" ht="16" customHeight="1" x14ac:dyDescent="0.2">
      <c r="A218" s="463"/>
      <c r="B218" s="222" t="s">
        <v>530</v>
      </c>
      <c r="C218" s="20" t="s">
        <v>26</v>
      </c>
      <c r="D218" s="20">
        <v>15598</v>
      </c>
      <c r="E218" s="296">
        <v>1270</v>
      </c>
      <c r="F218" s="297">
        <v>15721</v>
      </c>
      <c r="G218" s="296">
        <v>1243</v>
      </c>
      <c r="H218" s="297">
        <v>15442</v>
      </c>
      <c r="I218" s="296">
        <v>1158</v>
      </c>
      <c r="J218" s="297">
        <v>16208</v>
      </c>
      <c r="K218" s="20">
        <v>1023</v>
      </c>
    </row>
    <row r="219" spans="1:11" ht="16" customHeight="1" x14ac:dyDescent="0.2">
      <c r="A219" s="463"/>
      <c r="B219" s="461" t="s">
        <v>531</v>
      </c>
      <c r="C219" s="20" t="s">
        <v>39</v>
      </c>
      <c r="D219" s="20">
        <v>14435</v>
      </c>
      <c r="E219" s="296">
        <v>1168</v>
      </c>
      <c r="F219" s="297">
        <v>14559</v>
      </c>
      <c r="G219" s="296">
        <v>1143</v>
      </c>
      <c r="H219" s="297">
        <v>14304</v>
      </c>
      <c r="I219" s="296">
        <v>1064</v>
      </c>
      <c r="J219" s="297">
        <v>14985</v>
      </c>
      <c r="K219" s="20">
        <v>936</v>
      </c>
    </row>
    <row r="220" spans="1:11" ht="16" customHeight="1" x14ac:dyDescent="0.2">
      <c r="A220" s="463"/>
      <c r="B220" s="461"/>
      <c r="C220" s="20" t="s">
        <v>27</v>
      </c>
      <c r="D220" s="20">
        <v>15867</v>
      </c>
      <c r="E220" s="296">
        <v>1246</v>
      </c>
      <c r="F220" s="297">
        <v>15991</v>
      </c>
      <c r="G220" s="296">
        <v>1216</v>
      </c>
      <c r="H220" s="297">
        <v>15705</v>
      </c>
      <c r="I220" s="296">
        <v>1127</v>
      </c>
      <c r="J220" s="297">
        <v>16492</v>
      </c>
      <c r="K220" s="20">
        <v>978</v>
      </c>
    </row>
    <row r="221" spans="1:11" ht="16" customHeight="1" x14ac:dyDescent="0.2">
      <c r="A221" s="463"/>
      <c r="B221" s="461"/>
      <c r="C221" s="20" t="s">
        <v>45</v>
      </c>
      <c r="D221" s="20">
        <v>15920</v>
      </c>
      <c r="E221" s="296">
        <v>1252</v>
      </c>
      <c r="F221" s="297">
        <v>16044</v>
      </c>
      <c r="G221" s="296">
        <v>1222</v>
      </c>
      <c r="H221" s="297">
        <v>15757</v>
      </c>
      <c r="I221" s="296">
        <v>1133</v>
      </c>
      <c r="J221" s="297">
        <v>16548</v>
      </c>
      <c r="K221" s="20">
        <v>984</v>
      </c>
    </row>
    <row r="222" spans="1:11" ht="16" customHeight="1" x14ac:dyDescent="0.2">
      <c r="A222" s="463" t="s">
        <v>77</v>
      </c>
      <c r="B222" s="461" t="s">
        <v>528</v>
      </c>
      <c r="C222" s="20" t="s">
        <v>1</v>
      </c>
      <c r="D222" s="20">
        <v>98965</v>
      </c>
      <c r="E222" s="296">
        <v>7804</v>
      </c>
      <c r="F222" s="297">
        <v>99297</v>
      </c>
      <c r="G222" s="296">
        <v>7577</v>
      </c>
      <c r="H222" s="297">
        <v>96511</v>
      </c>
      <c r="I222" s="296">
        <v>6931</v>
      </c>
      <c r="J222" s="297">
        <v>100683</v>
      </c>
      <c r="K222" s="20">
        <v>5922</v>
      </c>
    </row>
    <row r="223" spans="1:11" ht="16" customHeight="1" x14ac:dyDescent="0.2">
      <c r="A223" s="463"/>
      <c r="B223" s="461"/>
      <c r="C223" s="20" t="s">
        <v>2</v>
      </c>
      <c r="D223" s="20">
        <v>51422</v>
      </c>
      <c r="E223" s="296">
        <v>4003</v>
      </c>
      <c r="F223" s="297">
        <v>51636</v>
      </c>
      <c r="G223" s="296">
        <v>3889</v>
      </c>
      <c r="H223" s="297">
        <v>50076</v>
      </c>
      <c r="I223" s="296">
        <v>3550</v>
      </c>
      <c r="J223" s="297">
        <v>52207</v>
      </c>
      <c r="K223" s="20">
        <v>3028</v>
      </c>
    </row>
    <row r="224" spans="1:11" ht="16" customHeight="1" x14ac:dyDescent="0.2">
      <c r="A224" s="463"/>
      <c r="B224" s="461"/>
      <c r="C224" s="20" t="s">
        <v>0</v>
      </c>
      <c r="D224" s="20">
        <v>22065</v>
      </c>
      <c r="E224" s="296">
        <v>1905</v>
      </c>
      <c r="F224" s="297">
        <v>22238</v>
      </c>
      <c r="G224" s="296">
        <v>1871</v>
      </c>
      <c r="H224" s="297">
        <v>21842</v>
      </c>
      <c r="I224" s="296">
        <v>1753</v>
      </c>
      <c r="J224" s="297">
        <v>22276</v>
      </c>
      <c r="K224" s="20">
        <v>1544</v>
      </c>
    </row>
    <row r="225" spans="1:11" ht="16" customHeight="1" x14ac:dyDescent="0.2">
      <c r="A225" s="463"/>
      <c r="B225" s="461" t="s">
        <v>534</v>
      </c>
      <c r="C225" s="20" t="s">
        <v>3</v>
      </c>
      <c r="D225" s="20">
        <v>21698</v>
      </c>
      <c r="E225" s="296">
        <v>1821</v>
      </c>
      <c r="F225" s="297">
        <v>21868</v>
      </c>
      <c r="G225" s="296">
        <v>1785</v>
      </c>
      <c r="H225" s="297">
        <v>21479</v>
      </c>
      <c r="I225" s="296">
        <v>1668</v>
      </c>
      <c r="J225" s="297">
        <v>21948</v>
      </c>
      <c r="K225" s="20">
        <v>1454</v>
      </c>
    </row>
    <row r="226" spans="1:11" ht="16" customHeight="1" x14ac:dyDescent="0.2">
      <c r="A226" s="463"/>
      <c r="B226" s="461"/>
      <c r="C226" s="20" t="s">
        <v>4</v>
      </c>
      <c r="D226" s="20">
        <v>37985</v>
      </c>
      <c r="E226" s="296">
        <v>3193</v>
      </c>
      <c r="F226" s="297">
        <v>38196</v>
      </c>
      <c r="G226" s="296">
        <v>3123</v>
      </c>
      <c r="H226" s="297">
        <v>37194</v>
      </c>
      <c r="I226" s="296">
        <v>2891</v>
      </c>
      <c r="J226" s="297">
        <v>38591</v>
      </c>
      <c r="K226" s="20">
        <v>2557</v>
      </c>
    </row>
    <row r="227" spans="1:11" ht="16" customHeight="1" x14ac:dyDescent="0.2">
      <c r="A227" s="463"/>
      <c r="B227" s="461"/>
      <c r="C227" s="20" t="s">
        <v>5</v>
      </c>
      <c r="D227" s="20">
        <v>30727</v>
      </c>
      <c r="E227" s="296">
        <v>2487</v>
      </c>
      <c r="F227" s="297">
        <v>30938</v>
      </c>
      <c r="G227" s="296">
        <v>2430</v>
      </c>
      <c r="H227" s="297">
        <v>30231</v>
      </c>
      <c r="I227" s="296">
        <v>2248</v>
      </c>
      <c r="J227" s="297">
        <v>31198</v>
      </c>
      <c r="K227" s="20">
        <v>1944</v>
      </c>
    </row>
    <row r="228" spans="1:11" ht="16" customHeight="1" x14ac:dyDescent="0.2">
      <c r="A228" s="463"/>
      <c r="B228" s="461"/>
      <c r="C228" s="20" t="s">
        <v>21</v>
      </c>
      <c r="D228" s="20">
        <v>35178</v>
      </c>
      <c r="E228" s="296">
        <v>2880</v>
      </c>
      <c r="F228" s="297">
        <v>35406</v>
      </c>
      <c r="G228" s="296">
        <v>2814</v>
      </c>
      <c r="H228" s="297">
        <v>34520</v>
      </c>
      <c r="I228" s="296">
        <v>2601</v>
      </c>
      <c r="J228" s="297">
        <v>35760</v>
      </c>
      <c r="K228" s="20">
        <v>2269</v>
      </c>
    </row>
    <row r="229" spans="1:11" ht="16" customHeight="1" x14ac:dyDescent="0.2">
      <c r="A229" s="463"/>
      <c r="B229" s="461"/>
      <c r="C229" s="20" t="s">
        <v>22</v>
      </c>
      <c r="D229" s="20">
        <v>30723</v>
      </c>
      <c r="E229" s="296">
        <v>2827</v>
      </c>
      <c r="F229" s="297">
        <v>30934</v>
      </c>
      <c r="G229" s="296">
        <v>2781</v>
      </c>
      <c r="H229" s="297">
        <v>30226</v>
      </c>
      <c r="I229" s="296">
        <v>2608</v>
      </c>
      <c r="J229" s="297">
        <v>31200</v>
      </c>
      <c r="K229" s="20">
        <v>2376</v>
      </c>
    </row>
    <row r="230" spans="1:11" ht="16" customHeight="1" x14ac:dyDescent="0.2">
      <c r="A230" s="463"/>
      <c r="B230" s="461"/>
      <c r="C230" s="20" t="s">
        <v>23</v>
      </c>
      <c r="D230" s="20">
        <v>47636</v>
      </c>
      <c r="E230" s="296">
        <v>3880</v>
      </c>
      <c r="F230" s="297">
        <v>47835</v>
      </c>
      <c r="G230" s="296">
        <v>3781</v>
      </c>
      <c r="H230" s="297">
        <v>46386</v>
      </c>
      <c r="I230" s="296">
        <v>3472</v>
      </c>
      <c r="J230" s="297">
        <v>48442</v>
      </c>
      <c r="K230" s="20">
        <v>3042</v>
      </c>
    </row>
    <row r="231" spans="1:11" ht="16" customHeight="1" x14ac:dyDescent="0.2">
      <c r="A231" s="462" t="s">
        <v>81</v>
      </c>
      <c r="B231" s="467"/>
      <c r="C231" s="20" t="s">
        <v>30</v>
      </c>
      <c r="D231" s="20">
        <v>955</v>
      </c>
      <c r="E231" s="296">
        <v>117</v>
      </c>
      <c r="F231" s="297">
        <v>956</v>
      </c>
      <c r="G231" s="296">
        <v>116</v>
      </c>
      <c r="H231" s="297">
        <v>943</v>
      </c>
      <c r="I231" s="296">
        <v>112</v>
      </c>
      <c r="J231" s="297">
        <v>990</v>
      </c>
      <c r="K231" s="20">
        <v>111</v>
      </c>
    </row>
    <row r="232" spans="1:11" ht="16" customHeight="1" x14ac:dyDescent="0.2">
      <c r="A232" s="462"/>
      <c r="B232" s="467"/>
      <c r="C232" s="20" t="s">
        <v>31</v>
      </c>
      <c r="D232" s="20">
        <v>1563</v>
      </c>
      <c r="E232" s="296">
        <v>150</v>
      </c>
      <c r="F232" s="297">
        <v>1604</v>
      </c>
      <c r="G232" s="296">
        <v>151</v>
      </c>
      <c r="H232" s="297">
        <v>1535</v>
      </c>
      <c r="I232" s="296">
        <v>139</v>
      </c>
      <c r="J232" s="297">
        <v>1637</v>
      </c>
      <c r="K232" s="20">
        <v>133</v>
      </c>
    </row>
    <row r="233" spans="1:11" ht="16" customHeight="1" x14ac:dyDescent="0.2">
      <c r="A233" s="462"/>
      <c r="B233" s="467"/>
      <c r="C233" s="20" t="s">
        <v>35</v>
      </c>
      <c r="D233" s="20">
        <v>11115</v>
      </c>
      <c r="E233" s="296">
        <v>896</v>
      </c>
      <c r="F233" s="297">
        <v>11271</v>
      </c>
      <c r="G233" s="296">
        <v>882</v>
      </c>
      <c r="H233" s="297">
        <v>11028</v>
      </c>
      <c r="I233" s="296">
        <v>817</v>
      </c>
      <c r="J233" s="297">
        <v>11872</v>
      </c>
      <c r="K233" s="20">
        <v>738</v>
      </c>
    </row>
    <row r="234" spans="1:11" ht="16" customHeight="1" x14ac:dyDescent="0.2">
      <c r="A234" s="462"/>
      <c r="B234" s="467"/>
      <c r="C234" s="20" t="s">
        <v>147</v>
      </c>
      <c r="D234" s="20">
        <v>3919</v>
      </c>
      <c r="E234" s="296">
        <v>316</v>
      </c>
      <c r="F234" s="297">
        <v>4076</v>
      </c>
      <c r="G234" s="296">
        <v>319</v>
      </c>
      <c r="H234" s="297">
        <v>3859</v>
      </c>
      <c r="I234" s="296">
        <v>286</v>
      </c>
      <c r="J234" s="297">
        <v>4135</v>
      </c>
      <c r="K234" s="20">
        <v>257</v>
      </c>
    </row>
    <row r="235" spans="1:11" ht="16" customHeight="1" x14ac:dyDescent="0.2">
      <c r="A235" s="462"/>
      <c r="B235" s="467"/>
      <c r="C235" s="20" t="s">
        <v>52</v>
      </c>
      <c r="D235" s="20">
        <v>16778</v>
      </c>
      <c r="E235" s="296">
        <v>1318</v>
      </c>
      <c r="F235" s="297">
        <v>16885</v>
      </c>
      <c r="G235" s="296">
        <v>1285</v>
      </c>
      <c r="H235" s="297">
        <v>16613</v>
      </c>
      <c r="I235" s="296">
        <v>1194</v>
      </c>
      <c r="J235" s="297">
        <v>18085</v>
      </c>
      <c r="K235" s="20">
        <v>1074</v>
      </c>
    </row>
    <row r="236" spans="1:11" ht="16" customHeight="1" x14ac:dyDescent="0.2">
      <c r="A236" s="462"/>
      <c r="B236" s="467"/>
      <c r="C236" s="20" t="s">
        <v>29</v>
      </c>
      <c r="D236" s="20">
        <v>935</v>
      </c>
      <c r="E236" s="296">
        <v>141</v>
      </c>
      <c r="F236" s="297">
        <v>934</v>
      </c>
      <c r="G236" s="296">
        <v>140</v>
      </c>
      <c r="H236" s="297">
        <v>923</v>
      </c>
      <c r="I236" s="296">
        <v>136</v>
      </c>
      <c r="J236" s="297">
        <v>974</v>
      </c>
      <c r="K236" s="20">
        <v>138</v>
      </c>
    </row>
    <row r="237" spans="1:11" ht="16" customHeight="1" x14ac:dyDescent="0.2">
      <c r="A237" s="462"/>
      <c r="B237" s="467"/>
      <c r="C237" s="20" t="s">
        <v>12</v>
      </c>
      <c r="D237" s="20">
        <v>2562</v>
      </c>
      <c r="E237" s="296">
        <v>208</v>
      </c>
      <c r="F237" s="297">
        <v>2714</v>
      </c>
      <c r="G237" s="296">
        <v>214</v>
      </c>
      <c r="H237" s="297">
        <v>2526</v>
      </c>
      <c r="I237" s="296">
        <v>189</v>
      </c>
      <c r="J237" s="297">
        <v>2695</v>
      </c>
      <c r="K237" s="20">
        <v>169</v>
      </c>
    </row>
    <row r="238" spans="1:11" ht="16" customHeight="1" x14ac:dyDescent="0.2">
      <c r="A238" s="462"/>
      <c r="B238" s="467"/>
      <c r="C238" s="20" t="s">
        <v>13</v>
      </c>
      <c r="D238" s="20">
        <v>2823</v>
      </c>
      <c r="E238" s="296">
        <v>228</v>
      </c>
      <c r="F238" s="297">
        <v>2984</v>
      </c>
      <c r="G238" s="296">
        <v>234</v>
      </c>
      <c r="H238" s="297">
        <v>2781</v>
      </c>
      <c r="I238" s="296">
        <v>207</v>
      </c>
      <c r="J238" s="297">
        <v>2975</v>
      </c>
      <c r="K238" s="20">
        <v>186</v>
      </c>
    </row>
    <row r="239" spans="1:11" ht="16" customHeight="1" x14ac:dyDescent="0.2">
      <c r="A239" s="473"/>
      <c r="B239" s="474"/>
      <c r="C239" s="294" t="s">
        <v>14</v>
      </c>
      <c r="D239" s="294">
        <v>2725</v>
      </c>
      <c r="E239" s="298">
        <v>224</v>
      </c>
      <c r="F239" s="299">
        <v>2882</v>
      </c>
      <c r="G239" s="298">
        <v>231</v>
      </c>
      <c r="H239" s="299">
        <v>2685</v>
      </c>
      <c r="I239" s="298">
        <v>204</v>
      </c>
      <c r="J239" s="299">
        <v>2870</v>
      </c>
      <c r="K239" s="294">
        <v>185</v>
      </c>
    </row>
    <row r="240" spans="1:11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  <row r="292" ht="16" customHeight="1" x14ac:dyDescent="0.2"/>
    <row r="293" ht="16" customHeight="1" x14ac:dyDescent="0.2"/>
    <row r="294" ht="16" customHeight="1" x14ac:dyDescent="0.2"/>
    <row r="295" ht="16" customHeight="1" x14ac:dyDescent="0.2"/>
    <row r="296" ht="16" customHeight="1" x14ac:dyDescent="0.2"/>
    <row r="297" ht="16" customHeight="1" x14ac:dyDescent="0.2"/>
    <row r="298" ht="16" customHeight="1" x14ac:dyDescent="0.2"/>
    <row r="299" ht="16" customHeight="1" x14ac:dyDescent="0.2"/>
    <row r="300" ht="16" customHeight="1" x14ac:dyDescent="0.2"/>
    <row r="301" ht="16" customHeight="1" x14ac:dyDescent="0.2"/>
    <row r="302" ht="16" customHeight="1" x14ac:dyDescent="0.2"/>
    <row r="303" ht="16" customHeight="1" x14ac:dyDescent="0.2"/>
    <row r="304" ht="16" customHeight="1" x14ac:dyDescent="0.2"/>
    <row r="305" ht="16" customHeight="1" x14ac:dyDescent="0.2"/>
    <row r="306" ht="16" customHeight="1" x14ac:dyDescent="0.2"/>
    <row r="307" ht="16" customHeight="1" x14ac:dyDescent="0.2"/>
    <row r="308" ht="16" customHeight="1" x14ac:dyDescent="0.2"/>
    <row r="309" ht="16" customHeight="1" x14ac:dyDescent="0.2"/>
    <row r="310" ht="16" customHeight="1" x14ac:dyDescent="0.2"/>
    <row r="311" ht="16" customHeight="1" x14ac:dyDescent="0.2"/>
    <row r="312" ht="16" customHeight="1" x14ac:dyDescent="0.2"/>
    <row r="313" ht="16" customHeight="1" x14ac:dyDescent="0.2"/>
  </sheetData>
  <mergeCells count="79">
    <mergeCell ref="B54:B56"/>
    <mergeCell ref="B156:B164"/>
    <mergeCell ref="B140:B142"/>
    <mergeCell ref="B144:B146"/>
    <mergeCell ref="B170:B171"/>
    <mergeCell ref="A147:A155"/>
    <mergeCell ref="B147:B149"/>
    <mergeCell ref="B150:B155"/>
    <mergeCell ref="A156:A164"/>
    <mergeCell ref="B188:B191"/>
    <mergeCell ref="A170:A171"/>
    <mergeCell ref="A172:A186"/>
    <mergeCell ref="B172:B175"/>
    <mergeCell ref="B176:B180"/>
    <mergeCell ref="B181:B186"/>
    <mergeCell ref="A187:A204"/>
    <mergeCell ref="B192:B194"/>
    <mergeCell ref="B195:B196"/>
    <mergeCell ref="B197:B198"/>
    <mergeCell ref="B200:B204"/>
    <mergeCell ref="A231:A239"/>
    <mergeCell ref="B231:B239"/>
    <mergeCell ref="A205:A211"/>
    <mergeCell ref="A212:A221"/>
    <mergeCell ref="B212:B214"/>
    <mergeCell ref="B205:B210"/>
    <mergeCell ref="B215:B217"/>
    <mergeCell ref="B219:B221"/>
    <mergeCell ref="A222:A230"/>
    <mergeCell ref="B222:B224"/>
    <mergeCell ref="B225:B230"/>
    <mergeCell ref="A130:A136"/>
    <mergeCell ref="A137:A146"/>
    <mergeCell ref="B137:B139"/>
    <mergeCell ref="B113:B116"/>
    <mergeCell ref="B122:B123"/>
    <mergeCell ref="B125:B129"/>
    <mergeCell ref="A112:A129"/>
    <mergeCell ref="B117:B119"/>
    <mergeCell ref="B120:B121"/>
    <mergeCell ref="B130:B135"/>
    <mergeCell ref="A76:A87"/>
    <mergeCell ref="A97:A111"/>
    <mergeCell ref="B97:B100"/>
    <mergeCell ref="B101:B105"/>
    <mergeCell ref="B106:B111"/>
    <mergeCell ref="B82:B84"/>
    <mergeCell ref="B85:B87"/>
    <mergeCell ref="B79:B81"/>
    <mergeCell ref="B76:B78"/>
    <mergeCell ref="A66:A74"/>
    <mergeCell ref="B66:B74"/>
    <mergeCell ref="B27:B29"/>
    <mergeCell ref="B30:B31"/>
    <mergeCell ref="A47:A56"/>
    <mergeCell ref="B47:B49"/>
    <mergeCell ref="A57:A65"/>
    <mergeCell ref="B57:B59"/>
    <mergeCell ref="B60:B65"/>
    <mergeCell ref="A22:A39"/>
    <mergeCell ref="A40:A46"/>
    <mergeCell ref="B23:B26"/>
    <mergeCell ref="B35:B39"/>
    <mergeCell ref="B32:B33"/>
    <mergeCell ref="B40:B45"/>
    <mergeCell ref="B50:B52"/>
    <mergeCell ref="W5:W6"/>
    <mergeCell ref="V5:V6"/>
    <mergeCell ref="A5:A6"/>
    <mergeCell ref="B5:B6"/>
    <mergeCell ref="A7:A21"/>
    <mergeCell ref="B7:B10"/>
    <mergeCell ref="B11:B15"/>
    <mergeCell ref="B16:B21"/>
    <mergeCell ref="J170:K170"/>
    <mergeCell ref="D170:E170"/>
    <mergeCell ref="F170:G170"/>
    <mergeCell ref="H170:I170"/>
    <mergeCell ref="C170:C17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4" x14ac:dyDescent="0.2"/>
  <sheetData>
    <row r="1" spans="1:1" ht="16" x14ac:dyDescent="0.2">
      <c r="A1" s="320" t="s">
        <v>727</v>
      </c>
    </row>
    <row r="2" spans="1:1" ht="16" x14ac:dyDescent="0.2">
      <c r="A2" s="319" t="s">
        <v>728</v>
      </c>
    </row>
    <row r="3" spans="1:1" ht="16" x14ac:dyDescent="0.2">
      <c r="A3" s="320" t="s">
        <v>655</v>
      </c>
    </row>
    <row r="4" spans="1:1" ht="16" x14ac:dyDescent="0.2">
      <c r="A4" s="320"/>
    </row>
    <row r="5" spans="1:1" ht="19" x14ac:dyDescent="0.2">
      <c r="A5" s="428" t="s">
        <v>701</v>
      </c>
    </row>
    <row r="6" spans="1:1" ht="16" x14ac:dyDescent="0.2">
      <c r="A6" s="17" t="s">
        <v>181</v>
      </c>
    </row>
    <row r="7" spans="1:1" ht="16" x14ac:dyDescent="0.2">
      <c r="A7" s="17"/>
    </row>
    <row r="8" spans="1:1" ht="16" x14ac:dyDescent="0.2">
      <c r="A8" s="17" t="s">
        <v>532</v>
      </c>
    </row>
    <row r="9" spans="1:1" ht="16" x14ac:dyDescent="0.2">
      <c r="A9" s="17" t="s">
        <v>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workbookViewId="0">
      <selection activeCell="A8" sqref="A8:A9"/>
    </sheetView>
  </sheetViews>
  <sheetFormatPr baseColWidth="10" defaultRowHeight="14" x14ac:dyDescent="0.2"/>
  <cols>
    <col min="1" max="1" width="9.3984375" style="18" customWidth="1"/>
    <col min="2" max="2" width="27" style="126" customWidth="1"/>
    <col min="3" max="3" width="17.59765625" style="18" customWidth="1"/>
    <col min="4" max="4" width="11" style="18"/>
    <col min="5" max="5" width="12.3984375" style="18" customWidth="1"/>
    <col min="6" max="6" width="15.3984375" style="22" customWidth="1"/>
    <col min="7" max="7" width="16.59765625" style="22" customWidth="1"/>
    <col min="8" max="8" width="17.796875" style="22" customWidth="1"/>
    <col min="9" max="9" width="15.19921875" style="22" customWidth="1"/>
    <col min="10" max="10" width="15.3984375" style="331" customWidth="1"/>
    <col min="11" max="11" width="13.796875" style="122" customWidth="1"/>
    <col min="12" max="13" width="14.796875" style="123" customWidth="1"/>
    <col min="14" max="14" width="17" style="122" customWidth="1"/>
    <col min="15" max="15" width="14.3984375" style="122" customWidth="1"/>
    <col min="16" max="16" width="16.19921875" style="183" customWidth="1"/>
    <col min="17" max="17" width="5.59765625" style="32" customWidth="1"/>
    <col min="18" max="19" width="11" style="32"/>
    <col min="27" max="27" width="19.59765625" customWidth="1"/>
  </cols>
  <sheetData>
    <row r="1" spans="1:20" ht="16" customHeight="1" x14ac:dyDescent="0.2">
      <c r="A1" s="320" t="s">
        <v>727</v>
      </c>
    </row>
    <row r="2" spans="1:20" ht="16" customHeight="1" x14ac:dyDescent="0.2">
      <c r="A2" s="319" t="s">
        <v>728</v>
      </c>
      <c r="I2" s="391"/>
      <c r="J2" s="392"/>
    </row>
    <row r="3" spans="1:20" ht="16" customHeight="1" x14ac:dyDescent="0.2">
      <c r="A3" s="320" t="s">
        <v>655</v>
      </c>
      <c r="I3" s="391"/>
      <c r="J3" s="392"/>
    </row>
    <row r="4" spans="1:20" ht="16" x14ac:dyDescent="0.2">
      <c r="A4" s="17"/>
      <c r="I4" s="391"/>
      <c r="J4" s="392"/>
    </row>
    <row r="5" spans="1:20" ht="16" x14ac:dyDescent="0.2">
      <c r="A5" s="56" t="s">
        <v>657</v>
      </c>
      <c r="I5" s="391"/>
      <c r="J5" s="392"/>
    </row>
    <row r="6" spans="1:20" ht="16" x14ac:dyDescent="0.2">
      <c r="A6" s="55" t="s">
        <v>602</v>
      </c>
      <c r="N6" s="405"/>
      <c r="O6" s="405"/>
    </row>
    <row r="7" spans="1:20" ht="14" customHeight="1" x14ac:dyDescent="0.2"/>
    <row r="8" spans="1:20" ht="32" customHeight="1" x14ac:dyDescent="0.2">
      <c r="A8" s="477" t="s">
        <v>71</v>
      </c>
      <c r="B8" s="478" t="s">
        <v>72</v>
      </c>
      <c r="C8" s="479" t="s">
        <v>94</v>
      </c>
      <c r="D8" s="480" t="s">
        <v>708</v>
      </c>
      <c r="E8" s="480" t="s">
        <v>707</v>
      </c>
      <c r="F8" s="505" t="s">
        <v>603</v>
      </c>
      <c r="G8" s="506"/>
      <c r="H8" s="506"/>
      <c r="I8" s="507"/>
      <c r="J8" s="508" t="s">
        <v>709</v>
      </c>
      <c r="K8" s="502" t="s">
        <v>710</v>
      </c>
      <c r="L8" s="496" t="s">
        <v>599</v>
      </c>
      <c r="M8" s="497"/>
      <c r="N8" s="497"/>
      <c r="O8" s="498"/>
      <c r="P8" s="504" t="s">
        <v>693</v>
      </c>
      <c r="Q8" s="72"/>
    </row>
    <row r="9" spans="1:20" ht="39" customHeight="1" x14ac:dyDescent="0.2">
      <c r="A9" s="477"/>
      <c r="B9" s="478"/>
      <c r="C9" s="479"/>
      <c r="D9" s="480"/>
      <c r="E9" s="480"/>
      <c r="F9" s="206" t="s">
        <v>712</v>
      </c>
      <c r="G9" s="206" t="s">
        <v>711</v>
      </c>
      <c r="H9" s="447" t="s">
        <v>705</v>
      </c>
      <c r="I9" s="447" t="s">
        <v>706</v>
      </c>
      <c r="J9" s="509"/>
      <c r="K9" s="503"/>
      <c r="L9" s="380" t="s">
        <v>663</v>
      </c>
      <c r="M9" s="380" t="s">
        <v>671</v>
      </c>
      <c r="N9" s="448" t="s">
        <v>705</v>
      </c>
      <c r="O9" s="380" t="s">
        <v>706</v>
      </c>
      <c r="P9" s="504"/>
      <c r="Q9" s="72"/>
      <c r="R9" s="191" t="s">
        <v>702</v>
      </c>
      <c r="S9" s="72"/>
      <c r="T9" s="5"/>
    </row>
    <row r="10" spans="1:20" ht="15" customHeight="1" x14ac:dyDescent="0.2">
      <c r="A10" s="481" t="s">
        <v>79</v>
      </c>
      <c r="B10" s="483" t="s">
        <v>518</v>
      </c>
      <c r="C10" s="283" t="s">
        <v>73</v>
      </c>
      <c r="D10" s="337">
        <v>5.29</v>
      </c>
      <c r="E10" s="337">
        <v>0.34</v>
      </c>
      <c r="F10" s="354">
        <f>AVERAGE(D10:D13)</f>
        <v>6.9474999999999998</v>
      </c>
      <c r="G10" s="354">
        <f>STDEV(D10:D13)</f>
        <v>1.2207750270490745</v>
      </c>
      <c r="H10" s="354">
        <f>SUM(((D10-$F$10)/E10)^2,((D11-$F$10)/E11)^2,((D12-$F$10)/E12)^2,((D13-$F$10)/E13)^2)</f>
        <v>77.36879540523401</v>
      </c>
      <c r="I10" s="354">
        <f>SUM(((D10-$F$10)/E10)^2,((D11-$F$10)/E11)^2,((D12-$F$10)/E12)^2,((D13-$F$10)/E13)^2)/(COUNT(D10:D13)-1)</f>
        <v>25.789598468411338</v>
      </c>
      <c r="J10" s="336">
        <f>ABS(D10-AVERAGE(D11:D13))/SQRT(STDEV(D11:D13)^2+E10^2)</f>
        <v>3.0661930699569719</v>
      </c>
      <c r="K10" s="406" t="str">
        <f>IF(J10&gt;2,"Reject","Accept")</f>
        <v>Reject</v>
      </c>
      <c r="L10" s="354">
        <f>AVERAGE(D11:D13)</f>
        <v>7.5</v>
      </c>
      <c r="M10" s="354">
        <f>STDEV(D11:D13)</f>
        <v>0.63553127381742613</v>
      </c>
      <c r="N10" s="354">
        <f>SUM(((D11-L$10)/E11)^2,((D12-L$10)/E12)^2,((D13-L$10)/E13)^2)</f>
        <v>21.897397397188627</v>
      </c>
      <c r="O10" s="182">
        <f>N10/(COUNT(D11:D13)-1)</f>
        <v>10.948698698594313</v>
      </c>
      <c r="P10" s="485" t="s">
        <v>694</v>
      </c>
      <c r="Q10" s="59"/>
      <c r="R10" s="72"/>
      <c r="S10" s="72"/>
      <c r="T10" s="5"/>
    </row>
    <row r="11" spans="1:20" ht="15" customHeight="1" x14ac:dyDescent="0.2">
      <c r="A11" s="463"/>
      <c r="B11" s="484"/>
      <c r="C11" s="20" t="s">
        <v>64</v>
      </c>
      <c r="D11" s="316">
        <v>6.88</v>
      </c>
      <c r="E11" s="316">
        <v>0.23</v>
      </c>
      <c r="F11" s="182"/>
      <c r="G11" s="182"/>
      <c r="H11" s="182"/>
      <c r="I11" s="182"/>
      <c r="J11" s="52">
        <f>ABS(D11-AVERAGE(D10,D12,D13))/SQRT(STDEV(D10,D12,D13)^2+E11^2)</f>
        <v>5.9534800084709447E-2</v>
      </c>
      <c r="K11" s="377" t="str">
        <f>IF(J11&gt;2,"Reject","Accept")</f>
        <v>Accept</v>
      </c>
      <c r="L11" s="178"/>
      <c r="M11" s="178"/>
      <c r="N11" s="178"/>
      <c r="O11" s="178"/>
      <c r="P11" s="486"/>
      <c r="Q11" s="59"/>
      <c r="R11" s="72"/>
      <c r="S11" s="72"/>
      <c r="T11" s="5"/>
    </row>
    <row r="12" spans="1:20" ht="15" customHeight="1" x14ac:dyDescent="0.2">
      <c r="A12" s="463"/>
      <c r="B12" s="484"/>
      <c r="C12" s="20" t="s">
        <v>74</v>
      </c>
      <c r="D12" s="316">
        <v>7.47</v>
      </c>
      <c r="E12" s="316">
        <v>0.28000000000000003</v>
      </c>
      <c r="F12" s="182"/>
      <c r="G12" s="182"/>
      <c r="H12" s="182"/>
      <c r="I12" s="182"/>
      <c r="J12" s="52">
        <f>ABS(D12-AVERAGE(D10,D11,D13))/SQRT(STDEV(D10,D11,D13)^2+E12^2)</f>
        <v>0.47714283551908399</v>
      </c>
      <c r="K12" s="377" t="str">
        <f t="shared" ref="K12:K29" si="0">IF(J12&gt;2,"Reject","Accept")</f>
        <v>Accept</v>
      </c>
      <c r="L12" s="178"/>
      <c r="M12" s="178"/>
      <c r="N12" s="178"/>
      <c r="O12" s="178"/>
      <c r="P12" s="486"/>
      <c r="Q12" s="59"/>
      <c r="R12" s="72"/>
      <c r="S12" s="72"/>
      <c r="T12" s="5"/>
    </row>
    <row r="13" spans="1:20" ht="15" customHeight="1" x14ac:dyDescent="0.2">
      <c r="A13" s="463"/>
      <c r="B13" s="484"/>
      <c r="C13" s="20" t="s">
        <v>65</v>
      </c>
      <c r="D13" s="316">
        <v>8.15</v>
      </c>
      <c r="E13" s="316">
        <v>0.17</v>
      </c>
      <c r="F13" s="182"/>
      <c r="G13" s="182"/>
      <c r="H13" s="182"/>
      <c r="I13" s="182"/>
      <c r="J13" s="52">
        <f>ABS(D13-AVERAGE(D10:D12))/SQRT(STDEV(D10:D12)^2+E13^2)</f>
        <v>1.4060361081364867</v>
      </c>
      <c r="K13" s="377" t="str">
        <f t="shared" si="0"/>
        <v>Accept</v>
      </c>
      <c r="L13" s="178"/>
      <c r="M13" s="178"/>
      <c r="N13" s="178"/>
      <c r="O13" s="178"/>
      <c r="P13" s="486"/>
      <c r="Q13" s="59"/>
      <c r="R13" s="72"/>
      <c r="S13" s="72"/>
      <c r="T13" s="5"/>
    </row>
    <row r="14" spans="1:20" ht="15" customHeight="1" x14ac:dyDescent="0.2">
      <c r="A14" s="463"/>
      <c r="B14" s="484" t="s">
        <v>519</v>
      </c>
      <c r="C14" s="153" t="s">
        <v>59</v>
      </c>
      <c r="D14" s="387">
        <v>0.8</v>
      </c>
      <c r="E14" s="387">
        <v>0.03</v>
      </c>
      <c r="F14" s="184">
        <f>AVERAGE(D14:D18)</f>
        <v>2.1840000000000002</v>
      </c>
      <c r="G14" s="184">
        <f>STDEV(D14:D18)</f>
        <v>0.98271562519377842</v>
      </c>
      <c r="H14" s="184">
        <f>SUM(((D14-$F$14)/E14)^2,((D15-$F$14)/E15)^2,((D16-$F$14)/E16)^2,((D17-$F$14)/E17)^2,((D18-$F$14)/E18)^2)</f>
        <v>2426.2141397392297</v>
      </c>
      <c r="I14" s="184">
        <f>H14/(COUNT(D14:D18)-1)</f>
        <v>606.55353493480743</v>
      </c>
      <c r="J14" s="329">
        <f>ABS(D14-AVERAGE(D15:D18))/SQRT(STDEV(D15:D18)^2+E14^2)</f>
        <v>2.4703364871648263</v>
      </c>
      <c r="K14" s="407" t="str">
        <f t="shared" si="0"/>
        <v>Reject</v>
      </c>
      <c r="L14" s="184">
        <f>AVERAGE(D15:D18)</f>
        <v>2.5300000000000002</v>
      </c>
      <c r="M14" s="184">
        <f>STDEV(D15:D18)</f>
        <v>0.69966658726377162</v>
      </c>
      <c r="N14" s="184">
        <f>SUM(((D15-L$14)/E15)^2,((D16-L$14)/E16)^2,((D17-L$14)/E17)^2,((D18-L$14)/E18)^2)</f>
        <v>198.63275148022171</v>
      </c>
      <c r="O14" s="184">
        <f>N14/(COUNT(D15:D18)-1)</f>
        <v>66.210917160073905</v>
      </c>
      <c r="P14" s="487" t="s">
        <v>695</v>
      </c>
      <c r="Q14" s="59"/>
      <c r="R14" s="72"/>
      <c r="S14" s="72"/>
      <c r="T14" s="5"/>
    </row>
    <row r="15" spans="1:20" ht="15" customHeight="1" x14ac:dyDescent="0.2">
      <c r="A15" s="463"/>
      <c r="B15" s="484"/>
      <c r="C15" s="153" t="s">
        <v>62</v>
      </c>
      <c r="D15" s="387">
        <v>1.56</v>
      </c>
      <c r="E15" s="387">
        <v>0.09</v>
      </c>
      <c r="F15" s="184"/>
      <c r="G15" s="184"/>
      <c r="H15" s="184"/>
      <c r="I15" s="184"/>
      <c r="J15" s="330">
        <f>ABS(D15-AVERAGE(D14,D16,D17,D18))/SQRT(STDEV(D14,D16,D17,D18)^2+E15^2)</f>
        <v>0.73262855280345407</v>
      </c>
      <c r="K15" s="180" t="str">
        <f t="shared" si="0"/>
        <v>Accept</v>
      </c>
      <c r="L15" s="334"/>
      <c r="M15" s="334"/>
      <c r="N15" s="334"/>
      <c r="O15" s="334"/>
      <c r="P15" s="487"/>
      <c r="Q15" s="59"/>
      <c r="R15" s="72"/>
      <c r="S15" s="72"/>
      <c r="T15" s="5"/>
    </row>
    <row r="16" spans="1:20" ht="15" customHeight="1" x14ac:dyDescent="0.2">
      <c r="A16" s="463"/>
      <c r="B16" s="484"/>
      <c r="C16" s="153" t="s">
        <v>61</v>
      </c>
      <c r="D16" s="387">
        <v>2.5499999999999998</v>
      </c>
      <c r="E16" s="387">
        <v>7.0000000000000007E-2</v>
      </c>
      <c r="F16" s="184"/>
      <c r="G16" s="184"/>
      <c r="H16" s="184"/>
      <c r="I16" s="184"/>
      <c r="J16" s="330">
        <f>ABS(D16-AVERAGE(D14,D15,D17,D18))/SQRT(STDEV(D14,D15,D17,D18)^2+E16^2)</f>
        <v>0.41139075560509042</v>
      </c>
      <c r="K16" s="180" t="str">
        <f t="shared" si="0"/>
        <v>Accept</v>
      </c>
      <c r="L16" s="334"/>
      <c r="M16" s="334"/>
      <c r="N16" s="334"/>
      <c r="O16" s="334"/>
      <c r="P16" s="487"/>
      <c r="Q16" s="59"/>
      <c r="R16" s="72"/>
      <c r="S16" s="72"/>
      <c r="T16" s="5"/>
    </row>
    <row r="17" spans="1:28" ht="15" customHeight="1" x14ac:dyDescent="0.2">
      <c r="A17" s="463"/>
      <c r="B17" s="484"/>
      <c r="C17" s="153" t="s">
        <v>60</v>
      </c>
      <c r="D17" s="387">
        <v>2.81</v>
      </c>
      <c r="E17" s="387">
        <v>0.08</v>
      </c>
      <c r="F17" s="184"/>
      <c r="G17" s="184"/>
      <c r="H17" s="184"/>
      <c r="I17" s="184"/>
      <c r="J17" s="330">
        <f>ABS(D17-AVERAGE(D14,D15,D16,D18))/SQRT(STDEV(D14,D15,D16,D18)^2+E17^2)</f>
        <v>0.73586720382952697</v>
      </c>
      <c r="K17" s="180" t="str">
        <f t="shared" si="0"/>
        <v>Accept</v>
      </c>
      <c r="L17" s="334"/>
      <c r="M17" s="334"/>
      <c r="N17" s="334"/>
      <c r="O17" s="334"/>
      <c r="P17" s="487"/>
      <c r="Q17" s="59"/>
      <c r="R17" s="72"/>
      <c r="S17" s="72"/>
      <c r="T17" s="5"/>
    </row>
    <row r="18" spans="1:28" ht="15" customHeight="1" x14ac:dyDescent="0.2">
      <c r="A18" s="463"/>
      <c r="B18" s="484"/>
      <c r="C18" s="153" t="s">
        <v>63</v>
      </c>
      <c r="D18" s="387">
        <v>3.2</v>
      </c>
      <c r="E18" s="387">
        <v>0.08</v>
      </c>
      <c r="F18" s="184"/>
      <c r="G18" s="184"/>
      <c r="H18" s="184"/>
      <c r="I18" s="184"/>
      <c r="J18" s="330">
        <f>ABS(D18-AVERAGE(D14:D17))/SQRT(STDEV(D14:D17)^2+E18^2)</f>
        <v>1.3663551735822685</v>
      </c>
      <c r="K18" s="180" t="str">
        <f t="shared" si="0"/>
        <v>Accept</v>
      </c>
      <c r="L18" s="334"/>
      <c r="M18" s="334"/>
      <c r="N18" s="334"/>
      <c r="O18" s="334"/>
      <c r="P18" s="487"/>
      <c r="Q18" s="59"/>
      <c r="R18" s="72"/>
      <c r="S18" s="72"/>
      <c r="T18" s="5"/>
    </row>
    <row r="19" spans="1:28" ht="15" customHeight="1" x14ac:dyDescent="0.2">
      <c r="A19" s="463"/>
      <c r="B19" s="484" t="s">
        <v>520</v>
      </c>
      <c r="C19" s="20" t="s">
        <v>87</v>
      </c>
      <c r="D19" s="316">
        <v>0.9</v>
      </c>
      <c r="E19" s="316">
        <v>0.1</v>
      </c>
      <c r="F19" s="182">
        <f>AVERAGE(D19:D24)</f>
        <v>1.4483333333333335</v>
      </c>
      <c r="G19" s="399">
        <f>STDEV(D19:D24)</f>
        <v>0.40216497444042271</v>
      </c>
      <c r="H19" s="399">
        <f>SUM(((D19-$F$19)/E19)^2,((D20-$F$19)/E20)^2,((D21-$F$19)/E21)^2,((D22-$F$19)/E22)^2,((D23-$F$19)/E23)^2,((D24-$F$19)/E24)^2)</f>
        <v>161.33887783874408</v>
      </c>
      <c r="I19" s="399">
        <f>H19/(COUNT(D19:D24)-1)</f>
        <v>32.267775567748814</v>
      </c>
      <c r="J19" s="236">
        <f>ABS(D19-AVERAGE(D20:D24))/SQRT(STDEV(D20:D24)^2+E19^2)</f>
        <v>1.8840801833379741</v>
      </c>
      <c r="K19" s="377" t="str">
        <f t="shared" si="0"/>
        <v>Accept</v>
      </c>
      <c r="L19" s="182">
        <f>AVERAGE(D19:D24)</f>
        <v>1.4483333333333335</v>
      </c>
      <c r="M19" s="182">
        <f>STDEV(D19:D24)</f>
        <v>0.40216497444042271</v>
      </c>
      <c r="N19" s="182">
        <f>SUM(((D19-L$19)/E19)^2,((D20-L$19)/E20)^2,((D21-L$19)/E21)^2,((D22-L$19)/E22)^2,((D23-L$19)/E23)^2,((D24-L$19)/E24)^2)</f>
        <v>161.33887783874408</v>
      </c>
      <c r="O19" s="182">
        <f>N19/(COUNT(D19:D24)-1)</f>
        <v>32.267775567748814</v>
      </c>
      <c r="P19" s="489" t="s">
        <v>672</v>
      </c>
      <c r="Q19" s="59"/>
      <c r="R19" s="72"/>
      <c r="S19" s="72"/>
      <c r="T19" s="5"/>
    </row>
    <row r="20" spans="1:28" ht="15" customHeight="1" x14ac:dyDescent="0.2">
      <c r="A20" s="463"/>
      <c r="B20" s="484"/>
      <c r="C20" s="20" t="s">
        <v>88</v>
      </c>
      <c r="D20" s="316">
        <v>1.04</v>
      </c>
      <c r="E20" s="316">
        <v>0.1</v>
      </c>
      <c r="F20" s="182"/>
      <c r="G20" s="182"/>
      <c r="H20" s="182"/>
      <c r="I20" s="182"/>
      <c r="J20" s="52">
        <f>ABS(D20-AVERAGE(D19,D21,D22,D23,D24))/SQRT(STDEV(D19,D21,D22,D23,D24)^2+E20^2)</f>
        <v>1.2168515608921913</v>
      </c>
      <c r="K20" s="377" t="str">
        <f t="shared" si="0"/>
        <v>Accept</v>
      </c>
      <c r="L20" s="178"/>
      <c r="M20" s="178"/>
      <c r="N20" s="178"/>
      <c r="O20" s="178"/>
      <c r="P20" s="489"/>
      <c r="Q20" s="59"/>
      <c r="R20" s="72"/>
      <c r="S20" s="72"/>
      <c r="T20" s="5"/>
    </row>
    <row r="21" spans="1:28" ht="15" customHeight="1" x14ac:dyDescent="0.2">
      <c r="A21" s="463"/>
      <c r="B21" s="484"/>
      <c r="C21" s="20" t="s">
        <v>89</v>
      </c>
      <c r="D21" s="316">
        <v>1.47</v>
      </c>
      <c r="E21" s="316">
        <v>0.27</v>
      </c>
      <c r="F21" s="182"/>
      <c r="G21" s="182"/>
      <c r="H21" s="182"/>
      <c r="I21" s="182"/>
      <c r="J21" s="52">
        <f>ABS(D21-AVERAGE(D19,D20,D22,D23,D24))/SQRT(STDEV(D19,D20,D22,D23,D24)^2+E21^2)</f>
        <v>4.9586366034471245E-2</v>
      </c>
      <c r="K21" s="377" t="str">
        <f t="shared" si="0"/>
        <v>Accept</v>
      </c>
      <c r="L21" s="178"/>
      <c r="M21" s="178"/>
      <c r="N21" s="178"/>
      <c r="O21" s="178"/>
      <c r="P21" s="489"/>
      <c r="Q21" s="59"/>
      <c r="R21" s="72"/>
      <c r="S21" s="72"/>
      <c r="T21" s="5"/>
    </row>
    <row r="22" spans="1:28" ht="15" customHeight="1" x14ac:dyDescent="0.2">
      <c r="A22" s="463"/>
      <c r="B22" s="484"/>
      <c r="C22" s="20" t="s">
        <v>58</v>
      </c>
      <c r="D22" s="316">
        <v>1.58</v>
      </c>
      <c r="E22" s="316">
        <v>0.05</v>
      </c>
      <c r="F22" s="182"/>
      <c r="G22" s="182"/>
      <c r="H22" s="182"/>
      <c r="I22" s="182"/>
      <c r="J22" s="52">
        <f>ABS(D22-AVERAGE(D19,D20,D21,D23,D24))/SQRT(STDEV(D19,D20,D21,D23,D24)^2+E22^2)</f>
        <v>0.35376779372559519</v>
      </c>
      <c r="K22" s="395" t="str">
        <f t="shared" si="0"/>
        <v>Accept</v>
      </c>
      <c r="L22" s="178"/>
      <c r="M22" s="178"/>
      <c r="N22" s="178"/>
      <c r="O22" s="178"/>
      <c r="P22" s="489"/>
      <c r="Q22" s="59"/>
      <c r="R22" s="72"/>
      <c r="S22" s="72"/>
      <c r="T22" s="5"/>
    </row>
    <row r="23" spans="1:28" ht="15" customHeight="1" x14ac:dyDescent="0.2">
      <c r="A23" s="463"/>
      <c r="B23" s="484"/>
      <c r="C23" s="20" t="s">
        <v>56</v>
      </c>
      <c r="D23" s="316">
        <v>1.83</v>
      </c>
      <c r="E23" s="316">
        <v>0.05</v>
      </c>
      <c r="F23" s="182"/>
      <c r="G23" s="182"/>
      <c r="H23" s="182"/>
      <c r="I23" s="182"/>
      <c r="J23" s="52">
        <f>ABS(D23-AVERAGE(D19,D20,D21,D22,D24))/SQRT(STDEV(D19,D20,D21,D22,D24)^2+E23^2)</f>
        <v>1.1415449206511514</v>
      </c>
      <c r="K23" s="377" t="str">
        <f t="shared" si="0"/>
        <v>Accept</v>
      </c>
      <c r="L23" s="178"/>
      <c r="M23" s="178"/>
      <c r="N23" s="178"/>
      <c r="O23" s="178"/>
      <c r="P23" s="489"/>
      <c r="Q23" s="59"/>
      <c r="R23" s="72"/>
      <c r="S23" s="72"/>
      <c r="T23" s="5"/>
    </row>
    <row r="24" spans="1:28" ht="15" customHeight="1" x14ac:dyDescent="0.2">
      <c r="A24" s="482"/>
      <c r="B24" s="488"/>
      <c r="C24" s="294" t="s">
        <v>57</v>
      </c>
      <c r="D24" s="400">
        <v>1.87</v>
      </c>
      <c r="E24" s="400">
        <v>0.06</v>
      </c>
      <c r="F24" s="339"/>
      <c r="G24" s="339"/>
      <c r="H24" s="339"/>
      <c r="I24" s="339"/>
      <c r="J24" s="404">
        <f>ABS(D24-AVERAGE(D19:D23))/SQRT(STDEV(D19:D23)^2+E24^2)</f>
        <v>1.2960307087331699</v>
      </c>
      <c r="K24" s="379" t="str">
        <f t="shared" si="0"/>
        <v>Accept</v>
      </c>
      <c r="L24" s="340"/>
      <c r="M24" s="340"/>
      <c r="N24" s="340"/>
      <c r="O24" s="340"/>
      <c r="P24" s="490"/>
      <c r="Q24" s="59"/>
      <c r="R24" s="72"/>
      <c r="S24" s="72"/>
      <c r="T24" s="5"/>
    </row>
    <row r="25" spans="1:28" ht="15" customHeight="1" x14ac:dyDescent="0.2">
      <c r="A25" s="481" t="s">
        <v>80</v>
      </c>
      <c r="B25" s="327" t="s">
        <v>521</v>
      </c>
      <c r="C25" s="341" t="s">
        <v>48</v>
      </c>
      <c r="D25" s="337">
        <v>7.35</v>
      </c>
      <c r="E25" s="337">
        <v>0.28000000000000003</v>
      </c>
      <c r="F25" s="342" t="s">
        <v>100</v>
      </c>
      <c r="G25" s="342" t="s">
        <v>100</v>
      </c>
      <c r="H25" s="342" t="s">
        <v>100</v>
      </c>
      <c r="I25" s="342" t="s">
        <v>100</v>
      </c>
      <c r="J25" s="343" t="s">
        <v>100</v>
      </c>
      <c r="K25" s="427" t="s">
        <v>100</v>
      </c>
      <c r="L25" s="344"/>
      <c r="M25" s="344"/>
      <c r="N25" s="344"/>
      <c r="O25" s="344"/>
      <c r="P25" s="345" t="s">
        <v>696</v>
      </c>
      <c r="Q25" s="59"/>
      <c r="R25" s="72"/>
      <c r="S25" s="72"/>
      <c r="T25" s="5"/>
    </row>
    <row r="26" spans="1:28" ht="15" customHeight="1" x14ac:dyDescent="0.2">
      <c r="A26" s="463"/>
      <c r="B26" s="484" t="s">
        <v>522</v>
      </c>
      <c r="C26" s="153" t="s">
        <v>50</v>
      </c>
      <c r="D26" s="387">
        <v>6.75</v>
      </c>
      <c r="E26" s="387">
        <v>0.24</v>
      </c>
      <c r="F26" s="184">
        <f>AVERAGE(D26:D29)</f>
        <v>20.21</v>
      </c>
      <c r="G26" s="184">
        <f>STDEV(D26:D29)</f>
        <v>9.075402654060774</v>
      </c>
      <c r="H26" s="184">
        <f>SUM(((D26-$F$26)/E26)^2,((D27-$F$26)/E27)^2,((D28-$F$26)/E28)^2,((D29-$F$26)/E29)^2)</f>
        <v>3231.1818094338987</v>
      </c>
      <c r="I26" s="184">
        <f>H26/(COUNT(D26:D29)-1)</f>
        <v>1077.060603144633</v>
      </c>
      <c r="J26" s="329">
        <f>ABS(D26-AVERAGE(D27:D29))/SQRT(STDEV(D27:D29)^2+E26^2)</f>
        <v>10.685316367956393</v>
      </c>
      <c r="K26" s="407" t="str">
        <f t="shared" si="0"/>
        <v>Reject</v>
      </c>
      <c r="L26" s="184">
        <f>AVERAGE(D27:D29)</f>
        <v>24.696666666666669</v>
      </c>
      <c r="M26" s="184">
        <f>STDEV(D27:D29)</f>
        <v>1.662327685305558</v>
      </c>
      <c r="N26" s="184">
        <f>SUM(((D27-L$26)/E27)^2,((D28-L$26)/E28)^2,((D29-L$26)/E29)^2)</f>
        <v>9.9073782759269946</v>
      </c>
      <c r="O26" s="184">
        <f>N26/(COUNT(D27:D29)-1)</f>
        <v>4.9536891379634973</v>
      </c>
      <c r="P26" s="492" t="s">
        <v>694</v>
      </c>
      <c r="Q26" s="59"/>
      <c r="R26" s="72"/>
      <c r="S26" s="72"/>
      <c r="T26" s="5"/>
      <c r="AB26" s="317"/>
    </row>
    <row r="27" spans="1:28" ht="15" customHeight="1" x14ac:dyDescent="0.2">
      <c r="A27" s="463"/>
      <c r="B27" s="484"/>
      <c r="C27" s="153" t="s">
        <v>47</v>
      </c>
      <c r="D27" s="387">
        <v>22.93</v>
      </c>
      <c r="E27" s="387">
        <v>0.7</v>
      </c>
      <c r="F27" s="184"/>
      <c r="G27" s="184"/>
      <c r="H27" s="184"/>
      <c r="I27" s="184"/>
      <c r="J27" s="330">
        <f>ABS(D27-AVERAGE(D26,D28,D29))/SQRT(STDEV(D26,D28,D29)^2+E27^2)</f>
        <v>0.33231341263689268</v>
      </c>
      <c r="K27" s="180" t="str">
        <f t="shared" si="0"/>
        <v>Accept</v>
      </c>
      <c r="L27" s="334"/>
      <c r="M27" s="334"/>
      <c r="N27" s="334"/>
      <c r="O27" s="334"/>
      <c r="P27" s="492"/>
      <c r="Q27" s="59"/>
      <c r="R27" s="72"/>
      <c r="S27" s="72"/>
      <c r="T27" s="5"/>
      <c r="AB27" s="317"/>
    </row>
    <row r="28" spans="1:28" ht="15" customHeight="1" x14ac:dyDescent="0.2">
      <c r="A28" s="463"/>
      <c r="B28" s="484"/>
      <c r="C28" s="153" t="s">
        <v>53</v>
      </c>
      <c r="D28" s="387">
        <v>24.93</v>
      </c>
      <c r="E28" s="387">
        <v>1.1499999999999999</v>
      </c>
      <c r="F28" s="184"/>
      <c r="G28" s="184"/>
      <c r="H28" s="184"/>
      <c r="I28" s="184"/>
      <c r="J28" s="330">
        <f>ABS(D28-AVERAGE(D26,D27,D29))/SQRT(STDEV(D26,D27,D29)^2+E28^2)</f>
        <v>0.60000588134365584</v>
      </c>
      <c r="K28" s="180" t="str">
        <f t="shared" si="0"/>
        <v>Accept</v>
      </c>
      <c r="L28" s="334"/>
      <c r="M28" s="334"/>
      <c r="N28" s="334"/>
      <c r="O28" s="334"/>
      <c r="P28" s="492"/>
      <c r="Q28" s="59"/>
      <c r="R28" s="72"/>
      <c r="S28" s="72"/>
      <c r="T28" s="5"/>
      <c r="AB28" s="317"/>
    </row>
    <row r="29" spans="1:28" ht="15" customHeight="1" x14ac:dyDescent="0.2">
      <c r="A29" s="463"/>
      <c r="B29" s="484"/>
      <c r="C29" s="153" t="s">
        <v>49</v>
      </c>
      <c r="D29" s="387">
        <v>26.23</v>
      </c>
      <c r="E29" s="387">
        <v>0.82</v>
      </c>
      <c r="F29" s="184"/>
      <c r="G29" s="184"/>
      <c r="H29" s="184"/>
      <c r="I29" s="184"/>
      <c r="J29" s="330">
        <f>ABS(D29-AVERAGE(D26:D28))/SQRT(STDEV(D26:D28)^2+E29^2)</f>
        <v>0.80243987571039244</v>
      </c>
      <c r="K29" s="180" t="str">
        <f t="shared" si="0"/>
        <v>Accept</v>
      </c>
      <c r="L29" s="334"/>
      <c r="M29" s="334"/>
      <c r="N29" s="334"/>
      <c r="O29" s="334"/>
      <c r="P29" s="492"/>
      <c r="Q29" s="59"/>
      <c r="R29" s="72"/>
      <c r="S29" s="72"/>
      <c r="T29" s="5"/>
    </row>
    <row r="30" spans="1:28" ht="15" customHeight="1" x14ac:dyDescent="0.2">
      <c r="A30" s="463"/>
      <c r="B30" s="493" t="s">
        <v>195</v>
      </c>
      <c r="C30" s="167" t="s">
        <v>37</v>
      </c>
      <c r="D30" s="316">
        <v>13.223000000000001</v>
      </c>
      <c r="E30" s="316">
        <v>0.6</v>
      </c>
      <c r="F30" s="186"/>
      <c r="G30" s="186"/>
      <c r="H30" s="186"/>
      <c r="I30" s="186"/>
      <c r="J30" s="236"/>
      <c r="K30" s="185"/>
      <c r="L30" s="335"/>
      <c r="M30" s="335"/>
      <c r="N30" s="335"/>
      <c r="O30" s="335"/>
      <c r="P30" s="494" t="s">
        <v>595</v>
      </c>
      <c r="Q30" s="59"/>
      <c r="R30" s="72"/>
      <c r="S30" s="72"/>
      <c r="T30" s="5"/>
    </row>
    <row r="31" spans="1:28" ht="15" customHeight="1" x14ac:dyDescent="0.2">
      <c r="A31" s="463"/>
      <c r="B31" s="493"/>
      <c r="C31" s="167" t="s">
        <v>38</v>
      </c>
      <c r="D31" s="316">
        <v>24.78</v>
      </c>
      <c r="E31" s="316">
        <v>0.156</v>
      </c>
      <c r="F31" s="186"/>
      <c r="G31" s="186"/>
      <c r="H31" s="186"/>
      <c r="I31" s="186"/>
      <c r="J31" s="236"/>
      <c r="K31" s="185"/>
      <c r="L31" s="335"/>
      <c r="M31" s="335"/>
      <c r="N31" s="335"/>
      <c r="O31" s="335"/>
      <c r="P31" s="494"/>
      <c r="Q31" s="59"/>
      <c r="R31" s="72"/>
      <c r="S31" s="72"/>
      <c r="T31" s="5"/>
      <c r="AB31" s="317"/>
    </row>
    <row r="32" spans="1:28" ht="15" customHeight="1" x14ac:dyDescent="0.2">
      <c r="A32" s="463"/>
      <c r="B32" s="493"/>
      <c r="C32" s="167" t="s">
        <v>36</v>
      </c>
      <c r="D32" s="316">
        <v>44.982999999999997</v>
      </c>
      <c r="E32" s="316">
        <v>1.1599999999999999</v>
      </c>
      <c r="F32" s="179"/>
      <c r="G32" s="179"/>
      <c r="H32" s="179"/>
      <c r="I32" s="335"/>
      <c r="J32" s="348"/>
      <c r="K32" s="185"/>
      <c r="L32" s="335"/>
      <c r="M32" s="335"/>
      <c r="N32" s="335"/>
      <c r="O32" s="335"/>
      <c r="P32" s="494"/>
      <c r="Q32" s="59"/>
      <c r="R32" s="72"/>
      <c r="S32" s="72"/>
      <c r="T32" s="5"/>
    </row>
    <row r="33" spans="1:28" ht="15" customHeight="1" x14ac:dyDescent="0.2">
      <c r="A33" s="463"/>
      <c r="B33" s="493" t="s">
        <v>196</v>
      </c>
      <c r="C33" s="167" t="s">
        <v>15</v>
      </c>
      <c r="D33" s="316">
        <v>21.25</v>
      </c>
      <c r="E33" s="316">
        <v>0.41</v>
      </c>
      <c r="F33" s="186"/>
      <c r="G33" s="186"/>
      <c r="H33" s="186"/>
      <c r="I33" s="186"/>
      <c r="J33" s="236"/>
      <c r="K33" s="185"/>
      <c r="L33" s="335"/>
      <c r="M33" s="335"/>
      <c r="N33" s="335"/>
      <c r="O33" s="335"/>
      <c r="P33" s="494"/>
      <c r="Q33" s="59"/>
      <c r="R33" s="72"/>
      <c r="S33" s="72"/>
      <c r="T33" s="5"/>
      <c r="AB33" s="317"/>
    </row>
    <row r="34" spans="1:28" ht="15" customHeight="1" x14ac:dyDescent="0.2">
      <c r="A34" s="463"/>
      <c r="B34" s="493"/>
      <c r="C34" s="167" t="s">
        <v>16</v>
      </c>
      <c r="D34" s="316">
        <v>41.57</v>
      </c>
      <c r="E34" s="316">
        <v>1</v>
      </c>
      <c r="F34" s="186"/>
      <c r="G34" s="186"/>
      <c r="H34" s="186"/>
      <c r="I34" s="186"/>
      <c r="J34" s="236"/>
      <c r="K34" s="185"/>
      <c r="L34" s="335"/>
      <c r="M34" s="335"/>
      <c r="N34" s="335"/>
      <c r="O34" s="335"/>
      <c r="P34" s="494"/>
      <c r="Q34" s="59"/>
      <c r="R34" s="72"/>
      <c r="S34" s="72"/>
      <c r="T34" s="5"/>
    </row>
    <row r="35" spans="1:28" ht="15" customHeight="1" x14ac:dyDescent="0.2">
      <c r="A35" s="463"/>
      <c r="B35" s="495" t="s">
        <v>517</v>
      </c>
      <c r="C35" s="153" t="s">
        <v>32</v>
      </c>
      <c r="D35" s="387">
        <v>22.15</v>
      </c>
      <c r="E35" s="387">
        <v>0.8</v>
      </c>
      <c r="F35" s="184">
        <f>AVERAGE(D35:D36)</f>
        <v>47.28</v>
      </c>
      <c r="G35" s="184">
        <f>STDEV(D35:D36)</f>
        <v>35.539186822435866</v>
      </c>
      <c r="H35" s="184" t="s">
        <v>100</v>
      </c>
      <c r="I35" s="184" t="s">
        <v>100</v>
      </c>
      <c r="J35" s="330" t="s">
        <v>100</v>
      </c>
      <c r="K35" s="180" t="s">
        <v>100</v>
      </c>
      <c r="L35" s="184" t="s">
        <v>100</v>
      </c>
      <c r="M35" s="184" t="s">
        <v>100</v>
      </c>
      <c r="N35" s="334" t="s">
        <v>100</v>
      </c>
      <c r="O35" s="334" t="s">
        <v>100</v>
      </c>
      <c r="P35" s="446" t="s">
        <v>627</v>
      </c>
      <c r="Q35" s="59"/>
      <c r="R35" s="72"/>
      <c r="S35" s="72"/>
      <c r="T35" s="5"/>
    </row>
    <row r="36" spans="1:28" ht="15" customHeight="1" x14ac:dyDescent="0.2">
      <c r="A36" s="463"/>
      <c r="B36" s="495"/>
      <c r="C36" s="153" t="s">
        <v>33</v>
      </c>
      <c r="D36" s="387">
        <v>72.41</v>
      </c>
      <c r="E36" s="387">
        <v>2.61</v>
      </c>
      <c r="F36" s="184"/>
      <c r="G36" s="184"/>
      <c r="H36" s="184"/>
      <c r="I36" s="184"/>
      <c r="J36" s="330" t="s">
        <v>100</v>
      </c>
      <c r="K36" s="180" t="s">
        <v>100</v>
      </c>
      <c r="L36" s="334"/>
      <c r="M36" s="334"/>
      <c r="N36" s="334"/>
      <c r="O36" s="334"/>
      <c r="P36" s="451" t="s">
        <v>696</v>
      </c>
      <c r="Q36" s="59"/>
      <c r="R36" s="72"/>
      <c r="S36" s="72"/>
      <c r="T36" s="5"/>
    </row>
    <row r="37" spans="1:28" ht="15" customHeight="1" x14ac:dyDescent="0.2">
      <c r="A37" s="463"/>
      <c r="B37" s="75" t="s">
        <v>523</v>
      </c>
      <c r="C37" s="20" t="s">
        <v>28</v>
      </c>
      <c r="D37" s="316">
        <v>35.61</v>
      </c>
      <c r="E37" s="316">
        <v>1.82</v>
      </c>
      <c r="F37" s="182"/>
      <c r="G37" s="182"/>
      <c r="H37" s="182"/>
      <c r="I37" s="182"/>
      <c r="J37" s="52" t="s">
        <v>100</v>
      </c>
      <c r="K37" s="426" t="s">
        <v>100</v>
      </c>
      <c r="L37" s="178"/>
      <c r="M37" s="178"/>
      <c r="N37" s="178"/>
      <c r="O37" s="178"/>
      <c r="P37" s="322" t="s">
        <v>696</v>
      </c>
      <c r="Q37" s="59"/>
      <c r="R37" s="72"/>
      <c r="S37" s="72"/>
      <c r="T37" s="5"/>
    </row>
    <row r="38" spans="1:28" ht="15" customHeight="1" x14ac:dyDescent="0.2">
      <c r="A38" s="463"/>
      <c r="B38" s="484" t="s">
        <v>524</v>
      </c>
      <c r="C38" s="153" t="s">
        <v>34</v>
      </c>
      <c r="D38" s="387">
        <v>5.96</v>
      </c>
      <c r="E38" s="387">
        <v>0.22</v>
      </c>
      <c r="F38" s="184">
        <f>AVERAGE(D38:D42)</f>
        <v>14.134</v>
      </c>
      <c r="G38" s="184">
        <f>STDEV(D38:D42)</f>
        <v>5.075025123090521</v>
      </c>
      <c r="H38" s="184">
        <f>SUM(((D38-$F$38)/E38)^2,((D39-$F$38)/E39)^2,((D40-$F$38)/E40)^2,((D41-$F$38)/E41)^2,((D42-$F$38)/E42)^2)</f>
        <v>1487.5785846674962</v>
      </c>
      <c r="I38" s="184">
        <f>H38/(COUNT(D38:D42)-1)</f>
        <v>371.89464616687405</v>
      </c>
      <c r="J38" s="329">
        <f>ABS(D38-AVERAGE(D39:D42))/SQRT(STDEV(D39:D42)^2+E38^2)</f>
        <v>3.9922187238719977</v>
      </c>
      <c r="K38" s="407" t="str">
        <f t="shared" ref="K38:K59" si="1">IF(J38&gt;2,"Reject","Accept")</f>
        <v>Reject</v>
      </c>
      <c r="L38" s="184">
        <f>AVERAGE(D39:D42)</f>
        <v>16.177499999999998</v>
      </c>
      <c r="M38" s="184">
        <f>STDEV(D39:D42)</f>
        <v>2.5498807161643273</v>
      </c>
      <c r="N38" s="184">
        <f>SUM(((D39-L$38)/E39)^2,((D40-L$38)/E40)^2,((D41-L$38)/E41)^2,((D42-L$38)/E42)^2)</f>
        <v>78.912423609166837</v>
      </c>
      <c r="O38" s="184">
        <f>N38/(COUNT(D39:D42)-1)</f>
        <v>26.304141203055611</v>
      </c>
      <c r="P38" s="492" t="s">
        <v>695</v>
      </c>
      <c r="Q38" s="59"/>
    </row>
    <row r="39" spans="1:28" ht="15" customHeight="1" x14ac:dyDescent="0.2">
      <c r="A39" s="463"/>
      <c r="B39" s="484"/>
      <c r="C39" s="153" t="s">
        <v>19</v>
      </c>
      <c r="D39" s="387">
        <v>13.92</v>
      </c>
      <c r="E39" s="387">
        <v>0.37</v>
      </c>
      <c r="F39" s="184"/>
      <c r="G39" s="184"/>
      <c r="H39" s="184"/>
      <c r="I39" s="184"/>
      <c r="J39" s="330">
        <f>ABS(D39-AVERAGE(D38,D40,D41,D42))/SQRT(STDEV(D38,D40,D41,D42)^2+E39^2)</f>
        <v>4.5569315371209854E-2</v>
      </c>
      <c r="K39" s="180" t="str">
        <f t="shared" si="1"/>
        <v>Accept</v>
      </c>
      <c r="L39" s="334"/>
      <c r="M39" s="334"/>
      <c r="N39" s="334"/>
      <c r="O39" s="334"/>
      <c r="P39" s="492"/>
      <c r="Q39" s="59"/>
    </row>
    <row r="40" spans="1:28" ht="15" customHeight="1" x14ac:dyDescent="0.2">
      <c r="A40" s="463"/>
      <c r="B40" s="484"/>
      <c r="C40" s="153" t="s">
        <v>17</v>
      </c>
      <c r="D40" s="387">
        <v>15.41</v>
      </c>
      <c r="E40" s="387">
        <v>0.39</v>
      </c>
      <c r="F40" s="184"/>
      <c r="G40" s="184"/>
      <c r="H40" s="184"/>
      <c r="I40" s="184"/>
      <c r="J40" s="330">
        <f>ABS(D40-AVERAGE(D38,D39,D41,D42))/SQRT(STDEV(D38,D39,D41,D42)^2+E40^2)</f>
        <v>0.27428802522240436</v>
      </c>
      <c r="K40" s="180" t="str">
        <f t="shared" si="1"/>
        <v>Accept</v>
      </c>
      <c r="L40" s="334"/>
      <c r="M40" s="334"/>
      <c r="N40" s="334"/>
      <c r="O40" s="334"/>
      <c r="P40" s="492"/>
      <c r="Q40" s="59"/>
    </row>
    <row r="41" spans="1:28" ht="15" customHeight="1" x14ac:dyDescent="0.2">
      <c r="A41" s="463"/>
      <c r="B41" s="484"/>
      <c r="C41" s="153" t="s">
        <v>20</v>
      </c>
      <c r="D41" s="387">
        <v>15.54</v>
      </c>
      <c r="E41" s="387">
        <v>0.48</v>
      </c>
      <c r="F41" s="184"/>
      <c r="G41" s="184"/>
      <c r="H41" s="184"/>
      <c r="I41" s="184"/>
      <c r="J41" s="330">
        <f>ABS(D41-AVERAGE(D38,D39,D40,D42))/SQRT(STDEV(D38,D39,D40,D42)^2+E41^2)</f>
        <v>0.30253248210602457</v>
      </c>
      <c r="K41" s="180" t="str">
        <f t="shared" si="1"/>
        <v>Accept</v>
      </c>
      <c r="L41" s="334"/>
      <c r="M41" s="334"/>
      <c r="N41" s="334"/>
      <c r="O41" s="334"/>
      <c r="P41" s="492"/>
      <c r="Q41" s="59"/>
    </row>
    <row r="42" spans="1:28" ht="15" customHeight="1" x14ac:dyDescent="0.2">
      <c r="A42" s="482"/>
      <c r="B42" s="488"/>
      <c r="C42" s="349" t="s">
        <v>18</v>
      </c>
      <c r="D42" s="401">
        <v>19.84</v>
      </c>
      <c r="E42" s="401">
        <v>0.61</v>
      </c>
      <c r="F42" s="351"/>
      <c r="G42" s="351"/>
      <c r="H42" s="351"/>
      <c r="I42" s="351"/>
      <c r="J42" s="358">
        <f>ABS(D42-AVERAGE(D38:D41))/SQRT(STDEV(D38:D41)^2+E42^2)</f>
        <v>1.5510105254026152</v>
      </c>
      <c r="K42" s="352" t="str">
        <f t="shared" si="1"/>
        <v>Accept</v>
      </c>
      <c r="L42" s="353"/>
      <c r="M42" s="353"/>
      <c r="N42" s="353"/>
      <c r="O42" s="353"/>
      <c r="P42" s="501"/>
      <c r="Q42" s="59"/>
    </row>
    <row r="43" spans="1:28" ht="15" customHeight="1" x14ac:dyDescent="0.2">
      <c r="A43" s="481" t="s">
        <v>76</v>
      </c>
      <c r="B43" s="483" t="s">
        <v>529</v>
      </c>
      <c r="C43" s="283" t="s">
        <v>7</v>
      </c>
      <c r="D43" s="337">
        <v>7.25</v>
      </c>
      <c r="E43" s="337">
        <v>0.49</v>
      </c>
      <c r="F43" s="354">
        <f>AVERAGE(D43:D48)</f>
        <v>13.131666666666666</v>
      </c>
      <c r="G43" s="354">
        <f>STDEV(D43:D48)</f>
        <v>3.1453420587698733</v>
      </c>
      <c r="H43" s="399">
        <f>SUM(((D43-$F$43)/E43)^2,((D44-$F$43)/E44)^2,((D45-$F$43)/E45)^2,((D46-$F$43)/E46)^2,((D47-$F$43)/E47)^2,((D48-$F$43)/E48)^2)</f>
        <v>155.81498918703048</v>
      </c>
      <c r="I43" s="399">
        <f>H43/(COUNT(D43:D48)-1)</f>
        <v>31.162997837406095</v>
      </c>
      <c r="J43" s="336">
        <f>ABS(D43-AVERAGE(D44:D48))/SQRT(STDEV(D44:D48)^2+E43^2)</f>
        <v>4.7281146880111207</v>
      </c>
      <c r="K43" s="406" t="str">
        <f t="shared" si="1"/>
        <v>Reject</v>
      </c>
      <c r="L43" s="354">
        <f>AVERAGE(D44:D48)</f>
        <v>14.307999999999998</v>
      </c>
      <c r="M43" s="354">
        <f>STDEV(D44:D48)</f>
        <v>1.4100602823993016</v>
      </c>
      <c r="N43" s="338">
        <f>SUM(((D44-L$43)/E44)^2,((D45-L$43)/E45)^2,((D46-L$43)/E46)^2,((D47-L$43)/E47)^2,((D48-L$43)/E48)^2)</f>
        <v>6.0427069156940316</v>
      </c>
      <c r="O43" s="338">
        <f>N43/(COUNT(D44:D48)-1)</f>
        <v>1.5106767289235079</v>
      </c>
      <c r="P43" s="491" t="s">
        <v>697</v>
      </c>
      <c r="Q43" s="59"/>
    </row>
    <row r="44" spans="1:28" ht="15" customHeight="1" x14ac:dyDescent="0.2">
      <c r="A44" s="463"/>
      <c r="B44" s="484"/>
      <c r="C44" s="20" t="s">
        <v>8</v>
      </c>
      <c r="D44" s="316">
        <v>13.22</v>
      </c>
      <c r="E44" s="316">
        <v>1.76</v>
      </c>
      <c r="F44" s="182"/>
      <c r="G44" s="182"/>
      <c r="H44" s="182"/>
      <c r="I44" s="182"/>
      <c r="J44" s="52">
        <f>ABS(D44-AVERAGE(D43,D45,D46,D47,D48))/SQRT(STDEV(D43,D45,D46,D47,D48)^2+E44^2)</f>
        <v>2.6957326745991099E-2</v>
      </c>
      <c r="K44" s="395" t="str">
        <f t="shared" si="1"/>
        <v>Accept</v>
      </c>
      <c r="L44" s="178"/>
      <c r="M44" s="178"/>
      <c r="N44" s="178"/>
      <c r="O44" s="178"/>
      <c r="P44" s="489"/>
      <c r="Q44" s="59"/>
    </row>
    <row r="45" spans="1:28" ht="15" customHeight="1" x14ac:dyDescent="0.2">
      <c r="A45" s="463"/>
      <c r="B45" s="484"/>
      <c r="C45" s="24" t="s">
        <v>126</v>
      </c>
      <c r="D45" s="316">
        <v>13.41</v>
      </c>
      <c r="E45" s="316">
        <v>0.7</v>
      </c>
      <c r="F45" s="182"/>
      <c r="G45" s="182"/>
      <c r="H45" s="182"/>
      <c r="I45" s="182"/>
      <c r="J45" s="52">
        <f>ABS(D45-AVERAGE(D43,D44,D46,D47,D48))/SQRT(STDEV(D43,D44,D46,D47,D48)^2+E45^2)</f>
        <v>9.3234893243941269E-2</v>
      </c>
      <c r="K45" s="395" t="str">
        <f t="shared" si="1"/>
        <v>Accept</v>
      </c>
      <c r="L45" s="178"/>
      <c r="M45" s="178"/>
      <c r="N45" s="178"/>
      <c r="O45" s="178"/>
      <c r="P45" s="489"/>
      <c r="Q45" s="59"/>
    </row>
    <row r="46" spans="1:28" ht="15" customHeight="1" x14ac:dyDescent="0.2">
      <c r="A46" s="463"/>
      <c r="B46" s="484"/>
      <c r="C46" s="24" t="s">
        <v>10</v>
      </c>
      <c r="D46" s="316">
        <v>13.93</v>
      </c>
      <c r="E46" s="316">
        <v>0.93</v>
      </c>
      <c r="F46" s="182"/>
      <c r="G46" s="182"/>
      <c r="H46" s="182"/>
      <c r="I46" s="182"/>
      <c r="J46" s="52">
        <f>ABS(D46-AVERAGE(D43,D44,D45,D47,D48))/SQRT(STDEV(D43,D44,D45,D47,D48)^2+E46^2)</f>
        <v>0.26529183424884112</v>
      </c>
      <c r="K46" s="395" t="str">
        <f t="shared" si="1"/>
        <v>Accept</v>
      </c>
      <c r="L46" s="178"/>
      <c r="M46" s="178"/>
      <c r="N46" s="178"/>
      <c r="O46" s="178"/>
      <c r="P46" s="489"/>
      <c r="Q46" s="59"/>
    </row>
    <row r="47" spans="1:28" ht="15" customHeight="1" x14ac:dyDescent="0.2">
      <c r="A47" s="463"/>
      <c r="B47" s="484"/>
      <c r="C47" s="20" t="s">
        <v>9</v>
      </c>
      <c r="D47" s="316">
        <v>14.26</v>
      </c>
      <c r="E47" s="316">
        <v>0.74</v>
      </c>
      <c r="F47" s="182"/>
      <c r="G47" s="182"/>
      <c r="H47" s="182"/>
      <c r="I47" s="182"/>
      <c r="J47" s="52">
        <f>ABS(D47-AVERAGE(D43,D44,D45,D46,D48))/SQRT(STDEV(D43,D44,D45,D46,D48)^2+E47^2)</f>
        <v>0.38247778770930346</v>
      </c>
      <c r="K47" s="395" t="str">
        <f t="shared" si="1"/>
        <v>Accept</v>
      </c>
      <c r="L47" s="178"/>
      <c r="M47" s="178"/>
      <c r="N47" s="178"/>
      <c r="O47" s="178"/>
      <c r="P47" s="489"/>
      <c r="Q47" s="59"/>
    </row>
    <row r="48" spans="1:28" ht="15" customHeight="1" x14ac:dyDescent="0.2">
      <c r="A48" s="463"/>
      <c r="B48" s="484"/>
      <c r="C48" s="20" t="s">
        <v>11</v>
      </c>
      <c r="D48" s="316">
        <v>16.72</v>
      </c>
      <c r="E48" s="316">
        <v>1.23</v>
      </c>
      <c r="F48" s="182"/>
      <c r="G48" s="182"/>
      <c r="H48" s="182"/>
      <c r="I48" s="182"/>
      <c r="J48" s="52">
        <f>ABS(D48-AVERAGE(D43:D47))/SQRT(STDEV(D43:D47)^2+E48^2)</f>
        <v>1.3605527279534859</v>
      </c>
      <c r="K48" s="377" t="str">
        <f t="shared" si="1"/>
        <v>Accept</v>
      </c>
      <c r="L48" s="178"/>
      <c r="M48" s="178"/>
      <c r="N48" s="178"/>
      <c r="O48" s="178"/>
      <c r="P48" s="489"/>
      <c r="Q48" s="59"/>
    </row>
    <row r="49" spans="1:17" ht="15" customHeight="1" x14ac:dyDescent="0.2">
      <c r="A49" s="482"/>
      <c r="B49" s="328" t="s">
        <v>525</v>
      </c>
      <c r="C49" s="355" t="s">
        <v>6</v>
      </c>
      <c r="D49" s="401">
        <v>14.44</v>
      </c>
      <c r="E49" s="401">
        <v>0.84</v>
      </c>
      <c r="F49" s="351" t="s">
        <v>100</v>
      </c>
      <c r="G49" s="351" t="s">
        <v>100</v>
      </c>
      <c r="H49" s="351"/>
      <c r="I49" s="351"/>
      <c r="J49" s="356" t="s">
        <v>100</v>
      </c>
      <c r="K49" s="352" t="s">
        <v>100</v>
      </c>
      <c r="L49" s="353"/>
      <c r="M49" s="353"/>
      <c r="N49" s="353"/>
      <c r="O49" s="353"/>
      <c r="P49" s="357" t="s">
        <v>596</v>
      </c>
      <c r="Q49" s="59"/>
    </row>
    <row r="50" spans="1:17" ht="15" customHeight="1" x14ac:dyDescent="0.2">
      <c r="A50" s="481" t="s">
        <v>78</v>
      </c>
      <c r="B50" s="483" t="s">
        <v>526</v>
      </c>
      <c r="C50" s="283" t="s">
        <v>41</v>
      </c>
      <c r="D50" s="337">
        <v>20.18</v>
      </c>
      <c r="E50" s="337">
        <v>1.36</v>
      </c>
      <c r="F50" s="354">
        <f>AVERAGE(D50:D52)</f>
        <v>22.126666666666665</v>
      </c>
      <c r="G50" s="354">
        <f>STDEV(D50:D52)</f>
        <v>1.7448877709850954</v>
      </c>
      <c r="H50" s="399">
        <f>SUM(((D50-$F$50)/E50)^2,((D51-$F$50)/E51)^2,((D52-$F$50)/E52)^2)</f>
        <v>3.4074603381494168</v>
      </c>
      <c r="I50" s="399">
        <f>H50/(COUNT(D50:D52)-1)</f>
        <v>1.7037301690747084</v>
      </c>
      <c r="J50" s="359">
        <f>ABS(D50-AVERAGE(D51,D52))/SQRT(STDEV(D51,D52)^2+E50^2)</f>
        <v>1.9446797867714019</v>
      </c>
      <c r="K50" s="378" t="str">
        <f t="shared" si="1"/>
        <v>Accept</v>
      </c>
      <c r="L50" s="354">
        <f>AVERAGE(D50:D52)</f>
        <v>22.126666666666665</v>
      </c>
      <c r="M50" s="354">
        <f>STDEV(D50:D52)</f>
        <v>1.7448877709850954</v>
      </c>
      <c r="N50" s="338">
        <f>SUM(((D50-L$50)/E50)^2,((D51-L$50)/E51)^2,((D52-L$50)/E52)^2)</f>
        <v>3.4074603381494168</v>
      </c>
      <c r="O50" s="338">
        <f>N50/(COUNT(D50:D52)-1)</f>
        <v>1.7037301690747084</v>
      </c>
      <c r="P50" s="491" t="s">
        <v>672</v>
      </c>
      <c r="Q50" s="59"/>
    </row>
    <row r="51" spans="1:17" ht="15" customHeight="1" x14ac:dyDescent="0.2">
      <c r="A51" s="463"/>
      <c r="B51" s="484"/>
      <c r="C51" s="24" t="s">
        <v>40</v>
      </c>
      <c r="D51" s="316">
        <v>22.65</v>
      </c>
      <c r="E51" s="316">
        <v>1.24</v>
      </c>
      <c r="F51" s="182"/>
      <c r="G51" s="182"/>
      <c r="H51" s="182"/>
      <c r="I51" s="182"/>
      <c r="J51" s="52">
        <f>ABS(D51-AVERAGE(D50,D52))/SQRT(STDEV(D50,D52)^2+E51^2)</f>
        <v>0.29222669736378071</v>
      </c>
      <c r="K51" s="395" t="str">
        <f t="shared" si="1"/>
        <v>Accept</v>
      </c>
      <c r="L51" s="178"/>
      <c r="M51" s="178"/>
      <c r="N51" s="178"/>
      <c r="O51" s="178"/>
      <c r="P51" s="489"/>
      <c r="Q51" s="59"/>
    </row>
    <row r="52" spans="1:17" ht="15" customHeight="1" x14ac:dyDescent="0.2">
      <c r="A52" s="463"/>
      <c r="B52" s="484"/>
      <c r="C52" s="20" t="s">
        <v>42</v>
      </c>
      <c r="D52" s="316">
        <v>23.55</v>
      </c>
      <c r="E52" s="316">
        <v>1.31</v>
      </c>
      <c r="F52" s="182"/>
      <c r="G52" s="182"/>
      <c r="H52" s="182"/>
      <c r="I52" s="182"/>
      <c r="J52" s="52">
        <f>ABS(D52-AVERAGE(D50:D51))/SQRT(STDEV(D50:D51)^2+E52^2)</f>
        <v>0.97790305492293184</v>
      </c>
      <c r="K52" s="395" t="str">
        <f t="shared" si="1"/>
        <v>Accept</v>
      </c>
      <c r="L52" s="178"/>
      <c r="M52" s="178"/>
      <c r="N52" s="178"/>
      <c r="O52" s="178"/>
      <c r="P52" s="489"/>
      <c r="Q52" s="59"/>
    </row>
    <row r="53" spans="1:17" ht="15" customHeight="1" x14ac:dyDescent="0.2">
      <c r="A53" s="463"/>
      <c r="B53" s="484" t="s">
        <v>527</v>
      </c>
      <c r="C53" s="153" t="s">
        <v>46</v>
      </c>
      <c r="D53" s="387">
        <v>29.89</v>
      </c>
      <c r="E53" s="387">
        <v>0.91</v>
      </c>
      <c r="F53" s="184">
        <f>AVERAGE(D53:D55)</f>
        <v>48.03</v>
      </c>
      <c r="G53" s="184">
        <f>STDEV(D53:D55)</f>
        <v>30.206534061358312</v>
      </c>
      <c r="H53" s="184">
        <f>SUM(((D53-$F$53)/E53)^2,((D54-$F$53)/E54)^2,((D55-$F$53)/E55)^2)</f>
        <v>890.16646680413453</v>
      </c>
      <c r="I53" s="184">
        <f>H53/(COUNT(D53:D55)-1)</f>
        <v>445.08323340206726</v>
      </c>
      <c r="J53" s="330">
        <f>ABS(D53-AVERAGE(D54:D55))/SQRT(STDEV(D54:D55)^2+E53^2)</f>
        <v>0.74551915630901566</v>
      </c>
      <c r="K53" s="180" t="str">
        <f t="shared" si="1"/>
        <v>Accept</v>
      </c>
      <c r="L53" s="184">
        <f>AVERAGE(D53:D54)</f>
        <v>30.594999999999999</v>
      </c>
      <c r="M53" s="184">
        <f>STDEV(D53:D54)</f>
        <v>0.99702056147303209</v>
      </c>
      <c r="N53" s="334">
        <f>SUM(((D54-L$53)/E54)^2,((D53-L$53)/E53)^2)</f>
        <v>1.1509194729048007</v>
      </c>
      <c r="O53" s="334">
        <f>N53/(COUNT(D53:D54)-1)</f>
        <v>1.1509194729048007</v>
      </c>
      <c r="P53" s="492" t="s">
        <v>698</v>
      </c>
      <c r="Q53" s="59"/>
    </row>
    <row r="54" spans="1:17" ht="15" customHeight="1" x14ac:dyDescent="0.2">
      <c r="A54" s="463"/>
      <c r="B54" s="484"/>
      <c r="C54" s="153" t="s">
        <v>43</v>
      </c>
      <c r="D54" s="387">
        <v>31.3</v>
      </c>
      <c r="E54" s="387">
        <v>0.95</v>
      </c>
      <c r="F54" s="184"/>
      <c r="G54" s="184"/>
      <c r="H54" s="184"/>
      <c r="I54" s="184"/>
      <c r="J54" s="330">
        <f>ABS(D54-AVERAGE(D53,D55))/SQRT(STDEV(D53,D55)^2+E54^2)</f>
        <v>0.66927554613826101</v>
      </c>
      <c r="K54" s="180" t="str">
        <f t="shared" si="1"/>
        <v>Accept</v>
      </c>
      <c r="L54" s="334"/>
      <c r="M54" s="334"/>
      <c r="N54" s="334"/>
      <c r="O54" s="334"/>
      <c r="P54" s="492"/>
      <c r="Q54" s="59"/>
    </row>
    <row r="55" spans="1:17" ht="15" customHeight="1" x14ac:dyDescent="0.2">
      <c r="A55" s="463"/>
      <c r="B55" s="484"/>
      <c r="C55" s="153" t="s">
        <v>44</v>
      </c>
      <c r="D55" s="387">
        <v>82.9</v>
      </c>
      <c r="E55" s="387">
        <v>2.58</v>
      </c>
      <c r="F55" s="184"/>
      <c r="G55" s="184"/>
      <c r="H55" s="184"/>
      <c r="I55" s="184"/>
      <c r="J55" s="329">
        <f>ABS(D55-AVERAGE(D53:D54))/SQRT(STDEV(D53:D54)^2+E55^2)</f>
        <v>18.910356481564992</v>
      </c>
      <c r="K55" s="407" t="str">
        <f t="shared" si="1"/>
        <v>Reject</v>
      </c>
      <c r="L55" s="334"/>
      <c r="M55" s="334"/>
      <c r="N55" s="334"/>
      <c r="O55" s="334"/>
      <c r="P55" s="492"/>
      <c r="Q55" s="59"/>
    </row>
    <row r="56" spans="1:17" ht="15" customHeight="1" x14ac:dyDescent="0.2">
      <c r="A56" s="463"/>
      <c r="B56" s="321" t="s">
        <v>530</v>
      </c>
      <c r="C56" s="20" t="s">
        <v>26</v>
      </c>
      <c r="D56" s="316">
        <v>16.25</v>
      </c>
      <c r="E56" s="316">
        <v>0.61</v>
      </c>
      <c r="F56" s="179" t="s">
        <v>100</v>
      </c>
      <c r="G56" s="179" t="s">
        <v>100</v>
      </c>
      <c r="H56" s="179"/>
      <c r="I56" s="179"/>
      <c r="J56" s="332"/>
      <c r="K56" s="395"/>
      <c r="L56" s="178"/>
      <c r="M56" s="178"/>
      <c r="N56" s="178"/>
      <c r="O56" s="178"/>
      <c r="P56" s="322" t="s">
        <v>596</v>
      </c>
      <c r="Q56" s="59"/>
    </row>
    <row r="57" spans="1:17" ht="15" customHeight="1" x14ac:dyDescent="0.2">
      <c r="A57" s="463"/>
      <c r="B57" s="484" t="s">
        <v>612</v>
      </c>
      <c r="C57" s="153" t="s">
        <v>39</v>
      </c>
      <c r="D57" s="387">
        <v>14.99</v>
      </c>
      <c r="E57" s="387">
        <v>0.54</v>
      </c>
      <c r="F57" s="184">
        <f>AVERAGE(D57:D59)</f>
        <v>16.043333333333333</v>
      </c>
      <c r="G57" s="184">
        <f>STDEV(D57:D59)</f>
        <v>0.9127065976168538</v>
      </c>
      <c r="H57" s="184">
        <f>SUM(((D57-$F$57)/E57)^2,((D58-$F$57)/E58)^2,((D59-$F$57)/E59)^2)</f>
        <v>5.9829982835556033</v>
      </c>
      <c r="I57" s="184">
        <f>H57/(COUNT(D57:D59)-1)</f>
        <v>2.9914991417778016</v>
      </c>
      <c r="J57" s="329">
        <f>ABS(D57-AVERAGE(D58:D59))/SQRT(STDEV(D58:D59)^2+E57^2)</f>
        <v>2.9169368849410122</v>
      </c>
      <c r="K57" s="407" t="str">
        <f t="shared" si="1"/>
        <v>Reject</v>
      </c>
      <c r="L57" s="184">
        <f>AVERAGE(D58:D59)</f>
        <v>16.57</v>
      </c>
      <c r="M57" s="387">
        <f>STDEV(D58:D59)</f>
        <v>4.2426406871194457E-2</v>
      </c>
      <c r="N57" s="409">
        <f>SUM(((D58-L$57)/E58)^2,((D59-L$57)/E59)^2)</f>
        <v>7.0602076124572817E-3</v>
      </c>
      <c r="O57" s="409">
        <f>N57/(COUNT(D58:D59)-1)</f>
        <v>7.0602076124572817E-3</v>
      </c>
      <c r="P57" s="492" t="s">
        <v>698</v>
      </c>
      <c r="Q57" s="59"/>
    </row>
    <row r="58" spans="1:17" ht="15" customHeight="1" x14ac:dyDescent="0.2">
      <c r="A58" s="463"/>
      <c r="B58" s="484"/>
      <c r="C58" s="153" t="s">
        <v>27</v>
      </c>
      <c r="D58" s="387">
        <v>16.54</v>
      </c>
      <c r="E58" s="387">
        <v>0.5</v>
      </c>
      <c r="F58" s="184"/>
      <c r="G58" s="184"/>
      <c r="H58" s="184"/>
      <c r="I58" s="184"/>
      <c r="J58" s="330">
        <f>ABS(D58-AVERAGE(D57,D59))/SQRT(STDEV(D57,D59)^2+E58^2)</f>
        <v>0.5991623358266075</v>
      </c>
      <c r="K58" s="180" t="str">
        <f t="shared" si="1"/>
        <v>Accept</v>
      </c>
      <c r="L58" s="334"/>
      <c r="M58" s="334"/>
      <c r="N58" s="334"/>
      <c r="O58" s="334"/>
      <c r="P58" s="492"/>
      <c r="Q58" s="59"/>
    </row>
    <row r="59" spans="1:17" ht="15" customHeight="1" x14ac:dyDescent="0.2">
      <c r="A59" s="482"/>
      <c r="B59" s="488"/>
      <c r="C59" s="349" t="s">
        <v>45</v>
      </c>
      <c r="D59" s="401">
        <v>16.600000000000001</v>
      </c>
      <c r="E59" s="401">
        <v>0.51</v>
      </c>
      <c r="F59" s="351"/>
      <c r="G59" s="351"/>
      <c r="H59" s="351"/>
      <c r="I59" s="351"/>
      <c r="J59" s="358">
        <f>ABS(D59-AVERAGE(D57:D58))/SQRT(STDEV(D57:D58)^2+E59^2)</f>
        <v>0.69073164565993295</v>
      </c>
      <c r="K59" s="352" t="str">
        <f t="shared" si="1"/>
        <v>Accept</v>
      </c>
      <c r="L59" s="353"/>
      <c r="M59" s="353"/>
      <c r="N59" s="353"/>
      <c r="O59" s="353"/>
      <c r="P59" s="501"/>
      <c r="Q59" s="59"/>
    </row>
    <row r="60" spans="1:17" ht="15" customHeight="1" x14ac:dyDescent="0.2">
      <c r="A60" s="513" t="s">
        <v>77</v>
      </c>
      <c r="B60" s="483" t="s">
        <v>600</v>
      </c>
      <c r="C60" s="283" t="s">
        <v>0</v>
      </c>
      <c r="D60" s="337">
        <v>22.5</v>
      </c>
      <c r="E60" s="337">
        <v>1.05</v>
      </c>
      <c r="F60" s="354">
        <f>AVERAGE(D60:D62)</f>
        <v>59.956666666666671</v>
      </c>
      <c r="G60" s="354">
        <f>STDEV(D60:D62)</f>
        <v>40.981745123082966</v>
      </c>
      <c r="H60" s="354">
        <f>SUM(((D60-$F$60)/E60)^2,((D61-$F$60)/E61)^2,((D62-$F$60)/E62)^2)</f>
        <v>1529.371149018109</v>
      </c>
      <c r="I60" s="354">
        <f>H60/(COUNT(D60:D62)-1)</f>
        <v>764.6855745090545</v>
      </c>
      <c r="J60" s="359">
        <f>ABS(D60-AVERAGE(D61:D62))/SQRT(STDEV(D61:D62)^2+E60^2)</f>
        <v>1.5855998604266668</v>
      </c>
      <c r="K60" s="378" t="s">
        <v>627</v>
      </c>
      <c r="L60" s="338"/>
      <c r="M60" s="338" t="s">
        <v>100</v>
      </c>
      <c r="N60" s="338" t="s">
        <v>100</v>
      </c>
      <c r="O60" s="338"/>
      <c r="P60" s="491" t="s">
        <v>597</v>
      </c>
      <c r="Q60" s="59"/>
    </row>
    <row r="61" spans="1:17" ht="15" customHeight="1" x14ac:dyDescent="0.2">
      <c r="A61" s="463"/>
      <c r="B61" s="484"/>
      <c r="C61" s="20" t="s">
        <v>2</v>
      </c>
      <c r="D61" s="316">
        <v>53.64</v>
      </c>
      <c r="E61" s="316">
        <v>1.44</v>
      </c>
      <c r="F61" s="182"/>
      <c r="G61" s="182"/>
      <c r="H61" s="182"/>
      <c r="I61" s="182"/>
      <c r="J61" s="52">
        <f>ABS(D61-AVERAGE(D60,D62))/SQRT(STDEV(D60,D62)^2+E61^2)</f>
        <v>0.16490784780597964</v>
      </c>
      <c r="K61" s="395" t="s">
        <v>627</v>
      </c>
      <c r="L61" s="178"/>
      <c r="M61" s="178"/>
      <c r="N61" s="178"/>
      <c r="O61" s="178"/>
      <c r="P61" s="489"/>
      <c r="Q61" s="59"/>
    </row>
    <row r="62" spans="1:17" ht="15" customHeight="1" x14ac:dyDescent="0.2">
      <c r="A62" s="463"/>
      <c r="B62" s="484"/>
      <c r="C62" s="20" t="s">
        <v>1</v>
      </c>
      <c r="D62" s="316">
        <v>103.73</v>
      </c>
      <c r="E62" s="316">
        <v>2.84</v>
      </c>
      <c r="F62" s="182"/>
      <c r="G62" s="182"/>
      <c r="H62" s="182"/>
      <c r="I62" s="182"/>
      <c r="J62" s="52">
        <f>ABS(D62-AVERAGE(D60:D61))/SQRT(STDEV(D60:D61)^2+E62^2)</f>
        <v>2.9574314363666852</v>
      </c>
      <c r="K62" s="395" t="s">
        <v>627</v>
      </c>
      <c r="L62" s="178"/>
      <c r="M62" s="178"/>
      <c r="N62" s="178"/>
      <c r="O62" s="178"/>
      <c r="P62" s="489"/>
      <c r="Q62" s="59"/>
    </row>
    <row r="63" spans="1:17" ht="15" customHeight="1" x14ac:dyDescent="0.2">
      <c r="A63" s="463"/>
      <c r="B63" s="484" t="s">
        <v>601</v>
      </c>
      <c r="C63" s="153" t="s">
        <v>3</v>
      </c>
      <c r="D63" s="387">
        <v>22.16</v>
      </c>
      <c r="E63" s="387">
        <v>0.94</v>
      </c>
      <c r="F63" s="184">
        <f>AVERAGE(D63:D68)</f>
        <v>35.274999999999999</v>
      </c>
      <c r="G63" s="184">
        <f>STDEV(D63:D68)</f>
        <v>9.2630011335419997</v>
      </c>
      <c r="H63" s="184">
        <f>SUM(((D63-$F$63)/E63)^2,((D64-$F$63)/E64)^2,((D65-$F$63)/E65)^2,((D66-$F$63)/E66)^2,((D67-$F$63)/E67)^2,((D68-$F$63)/E68)^2)</f>
        <v>281.20393555434816</v>
      </c>
      <c r="I63" s="184">
        <f>H63/(COUNT(D63:D68)-1)</f>
        <v>56.240787110869633</v>
      </c>
      <c r="J63" s="329">
        <f>ABS(D63-AVERAGE(D64:D68))/SQRT(STDEV(D64:D68)^2+E63^2)</f>
        <v>2.0930741809031481</v>
      </c>
      <c r="K63" s="407" t="str">
        <f t="shared" ref="K63:K68" si="2">IF(J63&gt;2,"Reject","Accept")</f>
        <v>Reject</v>
      </c>
      <c r="L63" s="184">
        <f>AVERAGE(D64:D67)</f>
        <v>34.907499999999999</v>
      </c>
      <c r="M63" s="184">
        <f>STDEV(D64:D67)</f>
        <v>3.8188250810949684</v>
      </c>
      <c r="N63" s="334">
        <f>SUM(((D64-L$63)/E64)^2,((D65-L$63)/E65)^2,((D66-L$63)/E66)^2,((D67-L$63)/E67)^2)</f>
        <v>19.969676303317986</v>
      </c>
      <c r="O63" s="334">
        <f>N63/(COUNT(D64:D67)-1)</f>
        <v>6.6565587677726619</v>
      </c>
      <c r="P63" s="492" t="s">
        <v>699</v>
      </c>
      <c r="Q63" s="59"/>
    </row>
    <row r="64" spans="1:17" ht="15" customHeight="1" x14ac:dyDescent="0.2">
      <c r="A64" s="463"/>
      <c r="B64" s="484"/>
      <c r="C64" s="153" t="s">
        <v>5</v>
      </c>
      <c r="D64" s="387">
        <v>31.77</v>
      </c>
      <c r="E64" s="387">
        <v>1.1299999999999999</v>
      </c>
      <c r="F64" s="184"/>
      <c r="G64" s="184"/>
      <c r="H64" s="184"/>
      <c r="I64" s="184"/>
      <c r="J64" s="330">
        <f>ABS(D64-AVERAGE(D63,D65,D66,D67,D68))/SQRT(STDEV(D63,D65,D66,D67,D68)^2+E64^2)</f>
        <v>0.41076612333430901</v>
      </c>
      <c r="K64" s="180" t="str">
        <f t="shared" si="2"/>
        <v>Accept</v>
      </c>
      <c r="L64" s="334"/>
      <c r="M64" s="334"/>
      <c r="N64" s="334"/>
      <c r="O64" s="334"/>
      <c r="P64" s="492"/>
      <c r="Q64" s="59"/>
    </row>
    <row r="65" spans="1:17" ht="15" customHeight="1" x14ac:dyDescent="0.2">
      <c r="A65" s="463"/>
      <c r="B65" s="484"/>
      <c r="C65" s="153" t="s">
        <v>22</v>
      </c>
      <c r="D65" s="387">
        <v>31.78</v>
      </c>
      <c r="E65" s="387">
        <v>1.79</v>
      </c>
      <c r="F65" s="184"/>
      <c r="G65" s="184"/>
      <c r="H65" s="184"/>
      <c r="I65" s="384"/>
      <c r="J65" s="330">
        <f>ABS(D65-AVERAGE(D63,D64,D66,D67,D68))/SQRT(STDEV(D63,D64,D66,D67,D68)^2+E65^2)</f>
        <v>0.40584093831273044</v>
      </c>
      <c r="K65" s="180" t="str">
        <f t="shared" si="2"/>
        <v>Accept</v>
      </c>
      <c r="L65" s="334"/>
      <c r="M65" s="334"/>
      <c r="N65" s="334"/>
      <c r="O65" s="334"/>
      <c r="P65" s="492"/>
      <c r="Q65" s="59"/>
    </row>
    <row r="66" spans="1:17" ht="15" customHeight="1" x14ac:dyDescent="0.2">
      <c r="A66" s="463"/>
      <c r="B66" s="484"/>
      <c r="C66" s="153" t="s">
        <v>21</v>
      </c>
      <c r="D66" s="387">
        <v>36.54</v>
      </c>
      <c r="E66" s="387">
        <v>1.37</v>
      </c>
      <c r="F66" s="184"/>
      <c r="G66" s="184"/>
      <c r="H66" s="184"/>
      <c r="I66" s="184"/>
      <c r="J66" s="330">
        <f>ABS(D66-AVERAGE(D63,D64,D65,D67,D68))/SQRT(STDEV(D63,D64,D65,D67,D68)^2+E66^2)</f>
        <v>0.14563148143441829</v>
      </c>
      <c r="K66" s="180" t="str">
        <f t="shared" si="2"/>
        <v>Accept</v>
      </c>
      <c r="L66" s="334"/>
      <c r="M66" s="334"/>
      <c r="N66" s="334"/>
      <c r="O66" s="334"/>
      <c r="P66" s="492"/>
      <c r="Q66" s="59"/>
    </row>
    <row r="67" spans="1:17" ht="15" customHeight="1" x14ac:dyDescent="0.2">
      <c r="A67" s="463"/>
      <c r="B67" s="484"/>
      <c r="C67" s="153" t="s">
        <v>4</v>
      </c>
      <c r="D67" s="387">
        <v>39.54</v>
      </c>
      <c r="E67" s="387">
        <v>1.66</v>
      </c>
      <c r="F67" s="184"/>
      <c r="G67" s="184"/>
      <c r="H67" s="184"/>
      <c r="I67" s="184"/>
      <c r="J67" s="330">
        <f>ABS(D67-AVERAGE(D63,D64,D65,D66,D68))/SQRT(STDEV(D63,D64,D65,D66,D68)^2+E67^2)</f>
        <v>0.5005333611997943</v>
      </c>
      <c r="K67" s="180" t="str">
        <f t="shared" si="2"/>
        <v>Accept</v>
      </c>
      <c r="L67" s="334"/>
      <c r="M67" s="334"/>
      <c r="N67" s="334"/>
      <c r="O67" s="334"/>
      <c r="P67" s="492"/>
      <c r="Q67" s="59"/>
    </row>
    <row r="68" spans="1:17" ht="15" customHeight="1" x14ac:dyDescent="0.2">
      <c r="A68" s="482"/>
      <c r="B68" s="488"/>
      <c r="C68" s="349" t="s">
        <v>23</v>
      </c>
      <c r="D68" s="401">
        <v>49.86</v>
      </c>
      <c r="E68" s="401">
        <v>1.8</v>
      </c>
      <c r="F68" s="351"/>
      <c r="G68" s="351"/>
      <c r="H68" s="351"/>
      <c r="I68" s="351"/>
      <c r="J68" s="350">
        <f>ABS(D68-AVERAGE(D63:D67))/SQRT(STDEV(D63:D67)^2+E68^2)</f>
        <v>2.5617380740947708</v>
      </c>
      <c r="K68" s="408" t="str">
        <f t="shared" si="2"/>
        <v>Reject</v>
      </c>
      <c r="L68" s="353"/>
      <c r="M68" s="353"/>
      <c r="N68" s="353"/>
      <c r="O68" s="353"/>
      <c r="P68" s="501"/>
      <c r="Q68" s="59"/>
    </row>
    <row r="69" spans="1:17" ht="15" customHeight="1" x14ac:dyDescent="0.2">
      <c r="A69" s="481" t="s">
        <v>81</v>
      </c>
      <c r="B69" s="510"/>
      <c r="C69" s="360" t="s">
        <v>30</v>
      </c>
      <c r="D69" s="361">
        <v>0.94</v>
      </c>
      <c r="E69" s="361">
        <v>0.09</v>
      </c>
      <c r="F69" s="362"/>
      <c r="G69" s="362"/>
      <c r="H69" s="362"/>
      <c r="I69" s="362"/>
      <c r="J69" s="363"/>
      <c r="K69" s="364"/>
      <c r="L69" s="365"/>
      <c r="M69" s="365"/>
      <c r="N69" s="385"/>
      <c r="O69" s="385"/>
      <c r="P69" s="499" t="s">
        <v>595</v>
      </c>
      <c r="Q69" s="59"/>
    </row>
    <row r="70" spans="1:17" ht="15" customHeight="1" x14ac:dyDescent="0.2">
      <c r="A70" s="462"/>
      <c r="B70" s="511"/>
      <c r="C70" s="167" t="s">
        <v>31</v>
      </c>
      <c r="D70" s="346">
        <v>1.59</v>
      </c>
      <c r="E70" s="346">
        <v>0.1</v>
      </c>
      <c r="F70" s="186"/>
      <c r="G70" s="186"/>
      <c r="H70" s="186"/>
      <c r="I70" s="186"/>
      <c r="J70" s="236"/>
      <c r="K70" s="185"/>
      <c r="L70" s="189"/>
      <c r="M70" s="189"/>
      <c r="N70" s="335"/>
      <c r="O70" s="335"/>
      <c r="P70" s="494"/>
      <c r="Q70" s="59"/>
    </row>
    <row r="71" spans="1:17" ht="15" customHeight="1" x14ac:dyDescent="0.2">
      <c r="A71" s="462"/>
      <c r="B71" s="511"/>
      <c r="C71" s="167" t="s">
        <v>35</v>
      </c>
      <c r="D71" s="346">
        <v>11.87</v>
      </c>
      <c r="E71" s="346">
        <v>0.42</v>
      </c>
      <c r="F71" s="187"/>
      <c r="G71" s="186"/>
      <c r="H71" s="186"/>
      <c r="I71" s="186"/>
      <c r="J71" s="236"/>
      <c r="K71" s="185"/>
      <c r="L71" s="189"/>
      <c r="M71" s="189"/>
      <c r="N71" s="335"/>
      <c r="O71" s="335"/>
      <c r="P71" s="494"/>
      <c r="Q71" s="59"/>
    </row>
    <row r="72" spans="1:17" ht="15" customHeight="1" x14ac:dyDescent="0.2">
      <c r="A72" s="462"/>
      <c r="B72" s="511"/>
      <c r="C72" s="167" t="s">
        <v>51</v>
      </c>
      <c r="D72" s="346">
        <v>4.0599999999999996</v>
      </c>
      <c r="E72" s="346">
        <v>0.15</v>
      </c>
      <c r="F72" s="186"/>
      <c r="G72" s="186"/>
      <c r="H72" s="186"/>
      <c r="I72" s="186"/>
      <c r="J72" s="236"/>
      <c r="K72" s="185"/>
      <c r="L72" s="189"/>
      <c r="M72" s="189"/>
      <c r="N72" s="335"/>
      <c r="O72" s="335"/>
      <c r="P72" s="494"/>
      <c r="Q72" s="59"/>
    </row>
    <row r="73" spans="1:17" ht="15" customHeight="1" x14ac:dyDescent="0.2">
      <c r="A73" s="462"/>
      <c r="B73" s="511"/>
      <c r="C73" s="167" t="s">
        <v>52</v>
      </c>
      <c r="D73" s="346">
        <v>18.28</v>
      </c>
      <c r="E73" s="346">
        <v>0.56000000000000005</v>
      </c>
      <c r="F73" s="179"/>
      <c r="G73" s="179"/>
      <c r="H73" s="179"/>
      <c r="I73" s="186"/>
      <c r="J73" s="236"/>
      <c r="K73" s="185"/>
      <c r="L73" s="189"/>
      <c r="M73" s="189"/>
      <c r="N73" s="335"/>
      <c r="O73" s="335"/>
      <c r="P73" s="494"/>
      <c r="Q73" s="59"/>
    </row>
    <row r="74" spans="1:17" ht="15" customHeight="1" x14ac:dyDescent="0.2">
      <c r="A74" s="462"/>
      <c r="B74" s="511"/>
      <c r="C74" s="167" t="s">
        <v>29</v>
      </c>
      <c r="D74" s="346">
        <v>0.93</v>
      </c>
      <c r="E74" s="346">
        <v>0.12</v>
      </c>
      <c r="F74" s="186"/>
      <c r="G74" s="186"/>
      <c r="H74" s="186"/>
      <c r="I74" s="186"/>
      <c r="J74" s="236"/>
      <c r="K74" s="185"/>
      <c r="L74" s="189"/>
      <c r="M74" s="189"/>
      <c r="N74" s="335"/>
      <c r="O74" s="335"/>
      <c r="P74" s="494"/>
      <c r="Q74" s="59"/>
    </row>
    <row r="75" spans="1:17" ht="15" customHeight="1" x14ac:dyDescent="0.2">
      <c r="A75" s="462"/>
      <c r="B75" s="511"/>
      <c r="C75" s="167" t="s">
        <v>12</v>
      </c>
      <c r="D75" s="346">
        <v>2.61</v>
      </c>
      <c r="E75" s="346">
        <v>0.1</v>
      </c>
      <c r="F75" s="186"/>
      <c r="G75" s="186"/>
      <c r="H75" s="186"/>
      <c r="I75" s="186"/>
      <c r="J75" s="236"/>
      <c r="K75" s="185"/>
      <c r="L75" s="189"/>
      <c r="M75" s="189"/>
      <c r="N75" s="335"/>
      <c r="O75" s="335"/>
      <c r="P75" s="494"/>
      <c r="Q75" s="59"/>
    </row>
    <row r="76" spans="1:17" ht="15" customHeight="1" x14ac:dyDescent="0.2">
      <c r="A76" s="462"/>
      <c r="B76" s="511"/>
      <c r="C76" s="167" t="s">
        <v>13</v>
      </c>
      <c r="D76" s="346">
        <v>2.89</v>
      </c>
      <c r="E76" s="346">
        <v>0.1</v>
      </c>
      <c r="F76" s="186"/>
      <c r="G76" s="186"/>
      <c r="H76" s="186"/>
      <c r="I76" s="186"/>
      <c r="J76" s="236"/>
      <c r="K76" s="185"/>
      <c r="L76" s="189"/>
      <c r="M76" s="189"/>
      <c r="N76" s="335"/>
      <c r="O76" s="335"/>
      <c r="P76" s="494"/>
      <c r="Q76" s="59"/>
    </row>
    <row r="77" spans="1:17" ht="15" customHeight="1" x14ac:dyDescent="0.2">
      <c r="A77" s="473"/>
      <c r="B77" s="512"/>
      <c r="C77" s="366" t="s">
        <v>14</v>
      </c>
      <c r="D77" s="367">
        <v>2.78</v>
      </c>
      <c r="E77" s="367">
        <v>0.11</v>
      </c>
      <c r="F77" s="368"/>
      <c r="G77" s="368"/>
      <c r="H77" s="368"/>
      <c r="I77" s="368"/>
      <c r="J77" s="369"/>
      <c r="K77" s="370"/>
      <c r="L77" s="371"/>
      <c r="M77" s="371"/>
      <c r="N77" s="386"/>
      <c r="O77" s="386"/>
      <c r="P77" s="500"/>
      <c r="Q77" s="59"/>
    </row>
    <row r="78" spans="1:17" x14ac:dyDescent="0.2">
      <c r="A78" s="33"/>
      <c r="B78" s="181"/>
      <c r="C78" s="33"/>
      <c r="D78" s="33"/>
      <c r="E78" s="33"/>
      <c r="F78" s="74"/>
      <c r="G78" s="74"/>
      <c r="H78" s="74"/>
      <c r="I78" s="74"/>
      <c r="J78" s="333"/>
      <c r="K78" s="117"/>
      <c r="L78" s="178"/>
      <c r="M78" s="178"/>
      <c r="N78" s="117"/>
      <c r="O78" s="377"/>
      <c r="P78" s="121"/>
    </row>
    <row r="79" spans="1:17" x14ac:dyDescent="0.2">
      <c r="A79" s="33"/>
      <c r="B79" s="181"/>
      <c r="C79" s="33"/>
      <c r="D79" s="33"/>
      <c r="E79" s="33"/>
      <c r="F79" s="74"/>
      <c r="G79" s="74"/>
      <c r="H79" s="74"/>
      <c r="I79" s="74"/>
      <c r="J79" s="333"/>
      <c r="K79" s="393"/>
      <c r="L79" s="178"/>
      <c r="M79" s="178"/>
      <c r="N79" s="393"/>
      <c r="O79" s="393"/>
      <c r="P79" s="394"/>
    </row>
    <row r="80" spans="1:17" ht="16" x14ac:dyDescent="0.2">
      <c r="A80" s="16" t="s">
        <v>180</v>
      </c>
      <c r="B80" s="181"/>
      <c r="C80" s="33"/>
      <c r="D80" s="33"/>
      <c r="E80" s="33"/>
      <c r="F80" s="74"/>
      <c r="G80" s="74"/>
      <c r="H80" s="74"/>
      <c r="I80" s="74"/>
      <c r="J80" s="333"/>
      <c r="K80" s="117"/>
      <c r="L80" s="178"/>
      <c r="M80" s="178"/>
      <c r="N80" s="117"/>
      <c r="O80" s="377"/>
      <c r="P80" s="121"/>
    </row>
    <row r="81" spans="1:1" ht="16" x14ac:dyDescent="0.2">
      <c r="A81" s="320" t="s">
        <v>670</v>
      </c>
    </row>
    <row r="82" spans="1:1" ht="16" x14ac:dyDescent="0.2">
      <c r="A82" s="17" t="s">
        <v>700</v>
      </c>
    </row>
  </sheetData>
  <sortState ref="C59:E64">
    <sortCondition ref="D59:D64"/>
  </sortState>
  <mergeCells count="44">
    <mergeCell ref="A69:A77"/>
    <mergeCell ref="B69:B77"/>
    <mergeCell ref="A50:A59"/>
    <mergeCell ref="B50:B52"/>
    <mergeCell ref="P50:P52"/>
    <mergeCell ref="B53:B55"/>
    <mergeCell ref="P53:P55"/>
    <mergeCell ref="A60:A68"/>
    <mergeCell ref="B60:B62"/>
    <mergeCell ref="P60:P62"/>
    <mergeCell ref="B63:B68"/>
    <mergeCell ref="P63:P68"/>
    <mergeCell ref="L8:O8"/>
    <mergeCell ref="B38:B42"/>
    <mergeCell ref="P69:P77"/>
    <mergeCell ref="B57:B59"/>
    <mergeCell ref="P57:P59"/>
    <mergeCell ref="P38:P42"/>
    <mergeCell ref="K8:K9"/>
    <mergeCell ref="P8:P9"/>
    <mergeCell ref="F8:I8"/>
    <mergeCell ref="J8:J9"/>
    <mergeCell ref="A43:A49"/>
    <mergeCell ref="B43:B48"/>
    <mergeCell ref="P43:P48"/>
    <mergeCell ref="A25:A42"/>
    <mergeCell ref="B26:B29"/>
    <mergeCell ref="P26:P29"/>
    <mergeCell ref="B30:B32"/>
    <mergeCell ref="P30:P34"/>
    <mergeCell ref="B33:B34"/>
    <mergeCell ref="B35:B36"/>
    <mergeCell ref="A10:A24"/>
    <mergeCell ref="B10:B13"/>
    <mergeCell ref="P10:P13"/>
    <mergeCell ref="B14:B18"/>
    <mergeCell ref="P14:P18"/>
    <mergeCell ref="B19:B24"/>
    <mergeCell ref="P19:P24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horizontalDpi="0" verticalDpi="0"/>
  <ignoredErrors>
    <ignoredError sqref="F15:F18 F20:F24 F27:F34 F36:F37 F39:F42 F44:F49 F51:F52 F54:F56 F58:F59 F61:F62 G15:G18 G20:G24 G27:G34 G36:G37 G39:G42 G44:G49 G51:G52 G54:G56 G58:G59 G61:G62 F64:G68 F11:G13 F10:I10 F14:G14 H11:I13 F69:I77 F63:G63 F60:G60 F57:G57 F53:G53 F50:G50 F43:G43 F38:G38 H37:I37 F35:G35 H27:I34 F26:G26 F19:G19 H15:I18 N11:N13 H24:I24 I26 I19 I14 O10:O13 L69:M77 L11:M13 L10:M10 L43:M43 L38:M38 L14:M14 L19:M19 L35:M35 L27:M34 L36:M37 L20:M25 L15:M18 L26:M26 L54:M55 L61:M62 L58:M59 L51:M52 L44:M48 L64:M68 L39:M42 L53:M53 L60:M60 L63:M63 L57:M57 O51:O63 O44:O49 O36:O37 O39:O42 O26:O34 O15:O18 O19:O25 N20:N25 N15:N18 N14:O14 N19 N35:O35 N27:N34 N43:O43 N39:N42 N38:O38 N36:N37 L50:O50 N44:N48 N64:O68 N51:N52 N58:N59 N57 N63 N61:N62 N60 N54:N56 N53 N26 I63 I60 I57 I53 I50 H39:I42 H44:I49 H51:I52 H54:I56 H58:I59 H61:I62 H64:I68 H38:I38 H63 H60 H57 H53 H50 H43:I43" formulaRange="1"/>
    <ignoredError sqref="J20 J44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workbookViewId="0">
      <pane xSplit="3" topLeftCell="D1" activePane="topRight" state="frozen"/>
      <selection pane="topRight" activeCell="A9" sqref="A9:A10"/>
    </sheetView>
  </sheetViews>
  <sheetFormatPr baseColWidth="10" defaultRowHeight="14" x14ac:dyDescent="0.2"/>
  <cols>
    <col min="1" max="1" width="8.3984375" style="126" customWidth="1"/>
    <col min="2" max="2" width="28.796875" style="126" customWidth="1"/>
    <col min="3" max="3" width="17" style="126" customWidth="1"/>
    <col min="4" max="4" width="11" style="126"/>
    <col min="5" max="5" width="11" style="127"/>
    <col min="6" max="6" width="11" style="128" customWidth="1"/>
    <col min="7" max="7" width="11.59765625" style="129" customWidth="1"/>
    <col min="8" max="9" width="11" style="129"/>
    <col min="10" max="10" width="3" style="129" customWidth="1"/>
    <col min="11" max="11" width="12.796875" style="152" customWidth="1"/>
    <col min="12" max="12" width="10.3984375" style="127" customWidth="1"/>
    <col min="13" max="13" width="9.19921875" style="127" customWidth="1"/>
    <col min="14" max="14" width="10.59765625" style="127" customWidth="1"/>
    <col min="15" max="15" width="18.59765625" style="128" bestFit="1" customWidth="1"/>
    <col min="16" max="16" width="2.3984375" style="128" customWidth="1"/>
    <col min="17" max="17" width="10.796875" style="128" customWidth="1"/>
    <col min="18" max="18" width="19" style="128" bestFit="1" customWidth="1"/>
    <col min="19" max="19" width="12.796875" style="128" customWidth="1"/>
    <col min="20" max="20" width="22" style="128" customWidth="1"/>
    <col min="21" max="21" width="19" style="128" bestFit="1" customWidth="1"/>
    <col min="22" max="22" width="12.3984375" style="128" customWidth="1"/>
    <col min="23" max="23" width="26.796875" style="128" customWidth="1"/>
    <col min="24" max="24" width="2.796875" style="128" customWidth="1"/>
    <col min="25" max="25" width="17.3984375" style="132" bestFit="1" customWidth="1"/>
    <col min="26" max="26" width="12.3984375" style="132" customWidth="1"/>
    <col min="27" max="27" width="12.59765625" style="132" customWidth="1"/>
    <col min="28" max="28" width="45.59765625" style="126" customWidth="1"/>
    <col min="29" max="16384" width="11" style="133"/>
  </cols>
  <sheetData>
    <row r="1" spans="1:41" ht="16" customHeight="1" x14ac:dyDescent="0.2">
      <c r="A1" s="320" t="s">
        <v>727</v>
      </c>
    </row>
    <row r="2" spans="1:41" ht="16" customHeight="1" x14ac:dyDescent="0.2">
      <c r="A2" s="319" t="s">
        <v>728</v>
      </c>
      <c r="D2" s="167"/>
      <c r="E2" s="346"/>
      <c r="F2" s="347"/>
    </row>
    <row r="3" spans="1:41" ht="16" customHeight="1" x14ac:dyDescent="0.2">
      <c r="A3" s="320" t="s">
        <v>655</v>
      </c>
      <c r="D3" s="167"/>
      <c r="E3" s="346"/>
      <c r="F3" s="347"/>
    </row>
    <row r="4" spans="1:41" x14ac:dyDescent="0.2">
      <c r="D4" s="167"/>
      <c r="E4" s="346"/>
      <c r="F4" s="347"/>
    </row>
    <row r="5" spans="1:41" x14ac:dyDescent="0.2">
      <c r="A5" s="134"/>
      <c r="K5" s="130"/>
      <c r="R5" s="131"/>
      <c r="U5" s="131"/>
    </row>
    <row r="6" spans="1:41" ht="16" x14ac:dyDescent="0.2">
      <c r="A6" s="56" t="s">
        <v>646</v>
      </c>
      <c r="K6" s="202" t="s">
        <v>607</v>
      </c>
      <c r="L6" s="198"/>
      <c r="M6" s="198"/>
      <c r="N6" s="198"/>
      <c r="O6" s="199"/>
      <c r="P6" s="218"/>
      <c r="Q6" s="203" t="s">
        <v>608</v>
      </c>
      <c r="R6" s="200"/>
      <c r="S6" s="239"/>
      <c r="T6" s="239"/>
      <c r="U6" s="200"/>
      <c r="V6" s="193"/>
      <c r="W6" s="193"/>
    </row>
    <row r="7" spans="1:41" ht="15" x14ac:dyDescent="0.2">
      <c r="A7" s="134"/>
      <c r="K7" s="201"/>
      <c r="L7" s="198"/>
      <c r="M7" s="198"/>
      <c r="N7" s="198"/>
      <c r="O7" s="199"/>
      <c r="P7" s="218"/>
      <c r="Q7" s="200" t="s">
        <v>678</v>
      </c>
      <c r="R7" s="200"/>
      <c r="S7" s="239"/>
      <c r="T7" s="239"/>
      <c r="U7" s="200"/>
      <c r="V7" s="193"/>
      <c r="W7" s="193"/>
    </row>
    <row r="8" spans="1:41" ht="15" x14ac:dyDescent="0.2">
      <c r="K8" s="201"/>
      <c r="L8" s="198"/>
      <c r="M8" s="198"/>
      <c r="N8" s="198"/>
      <c r="O8" s="199"/>
      <c r="P8" s="218"/>
      <c r="Q8" s="200" t="s">
        <v>580</v>
      </c>
      <c r="R8" s="239"/>
      <c r="S8" s="239"/>
      <c r="T8" s="239"/>
      <c r="U8" s="200" t="s">
        <v>581</v>
      </c>
      <c r="V8" s="193"/>
      <c r="W8" s="193"/>
    </row>
    <row r="9" spans="1:41" s="136" customFormat="1" ht="30" customHeight="1" x14ac:dyDescent="0.2">
      <c r="A9" s="527" t="s">
        <v>71</v>
      </c>
      <c r="B9" s="528" t="s">
        <v>72</v>
      </c>
      <c r="C9" s="516" t="s">
        <v>94</v>
      </c>
      <c r="D9" s="517" t="s">
        <v>664</v>
      </c>
      <c r="E9" s="518" t="s">
        <v>155</v>
      </c>
      <c r="F9" s="520" t="s">
        <v>604</v>
      </c>
      <c r="G9" s="519" t="s">
        <v>663</v>
      </c>
      <c r="H9" s="519" t="s">
        <v>679</v>
      </c>
      <c r="I9" s="529" t="s">
        <v>680</v>
      </c>
      <c r="J9" s="215"/>
      <c r="K9" s="195" t="s">
        <v>719</v>
      </c>
      <c r="L9" s="196" t="s">
        <v>659</v>
      </c>
      <c r="M9" s="196" t="s">
        <v>660</v>
      </c>
      <c r="N9" s="196" t="s">
        <v>661</v>
      </c>
      <c r="O9" s="197" t="s">
        <v>582</v>
      </c>
      <c r="P9" s="217"/>
      <c r="Q9" s="522" t="s">
        <v>666</v>
      </c>
      <c r="R9" s="194" t="s">
        <v>583</v>
      </c>
      <c r="S9" s="194" t="s">
        <v>667</v>
      </c>
      <c r="T9" s="194" t="s">
        <v>584</v>
      </c>
      <c r="U9" s="194" t="s">
        <v>583</v>
      </c>
      <c r="V9" s="194" t="s">
        <v>667</v>
      </c>
      <c r="W9" s="194" t="s">
        <v>584</v>
      </c>
      <c r="X9" s="217"/>
      <c r="Y9" s="192" t="s">
        <v>179</v>
      </c>
      <c r="Z9" s="192" t="s">
        <v>606</v>
      </c>
      <c r="AA9" s="192" t="s">
        <v>605</v>
      </c>
      <c r="AB9" s="135" t="s">
        <v>585</v>
      </c>
    </row>
    <row r="10" spans="1:41" s="136" customFormat="1" ht="33" customHeight="1" x14ac:dyDescent="0.2">
      <c r="A10" s="527"/>
      <c r="B10" s="528"/>
      <c r="C10" s="516"/>
      <c r="D10" s="517"/>
      <c r="E10" s="518"/>
      <c r="F10" s="521"/>
      <c r="G10" s="519"/>
      <c r="H10" s="519"/>
      <c r="I10" s="530"/>
      <c r="J10" s="216"/>
      <c r="K10" s="190" t="s">
        <v>665</v>
      </c>
      <c r="L10" s="196" t="s">
        <v>586</v>
      </c>
      <c r="M10" s="196" t="s">
        <v>586</v>
      </c>
      <c r="N10" s="196" t="s">
        <v>586</v>
      </c>
      <c r="O10" s="197" t="s">
        <v>587</v>
      </c>
      <c r="P10" s="217"/>
      <c r="Q10" s="523"/>
      <c r="R10" s="194" t="s">
        <v>611</v>
      </c>
      <c r="S10" s="194"/>
      <c r="T10" s="194" t="s">
        <v>669</v>
      </c>
      <c r="U10" s="194" t="s">
        <v>611</v>
      </c>
      <c r="V10" s="194"/>
      <c r="W10" s="194" t="s">
        <v>668</v>
      </c>
      <c r="X10" s="217"/>
      <c r="Y10" s="524" t="s">
        <v>658</v>
      </c>
      <c r="Z10" s="525"/>
      <c r="AA10" s="526"/>
      <c r="AB10" s="135"/>
      <c r="AC10" s="207" t="s">
        <v>673</v>
      </c>
      <c r="AJ10" s="137"/>
      <c r="AK10" s="137"/>
      <c r="AL10" s="137"/>
    </row>
    <row r="11" spans="1:41" ht="15" customHeight="1" x14ac:dyDescent="0.2">
      <c r="A11" s="462" t="s">
        <v>79</v>
      </c>
      <c r="B11" s="484" t="s">
        <v>518</v>
      </c>
      <c r="C11" s="138" t="s">
        <v>73</v>
      </c>
      <c r="D11" s="411">
        <v>5.29</v>
      </c>
      <c r="E11" s="139">
        <v>0.34</v>
      </c>
      <c r="F11" s="128">
        <f>COUNT(D11:D14)</f>
        <v>4</v>
      </c>
      <c r="G11" s="129">
        <f>AVERAGE(D11:D14)</f>
        <v>6.9474999999999998</v>
      </c>
      <c r="H11" s="129">
        <f>STDEV(D11:D14)</f>
        <v>1.2207750270490745</v>
      </c>
      <c r="I11" s="140">
        <f>H11/G11</f>
        <v>0.17571428960763938</v>
      </c>
      <c r="J11" s="140"/>
      <c r="K11" s="141">
        <f>ABS(D11-$G$11)/$H$11</f>
        <v>1.3577440259460429</v>
      </c>
      <c r="L11" s="142">
        <f>NORMDIST(D11,$G$11,$H$11,TRUE)</f>
        <v>8.7272460810952468E-2</v>
      </c>
      <c r="M11" s="142">
        <f t="shared" ref="M11:M30" si="0">IF(L11&gt;0.5,2*(L11-0.5),2*(0.5-L11))</f>
        <v>0.82545507837809506</v>
      </c>
      <c r="N11" s="142">
        <f t="shared" ref="N11:N30" si="1">IF(L11&gt;0.5,2*(1-L11),2*L11)</f>
        <v>0.17454492162190494</v>
      </c>
      <c r="O11" s="143">
        <f>$F$11*N11</f>
        <v>0.69817968648761974</v>
      </c>
      <c r="P11" s="144"/>
      <c r="Q11" s="145">
        <f>ABS(D11-$G$11)</f>
        <v>1.6574999999999998</v>
      </c>
      <c r="R11" s="146">
        <v>1.383</v>
      </c>
      <c r="S11" s="146">
        <f>R11*H11</f>
        <v>1.6883318624088701</v>
      </c>
      <c r="T11" s="147" t="str">
        <f>IF(Q11&gt;$S$11, "Reject", "Accept")</f>
        <v>Accept</v>
      </c>
      <c r="U11" s="147"/>
      <c r="V11" s="147"/>
      <c r="W11" s="147"/>
      <c r="X11" s="147"/>
      <c r="Y11" s="129">
        <f>G11</f>
        <v>6.9474999999999998</v>
      </c>
      <c r="Z11" s="129">
        <f>H11</f>
        <v>1.2207750270490745</v>
      </c>
      <c r="AA11" s="140">
        <f>Z11/Y11</f>
        <v>0.17571428960763938</v>
      </c>
      <c r="AB11" s="148" t="s">
        <v>676</v>
      </c>
      <c r="AJ11" s="73"/>
      <c r="AK11" s="149"/>
      <c r="AL11" s="73"/>
      <c r="AM11" s="137"/>
      <c r="AN11" s="137"/>
      <c r="AO11" s="137"/>
    </row>
    <row r="12" spans="1:41" ht="15" customHeight="1" x14ac:dyDescent="0.2">
      <c r="A12" s="463"/>
      <c r="B12" s="484"/>
      <c r="C12" s="138" t="s">
        <v>64</v>
      </c>
      <c r="D12" s="411">
        <v>6.88</v>
      </c>
      <c r="E12" s="139">
        <v>0.23</v>
      </c>
      <c r="K12" s="141">
        <f>ABS(D12-$G$11)/$H$11</f>
        <v>5.5292743138074064E-2</v>
      </c>
      <c r="L12" s="142">
        <f>NORMDIST(D12,$G$11,$H$11,TRUE)</f>
        <v>0.47795262173028236</v>
      </c>
      <c r="M12" s="142">
        <f t="shared" si="0"/>
        <v>4.4094756539435287E-2</v>
      </c>
      <c r="N12" s="142">
        <f t="shared" si="1"/>
        <v>0.95590524346056471</v>
      </c>
      <c r="O12" s="150">
        <f>$F$11*N12</f>
        <v>3.8236209738422589</v>
      </c>
      <c r="P12" s="150"/>
      <c r="Q12" s="145">
        <f>ABS(D12-$G$11)</f>
        <v>6.7499999999999893E-2</v>
      </c>
      <c r="R12" s="128" t="s">
        <v>588</v>
      </c>
      <c r="T12" s="147" t="str">
        <f>IF(Q12&gt;$S$11, "Reject", "Accept")</f>
        <v>Accept</v>
      </c>
      <c r="U12" s="147"/>
      <c r="V12" s="147"/>
      <c r="W12" s="147"/>
      <c r="X12" s="147"/>
      <c r="AB12" s="148"/>
      <c r="AJ12" s="73"/>
      <c r="AK12" s="149"/>
      <c r="AL12" s="73"/>
      <c r="AM12" s="73"/>
      <c r="AN12" s="73"/>
      <c r="AO12" s="73"/>
    </row>
    <row r="13" spans="1:41" ht="15" customHeight="1" x14ac:dyDescent="0.2">
      <c r="A13" s="463"/>
      <c r="B13" s="484"/>
      <c r="C13" s="138" t="s">
        <v>74</v>
      </c>
      <c r="D13" s="411">
        <v>7.47</v>
      </c>
      <c r="E13" s="139">
        <v>0.28000000000000003</v>
      </c>
      <c r="K13" s="141">
        <f>ABS(D13-$G$11)/$H$11</f>
        <v>0.42800678947620358</v>
      </c>
      <c r="L13" s="142">
        <f>NORMDIST(D13,$G$11,$H$11,TRUE)</f>
        <v>0.66567691134659523</v>
      </c>
      <c r="M13" s="142">
        <f t="shared" si="0"/>
        <v>0.33135382269319047</v>
      </c>
      <c r="N13" s="142">
        <f t="shared" si="1"/>
        <v>0.66864617730680953</v>
      </c>
      <c r="O13" s="150">
        <f>$F$11*N13</f>
        <v>2.6745847092272381</v>
      </c>
      <c r="P13" s="150"/>
      <c r="Q13" s="145">
        <f>ABS(D13-$G$11)</f>
        <v>0.52249999999999996</v>
      </c>
      <c r="R13" s="150"/>
      <c r="S13" s="150"/>
      <c r="T13" s="147" t="str">
        <f>IF(Q13&gt;$S$11, "Reject", "Accept")</f>
        <v>Accept</v>
      </c>
      <c r="U13" s="147"/>
      <c r="V13" s="147"/>
      <c r="W13" s="147"/>
      <c r="X13" s="147"/>
      <c r="Y13" s="151"/>
      <c r="Z13" s="151"/>
      <c r="AA13" s="151"/>
      <c r="AB13" s="152"/>
      <c r="AJ13" s="73"/>
      <c r="AK13" s="149"/>
      <c r="AL13" s="73"/>
      <c r="AM13" s="73"/>
      <c r="AN13" s="73"/>
      <c r="AO13" s="73"/>
    </row>
    <row r="14" spans="1:41" ht="15" customHeight="1" x14ac:dyDescent="0.2">
      <c r="A14" s="463"/>
      <c r="B14" s="484"/>
      <c r="C14" s="138" t="s">
        <v>65</v>
      </c>
      <c r="D14" s="411">
        <v>8.15</v>
      </c>
      <c r="E14" s="139">
        <v>0.17</v>
      </c>
      <c r="K14" s="141">
        <f>ABS(D14-$G$11)/$H$11</f>
        <v>0.98502997960791405</v>
      </c>
      <c r="L14" s="142">
        <f>NORMDIST(D14,$G$11,$H$11,TRUE)</f>
        <v>0.83769532740145469</v>
      </c>
      <c r="M14" s="142">
        <f t="shared" si="0"/>
        <v>0.67539065480290938</v>
      </c>
      <c r="N14" s="142">
        <f t="shared" si="1"/>
        <v>0.32460934519709062</v>
      </c>
      <c r="O14" s="150">
        <f>$F$11*N14</f>
        <v>1.2984373807883625</v>
      </c>
      <c r="P14" s="150"/>
      <c r="Q14" s="145">
        <f>ABS(D14-$G$11)</f>
        <v>1.2025000000000006</v>
      </c>
      <c r="R14" s="150"/>
      <c r="S14" s="150"/>
      <c r="T14" s="147" t="str">
        <f>IF(Q14&gt;$S$11, "Reject", "Accept")</f>
        <v>Accept</v>
      </c>
      <c r="U14" s="147"/>
      <c r="V14" s="147"/>
      <c r="W14" s="147"/>
      <c r="X14" s="147"/>
      <c r="Y14" s="151"/>
      <c r="Z14" s="151"/>
      <c r="AA14" s="151"/>
      <c r="AB14" s="152"/>
      <c r="AJ14" s="73"/>
      <c r="AK14" s="149"/>
      <c r="AL14" s="73"/>
      <c r="AM14" s="73"/>
      <c r="AN14" s="73"/>
      <c r="AO14" s="73"/>
    </row>
    <row r="15" spans="1:41" ht="15" customHeight="1" x14ac:dyDescent="0.2">
      <c r="A15" s="463"/>
      <c r="B15" s="484" t="s">
        <v>519</v>
      </c>
      <c r="C15" s="153" t="s">
        <v>59</v>
      </c>
      <c r="D15" s="412">
        <v>0.8</v>
      </c>
      <c r="E15" s="413">
        <v>0.03</v>
      </c>
      <c r="F15" s="154">
        <f>COUNT(D15:D19)</f>
        <v>5</v>
      </c>
      <c r="G15" s="155">
        <f>AVERAGE(D15:D19)</f>
        <v>2.1840000000000002</v>
      </c>
      <c r="H15" s="155">
        <f>STDEV(D15:D19)</f>
        <v>0.98271562519377842</v>
      </c>
      <c r="I15" s="156">
        <f>H15/G15</f>
        <v>0.44996136684696808</v>
      </c>
      <c r="J15" s="140"/>
      <c r="K15" s="157">
        <f>ABS(D15-$G$15)/$H$15</f>
        <v>1.4083423164530366</v>
      </c>
      <c r="L15" s="158">
        <f>NORMDIST(D15,$G$15,$H$15,TRUE)</f>
        <v>7.9514865500266471E-2</v>
      </c>
      <c r="M15" s="158">
        <f t="shared" si="0"/>
        <v>0.84097026899946703</v>
      </c>
      <c r="N15" s="158">
        <f t="shared" si="1"/>
        <v>0.15902973100053294</v>
      </c>
      <c r="O15" s="159">
        <f>$F$15*N15</f>
        <v>0.79514865500266474</v>
      </c>
      <c r="P15" s="144"/>
      <c r="Q15" s="160">
        <f>ABS(D15-$G$15)</f>
        <v>1.3840000000000001</v>
      </c>
      <c r="R15" s="161">
        <v>1.5089999999999999</v>
      </c>
      <c r="S15" s="161">
        <f>R15*H15</f>
        <v>1.4829178784174115</v>
      </c>
      <c r="T15" s="162" t="str">
        <f>IF(Q15&gt;$S$15, "Reject", "Accept")</f>
        <v>Accept</v>
      </c>
      <c r="U15" s="162"/>
      <c r="V15" s="162"/>
      <c r="W15" s="162"/>
      <c r="X15" s="147"/>
      <c r="Y15" s="155">
        <f>AVERAGE(D16:D19)</f>
        <v>2.5300000000000002</v>
      </c>
      <c r="Z15" s="155">
        <f>STDEV(D16:D19)</f>
        <v>0.69966658726377162</v>
      </c>
      <c r="AA15" s="156">
        <f>Z15/Y15</f>
        <v>0.27654805820702433</v>
      </c>
      <c r="AB15" s="148" t="s">
        <v>676</v>
      </c>
      <c r="AJ15" s="73"/>
      <c r="AK15" s="149"/>
      <c r="AL15" s="73"/>
      <c r="AM15" s="73"/>
      <c r="AN15" s="73"/>
      <c r="AO15" s="73"/>
    </row>
    <row r="16" spans="1:41" ht="15" customHeight="1" x14ac:dyDescent="0.2">
      <c r="A16" s="463"/>
      <c r="B16" s="484"/>
      <c r="C16" s="153" t="s">
        <v>62</v>
      </c>
      <c r="D16" s="412">
        <v>1.56</v>
      </c>
      <c r="E16" s="413">
        <v>0.09</v>
      </c>
      <c r="F16" s="154"/>
      <c r="G16" s="155"/>
      <c r="H16" s="155"/>
      <c r="I16" s="155"/>
      <c r="K16" s="157">
        <f>ABS(D16-$G$15)/$H$15</f>
        <v>0.63497514845859471</v>
      </c>
      <c r="L16" s="158">
        <f>NORMDIST(D16,$G$15,$H$15,TRUE)</f>
        <v>0.26272231165201765</v>
      </c>
      <c r="M16" s="158">
        <f t="shared" si="0"/>
        <v>0.4745553766959647</v>
      </c>
      <c r="N16" s="158">
        <f t="shared" si="1"/>
        <v>0.5254446233040353</v>
      </c>
      <c r="O16" s="163">
        <f>$F$15*N16</f>
        <v>2.6272231165201765</v>
      </c>
      <c r="P16" s="150"/>
      <c r="Q16" s="160">
        <f>ABS(D16-$G$15)</f>
        <v>0.62400000000000011</v>
      </c>
      <c r="R16" s="163" t="s">
        <v>589</v>
      </c>
      <c r="S16" s="163"/>
      <c r="T16" s="162" t="str">
        <f>IF(Q16&gt;$S$15, "Reject", "Accept")</f>
        <v>Accept</v>
      </c>
      <c r="U16" s="162"/>
      <c r="V16" s="162"/>
      <c r="W16" s="162"/>
      <c r="X16" s="147"/>
      <c r="Y16" s="164"/>
      <c r="Z16" s="164"/>
      <c r="AA16" s="164"/>
      <c r="AB16" s="148"/>
      <c r="AJ16" s="73"/>
      <c r="AK16" s="149"/>
      <c r="AL16" s="73"/>
      <c r="AM16" s="73"/>
      <c r="AN16" s="73"/>
      <c r="AO16" s="73"/>
    </row>
    <row r="17" spans="1:41" ht="15" customHeight="1" x14ac:dyDescent="0.2">
      <c r="A17" s="463"/>
      <c r="B17" s="484"/>
      <c r="C17" s="153" t="s">
        <v>61</v>
      </c>
      <c r="D17" s="412">
        <v>2.5499999999999998</v>
      </c>
      <c r="E17" s="413">
        <v>7.0000000000000007E-2</v>
      </c>
      <c r="F17" s="154"/>
      <c r="G17" s="155"/>
      <c r="H17" s="155"/>
      <c r="I17" s="155"/>
      <c r="K17" s="157">
        <f>ABS(D17-$G$15)/$H$15</f>
        <v>0.37243734669205991</v>
      </c>
      <c r="L17" s="158">
        <f>NORMDIST(D17,$G$15,$H$15,TRUE)</f>
        <v>0.64521637400019349</v>
      </c>
      <c r="M17" s="158">
        <f t="shared" si="0"/>
        <v>0.29043274800038699</v>
      </c>
      <c r="N17" s="158">
        <f t="shared" si="1"/>
        <v>0.70956725199961301</v>
      </c>
      <c r="O17" s="163">
        <f>$F$15*N17</f>
        <v>3.5478362599980651</v>
      </c>
      <c r="P17" s="150"/>
      <c r="Q17" s="160">
        <f>ABS(D17-$G$15)</f>
        <v>0.36599999999999966</v>
      </c>
      <c r="R17" s="163"/>
      <c r="S17" s="163"/>
      <c r="T17" s="162" t="str">
        <f>IF(Q17&gt;$S$15, "Reject", "Accept")</f>
        <v>Accept</v>
      </c>
      <c r="U17" s="162"/>
      <c r="V17" s="162"/>
      <c r="W17" s="162"/>
      <c r="X17" s="147"/>
      <c r="Y17" s="164"/>
      <c r="Z17" s="164"/>
      <c r="AA17" s="164"/>
      <c r="AB17" s="152"/>
      <c r="AJ17" s="73"/>
      <c r="AK17" s="149"/>
      <c r="AL17" s="73"/>
      <c r="AM17" s="73"/>
      <c r="AN17" s="73"/>
      <c r="AO17" s="73"/>
    </row>
    <row r="18" spans="1:41" ht="15" customHeight="1" x14ac:dyDescent="0.2">
      <c r="A18" s="463"/>
      <c r="B18" s="484"/>
      <c r="C18" s="153" t="s">
        <v>60</v>
      </c>
      <c r="D18" s="412">
        <v>2.81</v>
      </c>
      <c r="E18" s="413">
        <v>0.08</v>
      </c>
      <c r="F18" s="154"/>
      <c r="G18" s="155"/>
      <c r="H18" s="155"/>
      <c r="I18" s="155"/>
      <c r="K18" s="157">
        <f>ABS(D18-$G$15)/$H$15</f>
        <v>0.63701032521647449</v>
      </c>
      <c r="L18" s="158">
        <f>NORMDIST(D18,$G$15,$H$15,TRUE)</f>
        <v>0.73794094096342222</v>
      </c>
      <c r="M18" s="158">
        <f t="shared" si="0"/>
        <v>0.47588188192684444</v>
      </c>
      <c r="N18" s="158">
        <f t="shared" si="1"/>
        <v>0.52411811807315556</v>
      </c>
      <c r="O18" s="163">
        <f>$F$15*N18</f>
        <v>2.6205905903657776</v>
      </c>
      <c r="P18" s="150"/>
      <c r="Q18" s="160">
        <f>ABS(D18-$G$15)</f>
        <v>0.62599999999999989</v>
      </c>
      <c r="R18" s="163"/>
      <c r="S18" s="163"/>
      <c r="T18" s="162" t="str">
        <f>IF(Q18&gt;$S$15, "Reject", "Accept")</f>
        <v>Accept</v>
      </c>
      <c r="U18" s="162"/>
      <c r="V18" s="162"/>
      <c r="W18" s="162"/>
      <c r="X18" s="147"/>
      <c r="Y18" s="164"/>
      <c r="Z18" s="164"/>
      <c r="AA18" s="164"/>
      <c r="AB18" s="152"/>
      <c r="AJ18" s="73"/>
      <c r="AK18" s="149"/>
      <c r="AL18" s="73"/>
      <c r="AM18" s="73"/>
      <c r="AN18" s="73"/>
      <c r="AO18" s="73"/>
    </row>
    <row r="19" spans="1:41" ht="15" customHeight="1" x14ac:dyDescent="0.2">
      <c r="A19" s="463"/>
      <c r="B19" s="484"/>
      <c r="C19" s="153" t="s">
        <v>63</v>
      </c>
      <c r="D19" s="412">
        <v>3.2</v>
      </c>
      <c r="E19" s="413">
        <v>0.08</v>
      </c>
      <c r="F19" s="154"/>
      <c r="G19" s="155"/>
      <c r="H19" s="155"/>
      <c r="I19" s="155"/>
      <c r="K19" s="157">
        <f>ABS(D19-$G$15)/$H$15</f>
        <v>1.0338697930030962</v>
      </c>
      <c r="L19" s="158">
        <f>NORMDIST(D19,$G$15,$H$15,TRUE)</f>
        <v>0.8494014808574577</v>
      </c>
      <c r="M19" s="158">
        <f t="shared" si="0"/>
        <v>0.6988029617149154</v>
      </c>
      <c r="N19" s="158">
        <f t="shared" si="1"/>
        <v>0.3011970382850846</v>
      </c>
      <c r="O19" s="163">
        <f>$F$15*N19</f>
        <v>1.505985191425423</v>
      </c>
      <c r="P19" s="150"/>
      <c r="Q19" s="160">
        <f>ABS(D19-$G$15)</f>
        <v>1.016</v>
      </c>
      <c r="R19" s="163"/>
      <c r="S19" s="163"/>
      <c r="T19" s="162" t="str">
        <f>IF(Q19&gt;$S$15, "Reject", "Accept")</f>
        <v>Accept</v>
      </c>
      <c r="U19" s="162"/>
      <c r="V19" s="162"/>
      <c r="W19" s="162"/>
      <c r="X19" s="147"/>
      <c r="Y19" s="164"/>
      <c r="Z19" s="164"/>
      <c r="AA19" s="164"/>
      <c r="AB19" s="152"/>
      <c r="AJ19" s="73"/>
      <c r="AK19" s="149"/>
      <c r="AL19" s="73"/>
      <c r="AM19" s="73"/>
      <c r="AN19" s="73"/>
      <c r="AO19" s="73"/>
    </row>
    <row r="20" spans="1:41" ht="15" customHeight="1" x14ac:dyDescent="0.2">
      <c r="A20" s="463"/>
      <c r="B20" s="484" t="s">
        <v>520</v>
      </c>
      <c r="C20" s="138" t="s">
        <v>87</v>
      </c>
      <c r="D20" s="411">
        <v>0.9</v>
      </c>
      <c r="E20" s="139">
        <v>0.1</v>
      </c>
      <c r="F20" s="128">
        <f>COUNT(D20:D25)</f>
        <v>6</v>
      </c>
      <c r="G20" s="129">
        <f>AVERAGE(D20:D25)</f>
        <v>1.4483333333333335</v>
      </c>
      <c r="H20" s="129">
        <f>STDEV(D20:D25)</f>
        <v>0.40216497444042271</v>
      </c>
      <c r="I20" s="140">
        <f>H20/G20</f>
        <v>0.27767432067232867</v>
      </c>
      <c r="J20" s="140"/>
      <c r="K20" s="141">
        <f t="shared" ref="K20:K25" si="2">ABS(D20-$G$20)/$H$20</f>
        <v>1.3634537271583413</v>
      </c>
      <c r="L20" s="142">
        <f t="shared" ref="L20:L25" si="3">NORMDIST(D20,$G$20,$H$20,TRUE)</f>
        <v>8.6369779159483281E-2</v>
      </c>
      <c r="M20" s="142">
        <f t="shared" si="0"/>
        <v>0.82726044168103341</v>
      </c>
      <c r="N20" s="142">
        <f t="shared" si="1"/>
        <v>0.17273955831896656</v>
      </c>
      <c r="O20" s="150">
        <f t="shared" ref="O20:O25" si="4">$F$20*N20</f>
        <v>1.0364373499137993</v>
      </c>
      <c r="P20" s="150"/>
      <c r="Q20" s="145">
        <f t="shared" ref="Q20:Q25" si="5">ABS(D20-$G$20)</f>
        <v>0.54833333333333345</v>
      </c>
      <c r="R20" s="145">
        <v>1.61</v>
      </c>
      <c r="S20" s="145">
        <f>R20*H20</f>
        <v>0.64748560884908057</v>
      </c>
      <c r="T20" s="147" t="str">
        <f t="shared" ref="T20:T25" si="6">IF(Q20&gt;$S$11, "Reject", "Accept")</f>
        <v>Accept</v>
      </c>
      <c r="U20" s="147"/>
      <c r="V20" s="147"/>
      <c r="W20" s="147"/>
      <c r="X20" s="147"/>
      <c r="Y20" s="129">
        <f>G20</f>
        <v>1.4483333333333335</v>
      </c>
      <c r="Z20" s="129">
        <f>H20</f>
        <v>0.40216497444042271</v>
      </c>
      <c r="AA20" s="140">
        <f>Z20/Y20</f>
        <v>0.27767432067232867</v>
      </c>
      <c r="AB20" s="148" t="s">
        <v>676</v>
      </c>
      <c r="AJ20" s="73"/>
      <c r="AK20" s="149"/>
      <c r="AL20" s="73"/>
      <c r="AM20" s="73"/>
      <c r="AN20" s="73"/>
      <c r="AO20" s="73"/>
    </row>
    <row r="21" spans="1:41" ht="15" customHeight="1" x14ac:dyDescent="0.2">
      <c r="A21" s="463"/>
      <c r="B21" s="484"/>
      <c r="C21" s="138" t="s">
        <v>88</v>
      </c>
      <c r="D21" s="411">
        <v>1.04</v>
      </c>
      <c r="E21" s="139">
        <v>0.1</v>
      </c>
      <c r="K21" s="141">
        <f t="shared" si="2"/>
        <v>1.0153378819264245</v>
      </c>
      <c r="L21" s="142">
        <f t="shared" si="3"/>
        <v>0.15497239629835755</v>
      </c>
      <c r="M21" s="142">
        <f t="shared" si="0"/>
        <v>0.69005520740328485</v>
      </c>
      <c r="N21" s="142">
        <f t="shared" si="1"/>
        <v>0.30994479259671509</v>
      </c>
      <c r="O21" s="150">
        <f t="shared" si="4"/>
        <v>1.8596687555802904</v>
      </c>
      <c r="P21" s="150"/>
      <c r="Q21" s="145">
        <f t="shared" si="5"/>
        <v>0.40833333333333344</v>
      </c>
      <c r="R21" s="147" t="s">
        <v>590</v>
      </c>
      <c r="S21" s="147"/>
      <c r="T21" s="147" t="str">
        <f t="shared" si="6"/>
        <v>Accept</v>
      </c>
      <c r="U21" s="147"/>
      <c r="V21" s="147"/>
      <c r="W21" s="147"/>
      <c r="X21" s="147"/>
      <c r="Y21" s="151"/>
      <c r="Z21" s="151"/>
      <c r="AA21" s="151"/>
      <c r="AB21" s="152"/>
      <c r="AJ21" s="73"/>
      <c r="AK21" s="149"/>
      <c r="AL21" s="73"/>
      <c r="AM21" s="73"/>
      <c r="AN21" s="73"/>
      <c r="AO21" s="73"/>
    </row>
    <row r="22" spans="1:41" ht="15" customHeight="1" x14ac:dyDescent="0.2">
      <c r="A22" s="463"/>
      <c r="B22" s="484"/>
      <c r="C22" s="138" t="s">
        <v>89</v>
      </c>
      <c r="D22" s="411">
        <v>1.47</v>
      </c>
      <c r="E22" s="139">
        <v>0.27</v>
      </c>
      <c r="K22" s="141">
        <f t="shared" si="2"/>
        <v>5.3875071285891488E-2</v>
      </c>
      <c r="L22" s="142">
        <f t="shared" si="3"/>
        <v>0.52148265097737689</v>
      </c>
      <c r="M22" s="142">
        <f t="shared" si="0"/>
        <v>4.2965301954753787E-2</v>
      </c>
      <c r="N22" s="142">
        <f t="shared" si="1"/>
        <v>0.95703469804524621</v>
      </c>
      <c r="O22" s="150">
        <f t="shared" si="4"/>
        <v>5.7422081882714773</v>
      </c>
      <c r="P22" s="150"/>
      <c r="Q22" s="145">
        <f t="shared" si="5"/>
        <v>2.1666666666666501E-2</v>
      </c>
      <c r="R22" s="147"/>
      <c r="S22" s="147"/>
      <c r="T22" s="147" t="str">
        <f t="shared" si="6"/>
        <v>Accept</v>
      </c>
      <c r="U22" s="147"/>
      <c r="V22" s="147"/>
      <c r="W22" s="147"/>
      <c r="X22" s="147"/>
      <c r="Y22" s="151"/>
      <c r="Z22" s="151"/>
      <c r="AA22" s="151"/>
      <c r="AB22" s="152"/>
      <c r="AJ22" s="73"/>
      <c r="AK22" s="149"/>
      <c r="AL22" s="73"/>
      <c r="AM22" s="73"/>
      <c r="AN22" s="73"/>
      <c r="AO22" s="73"/>
    </row>
    <row r="23" spans="1:41" ht="15" customHeight="1" x14ac:dyDescent="0.2">
      <c r="A23" s="463"/>
      <c r="B23" s="484"/>
      <c r="C23" s="138" t="s">
        <v>58</v>
      </c>
      <c r="D23" s="411">
        <v>1.58</v>
      </c>
      <c r="E23" s="139">
        <v>0.05</v>
      </c>
      <c r="K23" s="141">
        <f t="shared" si="2"/>
        <v>0.32739466396811212</v>
      </c>
      <c r="L23" s="142">
        <f t="shared" si="3"/>
        <v>0.62831529908783534</v>
      </c>
      <c r="M23" s="142">
        <f t="shared" si="0"/>
        <v>0.25663059817567069</v>
      </c>
      <c r="N23" s="142">
        <f t="shared" si="1"/>
        <v>0.74336940182432931</v>
      </c>
      <c r="O23" s="150">
        <f t="shared" si="4"/>
        <v>4.4602164109459759</v>
      </c>
      <c r="P23" s="150"/>
      <c r="Q23" s="145">
        <f t="shared" si="5"/>
        <v>0.1316666666666666</v>
      </c>
      <c r="R23" s="147"/>
      <c r="S23" s="147"/>
      <c r="T23" s="147" t="str">
        <f t="shared" si="6"/>
        <v>Accept</v>
      </c>
      <c r="U23" s="147"/>
      <c r="V23" s="147"/>
      <c r="W23" s="147"/>
      <c r="X23" s="147"/>
      <c r="Y23" s="151"/>
      <c r="Z23" s="151"/>
      <c r="AA23" s="151"/>
      <c r="AB23" s="152"/>
      <c r="AJ23" s="73"/>
      <c r="AK23" s="149"/>
      <c r="AL23" s="73"/>
      <c r="AM23" s="73"/>
      <c r="AN23" s="73"/>
      <c r="AO23" s="73"/>
    </row>
    <row r="24" spans="1:41" ht="15" customHeight="1" x14ac:dyDescent="0.2">
      <c r="A24" s="463"/>
      <c r="B24" s="484"/>
      <c r="C24" s="138" t="s">
        <v>56</v>
      </c>
      <c r="D24" s="411">
        <v>1.83</v>
      </c>
      <c r="E24" s="139">
        <v>0.05</v>
      </c>
      <c r="K24" s="141">
        <f t="shared" si="2"/>
        <v>0.94903010188224945</v>
      </c>
      <c r="L24" s="142">
        <f t="shared" si="3"/>
        <v>0.82869734877250867</v>
      </c>
      <c r="M24" s="142">
        <f t="shared" si="0"/>
        <v>0.65739469754501734</v>
      </c>
      <c r="N24" s="142">
        <f t="shared" si="1"/>
        <v>0.34260530245498266</v>
      </c>
      <c r="O24" s="150">
        <f t="shared" si="4"/>
        <v>2.055631814729896</v>
      </c>
      <c r="P24" s="150"/>
      <c r="Q24" s="145">
        <f t="shared" si="5"/>
        <v>0.3816666666666666</v>
      </c>
      <c r="R24" s="147"/>
      <c r="S24" s="147"/>
      <c r="T24" s="147" t="str">
        <f t="shared" si="6"/>
        <v>Accept</v>
      </c>
      <c r="U24" s="147"/>
      <c r="V24" s="147"/>
      <c r="W24" s="147"/>
      <c r="X24" s="147"/>
      <c r="Y24" s="151"/>
      <c r="Z24" s="151"/>
      <c r="AA24" s="151"/>
      <c r="AB24" s="152"/>
      <c r="AJ24" s="73"/>
      <c r="AK24" s="149"/>
      <c r="AL24" s="73"/>
      <c r="AM24" s="73"/>
      <c r="AN24" s="73"/>
      <c r="AO24" s="73"/>
    </row>
    <row r="25" spans="1:41" ht="15" customHeight="1" x14ac:dyDescent="0.2">
      <c r="A25" s="463"/>
      <c r="B25" s="484"/>
      <c r="C25" s="138" t="s">
        <v>57</v>
      </c>
      <c r="D25" s="411">
        <v>1.87</v>
      </c>
      <c r="E25" s="139">
        <v>0.06</v>
      </c>
      <c r="K25" s="141">
        <f t="shared" si="2"/>
        <v>1.0484917719485114</v>
      </c>
      <c r="L25" s="142">
        <f t="shared" si="3"/>
        <v>0.8527939543820795</v>
      </c>
      <c r="M25" s="142">
        <f t="shared" si="0"/>
        <v>0.705587908764159</v>
      </c>
      <c r="N25" s="142">
        <f t="shared" si="1"/>
        <v>0.294412091235841</v>
      </c>
      <c r="O25" s="150">
        <f t="shared" si="4"/>
        <v>1.766472547415046</v>
      </c>
      <c r="P25" s="150"/>
      <c r="Q25" s="145">
        <f t="shared" si="5"/>
        <v>0.42166666666666663</v>
      </c>
      <c r="R25" s="147"/>
      <c r="S25" s="147"/>
      <c r="T25" s="147" t="str">
        <f t="shared" si="6"/>
        <v>Accept</v>
      </c>
      <c r="U25" s="147"/>
      <c r="V25" s="147"/>
      <c r="W25" s="147"/>
      <c r="X25" s="147"/>
      <c r="Y25" s="151"/>
      <c r="Z25" s="151"/>
      <c r="AA25" s="151"/>
      <c r="AB25" s="152"/>
      <c r="AJ25" s="73"/>
      <c r="AK25" s="149"/>
      <c r="AL25" s="73"/>
      <c r="AM25" s="73"/>
      <c r="AN25" s="73"/>
      <c r="AO25" s="73"/>
    </row>
    <row r="26" spans="1:41" ht="15" customHeight="1" x14ac:dyDescent="0.2">
      <c r="A26" s="462" t="s">
        <v>80</v>
      </c>
      <c r="B26" s="124" t="s">
        <v>521</v>
      </c>
      <c r="C26" s="167" t="s">
        <v>48</v>
      </c>
      <c r="D26" s="414">
        <v>7.35</v>
      </c>
      <c r="E26" s="415">
        <v>0.28000000000000003</v>
      </c>
      <c r="F26" s="238" t="s">
        <v>592</v>
      </c>
      <c r="K26" s="141"/>
      <c r="L26" s="142"/>
      <c r="M26" s="142"/>
      <c r="N26" s="142"/>
      <c r="O26" s="150"/>
      <c r="P26" s="150"/>
      <c r="Q26" s="145"/>
      <c r="R26" s="147"/>
      <c r="S26" s="147"/>
      <c r="T26" s="147"/>
      <c r="U26" s="147"/>
      <c r="V26" s="147"/>
      <c r="W26" s="147"/>
      <c r="X26" s="147"/>
      <c r="Y26" s="151"/>
      <c r="Z26" s="151"/>
      <c r="AA26" s="151"/>
      <c r="AB26" s="152"/>
      <c r="AJ26" s="73"/>
      <c r="AK26" s="149"/>
      <c r="AL26" s="73"/>
      <c r="AM26" s="73"/>
      <c r="AN26" s="73"/>
      <c r="AO26" s="73"/>
    </row>
    <row r="27" spans="1:41" ht="15" customHeight="1" x14ac:dyDescent="0.2">
      <c r="A27" s="463"/>
      <c r="B27" s="484" t="s">
        <v>522</v>
      </c>
      <c r="C27" s="153" t="s">
        <v>50</v>
      </c>
      <c r="D27" s="412">
        <v>6.75</v>
      </c>
      <c r="E27" s="413">
        <v>0.24</v>
      </c>
      <c r="F27" s="154">
        <f>COUNT(D27:D30)</f>
        <v>4</v>
      </c>
      <c r="G27" s="155">
        <f>AVERAGE(D27:D30)</f>
        <v>20.21</v>
      </c>
      <c r="H27" s="155">
        <f>STDEV(D27:D30)</f>
        <v>9.075402654060774</v>
      </c>
      <c r="I27" s="156">
        <f>H27/G27</f>
        <v>0.44905505462942968</v>
      </c>
      <c r="J27" s="140"/>
      <c r="K27" s="157">
        <f>ABS(D27-$G$27)/$H$27</f>
        <v>1.4831297864208093</v>
      </c>
      <c r="L27" s="158">
        <f>NORMDIST(D27,$G$27,$H$27,TRUE)</f>
        <v>6.9019965753414181E-2</v>
      </c>
      <c r="M27" s="158">
        <f t="shared" si="0"/>
        <v>0.86196006849317164</v>
      </c>
      <c r="N27" s="158">
        <f t="shared" si="1"/>
        <v>0.13803993150682836</v>
      </c>
      <c r="O27" s="159">
        <f>$F$27*N27</f>
        <v>0.55215972602731345</v>
      </c>
      <c r="P27" s="144"/>
      <c r="Q27" s="160">
        <f>ABS(D27-$G$27)</f>
        <v>13.46</v>
      </c>
      <c r="R27" s="160">
        <v>1.383</v>
      </c>
      <c r="S27" s="160">
        <f>R27*H27</f>
        <v>12.551281870566051</v>
      </c>
      <c r="T27" s="410" t="str">
        <f>IF(Q27&gt;$S$27, "Reject", "Accept")</f>
        <v>Reject</v>
      </c>
      <c r="U27" s="160">
        <v>1.0780000000000001</v>
      </c>
      <c r="V27" s="160">
        <f>U27*H27</f>
        <v>9.7832840610775147</v>
      </c>
      <c r="W27" s="162"/>
      <c r="X27" s="147"/>
      <c r="Y27" s="165">
        <f>AVERAGE(D28:D30)</f>
        <v>24.696666666666669</v>
      </c>
      <c r="Z27" s="165">
        <f>STDEV(D28:D30)</f>
        <v>1.662327685305558</v>
      </c>
      <c r="AA27" s="166">
        <f>Z27/Y27</f>
        <v>6.730979964795078E-2</v>
      </c>
      <c r="AB27" s="152" t="s">
        <v>674</v>
      </c>
      <c r="AJ27" s="73"/>
      <c r="AK27" s="149"/>
      <c r="AL27" s="73"/>
      <c r="AM27" s="73"/>
      <c r="AN27" s="73"/>
      <c r="AO27" s="73"/>
    </row>
    <row r="28" spans="1:41" ht="15" customHeight="1" x14ac:dyDescent="0.2">
      <c r="A28" s="463"/>
      <c r="B28" s="484"/>
      <c r="C28" s="153" t="s">
        <v>47</v>
      </c>
      <c r="D28" s="412">
        <v>22.93</v>
      </c>
      <c r="E28" s="413">
        <v>0.7</v>
      </c>
      <c r="F28" s="154"/>
      <c r="G28" s="155"/>
      <c r="H28" s="155"/>
      <c r="I28" s="155"/>
      <c r="K28" s="157">
        <f>ABS(D28-$G$27)/$H$27</f>
        <v>0.29971121984135207</v>
      </c>
      <c r="L28" s="158">
        <f>NORMDIST(D28,$G$27,$H$27,TRUE)</f>
        <v>0.61780128018567348</v>
      </c>
      <c r="M28" s="158">
        <f t="shared" si="0"/>
        <v>0.23560256037134697</v>
      </c>
      <c r="N28" s="158">
        <f t="shared" si="1"/>
        <v>0.76439743962865303</v>
      </c>
      <c r="O28" s="163">
        <f>$F$27*N28</f>
        <v>3.0575897585146121</v>
      </c>
      <c r="P28" s="150"/>
      <c r="Q28" s="160">
        <f>ABS(D28-$G$27)</f>
        <v>2.7199999999999989</v>
      </c>
      <c r="R28" s="162" t="s">
        <v>588</v>
      </c>
      <c r="S28" s="162"/>
      <c r="T28" s="162" t="str">
        <f>IF(Q28&gt;$S$27, "Reject", "Accept")</f>
        <v>Accept</v>
      </c>
      <c r="U28" s="162" t="s">
        <v>591</v>
      </c>
      <c r="V28" s="162"/>
      <c r="W28" s="162" t="str">
        <f>IF(Q28&gt;$V$27, "Reject", "Accept")</f>
        <v>Accept</v>
      </c>
      <c r="X28" s="147"/>
      <c r="Y28" s="164"/>
      <c r="Z28" s="164"/>
      <c r="AA28" s="164"/>
      <c r="AB28" s="152"/>
      <c r="AJ28" s="73"/>
      <c r="AK28" s="149"/>
      <c r="AL28" s="73"/>
      <c r="AM28" s="73"/>
      <c r="AN28" s="73"/>
      <c r="AO28" s="73"/>
    </row>
    <row r="29" spans="1:41" ht="15" customHeight="1" x14ac:dyDescent="0.2">
      <c r="A29" s="463"/>
      <c r="B29" s="484"/>
      <c r="C29" s="153" t="s">
        <v>53</v>
      </c>
      <c r="D29" s="412">
        <v>24.93</v>
      </c>
      <c r="E29" s="413">
        <v>1.1499999999999999</v>
      </c>
      <c r="F29" s="154"/>
      <c r="G29" s="155"/>
      <c r="H29" s="155"/>
      <c r="I29" s="155"/>
      <c r="K29" s="157">
        <f>ABS(D29-$G$27)/$H$27</f>
        <v>0.52008711678352282</v>
      </c>
      <c r="L29" s="158">
        <f>NORMDIST(D29,$G$27,$H$27,TRUE)</f>
        <v>0.69849857131214432</v>
      </c>
      <c r="M29" s="158">
        <f t="shared" si="0"/>
        <v>0.39699714262428865</v>
      </c>
      <c r="N29" s="158">
        <f t="shared" si="1"/>
        <v>0.60300285737571135</v>
      </c>
      <c r="O29" s="163">
        <f>$F$27*N29</f>
        <v>2.4120114295028454</v>
      </c>
      <c r="P29" s="150"/>
      <c r="Q29" s="160">
        <f>ABS(D29-$G$27)</f>
        <v>4.7199999999999989</v>
      </c>
      <c r="R29" s="162"/>
      <c r="S29" s="162"/>
      <c r="T29" s="162" t="str">
        <f>IF(Q29&gt;$S$27, "Reject", "Accept")</f>
        <v>Accept</v>
      </c>
      <c r="U29" s="162"/>
      <c r="V29" s="162"/>
      <c r="W29" s="162" t="str">
        <f>IF(Q29&gt;$V$27, "Reject", "Accept")</f>
        <v>Accept</v>
      </c>
      <c r="X29" s="147"/>
      <c r="Y29" s="164"/>
      <c r="Z29" s="164"/>
      <c r="AA29" s="164"/>
      <c r="AB29" s="152"/>
      <c r="AJ29" s="73"/>
      <c r="AK29" s="149"/>
      <c r="AL29" s="73"/>
      <c r="AM29" s="73"/>
      <c r="AN29" s="73"/>
      <c r="AO29" s="73"/>
    </row>
    <row r="30" spans="1:41" ht="15" customHeight="1" x14ac:dyDescent="0.2">
      <c r="A30" s="463"/>
      <c r="B30" s="484"/>
      <c r="C30" s="153" t="s">
        <v>49</v>
      </c>
      <c r="D30" s="412">
        <v>26.23</v>
      </c>
      <c r="E30" s="413">
        <v>0.82</v>
      </c>
      <c r="F30" s="154"/>
      <c r="G30" s="155"/>
      <c r="H30" s="155"/>
      <c r="I30" s="155"/>
      <c r="K30" s="157">
        <f>ABS(D30-$G$27)/$H$27</f>
        <v>0.66333144979593395</v>
      </c>
      <c r="L30" s="158">
        <f>NORMDIST(D30,$G$27,$H$27,TRUE)</f>
        <v>0.7464408506976683</v>
      </c>
      <c r="M30" s="158">
        <f t="shared" si="0"/>
        <v>0.4928817013953366</v>
      </c>
      <c r="N30" s="158">
        <f t="shared" si="1"/>
        <v>0.5071182986046634</v>
      </c>
      <c r="O30" s="163">
        <f>$F$27*N30</f>
        <v>2.0284731944186536</v>
      </c>
      <c r="P30" s="150"/>
      <c r="Q30" s="160">
        <f>ABS(D30-$G$27)</f>
        <v>6.02</v>
      </c>
      <c r="R30" s="162"/>
      <c r="S30" s="162"/>
      <c r="T30" s="162" t="str">
        <f>IF(Q30&gt;$S$27, "Reject", "Accept")</f>
        <v>Accept</v>
      </c>
      <c r="U30" s="162"/>
      <c r="V30" s="162"/>
      <c r="W30" s="162" t="str">
        <f>IF(Q30&gt;$V$27, "Reject", "Accept")</f>
        <v>Accept</v>
      </c>
      <c r="X30" s="147"/>
      <c r="Y30" s="164"/>
      <c r="Z30" s="164"/>
      <c r="AA30" s="164"/>
      <c r="AB30" s="152"/>
      <c r="AJ30" s="73"/>
      <c r="AK30" s="149"/>
      <c r="AL30" s="73"/>
      <c r="AM30" s="73"/>
      <c r="AN30" s="73"/>
      <c r="AO30" s="73"/>
    </row>
    <row r="31" spans="1:41" ht="15" customHeight="1" x14ac:dyDescent="0.2">
      <c r="A31" s="463"/>
      <c r="B31" s="493" t="s">
        <v>195</v>
      </c>
      <c r="C31" s="167" t="s">
        <v>37</v>
      </c>
      <c r="D31" s="414">
        <v>13.223000000000001</v>
      </c>
      <c r="E31" s="415">
        <v>0.6</v>
      </c>
      <c r="F31" s="169"/>
      <c r="G31" s="168"/>
      <c r="H31" s="168"/>
      <c r="I31" s="168"/>
      <c r="J31" s="168"/>
      <c r="K31" s="141"/>
      <c r="L31" s="142"/>
      <c r="M31" s="142"/>
      <c r="N31" s="142"/>
      <c r="O31" s="150"/>
      <c r="P31" s="150"/>
      <c r="Q31" s="146"/>
      <c r="R31" s="150"/>
      <c r="S31" s="150"/>
      <c r="T31" s="150"/>
      <c r="U31" s="150"/>
      <c r="V31" s="150"/>
      <c r="W31" s="150"/>
      <c r="X31" s="150"/>
      <c r="Y31" s="151"/>
      <c r="Z31" s="151"/>
      <c r="AA31" s="151"/>
      <c r="AB31" s="152"/>
      <c r="AJ31" s="73"/>
      <c r="AK31" s="149"/>
      <c r="AL31" s="73"/>
      <c r="AM31" s="73"/>
      <c r="AN31" s="73"/>
      <c r="AO31" s="73"/>
    </row>
    <row r="32" spans="1:41" ht="15" customHeight="1" x14ac:dyDescent="0.2">
      <c r="A32" s="463"/>
      <c r="B32" s="493"/>
      <c r="C32" s="167" t="s">
        <v>38</v>
      </c>
      <c r="D32" s="414">
        <v>24.78</v>
      </c>
      <c r="E32" s="415">
        <v>0.156</v>
      </c>
      <c r="K32" s="141"/>
      <c r="L32" s="142"/>
      <c r="M32" s="142"/>
      <c r="N32" s="142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1"/>
      <c r="Z32" s="151"/>
      <c r="AA32" s="151"/>
      <c r="AB32" s="152"/>
      <c r="AJ32" s="73"/>
      <c r="AK32" s="149"/>
      <c r="AL32" s="73"/>
      <c r="AM32" s="73"/>
      <c r="AN32" s="73"/>
      <c r="AO32" s="73"/>
    </row>
    <row r="33" spans="1:41" ht="15" customHeight="1" x14ac:dyDescent="0.2">
      <c r="A33" s="463"/>
      <c r="B33" s="493"/>
      <c r="C33" s="167" t="s">
        <v>36</v>
      </c>
      <c r="D33" s="414">
        <v>44.982999999999997</v>
      </c>
      <c r="E33" s="415">
        <v>1.1599999999999999</v>
      </c>
      <c r="F33" s="238" t="s">
        <v>592</v>
      </c>
      <c r="K33" s="141"/>
      <c r="L33" s="142"/>
      <c r="M33" s="142"/>
      <c r="N33" s="142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1"/>
      <c r="Z33" s="151"/>
      <c r="AA33" s="151"/>
      <c r="AB33" s="152"/>
      <c r="AJ33" s="73"/>
      <c r="AK33" s="149"/>
      <c r="AL33" s="73"/>
      <c r="AM33" s="73"/>
      <c r="AN33" s="73"/>
      <c r="AO33" s="73"/>
    </row>
    <row r="34" spans="1:41" ht="15" customHeight="1" x14ac:dyDescent="0.2">
      <c r="A34" s="463"/>
      <c r="B34" s="493" t="s">
        <v>196</v>
      </c>
      <c r="C34" s="167" t="s">
        <v>15</v>
      </c>
      <c r="D34" s="414">
        <v>21.25</v>
      </c>
      <c r="E34" s="415">
        <v>0.41</v>
      </c>
      <c r="K34" s="141"/>
      <c r="L34" s="142"/>
      <c r="M34" s="142"/>
      <c r="N34" s="142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1"/>
      <c r="Z34" s="151"/>
      <c r="AA34" s="151"/>
      <c r="AB34" s="152"/>
      <c r="AJ34" s="73"/>
      <c r="AK34" s="149"/>
      <c r="AL34" s="73"/>
      <c r="AM34" s="73"/>
      <c r="AN34" s="73"/>
      <c r="AO34" s="73"/>
    </row>
    <row r="35" spans="1:41" ht="15" customHeight="1" x14ac:dyDescent="0.2">
      <c r="A35" s="463"/>
      <c r="B35" s="493"/>
      <c r="C35" s="167" t="s">
        <v>16</v>
      </c>
      <c r="D35" s="414">
        <v>41.57</v>
      </c>
      <c r="E35" s="415">
        <v>1</v>
      </c>
      <c r="L35" s="170"/>
      <c r="M35" s="170"/>
      <c r="N35" s="17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1"/>
      <c r="Z35" s="151"/>
      <c r="AA35" s="151"/>
      <c r="AB35" s="152"/>
      <c r="AJ35" s="73"/>
      <c r="AK35" s="149"/>
      <c r="AL35" s="73"/>
      <c r="AM35" s="73"/>
      <c r="AN35" s="73"/>
      <c r="AO35" s="73"/>
    </row>
    <row r="36" spans="1:41" ht="15" customHeight="1" x14ac:dyDescent="0.2">
      <c r="A36" s="463"/>
      <c r="B36" s="495" t="s">
        <v>517</v>
      </c>
      <c r="C36" s="167" t="s">
        <v>32</v>
      </c>
      <c r="D36" s="414">
        <v>22.15</v>
      </c>
      <c r="E36" s="415">
        <v>0.8</v>
      </c>
      <c r="L36" s="170"/>
      <c r="M36" s="170"/>
      <c r="N36" s="17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1"/>
      <c r="Z36" s="151"/>
      <c r="AA36" s="151"/>
      <c r="AB36" s="152"/>
      <c r="AJ36" s="73"/>
      <c r="AK36" s="149"/>
      <c r="AL36" s="73"/>
      <c r="AM36" s="73"/>
      <c r="AN36" s="73"/>
      <c r="AO36" s="73"/>
    </row>
    <row r="37" spans="1:41" ht="15" customHeight="1" x14ac:dyDescent="0.2">
      <c r="A37" s="463"/>
      <c r="B37" s="495"/>
      <c r="C37" s="167" t="s">
        <v>33</v>
      </c>
      <c r="D37" s="414">
        <v>72.41</v>
      </c>
      <c r="E37" s="415">
        <v>2.61</v>
      </c>
      <c r="L37" s="170"/>
      <c r="M37" s="170"/>
      <c r="N37" s="17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1"/>
      <c r="Z37" s="151"/>
      <c r="AA37" s="151"/>
      <c r="AB37" s="152"/>
      <c r="AJ37" s="73"/>
      <c r="AK37" s="149"/>
      <c r="AL37" s="73"/>
      <c r="AM37" s="73"/>
      <c r="AN37" s="73"/>
      <c r="AO37" s="73"/>
    </row>
    <row r="38" spans="1:41" ht="15" customHeight="1" x14ac:dyDescent="0.2">
      <c r="A38" s="463"/>
      <c r="B38" s="75" t="s">
        <v>523</v>
      </c>
      <c r="C38" s="167" t="s">
        <v>28</v>
      </c>
      <c r="D38" s="414">
        <v>35.61</v>
      </c>
      <c r="E38" s="415">
        <v>1.82</v>
      </c>
      <c r="L38" s="170"/>
      <c r="M38" s="170"/>
      <c r="N38" s="17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1"/>
      <c r="Z38" s="151"/>
      <c r="AA38" s="151"/>
      <c r="AB38" s="152"/>
      <c r="AJ38" s="73"/>
      <c r="AK38" s="149"/>
      <c r="AL38" s="73"/>
      <c r="AM38" s="73"/>
      <c r="AN38" s="73"/>
      <c r="AO38" s="73"/>
    </row>
    <row r="39" spans="1:41" ht="15" customHeight="1" x14ac:dyDescent="0.2">
      <c r="A39" s="463"/>
      <c r="B39" s="484" t="s">
        <v>524</v>
      </c>
      <c r="C39" s="153" t="s">
        <v>34</v>
      </c>
      <c r="D39" s="412">
        <v>5.96</v>
      </c>
      <c r="E39" s="413">
        <v>0.22</v>
      </c>
      <c r="F39" s="154">
        <f>COUNT(D39:D43)</f>
        <v>5</v>
      </c>
      <c r="G39" s="155">
        <f>AVERAGE(D39:D43)</f>
        <v>14.134</v>
      </c>
      <c r="H39" s="155">
        <f>STDEV(D39:D43)</f>
        <v>5.075025123090521</v>
      </c>
      <c r="I39" s="156">
        <f>H39/G39</f>
        <v>0.35906502922672429</v>
      </c>
      <c r="J39" s="140"/>
      <c r="K39" s="157">
        <f>ABS(D39-$G$39)/$H$39</f>
        <v>1.6106324208740677</v>
      </c>
      <c r="L39" s="158">
        <f>NORMDIST(D39,$G$39,$H$39,TRUE)</f>
        <v>5.3629931532318549E-2</v>
      </c>
      <c r="M39" s="158">
        <f>IF(L39&gt;0.5,2*(L39-0.5),2*(0.5-L39))</f>
        <v>0.89274013693536292</v>
      </c>
      <c r="N39" s="158">
        <f>IF(L39&gt;0.5,2*(1-L39),2*L39)</f>
        <v>0.1072598630646371</v>
      </c>
      <c r="O39" s="159">
        <f>$F$39*N39</f>
        <v>0.53629931532318553</v>
      </c>
      <c r="P39" s="144"/>
      <c r="Q39" s="160">
        <f>ABS(D39-$G$39)</f>
        <v>8.1739999999999995</v>
      </c>
      <c r="R39" s="160">
        <v>1.5089999999999999</v>
      </c>
      <c r="S39" s="160">
        <f>R39*H39</f>
        <v>7.6582129107435959</v>
      </c>
      <c r="T39" s="410" t="str">
        <f>IF(Q39&gt;$S$39, "Reject", "Accept")</f>
        <v>Reject</v>
      </c>
      <c r="U39" s="160">
        <v>1.2</v>
      </c>
      <c r="V39" s="160">
        <f>U39*H39</f>
        <v>6.0900301477086254</v>
      </c>
      <c r="W39" s="162"/>
      <c r="X39" s="147"/>
      <c r="Y39" s="165">
        <f>AVERAGE(D40:D43)</f>
        <v>16.177499999999998</v>
      </c>
      <c r="Z39" s="165">
        <f>STDEV(D40:D43)</f>
        <v>2.5498807161643273</v>
      </c>
      <c r="AA39" s="166">
        <f>Z39/Y39</f>
        <v>0.15761895942910384</v>
      </c>
      <c r="AB39" s="152" t="s">
        <v>674</v>
      </c>
      <c r="AJ39" s="73"/>
      <c r="AK39" s="149"/>
      <c r="AL39" s="73"/>
      <c r="AM39" s="73"/>
      <c r="AN39" s="73"/>
      <c r="AO39" s="73"/>
    </row>
    <row r="40" spans="1:41" ht="15" customHeight="1" x14ac:dyDescent="0.2">
      <c r="A40" s="463"/>
      <c r="B40" s="484"/>
      <c r="C40" s="153" t="s">
        <v>19</v>
      </c>
      <c r="D40" s="412">
        <v>13.92</v>
      </c>
      <c r="E40" s="413">
        <v>0.37</v>
      </c>
      <c r="F40" s="154"/>
      <c r="G40" s="155"/>
      <c r="H40" s="155"/>
      <c r="I40" s="155"/>
      <c r="K40" s="157">
        <f>ABS(D40-$G$39)/$H$39</f>
        <v>4.2167278941405824E-2</v>
      </c>
      <c r="L40" s="158">
        <f>NORMDIST(D40,$G$39,$H$39,TRUE)</f>
        <v>0.48318267348542587</v>
      </c>
      <c r="M40" s="158">
        <f>IF(L40&gt;0.5,2*(L40-0.5),2*(0.5-L40))</f>
        <v>3.3634653029148254E-2</v>
      </c>
      <c r="N40" s="158">
        <f>IF(L40&gt;0.5,2*(1-L40),2*L40)</f>
        <v>0.96636534697085175</v>
      </c>
      <c r="O40" s="163">
        <f>$F$39*N40</f>
        <v>4.8318267348542587</v>
      </c>
      <c r="P40" s="150"/>
      <c r="Q40" s="160">
        <f>ABS(D40-$G$39)</f>
        <v>0.21400000000000041</v>
      </c>
      <c r="R40" s="162" t="s">
        <v>589</v>
      </c>
      <c r="S40" s="162"/>
      <c r="T40" s="162" t="str">
        <f>IF(Q40&gt;$S$39, "Reject", "Accept")</f>
        <v>Accept</v>
      </c>
      <c r="U40" s="162" t="s">
        <v>593</v>
      </c>
      <c r="V40" s="162"/>
      <c r="W40" s="162" t="str">
        <f>IF(Q40&gt;$V$39, "Reject", "Accept")</f>
        <v>Accept</v>
      </c>
      <c r="X40" s="147"/>
      <c r="Y40" s="164"/>
      <c r="Z40" s="164"/>
      <c r="AA40" s="164"/>
      <c r="AB40" s="152"/>
      <c r="AJ40" s="73"/>
      <c r="AK40" s="149"/>
      <c r="AL40" s="73"/>
      <c r="AM40" s="73"/>
      <c r="AN40" s="73"/>
      <c r="AO40" s="73"/>
    </row>
    <row r="41" spans="1:41" ht="15" customHeight="1" x14ac:dyDescent="0.2">
      <c r="A41" s="463"/>
      <c r="B41" s="484"/>
      <c r="C41" s="153" t="s">
        <v>17</v>
      </c>
      <c r="D41" s="412">
        <v>15.41</v>
      </c>
      <c r="E41" s="413">
        <v>0.39</v>
      </c>
      <c r="F41" s="154"/>
      <c r="G41" s="155"/>
      <c r="H41" s="155"/>
      <c r="I41" s="155"/>
      <c r="K41" s="157">
        <f>ABS(D41-$G$39)/$H$39</f>
        <v>0.25142732677212015</v>
      </c>
      <c r="L41" s="158">
        <f>NORMDIST(D41,$G$39,$H$39,TRUE)</f>
        <v>0.59925812879430951</v>
      </c>
      <c r="M41" s="158">
        <f>IF(L41&gt;0.5,2*(L41-0.5),2*(0.5-L41))</f>
        <v>0.19851625758861902</v>
      </c>
      <c r="N41" s="158">
        <f>IF(L41&gt;0.5,2*(1-L41),2*L41)</f>
        <v>0.80148374241138098</v>
      </c>
      <c r="O41" s="163">
        <f>$F$39*N41</f>
        <v>4.0074187120569054</v>
      </c>
      <c r="P41" s="150"/>
      <c r="Q41" s="160">
        <f>ABS(D41-$G$39)</f>
        <v>1.2759999999999998</v>
      </c>
      <c r="R41" s="162"/>
      <c r="S41" s="162"/>
      <c r="T41" s="162" t="str">
        <f>IF(Q41&gt;$S$39, "Reject", "Accept")</f>
        <v>Accept</v>
      </c>
      <c r="U41" s="162"/>
      <c r="V41" s="162"/>
      <c r="W41" s="162" t="str">
        <f>IF(Q41&gt;$V$39, "Reject", "Accept")</f>
        <v>Accept</v>
      </c>
      <c r="X41" s="147"/>
      <c r="Y41" s="164"/>
      <c r="Z41" s="164"/>
      <c r="AA41" s="164"/>
      <c r="AB41" s="152"/>
      <c r="AJ41" s="73"/>
      <c r="AK41" s="149"/>
      <c r="AL41" s="73"/>
      <c r="AM41" s="73"/>
      <c r="AN41" s="73"/>
      <c r="AO41" s="73"/>
    </row>
    <row r="42" spans="1:41" ht="15" customHeight="1" x14ac:dyDescent="0.2">
      <c r="A42" s="463"/>
      <c r="B42" s="484"/>
      <c r="C42" s="153" t="s">
        <v>20</v>
      </c>
      <c r="D42" s="412">
        <v>15.54</v>
      </c>
      <c r="E42" s="413">
        <v>0.48</v>
      </c>
      <c r="F42" s="154"/>
      <c r="G42" s="155"/>
      <c r="H42" s="155"/>
      <c r="I42" s="155"/>
      <c r="K42" s="157">
        <f>ABS(D42-$G$39)/$H$39</f>
        <v>0.27704296351222624</v>
      </c>
      <c r="L42" s="158">
        <f>NORMDIST(D42,$G$39,$H$39,TRUE)</f>
        <v>0.60912644167851537</v>
      </c>
      <c r="M42" s="158">
        <f>IF(L42&gt;0.5,2*(L42-0.5),2*(0.5-L42))</f>
        <v>0.21825288335703075</v>
      </c>
      <c r="N42" s="158">
        <f>IF(L42&gt;0.5,2*(1-L42),2*L42)</f>
        <v>0.78174711664296925</v>
      </c>
      <c r="O42" s="163">
        <f>$F$39*N42</f>
        <v>3.9087355832148463</v>
      </c>
      <c r="P42" s="150"/>
      <c r="Q42" s="160">
        <f>ABS(D42-$G$39)</f>
        <v>1.4059999999999988</v>
      </c>
      <c r="R42" s="162"/>
      <c r="S42" s="162"/>
      <c r="T42" s="162" t="str">
        <f>IF(Q42&gt;$S$39, "Reject", "Accept")</f>
        <v>Accept</v>
      </c>
      <c r="U42" s="162"/>
      <c r="V42" s="162"/>
      <c r="W42" s="162" t="str">
        <f>IF(Q42&gt;$V$39, "Reject", "Accept")</f>
        <v>Accept</v>
      </c>
      <c r="X42" s="147"/>
      <c r="Y42" s="164"/>
      <c r="Z42" s="164"/>
      <c r="AA42" s="164"/>
      <c r="AB42" s="152"/>
      <c r="AJ42" s="73"/>
      <c r="AK42" s="149"/>
      <c r="AL42" s="73"/>
      <c r="AM42" s="73"/>
      <c r="AN42" s="73"/>
      <c r="AO42" s="73"/>
    </row>
    <row r="43" spans="1:41" ht="15" customHeight="1" x14ac:dyDescent="0.2">
      <c r="A43" s="463"/>
      <c r="B43" s="484"/>
      <c r="C43" s="153" t="s">
        <v>18</v>
      </c>
      <c r="D43" s="412">
        <v>19.84</v>
      </c>
      <c r="E43" s="413">
        <v>0.61</v>
      </c>
      <c r="F43" s="154"/>
      <c r="G43" s="155"/>
      <c r="H43" s="155"/>
      <c r="I43" s="155"/>
      <c r="K43" s="157">
        <f>ABS(D43-$G$39)/$H$39</f>
        <v>1.1243294095311267</v>
      </c>
      <c r="L43" s="158">
        <f>NORMDIST(D43,$G$39,$H$39,TRUE)</f>
        <v>0.86956334680661418</v>
      </c>
      <c r="M43" s="158">
        <f>IF(L43&gt;0.5,2*(L43-0.5),2*(0.5-L43))</f>
        <v>0.73912669361322836</v>
      </c>
      <c r="N43" s="158">
        <f>IF(L43&gt;0.5,2*(1-L43),2*L43)</f>
        <v>0.26087330638677164</v>
      </c>
      <c r="O43" s="163">
        <f>$F$39*N43</f>
        <v>1.3043665319338582</v>
      </c>
      <c r="P43" s="150"/>
      <c r="Q43" s="160">
        <f>ABS(D43-$G$39)</f>
        <v>5.7059999999999995</v>
      </c>
      <c r="R43" s="162"/>
      <c r="S43" s="162"/>
      <c r="T43" s="162" t="str">
        <f>IF(Q43&gt;$S$39, "Reject", "Accept")</f>
        <v>Accept</v>
      </c>
      <c r="U43" s="162"/>
      <c r="V43" s="162"/>
      <c r="W43" s="162" t="str">
        <f>IF(Q43&gt;$V$39, "Reject", "Accept")</f>
        <v>Accept</v>
      </c>
      <c r="X43" s="147"/>
      <c r="Y43" s="164"/>
      <c r="Z43" s="164"/>
      <c r="AA43" s="164"/>
      <c r="AB43" s="152"/>
      <c r="AJ43" s="73"/>
      <c r="AK43" s="149"/>
      <c r="AL43" s="73"/>
      <c r="AM43" s="73"/>
      <c r="AN43" s="73"/>
      <c r="AO43" s="73"/>
    </row>
    <row r="44" spans="1:41" ht="15" customHeight="1" x14ac:dyDescent="0.2">
      <c r="A44" s="462" t="s">
        <v>76</v>
      </c>
      <c r="B44" s="484" t="s">
        <v>529</v>
      </c>
      <c r="C44" s="138" t="s">
        <v>7</v>
      </c>
      <c r="D44" s="411">
        <v>7.25</v>
      </c>
      <c r="E44" s="139">
        <v>0.49</v>
      </c>
      <c r="F44" s="128">
        <f>COUNT(D44:D49)</f>
        <v>6</v>
      </c>
      <c r="G44" s="129">
        <f>AVERAGE(D44:D49)</f>
        <v>13.131666666666666</v>
      </c>
      <c r="H44" s="129">
        <f>STDEV(D44:D49)</f>
        <v>3.1453420587698733</v>
      </c>
      <c r="I44" s="140">
        <f>H44/G44</f>
        <v>0.23952344653660668</v>
      </c>
      <c r="J44" s="140"/>
      <c r="K44" s="141">
        <f t="shared" ref="K44:K49" si="7">ABS(D44-$G$44)/$H$44</f>
        <v>1.8699608998860222</v>
      </c>
      <c r="L44" s="142">
        <f t="shared" ref="L44:L49" si="8">NORMDIST(D44,$G$44,$H$44,TRUE)</f>
        <v>3.0744623879114034E-2</v>
      </c>
      <c r="M44" s="142">
        <f t="shared" ref="M44:M69" si="9">IF(L44&gt;0.5,2*(L44-0.5),2*(0.5-L44))</f>
        <v>0.93851075224177194</v>
      </c>
      <c r="N44" s="142">
        <f t="shared" ref="N44:N69" si="10">IF(L44&gt;0.5,2*(1-L44),2*L44)</f>
        <v>6.1489247758228067E-2</v>
      </c>
      <c r="O44" s="144">
        <f t="shared" ref="O44:O49" si="11">$F$44*N44</f>
        <v>0.36893548654936842</v>
      </c>
      <c r="P44" s="150"/>
      <c r="Q44" s="145">
        <f t="shared" ref="Q44:Q49" si="12">ABS(D44-$G$44)</f>
        <v>5.8816666666666659</v>
      </c>
      <c r="R44" s="145">
        <v>1.61</v>
      </c>
      <c r="S44" s="145">
        <f>R44*H44</f>
        <v>5.0640007146194961</v>
      </c>
      <c r="T44" s="144" t="str">
        <f t="shared" ref="T44:T49" si="13">IF(Q44&gt;$S$44, "Reject", "Accept")</f>
        <v>Reject</v>
      </c>
      <c r="U44" s="145">
        <v>1.2989999999999999</v>
      </c>
      <c r="V44" s="145">
        <f>U44*H44</f>
        <v>4.0857993343420649</v>
      </c>
      <c r="W44" s="147"/>
      <c r="X44" s="147"/>
      <c r="Y44" s="174">
        <f>AVERAGE(D45:D49)</f>
        <v>14.307999999999998</v>
      </c>
      <c r="Z44" s="174">
        <f>STDEV(D45:D49)</f>
        <v>1.4100602823993016</v>
      </c>
      <c r="AA44" s="175">
        <f>Z44/Y44</f>
        <v>9.8550481017563724E-2</v>
      </c>
      <c r="AB44" s="152" t="s">
        <v>675</v>
      </c>
      <c r="AF44" s="171"/>
      <c r="AG44" s="171"/>
      <c r="AK44" s="149"/>
      <c r="AM44" s="73"/>
      <c r="AN44" s="73"/>
      <c r="AO44" s="73"/>
    </row>
    <row r="45" spans="1:41" ht="15" customHeight="1" x14ac:dyDescent="0.2">
      <c r="A45" s="463"/>
      <c r="B45" s="484"/>
      <c r="C45" s="138" t="s">
        <v>8</v>
      </c>
      <c r="D45" s="411">
        <v>13.22</v>
      </c>
      <c r="E45" s="139">
        <v>1.76</v>
      </c>
      <c r="K45" s="141">
        <f t="shared" si="7"/>
        <v>2.8083855963151241E-2</v>
      </c>
      <c r="L45" s="142">
        <f t="shared" si="8"/>
        <v>0.51120236496464022</v>
      </c>
      <c r="M45" s="142">
        <f t="shared" si="9"/>
        <v>2.2404729929280442E-2</v>
      </c>
      <c r="N45" s="142">
        <f t="shared" si="10"/>
        <v>0.97759527007071956</v>
      </c>
      <c r="O45" s="150">
        <f t="shared" si="11"/>
        <v>5.8655716204243173</v>
      </c>
      <c r="P45" s="150"/>
      <c r="Q45" s="145">
        <f t="shared" si="12"/>
        <v>8.8333333333334707E-2</v>
      </c>
      <c r="R45" s="147" t="s">
        <v>590</v>
      </c>
      <c r="S45" s="147"/>
      <c r="T45" s="147" t="str">
        <f t="shared" si="13"/>
        <v>Accept</v>
      </c>
      <c r="U45" s="147" t="s">
        <v>625</v>
      </c>
      <c r="V45" s="147"/>
      <c r="W45" s="147" t="str">
        <f>IF(Q45&gt;$V$44, "Reject", "Accept")</f>
        <v>Accept</v>
      </c>
      <c r="X45" s="147"/>
      <c r="Y45" s="151"/>
      <c r="Z45" s="151"/>
      <c r="AA45" s="151"/>
      <c r="AB45" s="152"/>
      <c r="AF45" s="171"/>
      <c r="AG45" s="171"/>
      <c r="AK45" s="149"/>
    </row>
    <row r="46" spans="1:41" ht="15" customHeight="1" x14ac:dyDescent="0.2">
      <c r="A46" s="463"/>
      <c r="B46" s="484"/>
      <c r="C46" s="126" t="s">
        <v>126</v>
      </c>
      <c r="D46" s="416">
        <v>13.41</v>
      </c>
      <c r="E46" s="139">
        <v>0.7</v>
      </c>
      <c r="K46" s="141">
        <f t="shared" si="7"/>
        <v>8.8490640487664141E-2</v>
      </c>
      <c r="L46" s="142">
        <f t="shared" si="8"/>
        <v>0.53525663851697902</v>
      </c>
      <c r="M46" s="142">
        <f t="shared" si="9"/>
        <v>7.0513277033958044E-2</v>
      </c>
      <c r="N46" s="142">
        <f t="shared" si="10"/>
        <v>0.92948672296604196</v>
      </c>
      <c r="O46" s="150">
        <f t="shared" si="11"/>
        <v>5.5769203377962517</v>
      </c>
      <c r="P46" s="150"/>
      <c r="Q46" s="145">
        <f t="shared" si="12"/>
        <v>0.27833333333333421</v>
      </c>
      <c r="R46" s="147"/>
      <c r="S46" s="147"/>
      <c r="T46" s="147" t="str">
        <f t="shared" si="13"/>
        <v>Accept</v>
      </c>
      <c r="U46" s="147"/>
      <c r="V46" s="147"/>
      <c r="W46" s="147" t="str">
        <f>IF(Q46&gt;$V$44, "Reject", "Accept")</f>
        <v>Accept</v>
      </c>
      <c r="X46" s="147"/>
      <c r="Y46" s="151"/>
      <c r="Z46" s="151"/>
      <c r="AA46" s="151"/>
      <c r="AB46" s="152"/>
      <c r="AK46" s="149"/>
    </row>
    <row r="47" spans="1:41" ht="15" customHeight="1" x14ac:dyDescent="0.2">
      <c r="A47" s="463"/>
      <c r="B47" s="484"/>
      <c r="C47" s="126" t="s">
        <v>10</v>
      </c>
      <c r="D47" s="416">
        <v>13.93</v>
      </c>
      <c r="E47" s="139">
        <v>0.93</v>
      </c>
      <c r="K47" s="141">
        <f t="shared" si="7"/>
        <v>0.25381447181791023</v>
      </c>
      <c r="L47" s="142">
        <f t="shared" si="8"/>
        <v>0.60018055370457302</v>
      </c>
      <c r="M47" s="142">
        <f t="shared" si="9"/>
        <v>0.20036110740914603</v>
      </c>
      <c r="N47" s="142">
        <f t="shared" si="10"/>
        <v>0.79963889259085397</v>
      </c>
      <c r="O47" s="150">
        <f t="shared" si="11"/>
        <v>4.7978333555451238</v>
      </c>
      <c r="P47" s="150"/>
      <c r="Q47" s="145">
        <f t="shared" si="12"/>
        <v>0.79833333333333378</v>
      </c>
      <c r="R47" s="147"/>
      <c r="S47" s="147"/>
      <c r="T47" s="147" t="str">
        <f t="shared" si="13"/>
        <v>Accept</v>
      </c>
      <c r="U47" s="147"/>
      <c r="V47" s="147"/>
      <c r="W47" s="147" t="str">
        <f>IF(Q47&gt;$V$44, "Reject", "Accept")</f>
        <v>Accept</v>
      </c>
      <c r="X47" s="147"/>
      <c r="Y47" s="151"/>
      <c r="Z47" s="151"/>
      <c r="AA47" s="151"/>
      <c r="AB47" s="152"/>
      <c r="AK47" s="149"/>
    </row>
    <row r="48" spans="1:41" ht="15" customHeight="1" x14ac:dyDescent="0.2">
      <c r="A48" s="463"/>
      <c r="B48" s="484"/>
      <c r="C48" s="126" t="s">
        <v>9</v>
      </c>
      <c r="D48" s="416">
        <v>14.26</v>
      </c>
      <c r="E48" s="139">
        <v>0.74</v>
      </c>
      <c r="K48" s="141">
        <f t="shared" si="7"/>
        <v>0.35873151862364344</v>
      </c>
      <c r="L48" s="142">
        <f t="shared" si="8"/>
        <v>0.64010202639438674</v>
      </c>
      <c r="M48" s="142">
        <f t="shared" si="9"/>
        <v>0.28020405278877347</v>
      </c>
      <c r="N48" s="142">
        <f t="shared" si="10"/>
        <v>0.71979594721122653</v>
      </c>
      <c r="O48" s="150">
        <f t="shared" si="11"/>
        <v>4.3187756832673596</v>
      </c>
      <c r="P48" s="150"/>
      <c r="Q48" s="145">
        <f t="shared" si="12"/>
        <v>1.1283333333333339</v>
      </c>
      <c r="R48" s="147"/>
      <c r="S48" s="147"/>
      <c r="T48" s="147" t="str">
        <f t="shared" si="13"/>
        <v>Accept</v>
      </c>
      <c r="U48" s="147"/>
      <c r="V48" s="147"/>
      <c r="W48" s="147" t="str">
        <f>IF(Q48&gt;$V$44, "Reject", "Accept")</f>
        <v>Accept</v>
      </c>
      <c r="X48" s="147"/>
      <c r="Y48" s="151"/>
      <c r="Z48" s="151"/>
      <c r="AA48" s="151"/>
      <c r="AB48" s="152"/>
      <c r="AK48" s="149"/>
    </row>
    <row r="49" spans="1:37" ht="15" customHeight="1" x14ac:dyDescent="0.2">
      <c r="A49" s="463"/>
      <c r="B49" s="484"/>
      <c r="C49" s="126" t="s">
        <v>11</v>
      </c>
      <c r="D49" s="416">
        <v>16.72</v>
      </c>
      <c r="E49" s="139">
        <v>1.23</v>
      </c>
      <c r="K49" s="141">
        <f t="shared" si="7"/>
        <v>1.1408404129936542</v>
      </c>
      <c r="L49" s="142">
        <f t="shared" si="8"/>
        <v>0.87303183015469021</v>
      </c>
      <c r="M49" s="142">
        <f t="shared" si="9"/>
        <v>0.74606366030938043</v>
      </c>
      <c r="N49" s="142">
        <f t="shared" si="10"/>
        <v>0.25393633969061957</v>
      </c>
      <c r="O49" s="150">
        <f t="shared" si="11"/>
        <v>1.5236180381437174</v>
      </c>
      <c r="P49" s="150"/>
      <c r="Q49" s="145">
        <f t="shared" si="12"/>
        <v>3.5883333333333329</v>
      </c>
      <c r="R49" s="147"/>
      <c r="S49" s="147"/>
      <c r="T49" s="147" t="str">
        <f t="shared" si="13"/>
        <v>Accept</v>
      </c>
      <c r="U49" s="147"/>
      <c r="V49" s="147"/>
      <c r="W49" s="147" t="str">
        <f>IF(Q49&gt;$V$44, "Reject", "Accept")</f>
        <v>Accept</v>
      </c>
      <c r="X49" s="147"/>
      <c r="Y49" s="151"/>
      <c r="Z49" s="151"/>
      <c r="AA49" s="151"/>
      <c r="AB49" s="152"/>
      <c r="AK49" s="149"/>
    </row>
    <row r="50" spans="1:37" ht="15" customHeight="1" x14ac:dyDescent="0.2">
      <c r="A50" s="463"/>
      <c r="B50" s="124" t="s">
        <v>525</v>
      </c>
      <c r="C50" s="225" t="s">
        <v>6</v>
      </c>
      <c r="D50" s="417">
        <v>14.44</v>
      </c>
      <c r="E50" s="418">
        <v>0.84</v>
      </c>
      <c r="F50" s="237" t="s">
        <v>592</v>
      </c>
      <c r="G50" s="155"/>
      <c r="H50" s="155"/>
      <c r="I50" s="155"/>
      <c r="K50" s="157"/>
      <c r="L50" s="158"/>
      <c r="M50" s="158"/>
      <c r="N50" s="158"/>
      <c r="O50" s="163"/>
      <c r="P50" s="150"/>
      <c r="Q50" s="160"/>
      <c r="R50" s="162"/>
      <c r="S50" s="162"/>
      <c r="T50" s="162"/>
      <c r="U50" s="162"/>
      <c r="V50" s="162"/>
      <c r="W50" s="162"/>
      <c r="X50" s="147"/>
      <c r="Y50" s="164"/>
      <c r="Z50" s="164"/>
      <c r="AA50" s="164"/>
      <c r="AB50" s="152"/>
      <c r="AK50" s="149"/>
    </row>
    <row r="51" spans="1:37" ht="15" customHeight="1" x14ac:dyDescent="0.2">
      <c r="A51" s="462" t="s">
        <v>78</v>
      </c>
      <c r="B51" s="484" t="s">
        <v>526</v>
      </c>
      <c r="C51" s="138" t="s">
        <v>41</v>
      </c>
      <c r="D51" s="411">
        <v>20.18</v>
      </c>
      <c r="E51" s="139">
        <v>1.36</v>
      </c>
      <c r="F51" s="128">
        <f>COUNT(D51:D53)</f>
        <v>3</v>
      </c>
      <c r="G51" s="129">
        <f>AVERAGE(D51:D53)</f>
        <v>22.126666666666665</v>
      </c>
      <c r="H51" s="129">
        <f>STDEV(D51:D53)</f>
        <v>1.7448877709850954</v>
      </c>
      <c r="I51" s="140">
        <f>H51/G51</f>
        <v>7.8859043581730737E-2</v>
      </c>
      <c r="J51" s="140"/>
      <c r="K51" s="141">
        <f>ABS(D51-$G$51)/$H$51</f>
        <v>1.1156400423206896</v>
      </c>
      <c r="L51" s="142">
        <f>NORMDIST(D51,$G$51,$H$51,TRUE)</f>
        <v>0.13228812240505194</v>
      </c>
      <c r="M51" s="142">
        <f t="shared" si="9"/>
        <v>0.73542375518989611</v>
      </c>
      <c r="N51" s="142">
        <f t="shared" si="10"/>
        <v>0.26457624481010389</v>
      </c>
      <c r="O51" s="143">
        <f>$F$51*N51</f>
        <v>0.79372873443031167</v>
      </c>
      <c r="P51" s="144"/>
      <c r="Q51" s="145">
        <f>ABS(D51-$G$51)</f>
        <v>1.9466666666666654</v>
      </c>
      <c r="R51" s="145">
        <v>1.196</v>
      </c>
      <c r="S51" s="145">
        <f>R51*H51</f>
        <v>2.0868857740981741</v>
      </c>
      <c r="T51" s="147" t="str">
        <f>IF(Q51&gt;$S$51, "Reject", "Accept")</f>
        <v>Accept</v>
      </c>
      <c r="U51" s="147"/>
      <c r="V51" s="147"/>
      <c r="W51" s="147"/>
      <c r="X51" s="147"/>
      <c r="Y51" s="129">
        <f>G51</f>
        <v>22.126666666666665</v>
      </c>
      <c r="Z51" s="129">
        <f>H51</f>
        <v>1.7448877709850954</v>
      </c>
      <c r="AA51" s="140">
        <f>Z51/Y51</f>
        <v>7.8859043581730737E-2</v>
      </c>
      <c r="AB51" s="152" t="s">
        <v>676</v>
      </c>
      <c r="AK51" s="149"/>
    </row>
    <row r="52" spans="1:37" ht="15" customHeight="1" x14ac:dyDescent="0.2">
      <c r="A52" s="463"/>
      <c r="B52" s="484"/>
      <c r="C52" s="172" t="s">
        <v>40</v>
      </c>
      <c r="D52" s="411">
        <v>22.65</v>
      </c>
      <c r="E52" s="139">
        <v>1.24</v>
      </c>
      <c r="F52" s="133"/>
      <c r="G52" s="168"/>
      <c r="H52" s="168"/>
      <c r="I52" s="168"/>
      <c r="J52" s="168"/>
      <c r="K52" s="141">
        <f>ABS(D52-$G$51)/$H$51</f>
        <v>0.29992377850059659</v>
      </c>
      <c r="L52" s="142">
        <f>NORMDIST(D52,$G$51,$H$51,TRUE)</f>
        <v>0.61788235190546636</v>
      </c>
      <c r="M52" s="142">
        <f t="shared" si="9"/>
        <v>0.23576470381093273</v>
      </c>
      <c r="N52" s="142">
        <f t="shared" si="10"/>
        <v>0.76423529618906727</v>
      </c>
      <c r="O52" s="150">
        <f>$F$51*N52</f>
        <v>2.2927058885672018</v>
      </c>
      <c r="P52" s="150"/>
      <c r="Q52" s="145">
        <f>ABS(D52-$G$51)</f>
        <v>0.52333333333333343</v>
      </c>
      <c r="R52" s="147" t="s">
        <v>594</v>
      </c>
      <c r="S52" s="147"/>
      <c r="T52" s="147" t="str">
        <f>IF(Q52&gt;$S$51, "Reject", "Accept")</f>
        <v>Accept</v>
      </c>
      <c r="U52" s="147"/>
      <c r="V52" s="147"/>
      <c r="W52" s="147"/>
      <c r="X52" s="147"/>
      <c r="Y52" s="151"/>
      <c r="Z52" s="151"/>
      <c r="AA52" s="151"/>
      <c r="AB52" s="152"/>
      <c r="AK52" s="149"/>
    </row>
    <row r="53" spans="1:37" ht="15" customHeight="1" x14ac:dyDescent="0.2">
      <c r="A53" s="463"/>
      <c r="B53" s="484"/>
      <c r="C53" s="138" t="s">
        <v>42</v>
      </c>
      <c r="D53" s="411">
        <v>23.55</v>
      </c>
      <c r="E53" s="139">
        <v>1.31</v>
      </c>
      <c r="K53" s="141">
        <f>ABS(D53-$G$51)/$H$51</f>
        <v>0.81571626382009499</v>
      </c>
      <c r="L53" s="142">
        <f>NORMDIST(D53,$G$51,$H$51,TRUE)</f>
        <v>0.79266878256647166</v>
      </c>
      <c r="M53" s="142">
        <f t="shared" si="9"/>
        <v>0.58533756513294333</v>
      </c>
      <c r="N53" s="142">
        <f t="shared" si="10"/>
        <v>0.41466243486705667</v>
      </c>
      <c r="O53" s="150">
        <f>$F$51*N53</f>
        <v>1.24398730460117</v>
      </c>
      <c r="P53" s="150"/>
      <c r="Q53" s="145">
        <f>ABS(D53-$G$51)</f>
        <v>1.4233333333333356</v>
      </c>
      <c r="R53" s="147"/>
      <c r="S53" s="147"/>
      <c r="T53" s="147" t="str">
        <f>IF(Q53&gt;$S$51, "Reject", "Accept")</f>
        <v>Accept</v>
      </c>
      <c r="U53" s="147"/>
      <c r="V53" s="147"/>
      <c r="W53" s="147"/>
      <c r="X53" s="147"/>
      <c r="Y53" s="151"/>
      <c r="Z53" s="151"/>
      <c r="AA53" s="151"/>
      <c r="AB53" s="152"/>
      <c r="AK53" s="149"/>
    </row>
    <row r="54" spans="1:37" ht="15" customHeight="1" x14ac:dyDescent="0.2">
      <c r="A54" s="463"/>
      <c r="B54" s="484" t="s">
        <v>527</v>
      </c>
      <c r="C54" s="153" t="s">
        <v>46</v>
      </c>
      <c r="D54" s="412">
        <v>29.89</v>
      </c>
      <c r="E54" s="413">
        <v>0.91</v>
      </c>
      <c r="F54" s="154">
        <f>COUNT(D54:D56)</f>
        <v>3</v>
      </c>
      <c r="G54" s="155">
        <f>AVERAGE(D54:D56)</f>
        <v>48.03</v>
      </c>
      <c r="H54" s="155">
        <f>STDEV(D54:D56)</f>
        <v>30.206534061358312</v>
      </c>
      <c r="I54" s="156">
        <f>H54/G54</f>
        <v>0.62890972436723525</v>
      </c>
      <c r="J54" s="140"/>
      <c r="K54" s="157">
        <f>ABS(D54-$G$54)/$H$54</f>
        <v>0.6005323206943356</v>
      </c>
      <c r="L54" s="158">
        <f>NORMDIST(D54,$G$54,$H$54,TRUE)</f>
        <v>0.27407576373074127</v>
      </c>
      <c r="M54" s="158">
        <f t="shared" si="9"/>
        <v>0.45184847253851745</v>
      </c>
      <c r="N54" s="158">
        <f t="shared" si="10"/>
        <v>0.54815152746148255</v>
      </c>
      <c r="O54" s="163">
        <f>$F$54*N54</f>
        <v>1.6444545823844476</v>
      </c>
      <c r="P54" s="150"/>
      <c r="Q54" s="160">
        <f>ABS(D54-$G$54)</f>
        <v>18.14</v>
      </c>
      <c r="R54" s="160">
        <v>1.196</v>
      </c>
      <c r="S54" s="160">
        <f>R54*H54</f>
        <v>36.127014737384542</v>
      </c>
      <c r="T54" s="162" t="str">
        <f>IF(Q54&gt;$S$54, "Reject", "Accept")</f>
        <v>Accept</v>
      </c>
      <c r="U54" s="162"/>
      <c r="V54" s="162"/>
      <c r="W54" s="162"/>
      <c r="X54" s="147"/>
      <c r="Y54" s="155">
        <f>G54</f>
        <v>48.03</v>
      </c>
      <c r="Z54" s="155">
        <f>H54</f>
        <v>30.206534061358312</v>
      </c>
      <c r="AA54" s="156">
        <f>Z54/Y54</f>
        <v>0.62890972436723525</v>
      </c>
      <c r="AB54" s="152" t="s">
        <v>677</v>
      </c>
      <c r="AK54" s="149"/>
    </row>
    <row r="55" spans="1:37" ht="15" customHeight="1" x14ac:dyDescent="0.2">
      <c r="A55" s="463"/>
      <c r="B55" s="484"/>
      <c r="C55" s="153" t="s">
        <v>43</v>
      </c>
      <c r="D55" s="412">
        <v>31.3</v>
      </c>
      <c r="E55" s="413">
        <v>0.95</v>
      </c>
      <c r="F55" s="154"/>
      <c r="G55" s="155"/>
      <c r="H55" s="155"/>
      <c r="I55" s="155"/>
      <c r="K55" s="157">
        <f>ABS(D55-$G$54)/$H$54</f>
        <v>0.55385367834709121</v>
      </c>
      <c r="L55" s="158">
        <f>NORMDIST(D55,$G$54,$H$54,TRUE)</f>
        <v>0.28983949433281297</v>
      </c>
      <c r="M55" s="158">
        <f t="shared" si="9"/>
        <v>0.42032101133437405</v>
      </c>
      <c r="N55" s="158">
        <f t="shared" si="10"/>
        <v>0.57967898866562595</v>
      </c>
      <c r="O55" s="163">
        <f>$F$54*N55</f>
        <v>1.7390369659968778</v>
      </c>
      <c r="P55" s="150"/>
      <c r="Q55" s="160">
        <f>ABS(D55-$G$54)</f>
        <v>16.73</v>
      </c>
      <c r="R55" s="162" t="s">
        <v>594</v>
      </c>
      <c r="S55" s="162"/>
      <c r="T55" s="162" t="str">
        <f>IF(Q55&gt;$S$54, "Reject", "Accept")</f>
        <v>Accept</v>
      </c>
      <c r="U55" s="162"/>
      <c r="V55" s="162"/>
      <c r="W55" s="162"/>
      <c r="X55" s="147"/>
      <c r="Y55" s="164"/>
      <c r="Z55" s="164"/>
      <c r="AA55" s="164"/>
      <c r="AB55" s="173"/>
      <c r="AK55" s="149"/>
    </row>
    <row r="56" spans="1:37" ht="15" customHeight="1" x14ac:dyDescent="0.2">
      <c r="A56" s="463"/>
      <c r="B56" s="484"/>
      <c r="C56" s="153" t="s">
        <v>44</v>
      </c>
      <c r="D56" s="412">
        <v>82.9</v>
      </c>
      <c r="E56" s="413">
        <v>2.58</v>
      </c>
      <c r="F56" s="154"/>
      <c r="G56" s="155"/>
      <c r="H56" s="155"/>
      <c r="I56" s="155"/>
      <c r="K56" s="157">
        <f>ABS(D56-$G$54)/$H$54</f>
        <v>1.1543859990414269</v>
      </c>
      <c r="L56" s="158">
        <f>NORMDIST(D56,$G$54,$H$54,TRUE)</f>
        <v>0.8758290236638715</v>
      </c>
      <c r="M56" s="158">
        <f t="shared" si="9"/>
        <v>0.751658047327743</v>
      </c>
      <c r="N56" s="158">
        <f t="shared" si="10"/>
        <v>0.248341952672257</v>
      </c>
      <c r="O56" s="159">
        <f>$F$54*N56</f>
        <v>0.74502585801677101</v>
      </c>
      <c r="P56" s="144"/>
      <c r="Q56" s="160">
        <f>ABS(D56-$G$54)</f>
        <v>34.870000000000005</v>
      </c>
      <c r="R56" s="162"/>
      <c r="S56" s="162"/>
      <c r="T56" s="162" t="str">
        <f>IF(Q56&gt;$S$54, "Reject", "Accept")</f>
        <v>Accept</v>
      </c>
      <c r="U56" s="162"/>
      <c r="V56" s="162"/>
      <c r="W56" s="162"/>
      <c r="X56" s="147"/>
      <c r="Y56" s="164"/>
      <c r="Z56" s="164"/>
      <c r="AA56" s="164"/>
      <c r="AB56" s="152"/>
      <c r="AK56" s="149"/>
    </row>
    <row r="57" spans="1:37" ht="15" customHeight="1" x14ac:dyDescent="0.2">
      <c r="A57" s="463"/>
      <c r="B57" s="124" t="s">
        <v>530</v>
      </c>
      <c r="C57" s="167" t="s">
        <v>26</v>
      </c>
      <c r="D57" s="414">
        <v>16.25</v>
      </c>
      <c r="E57" s="415">
        <v>0.61</v>
      </c>
      <c r="F57" s="238" t="s">
        <v>592</v>
      </c>
      <c r="G57" s="204"/>
      <c r="H57" s="204"/>
      <c r="I57" s="204"/>
      <c r="J57" s="204"/>
      <c r="K57" s="226"/>
      <c r="L57" s="227"/>
      <c r="M57" s="227"/>
      <c r="N57" s="227"/>
      <c r="O57" s="205"/>
      <c r="P57" s="205"/>
      <c r="Q57" s="228"/>
      <c r="R57" s="229"/>
      <c r="S57" s="205"/>
      <c r="T57" s="205"/>
      <c r="U57" s="205"/>
      <c r="V57" s="205"/>
      <c r="W57" s="205"/>
      <c r="X57" s="205"/>
      <c r="Y57" s="230"/>
      <c r="Z57" s="230"/>
      <c r="AA57" s="230"/>
      <c r="AB57" s="152"/>
      <c r="AK57" s="149"/>
    </row>
    <row r="58" spans="1:37" ht="15" customHeight="1" x14ac:dyDescent="0.2">
      <c r="A58" s="463"/>
      <c r="B58" s="484" t="s">
        <v>612</v>
      </c>
      <c r="C58" s="153" t="s">
        <v>39</v>
      </c>
      <c r="D58" s="412">
        <v>14.99</v>
      </c>
      <c r="E58" s="413">
        <v>0.54</v>
      </c>
      <c r="F58" s="154">
        <f>COUNT(D58:D60)</f>
        <v>3</v>
      </c>
      <c r="G58" s="155">
        <f>AVERAGE(D58:D60)</f>
        <v>16.043333333333333</v>
      </c>
      <c r="H58" s="155">
        <f>STDEV(D58:D60)</f>
        <v>0.9127065976168538</v>
      </c>
      <c r="I58" s="156">
        <f>H58/G58</f>
        <v>5.689008503741038E-2</v>
      </c>
      <c r="J58" s="140"/>
      <c r="K58" s="157">
        <f>ABS(D58-$G$58)/$H$58</f>
        <v>1.1540766069662103</v>
      </c>
      <c r="L58" s="158">
        <f>NORMDIST(D58,$G$58,$H$58,TRUE)</f>
        <v>0.1242343815339166</v>
      </c>
      <c r="M58" s="158">
        <f>IF(L58&gt;0.5,2*(L58-0.5),2*(0.5-L58))</f>
        <v>0.75153123693216684</v>
      </c>
      <c r="N58" s="158">
        <f>IF(L58&gt;0.5,2*(1-L58),2*L58)</f>
        <v>0.24846876306783319</v>
      </c>
      <c r="O58" s="159">
        <f>$F$58*N58</f>
        <v>0.74540628920349961</v>
      </c>
      <c r="P58" s="144"/>
      <c r="Q58" s="160">
        <f>ABS(D58-$G$58)</f>
        <v>1.0533333333333328</v>
      </c>
      <c r="R58" s="160">
        <v>1.383</v>
      </c>
      <c r="S58" s="160">
        <f>R58*H58</f>
        <v>1.2622732245041088</v>
      </c>
      <c r="T58" s="162" t="str">
        <f>IF(Q58&gt;$S$58, "Reject", "Accept")</f>
        <v>Accept</v>
      </c>
      <c r="U58" s="160"/>
      <c r="V58" s="160"/>
      <c r="W58" s="162"/>
      <c r="X58" s="147"/>
      <c r="Y58" s="231">
        <f>AVERAGE(D58:D60)</f>
        <v>16.043333333333333</v>
      </c>
      <c r="Z58" s="231">
        <f>STDEV(D58:D60)</f>
        <v>0.9127065976168538</v>
      </c>
      <c r="AA58" s="232">
        <f>Z58/Y58</f>
        <v>5.689008503741038E-2</v>
      </c>
      <c r="AB58" s="152" t="s">
        <v>676</v>
      </c>
      <c r="AK58" s="149"/>
    </row>
    <row r="59" spans="1:37" ht="15" customHeight="1" x14ac:dyDescent="0.2">
      <c r="A59" s="463"/>
      <c r="B59" s="484"/>
      <c r="C59" s="153" t="s">
        <v>27</v>
      </c>
      <c r="D59" s="412">
        <v>16.54</v>
      </c>
      <c r="E59" s="413">
        <v>0.5</v>
      </c>
      <c r="F59" s="154"/>
      <c r="G59" s="155"/>
      <c r="H59" s="155"/>
      <c r="I59" s="155"/>
      <c r="K59" s="157">
        <f>ABS(D59-$G$58)/$H$58</f>
        <v>0.54416903303153552</v>
      </c>
      <c r="L59" s="158">
        <f>NORMDIST(D59,$G$58,$H$58,TRUE)</f>
        <v>0.70683742030769015</v>
      </c>
      <c r="M59" s="158">
        <f t="shared" si="9"/>
        <v>0.41367484061538029</v>
      </c>
      <c r="N59" s="158">
        <f t="shared" si="10"/>
        <v>0.58632515938461971</v>
      </c>
      <c r="O59" s="163">
        <f>$F$58*N59</f>
        <v>1.7589754781538591</v>
      </c>
      <c r="P59" s="150"/>
      <c r="Q59" s="160">
        <f>ABS(D59-$G$58)</f>
        <v>0.49666666666666615</v>
      </c>
      <c r="R59" s="162" t="s">
        <v>594</v>
      </c>
      <c r="S59" s="162"/>
      <c r="T59" s="162" t="str">
        <f>IF(Q59&gt;$S$58, "Reject", "Accept")</f>
        <v>Accept</v>
      </c>
      <c r="U59" s="162"/>
      <c r="V59" s="162"/>
      <c r="W59" s="162"/>
      <c r="X59" s="147"/>
      <c r="Y59" s="164"/>
      <c r="Z59" s="164"/>
      <c r="AA59" s="164"/>
      <c r="AB59" s="152"/>
      <c r="AK59" s="149"/>
    </row>
    <row r="60" spans="1:37" ht="15" customHeight="1" x14ac:dyDescent="0.2">
      <c r="A60" s="463"/>
      <c r="B60" s="484"/>
      <c r="C60" s="153" t="s">
        <v>45</v>
      </c>
      <c r="D60" s="412">
        <v>16.600000000000001</v>
      </c>
      <c r="E60" s="413">
        <v>0.51</v>
      </c>
      <c r="F60" s="154"/>
      <c r="G60" s="155"/>
      <c r="H60" s="155"/>
      <c r="I60" s="155"/>
      <c r="K60" s="157">
        <f>ABS(D60-$G$58)/$H$58</f>
        <v>0.60990757393467665</v>
      </c>
      <c r="L60" s="158">
        <f>NORMDIST(D60,$G$58,$H$58,TRUE)</f>
        <v>0.72903848248437908</v>
      </c>
      <c r="M60" s="158">
        <f t="shared" si="9"/>
        <v>0.45807696496875816</v>
      </c>
      <c r="N60" s="158">
        <f t="shared" si="10"/>
        <v>0.54192303503124184</v>
      </c>
      <c r="O60" s="163">
        <f>$F$58*N60</f>
        <v>1.6257691050937255</v>
      </c>
      <c r="P60" s="150"/>
      <c r="Q60" s="160">
        <f>ABS(D60-$G$58)</f>
        <v>0.55666666666666842</v>
      </c>
      <c r="R60" s="162"/>
      <c r="S60" s="162"/>
      <c r="T60" s="162" t="str">
        <f>IF(Q60&gt;$S$58, "Reject", "Accept")</f>
        <v>Accept</v>
      </c>
      <c r="U60" s="162"/>
      <c r="V60" s="162"/>
      <c r="W60" s="162"/>
      <c r="X60" s="147"/>
      <c r="Y60" s="164"/>
      <c r="Z60" s="164"/>
      <c r="AA60" s="164"/>
      <c r="AB60" s="152"/>
      <c r="AK60" s="149"/>
    </row>
    <row r="61" spans="1:37" ht="15" customHeight="1" x14ac:dyDescent="0.2">
      <c r="A61" s="463" t="s">
        <v>77</v>
      </c>
      <c r="B61" s="484" t="s">
        <v>600</v>
      </c>
      <c r="C61" s="172" t="s">
        <v>0</v>
      </c>
      <c r="D61" s="419">
        <v>22.5</v>
      </c>
      <c r="E61" s="139">
        <v>1.05</v>
      </c>
      <c r="F61" s="128">
        <f>COUNT(D61:D63)</f>
        <v>3</v>
      </c>
      <c r="G61" s="129">
        <f>AVERAGE(D61:D63)</f>
        <v>59.956666666666671</v>
      </c>
      <c r="H61" s="129">
        <f>STDEV(D61:D63)</f>
        <v>40.981745123082966</v>
      </c>
      <c r="I61" s="140">
        <f>H61/G61</f>
        <v>0.68352274069744201</v>
      </c>
      <c r="J61" s="140"/>
      <c r="K61" s="141">
        <f>ABS(D61-$G$61)/$H$61</f>
        <v>0.9139841789111417</v>
      </c>
      <c r="L61" s="142">
        <f>NORMDIST(D61,$G$61,$H$61,TRUE)</f>
        <v>0.18036257952111195</v>
      </c>
      <c r="M61" s="142">
        <f t="shared" si="9"/>
        <v>0.63927484095777609</v>
      </c>
      <c r="N61" s="142">
        <f t="shared" si="10"/>
        <v>0.36072515904222391</v>
      </c>
      <c r="O61" s="150">
        <f>$F$61*N61</f>
        <v>1.0821754771266718</v>
      </c>
      <c r="P61" s="150"/>
      <c r="Q61" s="145">
        <f>ABS(D61-$G$61)</f>
        <v>37.456666666666671</v>
      </c>
      <c r="R61" s="145">
        <v>1.196</v>
      </c>
      <c r="S61" s="145">
        <f>R61*H61</f>
        <v>49.014167167207226</v>
      </c>
      <c r="T61" s="147" t="str">
        <f>IF(Q61&gt;$S$61, "Reject", "Accept")</f>
        <v>Accept</v>
      </c>
      <c r="U61" s="147"/>
      <c r="V61" s="147"/>
      <c r="W61" s="147"/>
      <c r="X61" s="147"/>
      <c r="Y61" s="129">
        <f>G61</f>
        <v>59.956666666666671</v>
      </c>
      <c r="Z61" s="129">
        <f>H61</f>
        <v>40.981745123082966</v>
      </c>
      <c r="AA61" s="140">
        <f>Z61/Y61</f>
        <v>0.68352274069744201</v>
      </c>
      <c r="AB61" s="152" t="s">
        <v>676</v>
      </c>
      <c r="AK61" s="149"/>
    </row>
    <row r="62" spans="1:37" ht="15" customHeight="1" x14ac:dyDescent="0.2">
      <c r="A62" s="463"/>
      <c r="B62" s="484"/>
      <c r="C62" s="172" t="s">
        <v>2</v>
      </c>
      <c r="D62" s="419">
        <v>53.64</v>
      </c>
      <c r="E62" s="139">
        <v>1.44</v>
      </c>
      <c r="K62" s="141">
        <f>ABS(D62-$G$61)/$H$61</f>
        <v>0.15413366726320318</v>
      </c>
      <c r="L62" s="142">
        <f>NORMDIST(D62,$G$61,$H$61,TRUE)</f>
        <v>0.43875217141198708</v>
      </c>
      <c r="M62" s="142">
        <f t="shared" si="9"/>
        <v>0.12249565717602584</v>
      </c>
      <c r="N62" s="142">
        <f t="shared" si="10"/>
        <v>0.87750434282397416</v>
      </c>
      <c r="O62" s="150">
        <f>$F$61*N62</f>
        <v>2.6325130284719225</v>
      </c>
      <c r="P62" s="150"/>
      <c r="Q62" s="145">
        <f>ABS(D62-$G$61)</f>
        <v>6.31666666666667</v>
      </c>
      <c r="R62" s="147" t="s">
        <v>594</v>
      </c>
      <c r="S62" s="147"/>
      <c r="T62" s="147" t="str">
        <f>IF(Q62&gt;$S$61, "Reject", "Accept")</f>
        <v>Accept</v>
      </c>
      <c r="U62" s="147"/>
      <c r="V62" s="147"/>
      <c r="W62" s="147"/>
      <c r="X62" s="147"/>
      <c r="Y62" s="151"/>
      <c r="Z62" s="151"/>
      <c r="AA62" s="151"/>
      <c r="AB62" s="173"/>
      <c r="AK62" s="149"/>
    </row>
    <row r="63" spans="1:37" ht="15" customHeight="1" x14ac:dyDescent="0.2">
      <c r="A63" s="463"/>
      <c r="B63" s="484"/>
      <c r="C63" s="172" t="s">
        <v>1</v>
      </c>
      <c r="D63" s="419">
        <v>103.73</v>
      </c>
      <c r="E63" s="139">
        <v>2.84</v>
      </c>
      <c r="K63" s="141">
        <f>ABS(D63-$G$61)/$H$61</f>
        <v>1.0681178461743448</v>
      </c>
      <c r="L63" s="142">
        <f>NORMDIST(D63,$G$61,$H$61,TRUE)</f>
        <v>0.85726632164746308</v>
      </c>
      <c r="M63" s="142">
        <f t="shared" si="9"/>
        <v>0.71453264329492616</v>
      </c>
      <c r="N63" s="142">
        <f t="shared" si="10"/>
        <v>0.28546735670507384</v>
      </c>
      <c r="O63" s="143">
        <f>$F$61*N63</f>
        <v>0.85640207011522151</v>
      </c>
      <c r="P63" s="144"/>
      <c r="Q63" s="145">
        <f>ABS(D63-$G$61)</f>
        <v>43.773333333333333</v>
      </c>
      <c r="R63" s="147"/>
      <c r="S63" s="147"/>
      <c r="T63" s="147" t="str">
        <f>IF(Q63&gt;$S$61, "Reject", "Accept")</f>
        <v>Accept</v>
      </c>
      <c r="U63" s="147"/>
      <c r="V63" s="147"/>
      <c r="W63" s="147"/>
      <c r="X63" s="147"/>
      <c r="Y63" s="151"/>
      <c r="Z63" s="151"/>
      <c r="AA63" s="151"/>
      <c r="AB63" s="152"/>
      <c r="AK63" s="149"/>
    </row>
    <row r="64" spans="1:37" ht="15" customHeight="1" x14ac:dyDescent="0.2">
      <c r="A64" s="463"/>
      <c r="B64" s="484" t="s">
        <v>601</v>
      </c>
      <c r="C64" s="153" t="s">
        <v>3</v>
      </c>
      <c r="D64" s="412">
        <v>22.16</v>
      </c>
      <c r="E64" s="413">
        <v>0.94</v>
      </c>
      <c r="F64" s="154">
        <f>COUNT(D64:D69)</f>
        <v>6</v>
      </c>
      <c r="G64" s="155">
        <f>AVERAGE(D64:D69)</f>
        <v>35.274999999999999</v>
      </c>
      <c r="H64" s="155">
        <f>STDEV(D64:D69)</f>
        <v>9.2630011335419997</v>
      </c>
      <c r="I64" s="156">
        <f>H64/G64</f>
        <v>0.26259393716632173</v>
      </c>
      <c r="J64" s="140"/>
      <c r="K64" s="157">
        <f t="shared" ref="K64:K69" si="14">ABS(D64-$G$64)/$H$64</f>
        <v>1.4158478241473631</v>
      </c>
      <c r="L64" s="158">
        <f t="shared" ref="L64:L69" si="15">NORMDIST(D64,$G$64,$H$64,TRUE)</f>
        <v>7.8410031976475544E-2</v>
      </c>
      <c r="M64" s="158">
        <f t="shared" si="9"/>
        <v>0.84317993604704888</v>
      </c>
      <c r="N64" s="158">
        <f t="shared" si="10"/>
        <v>0.15682006395295109</v>
      </c>
      <c r="O64" s="159">
        <f t="shared" ref="O64:O69" si="16">$F$64*N64</f>
        <v>0.94092038371770648</v>
      </c>
      <c r="P64" s="144"/>
      <c r="Q64" s="160">
        <f t="shared" ref="Q64:Q69" si="17">ABS(D64-$G$64)</f>
        <v>13.114999999999998</v>
      </c>
      <c r="R64" s="160">
        <v>1.61</v>
      </c>
      <c r="S64" s="160">
        <f>R64*H64</f>
        <v>14.91343182500262</v>
      </c>
      <c r="T64" s="162" t="str">
        <f t="shared" ref="T64:T69" si="18">IF(Q64&gt;$S$64, "Reject", "Accept")</f>
        <v>Accept</v>
      </c>
      <c r="U64" s="162"/>
      <c r="V64" s="162"/>
      <c r="W64" s="162"/>
      <c r="X64" s="147"/>
      <c r="Y64" s="233">
        <f>G64</f>
        <v>35.274999999999999</v>
      </c>
      <c r="Z64" s="233">
        <f>H64</f>
        <v>9.2630011335419997</v>
      </c>
      <c r="AA64" s="234">
        <f>Z64/Y64</f>
        <v>0.26259393716632173</v>
      </c>
      <c r="AB64" s="152" t="s">
        <v>676</v>
      </c>
      <c r="AK64" s="149"/>
    </row>
    <row r="65" spans="1:37" ht="15" customHeight="1" x14ac:dyDescent="0.2">
      <c r="A65" s="463"/>
      <c r="B65" s="484"/>
      <c r="C65" s="153" t="s">
        <v>5</v>
      </c>
      <c r="D65" s="412">
        <v>31.77</v>
      </c>
      <c r="E65" s="413">
        <v>1.1299999999999999</v>
      </c>
      <c r="F65" s="154"/>
      <c r="G65" s="155"/>
      <c r="H65" s="155"/>
      <c r="I65" s="155"/>
      <c r="K65" s="157">
        <f t="shared" si="14"/>
        <v>0.37838708529443438</v>
      </c>
      <c r="L65" s="158">
        <f t="shared" si="15"/>
        <v>0.35257153035905259</v>
      </c>
      <c r="M65" s="158">
        <f t="shared" si="9"/>
        <v>0.29485693928189483</v>
      </c>
      <c r="N65" s="158">
        <f t="shared" si="10"/>
        <v>0.70514306071810517</v>
      </c>
      <c r="O65" s="163">
        <f t="shared" si="16"/>
        <v>4.2308583643086308</v>
      </c>
      <c r="P65" s="150"/>
      <c r="Q65" s="160">
        <f t="shared" si="17"/>
        <v>3.504999999999999</v>
      </c>
      <c r="R65" s="235" t="s">
        <v>590</v>
      </c>
      <c r="S65" s="162"/>
      <c r="T65" s="162" t="str">
        <f t="shared" si="18"/>
        <v>Accept</v>
      </c>
      <c r="U65" s="162"/>
      <c r="V65" s="162"/>
      <c r="W65" s="162"/>
      <c r="X65" s="147"/>
      <c r="Y65" s="164"/>
      <c r="Z65" s="164"/>
      <c r="AA65" s="164"/>
      <c r="AB65" s="173"/>
      <c r="AK65" s="149"/>
    </row>
    <row r="66" spans="1:37" ht="15" customHeight="1" x14ac:dyDescent="0.2">
      <c r="A66" s="463"/>
      <c r="B66" s="484"/>
      <c r="C66" s="153" t="s">
        <v>22</v>
      </c>
      <c r="D66" s="412">
        <v>31.78</v>
      </c>
      <c r="E66" s="413">
        <v>1.79</v>
      </c>
      <c r="F66" s="154"/>
      <c r="G66" s="155"/>
      <c r="H66" s="155"/>
      <c r="I66" s="155"/>
      <c r="K66" s="157">
        <f t="shared" si="14"/>
        <v>0.3773075215703417</v>
      </c>
      <c r="L66" s="158">
        <f t="shared" si="15"/>
        <v>0.35297254158112912</v>
      </c>
      <c r="M66" s="158">
        <f t="shared" si="9"/>
        <v>0.29405491683774176</v>
      </c>
      <c r="N66" s="158">
        <f t="shared" si="10"/>
        <v>0.70594508316225824</v>
      </c>
      <c r="O66" s="163">
        <f t="shared" si="16"/>
        <v>4.2356704989735494</v>
      </c>
      <c r="P66" s="150"/>
      <c r="Q66" s="160">
        <f t="shared" si="17"/>
        <v>3.4949999999999974</v>
      </c>
      <c r="R66" s="162"/>
      <c r="S66" s="162"/>
      <c r="T66" s="162" t="str">
        <f t="shared" si="18"/>
        <v>Accept</v>
      </c>
      <c r="U66" s="162"/>
      <c r="V66" s="162"/>
      <c r="W66" s="162"/>
      <c r="X66" s="147"/>
      <c r="Y66" s="164"/>
      <c r="Z66" s="164"/>
      <c r="AA66" s="164"/>
      <c r="AB66" s="152"/>
      <c r="AK66" s="149"/>
    </row>
    <row r="67" spans="1:37" ht="15" customHeight="1" x14ac:dyDescent="0.2">
      <c r="A67" s="463"/>
      <c r="B67" s="484"/>
      <c r="C67" s="153" t="s">
        <v>21</v>
      </c>
      <c r="D67" s="412">
        <v>36.54</v>
      </c>
      <c r="E67" s="413">
        <v>1.37</v>
      </c>
      <c r="F67" s="154"/>
      <c r="G67" s="155"/>
      <c r="H67" s="155"/>
      <c r="I67" s="155"/>
      <c r="K67" s="157">
        <f t="shared" si="14"/>
        <v>0.1365648110977061</v>
      </c>
      <c r="L67" s="158">
        <f t="shared" si="15"/>
        <v>0.55431260374044022</v>
      </c>
      <c r="M67" s="158">
        <f t="shared" si="9"/>
        <v>0.10862520748088045</v>
      </c>
      <c r="N67" s="158">
        <f t="shared" si="10"/>
        <v>0.89137479251911955</v>
      </c>
      <c r="O67" s="163">
        <f t="shared" si="16"/>
        <v>5.3482487551147173</v>
      </c>
      <c r="P67" s="150"/>
      <c r="Q67" s="160">
        <f t="shared" si="17"/>
        <v>1.2650000000000006</v>
      </c>
      <c r="R67" s="162"/>
      <c r="S67" s="162"/>
      <c r="T67" s="162" t="str">
        <f t="shared" si="18"/>
        <v>Accept</v>
      </c>
      <c r="U67" s="162"/>
      <c r="V67" s="162"/>
      <c r="W67" s="162"/>
      <c r="X67" s="147"/>
      <c r="Y67" s="164"/>
      <c r="Z67" s="164"/>
      <c r="AA67" s="164"/>
      <c r="AB67" s="152"/>
      <c r="AK67" s="149"/>
    </row>
    <row r="68" spans="1:37" ht="15" customHeight="1" x14ac:dyDescent="0.2">
      <c r="A68" s="463"/>
      <c r="B68" s="484"/>
      <c r="C68" s="153" t="s">
        <v>4</v>
      </c>
      <c r="D68" s="412">
        <v>39.54</v>
      </c>
      <c r="E68" s="413">
        <v>1.66</v>
      </c>
      <c r="F68" s="154"/>
      <c r="G68" s="155"/>
      <c r="H68" s="155"/>
      <c r="I68" s="155"/>
      <c r="K68" s="157">
        <f t="shared" si="14"/>
        <v>0.46043392832546742</v>
      </c>
      <c r="L68" s="158">
        <f t="shared" si="15"/>
        <v>0.67739760686614747</v>
      </c>
      <c r="M68" s="158">
        <f t="shared" si="9"/>
        <v>0.35479521373229495</v>
      </c>
      <c r="N68" s="158">
        <f t="shared" si="10"/>
        <v>0.64520478626770505</v>
      </c>
      <c r="O68" s="163">
        <f t="shared" si="16"/>
        <v>3.8712287176062303</v>
      </c>
      <c r="P68" s="150"/>
      <c r="Q68" s="160">
        <f t="shared" si="17"/>
        <v>4.2650000000000006</v>
      </c>
      <c r="R68" s="162"/>
      <c r="S68" s="162"/>
      <c r="T68" s="162" t="str">
        <f t="shared" si="18"/>
        <v>Accept</v>
      </c>
      <c r="U68" s="162"/>
      <c r="V68" s="162"/>
      <c r="W68" s="162"/>
      <c r="X68" s="147"/>
      <c r="Y68" s="164"/>
      <c r="Z68" s="164"/>
      <c r="AA68" s="164"/>
      <c r="AB68" s="152"/>
      <c r="AK68" s="149"/>
    </row>
    <row r="69" spans="1:37" ht="15" customHeight="1" x14ac:dyDescent="0.2">
      <c r="A69" s="463"/>
      <c r="B69" s="484"/>
      <c r="C69" s="153" t="s">
        <v>23</v>
      </c>
      <c r="D69" s="412">
        <v>49.86</v>
      </c>
      <c r="E69" s="413">
        <v>1.8</v>
      </c>
      <c r="F69" s="154"/>
      <c r="G69" s="155"/>
      <c r="H69" s="155"/>
      <c r="I69" s="155"/>
      <c r="K69" s="157">
        <f t="shared" si="14"/>
        <v>1.5745436915889663</v>
      </c>
      <c r="L69" s="158">
        <f t="shared" si="15"/>
        <v>0.9423190955459847</v>
      </c>
      <c r="M69" s="158">
        <f t="shared" si="9"/>
        <v>0.88463819109196939</v>
      </c>
      <c r="N69" s="158">
        <f t="shared" si="10"/>
        <v>0.11536180890803061</v>
      </c>
      <c r="O69" s="159">
        <f t="shared" si="16"/>
        <v>0.69217085344818363</v>
      </c>
      <c r="P69" s="144"/>
      <c r="Q69" s="160">
        <f t="shared" si="17"/>
        <v>14.585000000000001</v>
      </c>
      <c r="R69" s="162"/>
      <c r="S69" s="162"/>
      <c r="T69" s="162" t="str">
        <f t="shared" si="18"/>
        <v>Accept</v>
      </c>
      <c r="U69" s="162"/>
      <c r="V69" s="162"/>
      <c r="W69" s="162"/>
      <c r="X69" s="147"/>
      <c r="Y69" s="164"/>
      <c r="Z69" s="164"/>
      <c r="AA69" s="164"/>
      <c r="AB69" s="152"/>
      <c r="AK69" s="149"/>
    </row>
    <row r="70" spans="1:37" ht="15" customHeight="1" x14ac:dyDescent="0.2">
      <c r="A70" s="514" t="s">
        <v>81</v>
      </c>
      <c r="B70" s="515"/>
      <c r="C70" s="167" t="s">
        <v>30</v>
      </c>
      <c r="D70" s="414">
        <v>0.94</v>
      </c>
      <c r="E70" s="415">
        <v>0.09</v>
      </c>
      <c r="L70" s="139"/>
      <c r="M70" s="139"/>
      <c r="N70" s="139"/>
      <c r="AB70" s="152"/>
      <c r="AK70" s="149"/>
    </row>
    <row r="71" spans="1:37" ht="15" customHeight="1" x14ac:dyDescent="0.2">
      <c r="A71" s="514"/>
      <c r="B71" s="515"/>
      <c r="C71" s="167" t="s">
        <v>31</v>
      </c>
      <c r="D71" s="414">
        <v>1.59</v>
      </c>
      <c r="E71" s="415">
        <v>0.1</v>
      </c>
      <c r="L71" s="139"/>
      <c r="M71" s="139"/>
      <c r="N71" s="139"/>
      <c r="AB71" s="152"/>
      <c r="AK71" s="149"/>
    </row>
    <row r="72" spans="1:37" ht="15" customHeight="1" x14ac:dyDescent="0.2">
      <c r="A72" s="514"/>
      <c r="B72" s="515"/>
      <c r="C72" s="167" t="s">
        <v>35</v>
      </c>
      <c r="D72" s="414">
        <v>11.87</v>
      </c>
      <c r="E72" s="415">
        <v>0.42</v>
      </c>
      <c r="L72" s="139"/>
      <c r="M72" s="139"/>
      <c r="N72" s="139"/>
      <c r="AB72" s="152"/>
      <c r="AK72" s="149"/>
    </row>
    <row r="73" spans="1:37" ht="15" customHeight="1" x14ac:dyDescent="0.2">
      <c r="A73" s="514"/>
      <c r="B73" s="515"/>
      <c r="C73" s="167" t="s">
        <v>51</v>
      </c>
      <c r="D73" s="414">
        <v>4.0599999999999996</v>
      </c>
      <c r="E73" s="415">
        <v>0.15</v>
      </c>
      <c r="F73" s="169" t="s">
        <v>592</v>
      </c>
      <c r="L73" s="139"/>
      <c r="M73" s="139"/>
      <c r="N73" s="139"/>
      <c r="AB73" s="152"/>
      <c r="AK73" s="149"/>
    </row>
    <row r="74" spans="1:37" ht="15" customHeight="1" x14ac:dyDescent="0.2">
      <c r="A74" s="514"/>
      <c r="B74" s="515"/>
      <c r="C74" s="167" t="s">
        <v>52</v>
      </c>
      <c r="D74" s="414">
        <v>18.28</v>
      </c>
      <c r="E74" s="415">
        <v>0.56000000000000005</v>
      </c>
      <c r="L74" s="139"/>
      <c r="M74" s="139"/>
      <c r="N74" s="139"/>
      <c r="AB74" s="152"/>
      <c r="AK74" s="149"/>
    </row>
    <row r="75" spans="1:37" ht="15" customHeight="1" x14ac:dyDescent="0.2">
      <c r="A75" s="514"/>
      <c r="B75" s="515"/>
      <c r="C75" s="167" t="s">
        <v>29</v>
      </c>
      <c r="D75" s="414">
        <v>0.93</v>
      </c>
      <c r="E75" s="415">
        <v>0.12</v>
      </c>
      <c r="L75" s="139"/>
      <c r="M75" s="139"/>
      <c r="N75" s="139"/>
      <c r="AB75" s="152"/>
      <c r="AK75" s="149"/>
    </row>
    <row r="76" spans="1:37" ht="15" customHeight="1" x14ac:dyDescent="0.2">
      <c r="A76" s="514"/>
      <c r="B76" s="515"/>
      <c r="C76" s="167" t="s">
        <v>12</v>
      </c>
      <c r="D76" s="414">
        <v>2.61</v>
      </c>
      <c r="E76" s="415">
        <v>0.1</v>
      </c>
      <c r="L76" s="139"/>
      <c r="M76" s="139"/>
      <c r="N76" s="139"/>
      <c r="AB76" s="152"/>
      <c r="AK76" s="149"/>
    </row>
    <row r="77" spans="1:37" ht="15" customHeight="1" x14ac:dyDescent="0.2">
      <c r="A77" s="514"/>
      <c r="B77" s="515"/>
      <c r="C77" s="167" t="s">
        <v>13</v>
      </c>
      <c r="D77" s="414">
        <v>2.89</v>
      </c>
      <c r="E77" s="415">
        <v>0.1</v>
      </c>
      <c r="L77" s="139"/>
      <c r="M77" s="139"/>
      <c r="N77" s="139"/>
      <c r="AB77" s="152"/>
      <c r="AK77" s="149"/>
    </row>
    <row r="78" spans="1:37" ht="15" customHeight="1" x14ac:dyDescent="0.2">
      <c r="A78" s="514"/>
      <c r="B78" s="515"/>
      <c r="C78" s="167" t="s">
        <v>14</v>
      </c>
      <c r="D78" s="414">
        <v>2.78</v>
      </c>
      <c r="E78" s="415">
        <v>0.11</v>
      </c>
      <c r="L78" s="139"/>
      <c r="M78" s="139"/>
      <c r="N78" s="139"/>
      <c r="AB78" s="152"/>
      <c r="AK78" s="149"/>
    </row>
    <row r="80" spans="1:37" ht="16" x14ac:dyDescent="0.2">
      <c r="A80" s="176" t="s">
        <v>609</v>
      </c>
    </row>
    <row r="81" spans="1:41" ht="16" x14ac:dyDescent="0.2">
      <c r="A81" s="176" t="s">
        <v>610</v>
      </c>
    </row>
    <row r="84" spans="1:41" ht="16" x14ac:dyDescent="0.2">
      <c r="A84" s="176"/>
    </row>
    <row r="85" spans="1:41" ht="16" x14ac:dyDescent="0.2">
      <c r="A85" s="176"/>
    </row>
    <row r="91" spans="1:41" s="126" customFormat="1" ht="16" x14ac:dyDescent="0.2">
      <c r="A91" s="177"/>
      <c r="E91" s="127"/>
      <c r="F91" s="128"/>
      <c r="G91" s="129"/>
      <c r="H91" s="129"/>
      <c r="I91" s="129"/>
      <c r="J91" s="129"/>
      <c r="K91" s="152"/>
      <c r="L91" s="127"/>
      <c r="M91" s="127"/>
      <c r="N91" s="127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32"/>
      <c r="Z91" s="132"/>
      <c r="AA91" s="132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</row>
    <row r="92" spans="1:41" s="126" customFormat="1" ht="16" x14ac:dyDescent="0.2">
      <c r="A92" s="176"/>
      <c r="E92" s="127"/>
      <c r="F92" s="128"/>
      <c r="G92" s="129"/>
      <c r="H92" s="129"/>
      <c r="I92" s="129"/>
      <c r="J92" s="129"/>
      <c r="K92" s="152"/>
      <c r="L92" s="127"/>
      <c r="M92" s="127"/>
      <c r="N92" s="127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32"/>
      <c r="Z92" s="132"/>
      <c r="AA92" s="132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</row>
  </sheetData>
  <mergeCells count="32">
    <mergeCell ref="Q9:Q10"/>
    <mergeCell ref="Y10:AA10"/>
    <mergeCell ref="B34:B35"/>
    <mergeCell ref="A9:A10"/>
    <mergeCell ref="B9:B10"/>
    <mergeCell ref="I9:I10"/>
    <mergeCell ref="A26:A43"/>
    <mergeCell ref="B27:B30"/>
    <mergeCell ref="B31:B33"/>
    <mergeCell ref="B36:B37"/>
    <mergeCell ref="B39:B43"/>
    <mergeCell ref="H9:H10"/>
    <mergeCell ref="A11:A25"/>
    <mergeCell ref="B11:B14"/>
    <mergeCell ref="B15:B19"/>
    <mergeCell ref="B20:B25"/>
    <mergeCell ref="C9:C10"/>
    <mergeCell ref="D9:D10"/>
    <mergeCell ref="E9:E10"/>
    <mergeCell ref="G9:G10"/>
    <mergeCell ref="F9:F10"/>
    <mergeCell ref="A70:A78"/>
    <mergeCell ref="B70:B78"/>
    <mergeCell ref="A44:A50"/>
    <mergeCell ref="B51:B53"/>
    <mergeCell ref="A61:A69"/>
    <mergeCell ref="B61:B63"/>
    <mergeCell ref="B64:B69"/>
    <mergeCell ref="B54:B56"/>
    <mergeCell ref="B58:B60"/>
    <mergeCell ref="A51:A60"/>
    <mergeCell ref="B44:B49"/>
  </mergeCells>
  <conditionalFormatting sqref="T9:T10 T27:U27 T11:X26 T28:V34 T39:U39 W27:X34 T44:U44 W44:X44 T58:U58 W58:X58 W39:X39 T40:X43 T35:X38 T59:X1048576 T45:X57">
    <cfRule type="containsText" dxfId="2" priority="3" operator="containsText" text="rejected">
      <formula>NOT(ISERROR(SEARCH("rejected",T9)))</formula>
    </cfRule>
  </conditionalFormatting>
  <conditionalFormatting sqref="O1:O1048576">
    <cfRule type="cellIs" dxfId="1" priority="2" operator="between">
      <formula>0.0000001</formula>
      <formula>0.5</formula>
    </cfRule>
  </conditionalFormatting>
  <conditionalFormatting sqref="W9:X10">
    <cfRule type="containsText" dxfId="0" priority="1" operator="containsText" text="rejected">
      <formula>NOT(ISERROR(SEARCH("rejected",W9)))</formula>
    </cfRule>
  </conditionalFormatting>
  <pageMargins left="0.7" right="0.7" top="0.75" bottom="0.75" header="0.3" footer="0.3"/>
  <pageSetup paperSize="9" orientation="portrait" horizontalDpi="4294967292" verticalDpi="4294967292"/>
  <ignoredErrors>
    <ignoredError sqref="F11:H7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workbookViewId="0">
      <selection activeCell="A5" sqref="A5:A6"/>
    </sheetView>
  </sheetViews>
  <sheetFormatPr baseColWidth="10" defaultColWidth="16.19921875" defaultRowHeight="15" x14ac:dyDescent="0.2"/>
  <cols>
    <col min="1" max="1" width="6.59765625" style="15" customWidth="1"/>
    <col min="2" max="2" width="29" style="15" customWidth="1"/>
    <col min="3" max="3" width="16.19921875" style="15"/>
    <col min="4" max="4" width="11.3984375" style="15" customWidth="1"/>
    <col min="5" max="6" width="14" style="15" customWidth="1"/>
    <col min="7" max="7" width="20.3984375" style="15" customWidth="1"/>
    <col min="8" max="8" width="14.3984375" style="7" customWidth="1"/>
    <col min="9" max="9" width="14.59765625" style="15" customWidth="1"/>
    <col min="10" max="10" width="4.19921875" style="6" customWidth="1"/>
    <col min="11" max="11" width="11.3984375" style="15" customWidth="1"/>
    <col min="12" max="12" width="14.19921875" style="15" customWidth="1"/>
    <col min="13" max="13" width="4" style="15" customWidth="1"/>
    <col min="14" max="14" width="4" style="6" customWidth="1"/>
    <col min="15" max="15" width="11.19921875" style="246" customWidth="1"/>
    <col min="16" max="16" width="13.796875" style="246" customWidth="1"/>
    <col min="17" max="17" width="4.19921875" style="246" customWidth="1"/>
    <col min="18" max="18" width="4.19921875" style="311" customWidth="1"/>
    <col min="19" max="19" width="16" style="61" customWidth="1"/>
    <col min="20" max="16384" width="16.19921875" style="15"/>
  </cols>
  <sheetData>
    <row r="1" spans="1:22" ht="16" x14ac:dyDescent="0.2">
      <c r="A1" s="320" t="s">
        <v>727</v>
      </c>
      <c r="R1" s="318"/>
    </row>
    <row r="2" spans="1:22" ht="16" x14ac:dyDescent="0.2">
      <c r="A2" s="319" t="s">
        <v>728</v>
      </c>
      <c r="P2" s="59"/>
      <c r="R2" s="318"/>
    </row>
    <row r="3" spans="1:22" ht="16" x14ac:dyDescent="0.2">
      <c r="A3" s="320" t="s">
        <v>655</v>
      </c>
      <c r="R3" s="318"/>
    </row>
    <row r="5" spans="1:22" ht="33" customHeight="1" x14ac:dyDescent="0.2">
      <c r="A5" s="543" t="s">
        <v>71</v>
      </c>
      <c r="B5" s="543" t="s">
        <v>72</v>
      </c>
      <c r="C5" s="545" t="s">
        <v>94</v>
      </c>
      <c r="D5" s="545" t="s">
        <v>70</v>
      </c>
      <c r="E5" s="543" t="s">
        <v>681</v>
      </c>
      <c r="F5" s="545" t="s">
        <v>682</v>
      </c>
      <c r="G5" s="542" t="s">
        <v>628</v>
      </c>
      <c r="H5" s="542"/>
      <c r="I5" s="542"/>
      <c r="J5" s="309"/>
      <c r="K5" s="549" t="s">
        <v>648</v>
      </c>
      <c r="L5" s="549"/>
      <c r="M5" s="210"/>
      <c r="N5" s="210"/>
      <c r="O5" s="549" t="s">
        <v>649</v>
      </c>
      <c r="P5" s="549"/>
      <c r="Q5" s="210"/>
      <c r="R5" s="210"/>
      <c r="S5" s="537" t="s">
        <v>662</v>
      </c>
    </row>
    <row r="6" spans="1:22" s="242" customFormat="1" ht="34" customHeight="1" x14ac:dyDescent="0.2">
      <c r="A6" s="544"/>
      <c r="B6" s="544"/>
      <c r="C6" s="546"/>
      <c r="D6" s="546"/>
      <c r="E6" s="544"/>
      <c r="F6" s="546"/>
      <c r="G6" s="261" t="s">
        <v>656</v>
      </c>
      <c r="H6" s="262" t="s">
        <v>683</v>
      </c>
      <c r="I6" s="261" t="s">
        <v>684</v>
      </c>
      <c r="J6" s="91"/>
      <c r="K6" s="310" t="s">
        <v>647</v>
      </c>
      <c r="L6" s="310" t="s">
        <v>685</v>
      </c>
      <c r="M6" s="210"/>
      <c r="N6" s="210"/>
      <c r="O6" s="372" t="s">
        <v>647</v>
      </c>
      <c r="P6" s="372" t="s">
        <v>686</v>
      </c>
      <c r="Q6" s="402"/>
      <c r="R6" s="210"/>
      <c r="S6" s="538"/>
    </row>
    <row r="7" spans="1:22" ht="15" customHeight="1" x14ac:dyDescent="0.2">
      <c r="A7" s="462" t="s">
        <v>79</v>
      </c>
      <c r="B7" s="484" t="s">
        <v>518</v>
      </c>
      <c r="C7" s="11" t="s">
        <v>73</v>
      </c>
      <c r="D7" s="403">
        <v>5.3</v>
      </c>
      <c r="E7" s="373">
        <v>0.34</v>
      </c>
      <c r="F7" s="403">
        <v>0.4</v>
      </c>
      <c r="G7" s="248" t="s">
        <v>598</v>
      </c>
      <c r="H7" s="89" t="s">
        <v>596</v>
      </c>
      <c r="I7" s="89" t="s">
        <v>596</v>
      </c>
      <c r="J7" s="89"/>
      <c r="K7" s="531">
        <f>AVERAGE(D7:D10)</f>
        <v>6.9499999999999993</v>
      </c>
      <c r="L7" s="531">
        <f>SQRT(STDEV(D7:D10)^2+(AVERAGE(F7:F10))^2)</f>
        <v>1.2854960132182507</v>
      </c>
      <c r="M7" s="398"/>
      <c r="N7" s="382"/>
      <c r="O7" s="531">
        <f>AVERAGE(D8:D10)</f>
        <v>7.5</v>
      </c>
      <c r="P7" s="550">
        <f>SQRT(STDEV(D8:D10)^2+(AVERAGE(F8:F10)^2))</f>
        <v>0.7601169500660917</v>
      </c>
      <c r="Q7" s="403"/>
      <c r="S7" s="534" t="str">
        <f>_xlfn.CONCAT(FIXED((O7+P7),1),"–",FIXED((O7-P7),1)," ka")</f>
        <v>8.3–6.7 ka</v>
      </c>
      <c r="T7" s="420"/>
      <c r="U7" s="420"/>
      <c r="V7" s="420"/>
    </row>
    <row r="8" spans="1:22" ht="15" customHeight="1" x14ac:dyDescent="0.2">
      <c r="A8" s="462"/>
      <c r="B8" s="484"/>
      <c r="C8" s="11" t="s">
        <v>64</v>
      </c>
      <c r="D8" s="430">
        <v>6.9</v>
      </c>
      <c r="E8" s="312">
        <v>0.23</v>
      </c>
      <c r="F8" s="430">
        <v>0.4</v>
      </c>
      <c r="G8" s="89" t="s">
        <v>596</v>
      </c>
      <c r="H8" s="89" t="s">
        <v>596</v>
      </c>
      <c r="I8" s="89" t="s">
        <v>596</v>
      </c>
      <c r="J8" s="89"/>
      <c r="K8" s="532"/>
      <c r="L8" s="532"/>
      <c r="M8" s="398"/>
      <c r="N8" s="382"/>
      <c r="O8" s="532"/>
      <c r="P8" s="551"/>
      <c r="Q8" s="403"/>
      <c r="S8" s="535"/>
      <c r="T8" s="420"/>
      <c r="U8" s="420"/>
      <c r="V8" s="420"/>
    </row>
    <row r="9" spans="1:22" ht="15" customHeight="1" x14ac:dyDescent="0.2">
      <c r="A9" s="462"/>
      <c r="B9" s="484"/>
      <c r="C9" s="11" t="s">
        <v>74</v>
      </c>
      <c r="D9" s="430">
        <v>7.5</v>
      </c>
      <c r="E9" s="312">
        <v>0.28000000000000003</v>
      </c>
      <c r="F9" s="430">
        <v>0.5</v>
      </c>
      <c r="G9" s="89" t="s">
        <v>596</v>
      </c>
      <c r="H9" s="89" t="s">
        <v>596</v>
      </c>
      <c r="I9" s="89" t="s">
        <v>596</v>
      </c>
      <c r="J9" s="89"/>
      <c r="K9" s="532"/>
      <c r="L9" s="532"/>
      <c r="M9" s="398"/>
      <c r="N9" s="382"/>
      <c r="O9" s="532"/>
      <c r="P9" s="551"/>
      <c r="Q9" s="403"/>
      <c r="S9" s="535"/>
      <c r="T9" s="420"/>
      <c r="U9" s="420"/>
      <c r="V9" s="420"/>
    </row>
    <row r="10" spans="1:22" ht="15" customHeight="1" x14ac:dyDescent="0.2">
      <c r="A10" s="462"/>
      <c r="B10" s="488"/>
      <c r="C10" s="249" t="s">
        <v>65</v>
      </c>
      <c r="D10" s="431">
        <v>8.1</v>
      </c>
      <c r="E10" s="313">
        <v>0.17</v>
      </c>
      <c r="F10" s="431">
        <v>0.5</v>
      </c>
      <c r="G10" s="421" t="s">
        <v>596</v>
      </c>
      <c r="H10" s="250" t="s">
        <v>596</v>
      </c>
      <c r="I10" s="250" t="s">
        <v>596</v>
      </c>
      <c r="J10" s="89"/>
      <c r="K10" s="533"/>
      <c r="L10" s="533"/>
      <c r="M10" s="398"/>
      <c r="N10" s="382"/>
      <c r="O10" s="533"/>
      <c r="P10" s="552"/>
      <c r="Q10" s="403"/>
      <c r="S10" s="536"/>
      <c r="T10" s="420"/>
      <c r="U10" s="420"/>
      <c r="V10" s="420"/>
    </row>
    <row r="11" spans="1:22" ht="15" customHeight="1" x14ac:dyDescent="0.2">
      <c r="A11" s="462"/>
      <c r="B11" s="483" t="s">
        <v>519</v>
      </c>
      <c r="C11" s="251" t="s">
        <v>59</v>
      </c>
      <c r="D11" s="432">
        <v>0.8</v>
      </c>
      <c r="E11" s="375">
        <v>0.03</v>
      </c>
      <c r="F11" s="403">
        <v>0.1</v>
      </c>
      <c r="G11" s="248" t="s">
        <v>598</v>
      </c>
      <c r="H11" s="89" t="s">
        <v>596</v>
      </c>
      <c r="I11" s="89" t="s">
        <v>596</v>
      </c>
      <c r="J11" s="89"/>
      <c r="K11" s="531">
        <f>AVERAGE(D11:D15)</f>
        <v>2.2000000000000002</v>
      </c>
      <c r="L11" s="531">
        <f>SQRT(STDEV(D11:D15)^2+(AVERAGE(F11:F15))^2)</f>
        <v>0.99277389167926888</v>
      </c>
      <c r="M11" s="398"/>
      <c r="N11" s="382"/>
      <c r="O11" s="531">
        <f>AVERAGE(D12:D15)</f>
        <v>2.5499999999999998</v>
      </c>
      <c r="P11" s="531">
        <f>SQRT(STDEV(D12:D15)^2+(AVERAGE(F12:F15)^2))</f>
        <v>0.70282169384085935</v>
      </c>
      <c r="Q11" s="398"/>
      <c r="S11" s="531" t="str">
        <f>_xlfn.CONCAT(FIXED((O11+P11),1),"–",FIXED((O11-P11),1)," ka")</f>
        <v>3.3–1.8 ka</v>
      </c>
      <c r="T11" s="420"/>
      <c r="U11" s="420"/>
      <c r="V11" s="420"/>
    </row>
    <row r="12" spans="1:22" ht="15" customHeight="1" x14ac:dyDescent="0.2">
      <c r="A12" s="462"/>
      <c r="B12" s="484"/>
      <c r="C12" s="11" t="s">
        <v>62</v>
      </c>
      <c r="D12" s="430">
        <v>1.6</v>
      </c>
      <c r="E12" s="312">
        <v>0.09</v>
      </c>
      <c r="F12" s="430">
        <v>0.1</v>
      </c>
      <c r="G12" s="89" t="s">
        <v>596</v>
      </c>
      <c r="H12" s="89" t="s">
        <v>596</v>
      </c>
      <c r="I12" s="89" t="s">
        <v>596</v>
      </c>
      <c r="J12" s="89"/>
      <c r="K12" s="532"/>
      <c r="L12" s="532"/>
      <c r="M12" s="398"/>
      <c r="N12" s="382"/>
      <c r="O12" s="532"/>
      <c r="P12" s="532"/>
      <c r="Q12" s="398"/>
      <c r="S12" s="532"/>
      <c r="T12" s="420"/>
      <c r="U12" s="420"/>
      <c r="V12" s="420"/>
    </row>
    <row r="13" spans="1:22" ht="15" customHeight="1" x14ac:dyDescent="0.2">
      <c r="A13" s="462"/>
      <c r="B13" s="484"/>
      <c r="C13" s="11" t="s">
        <v>61</v>
      </c>
      <c r="D13" s="430">
        <v>2.6</v>
      </c>
      <c r="E13" s="312">
        <v>7.0000000000000007E-2</v>
      </c>
      <c r="F13" s="430">
        <v>0.2</v>
      </c>
      <c r="G13" s="89" t="s">
        <v>596</v>
      </c>
      <c r="H13" s="89" t="s">
        <v>596</v>
      </c>
      <c r="I13" s="89" t="s">
        <v>596</v>
      </c>
      <c r="J13" s="89"/>
      <c r="K13" s="532"/>
      <c r="L13" s="532"/>
      <c r="M13" s="398"/>
      <c r="N13" s="382"/>
      <c r="O13" s="532"/>
      <c r="P13" s="532"/>
      <c r="Q13" s="398"/>
      <c r="S13" s="532"/>
      <c r="T13" s="420"/>
      <c r="U13" s="420"/>
      <c r="V13" s="420"/>
    </row>
    <row r="14" spans="1:22" ht="15" customHeight="1" x14ac:dyDescent="0.2">
      <c r="A14" s="462"/>
      <c r="B14" s="484"/>
      <c r="C14" s="11" t="s">
        <v>60</v>
      </c>
      <c r="D14" s="430">
        <v>2.8</v>
      </c>
      <c r="E14" s="312">
        <v>0.08</v>
      </c>
      <c r="F14" s="430">
        <v>0.2</v>
      </c>
      <c r="G14" s="89" t="s">
        <v>596</v>
      </c>
      <c r="H14" s="89" t="s">
        <v>596</v>
      </c>
      <c r="I14" s="89" t="s">
        <v>596</v>
      </c>
      <c r="J14" s="89"/>
      <c r="K14" s="532"/>
      <c r="L14" s="532"/>
      <c r="M14" s="398"/>
      <c r="N14" s="382"/>
      <c r="O14" s="532"/>
      <c r="P14" s="532"/>
      <c r="Q14" s="398"/>
      <c r="S14" s="532"/>
      <c r="T14" s="420"/>
      <c r="U14" s="420"/>
      <c r="V14" s="420"/>
    </row>
    <row r="15" spans="1:22" ht="16" x14ac:dyDescent="0.2">
      <c r="A15" s="462"/>
      <c r="B15" s="488"/>
      <c r="C15" s="249" t="s">
        <v>63</v>
      </c>
      <c r="D15" s="431">
        <v>3.2</v>
      </c>
      <c r="E15" s="313">
        <v>0.08</v>
      </c>
      <c r="F15" s="431">
        <v>0.2</v>
      </c>
      <c r="G15" s="421" t="s">
        <v>596</v>
      </c>
      <c r="H15" s="250" t="s">
        <v>596</v>
      </c>
      <c r="I15" s="250" t="s">
        <v>596</v>
      </c>
      <c r="J15" s="89"/>
      <c r="K15" s="533"/>
      <c r="L15" s="533"/>
      <c r="M15" s="398"/>
      <c r="N15" s="382"/>
      <c r="O15" s="533"/>
      <c r="P15" s="533"/>
      <c r="Q15" s="398"/>
      <c r="S15" s="533"/>
      <c r="T15" s="420"/>
      <c r="U15" s="420"/>
      <c r="V15" s="420"/>
    </row>
    <row r="16" spans="1:22" ht="16" x14ac:dyDescent="0.2">
      <c r="A16" s="462"/>
      <c r="B16" s="483" t="s">
        <v>520</v>
      </c>
      <c r="C16" s="251" t="s">
        <v>87</v>
      </c>
      <c r="D16" s="429">
        <v>0.9</v>
      </c>
      <c r="E16" s="314">
        <v>0.1</v>
      </c>
      <c r="F16" s="430">
        <v>0.1</v>
      </c>
      <c r="G16" s="422" t="s">
        <v>596</v>
      </c>
      <c r="H16" s="89" t="s">
        <v>596</v>
      </c>
      <c r="I16" s="89" t="s">
        <v>596</v>
      </c>
      <c r="J16" s="89"/>
      <c r="K16" s="531">
        <f>AVERAGE(D16:D21)</f>
        <v>1.45</v>
      </c>
      <c r="L16" s="531">
        <f>SQRT(STDEV(D16:D21)^2+(AVERAGE(F16:F21))^2)</f>
        <v>0.43448564737834389</v>
      </c>
      <c r="M16" s="398"/>
      <c r="N16" s="382"/>
      <c r="O16" s="531">
        <f>AVERAGE(D16:D21)</f>
        <v>1.45</v>
      </c>
      <c r="P16" s="531">
        <f>SQRT(STDEV(D16:D21)^2+(AVERAGE(F16:F21)^2))</f>
        <v>0.43448564737834389</v>
      </c>
      <c r="Q16" s="398"/>
      <c r="S16" s="531" t="str">
        <f>_xlfn.CONCAT(FIXED((O16+P16),1),"–",FIXED((O16-P16),1)," ka")</f>
        <v>1.9–1.0 ka</v>
      </c>
      <c r="T16" s="420"/>
      <c r="U16" s="420"/>
      <c r="V16" s="434"/>
    </row>
    <row r="17" spans="1:24" ht="16" x14ac:dyDescent="0.2">
      <c r="A17" s="462"/>
      <c r="B17" s="484"/>
      <c r="C17" s="11" t="s">
        <v>88</v>
      </c>
      <c r="D17" s="430">
        <v>1</v>
      </c>
      <c r="E17" s="312">
        <v>0.1</v>
      </c>
      <c r="F17" s="430">
        <v>0.1</v>
      </c>
      <c r="G17" s="422" t="s">
        <v>596</v>
      </c>
      <c r="H17" s="89" t="s">
        <v>596</v>
      </c>
      <c r="I17" s="89" t="s">
        <v>596</v>
      </c>
      <c r="J17" s="89"/>
      <c r="K17" s="532"/>
      <c r="L17" s="532"/>
      <c r="M17" s="398"/>
      <c r="N17" s="382"/>
      <c r="O17" s="532"/>
      <c r="P17" s="532"/>
      <c r="Q17" s="398"/>
      <c r="S17" s="532"/>
      <c r="T17" s="420"/>
      <c r="U17" s="420"/>
      <c r="V17" s="434"/>
    </row>
    <row r="18" spans="1:24" ht="16" x14ac:dyDescent="0.2">
      <c r="A18" s="462"/>
      <c r="B18" s="484"/>
      <c r="C18" s="11" t="s">
        <v>89</v>
      </c>
      <c r="D18" s="430">
        <v>1.5</v>
      </c>
      <c r="E18" s="312">
        <v>0.27</v>
      </c>
      <c r="F18" s="430">
        <v>0.3</v>
      </c>
      <c r="G18" s="422" t="s">
        <v>596</v>
      </c>
      <c r="H18" s="89" t="s">
        <v>596</v>
      </c>
      <c r="I18" s="89" t="s">
        <v>596</v>
      </c>
      <c r="J18" s="89"/>
      <c r="K18" s="532"/>
      <c r="L18" s="532"/>
      <c r="M18" s="398"/>
      <c r="N18" s="382"/>
      <c r="O18" s="532"/>
      <c r="P18" s="532"/>
      <c r="Q18" s="398"/>
      <c r="S18" s="532"/>
      <c r="T18" s="420"/>
      <c r="U18" s="420"/>
      <c r="V18" s="434"/>
    </row>
    <row r="19" spans="1:24" ht="16" x14ac:dyDescent="0.2">
      <c r="A19" s="462"/>
      <c r="B19" s="484"/>
      <c r="C19" s="11" t="s">
        <v>58</v>
      </c>
      <c r="D19" s="430">
        <v>1.6</v>
      </c>
      <c r="E19" s="312">
        <v>0.05</v>
      </c>
      <c r="F19" s="430">
        <v>0.1</v>
      </c>
      <c r="G19" s="422" t="s">
        <v>596</v>
      </c>
      <c r="H19" s="89" t="s">
        <v>596</v>
      </c>
      <c r="I19" s="89" t="s">
        <v>596</v>
      </c>
      <c r="J19" s="89"/>
      <c r="K19" s="532"/>
      <c r="L19" s="532"/>
      <c r="M19" s="398"/>
      <c r="N19" s="382"/>
      <c r="O19" s="532"/>
      <c r="P19" s="532"/>
      <c r="Q19" s="398"/>
      <c r="S19" s="532"/>
      <c r="T19" s="420"/>
      <c r="U19" s="420"/>
      <c r="V19" s="434"/>
    </row>
    <row r="20" spans="1:24" ht="16" x14ac:dyDescent="0.2">
      <c r="A20" s="462"/>
      <c r="B20" s="484"/>
      <c r="C20" s="11" t="s">
        <v>56</v>
      </c>
      <c r="D20" s="430">
        <v>1.8</v>
      </c>
      <c r="E20" s="312">
        <v>0.05</v>
      </c>
      <c r="F20" s="430">
        <v>0.1</v>
      </c>
      <c r="G20" s="422" t="s">
        <v>596</v>
      </c>
      <c r="H20" s="89" t="s">
        <v>596</v>
      </c>
      <c r="I20" s="89" t="s">
        <v>596</v>
      </c>
      <c r="J20" s="89"/>
      <c r="K20" s="532"/>
      <c r="L20" s="532"/>
      <c r="M20" s="398"/>
      <c r="N20" s="382"/>
      <c r="O20" s="532"/>
      <c r="P20" s="532"/>
      <c r="Q20" s="398"/>
      <c r="S20" s="532"/>
      <c r="T20" s="420"/>
      <c r="U20" s="420"/>
      <c r="V20" s="434"/>
    </row>
    <row r="21" spans="1:24" ht="16" x14ac:dyDescent="0.2">
      <c r="A21" s="462"/>
      <c r="B21" s="488"/>
      <c r="C21" s="249" t="s">
        <v>57</v>
      </c>
      <c r="D21" s="431">
        <v>1.9</v>
      </c>
      <c r="E21" s="313">
        <v>0.06</v>
      </c>
      <c r="F21" s="431">
        <v>0.1</v>
      </c>
      <c r="G21" s="421" t="s">
        <v>596</v>
      </c>
      <c r="H21" s="250" t="s">
        <v>596</v>
      </c>
      <c r="I21" s="250" t="s">
        <v>596</v>
      </c>
      <c r="J21" s="89"/>
      <c r="K21" s="533"/>
      <c r="L21" s="533"/>
      <c r="M21" s="398"/>
      <c r="N21" s="382"/>
      <c r="O21" s="533"/>
      <c r="P21" s="533"/>
      <c r="Q21" s="398"/>
      <c r="S21" s="533"/>
      <c r="T21" s="420"/>
      <c r="U21" s="420"/>
      <c r="V21" s="434"/>
    </row>
    <row r="22" spans="1:24" ht="16" x14ac:dyDescent="0.2">
      <c r="A22" s="462" t="s">
        <v>80</v>
      </c>
      <c r="B22" s="252" t="s">
        <v>521</v>
      </c>
      <c r="C22" s="249" t="s">
        <v>48</v>
      </c>
      <c r="D22" s="436">
        <v>7.3</v>
      </c>
      <c r="E22" s="374">
        <v>0.28000000000000003</v>
      </c>
      <c r="F22" s="436">
        <v>0.5</v>
      </c>
      <c r="G22" s="256" t="s">
        <v>598</v>
      </c>
      <c r="H22" s="257" t="s">
        <v>626</v>
      </c>
      <c r="I22" s="257" t="s">
        <v>626</v>
      </c>
      <c r="J22" s="243"/>
      <c r="K22" s="383" t="s">
        <v>100</v>
      </c>
      <c r="L22" s="383" t="s">
        <v>100</v>
      </c>
      <c r="M22" s="398"/>
      <c r="N22" s="382"/>
      <c r="O22" s="383" t="s">
        <v>100</v>
      </c>
      <c r="P22" s="383" t="s">
        <v>100</v>
      </c>
      <c r="Q22" s="398"/>
      <c r="S22" s="326" t="s">
        <v>631</v>
      </c>
      <c r="T22" s="420"/>
      <c r="U22" s="420"/>
      <c r="V22" s="434"/>
      <c r="W22" s="61"/>
      <c r="X22" s="61"/>
    </row>
    <row r="23" spans="1:24" ht="16" x14ac:dyDescent="0.2">
      <c r="A23" s="463"/>
      <c r="B23" s="483" t="s">
        <v>522</v>
      </c>
      <c r="C23" s="251" t="s">
        <v>50</v>
      </c>
      <c r="D23" s="432">
        <v>6.7</v>
      </c>
      <c r="E23" s="375">
        <v>0.24</v>
      </c>
      <c r="F23" s="403">
        <v>0.4</v>
      </c>
      <c r="G23" s="248" t="s">
        <v>598</v>
      </c>
      <c r="H23" s="89" t="s">
        <v>596</v>
      </c>
      <c r="I23" s="248" t="s">
        <v>598</v>
      </c>
      <c r="J23" s="248"/>
      <c r="K23" s="531">
        <f>AVERAGE(D23:D26)</f>
        <v>20.175000000000001</v>
      </c>
      <c r="L23" s="531">
        <f>SQRT(STDEV(D23:D26)^2+(AVERAGE(F23:F26))^2)</f>
        <v>9.1850421882536804</v>
      </c>
      <c r="M23" s="398"/>
      <c r="N23" s="382"/>
      <c r="O23" s="531">
        <f>AVERAGE(D24:D26)</f>
        <v>24.666666666666668</v>
      </c>
      <c r="P23" s="531">
        <f>SQRT(STDEV(D24:D26)^2+(AVERAGE(F24:F26)^2))</f>
        <v>2.3539564802925121</v>
      </c>
      <c r="Q23" s="398"/>
      <c r="S23" s="531" t="str">
        <f>_xlfn.CONCAT(FIXED((O23+P23),1),"–",FIXED((O23-P23),1)," ka")</f>
        <v>27.0–22.3 ka</v>
      </c>
      <c r="T23" s="420"/>
      <c r="U23" s="420"/>
      <c r="V23" s="434"/>
      <c r="W23" s="61"/>
      <c r="X23" s="61"/>
    </row>
    <row r="24" spans="1:24" ht="16" x14ac:dyDescent="0.2">
      <c r="A24" s="463"/>
      <c r="B24" s="484"/>
      <c r="C24" s="11" t="s">
        <v>47</v>
      </c>
      <c r="D24" s="430">
        <v>22.9</v>
      </c>
      <c r="E24" s="312">
        <v>0.7</v>
      </c>
      <c r="F24" s="430">
        <v>1.5</v>
      </c>
      <c r="G24" s="89" t="s">
        <v>596</v>
      </c>
      <c r="H24" s="89" t="s">
        <v>596</v>
      </c>
      <c r="I24" s="89" t="s">
        <v>596</v>
      </c>
      <c r="J24" s="89"/>
      <c r="K24" s="532"/>
      <c r="L24" s="532"/>
      <c r="M24" s="398"/>
      <c r="N24" s="382"/>
      <c r="O24" s="532"/>
      <c r="P24" s="532"/>
      <c r="Q24" s="398"/>
      <c r="S24" s="532"/>
      <c r="T24" s="420"/>
      <c r="U24" s="420"/>
      <c r="V24" s="434"/>
      <c r="W24" s="61"/>
      <c r="X24" s="61"/>
    </row>
    <row r="25" spans="1:24" ht="16" x14ac:dyDescent="0.2">
      <c r="A25" s="463"/>
      <c r="B25" s="484"/>
      <c r="C25" s="11" t="s">
        <v>53</v>
      </c>
      <c r="D25" s="430">
        <v>24.9</v>
      </c>
      <c r="E25" s="312">
        <v>1.1499999999999999</v>
      </c>
      <c r="F25" s="430">
        <v>1.8</v>
      </c>
      <c r="G25" s="89" t="s">
        <v>596</v>
      </c>
      <c r="H25" s="89" t="s">
        <v>596</v>
      </c>
      <c r="I25" s="89" t="s">
        <v>596</v>
      </c>
      <c r="J25" s="89"/>
      <c r="K25" s="532"/>
      <c r="L25" s="532"/>
      <c r="M25" s="398"/>
      <c r="N25" s="382"/>
      <c r="O25" s="532"/>
      <c r="P25" s="532"/>
      <c r="Q25" s="398"/>
      <c r="S25" s="532"/>
      <c r="T25" s="420"/>
      <c r="U25" s="420"/>
      <c r="V25" s="434"/>
      <c r="W25" s="61"/>
      <c r="X25" s="61"/>
    </row>
    <row r="26" spans="1:24" ht="16" x14ac:dyDescent="0.2">
      <c r="A26" s="463"/>
      <c r="B26" s="488"/>
      <c r="C26" s="249" t="s">
        <v>49</v>
      </c>
      <c r="D26" s="431">
        <v>26.2</v>
      </c>
      <c r="E26" s="313">
        <v>0.82</v>
      </c>
      <c r="F26" s="431">
        <v>1.7</v>
      </c>
      <c r="G26" s="250" t="s">
        <v>596</v>
      </c>
      <c r="H26" s="250" t="s">
        <v>596</v>
      </c>
      <c r="I26" s="250" t="s">
        <v>596</v>
      </c>
      <c r="J26" s="89"/>
      <c r="K26" s="533"/>
      <c r="L26" s="533"/>
      <c r="M26" s="398"/>
      <c r="N26" s="382"/>
      <c r="O26" s="533"/>
      <c r="P26" s="533"/>
      <c r="Q26" s="398"/>
      <c r="S26" s="533"/>
      <c r="T26" s="420"/>
      <c r="U26" s="420"/>
      <c r="V26" s="434"/>
      <c r="W26" s="61"/>
      <c r="X26" s="61"/>
    </row>
    <row r="27" spans="1:24" ht="16" x14ac:dyDescent="0.2">
      <c r="A27" s="463"/>
      <c r="B27" s="553" t="s">
        <v>195</v>
      </c>
      <c r="C27" s="11" t="s">
        <v>37</v>
      </c>
      <c r="D27" s="430">
        <v>13.2</v>
      </c>
      <c r="E27" s="312">
        <v>0.6</v>
      </c>
      <c r="F27" s="430">
        <v>0.9</v>
      </c>
      <c r="G27" s="243" t="s">
        <v>627</v>
      </c>
      <c r="H27" s="243" t="s">
        <v>626</v>
      </c>
      <c r="I27" s="243" t="s">
        <v>626</v>
      </c>
      <c r="J27" s="243"/>
      <c r="K27" s="381" t="s">
        <v>100</v>
      </c>
      <c r="L27" s="381" t="s">
        <v>100</v>
      </c>
      <c r="M27" s="398"/>
      <c r="N27" s="382"/>
      <c r="O27" s="381" t="s">
        <v>100</v>
      </c>
      <c r="P27" s="381" t="s">
        <v>100</v>
      </c>
      <c r="Q27" s="398"/>
      <c r="S27" s="531" t="s">
        <v>629</v>
      </c>
      <c r="T27" s="420"/>
      <c r="U27" s="420"/>
      <c r="V27" s="434"/>
      <c r="W27" s="61"/>
      <c r="X27" s="61"/>
    </row>
    <row r="28" spans="1:24" ht="16" x14ac:dyDescent="0.2">
      <c r="A28" s="463"/>
      <c r="B28" s="493"/>
      <c r="C28" s="11" t="s">
        <v>38</v>
      </c>
      <c r="D28" s="430">
        <v>24.8</v>
      </c>
      <c r="E28" s="312">
        <v>0.156</v>
      </c>
      <c r="F28" s="430">
        <v>2.1</v>
      </c>
      <c r="G28" s="243" t="s">
        <v>627</v>
      </c>
      <c r="H28" s="243" t="s">
        <v>626</v>
      </c>
      <c r="I28" s="243" t="s">
        <v>626</v>
      </c>
      <c r="J28" s="243"/>
      <c r="K28" s="382"/>
      <c r="L28" s="382"/>
      <c r="M28" s="398"/>
      <c r="N28" s="382"/>
      <c r="O28" s="382"/>
      <c r="P28" s="382"/>
      <c r="Q28" s="398"/>
      <c r="S28" s="532"/>
      <c r="T28" s="420"/>
      <c r="U28" s="420"/>
      <c r="V28" s="434"/>
      <c r="W28" s="61"/>
      <c r="X28" s="61"/>
    </row>
    <row r="29" spans="1:24" ht="16" x14ac:dyDescent="0.2">
      <c r="A29" s="463"/>
      <c r="B29" s="554"/>
      <c r="C29" s="249" t="s">
        <v>36</v>
      </c>
      <c r="D29" s="431">
        <v>45</v>
      </c>
      <c r="E29" s="313">
        <v>1.1599999999999999</v>
      </c>
      <c r="F29" s="431">
        <v>2.8</v>
      </c>
      <c r="G29" s="245" t="s">
        <v>627</v>
      </c>
      <c r="H29" s="245" t="s">
        <v>626</v>
      </c>
      <c r="I29" s="245" t="s">
        <v>626</v>
      </c>
      <c r="J29" s="243"/>
      <c r="K29" s="383"/>
      <c r="L29" s="383"/>
      <c r="M29" s="398"/>
      <c r="N29" s="382"/>
      <c r="O29" s="383"/>
      <c r="P29" s="383"/>
      <c r="Q29" s="398"/>
      <c r="S29" s="533"/>
      <c r="T29" s="420"/>
      <c r="U29" s="420"/>
      <c r="V29" s="434"/>
      <c r="W29" s="61"/>
      <c r="X29" s="61"/>
    </row>
    <row r="30" spans="1:24" ht="16" x14ac:dyDescent="0.2">
      <c r="A30" s="463"/>
      <c r="B30" s="553" t="s">
        <v>196</v>
      </c>
      <c r="C30" s="251" t="s">
        <v>15</v>
      </c>
      <c r="D30" s="429">
        <v>21.3</v>
      </c>
      <c r="E30" s="314">
        <v>0.41</v>
      </c>
      <c r="F30" s="430">
        <v>1.2</v>
      </c>
      <c r="G30" s="243" t="s">
        <v>627</v>
      </c>
      <c r="H30" s="243" t="s">
        <v>626</v>
      </c>
      <c r="I30" s="243" t="s">
        <v>626</v>
      </c>
      <c r="J30" s="243"/>
      <c r="K30" s="381" t="s">
        <v>100</v>
      </c>
      <c r="L30" s="381" t="s">
        <v>100</v>
      </c>
      <c r="M30" s="398"/>
      <c r="N30" s="382"/>
      <c r="O30" s="381" t="s">
        <v>100</v>
      </c>
      <c r="P30" s="381" t="s">
        <v>100</v>
      </c>
      <c r="Q30" s="398"/>
      <c r="S30" s="531" t="s">
        <v>630</v>
      </c>
      <c r="T30" s="420"/>
      <c r="U30" s="420"/>
      <c r="V30" s="434"/>
      <c r="W30" s="61"/>
      <c r="X30" s="61"/>
    </row>
    <row r="31" spans="1:24" ht="16" x14ac:dyDescent="0.2">
      <c r="A31" s="463"/>
      <c r="B31" s="554"/>
      <c r="C31" s="249" t="s">
        <v>16</v>
      </c>
      <c r="D31" s="431">
        <v>41.6</v>
      </c>
      <c r="E31" s="313">
        <v>1</v>
      </c>
      <c r="F31" s="431">
        <v>2.5</v>
      </c>
      <c r="G31" s="245" t="s">
        <v>627</v>
      </c>
      <c r="H31" s="245" t="s">
        <v>626</v>
      </c>
      <c r="I31" s="245" t="s">
        <v>626</v>
      </c>
      <c r="J31" s="243"/>
      <c r="K31" s="383"/>
      <c r="L31" s="383"/>
      <c r="M31" s="398"/>
      <c r="N31" s="382"/>
      <c r="O31" s="383"/>
      <c r="P31" s="383"/>
      <c r="Q31" s="398"/>
      <c r="S31" s="533"/>
      <c r="T31" s="420"/>
      <c r="U31" s="420"/>
      <c r="V31" s="434"/>
      <c r="W31" s="61"/>
      <c r="X31" s="61"/>
    </row>
    <row r="32" spans="1:24" ht="16" x14ac:dyDescent="0.2">
      <c r="A32" s="463"/>
      <c r="B32" s="547" t="s">
        <v>517</v>
      </c>
      <c r="C32" s="251" t="s">
        <v>32</v>
      </c>
      <c r="D32" s="444">
        <v>22.1</v>
      </c>
      <c r="E32" s="314">
        <v>0.8</v>
      </c>
      <c r="F32" s="445">
        <v>1.5</v>
      </c>
      <c r="G32" s="423" t="s">
        <v>627</v>
      </c>
      <c r="H32" s="243" t="s">
        <v>626</v>
      </c>
      <c r="I32" s="243" t="s">
        <v>626</v>
      </c>
      <c r="J32" s="243"/>
      <c r="K32" s="381" t="s">
        <v>100</v>
      </c>
      <c r="L32" s="381" t="s">
        <v>100</v>
      </c>
      <c r="M32" s="398"/>
      <c r="N32" s="382"/>
      <c r="O32" s="381" t="s">
        <v>100</v>
      </c>
      <c r="P32" s="381" t="s">
        <v>100</v>
      </c>
      <c r="Q32" s="398"/>
      <c r="S32" s="531" t="s">
        <v>631</v>
      </c>
      <c r="T32" s="420"/>
      <c r="U32" s="420"/>
      <c r="V32" s="434"/>
      <c r="W32" s="61"/>
      <c r="X32" s="61"/>
    </row>
    <row r="33" spans="1:24" ht="16" x14ac:dyDescent="0.2">
      <c r="A33" s="463"/>
      <c r="B33" s="548"/>
      <c r="C33" s="249" t="s">
        <v>33</v>
      </c>
      <c r="D33" s="436">
        <v>72.400000000000006</v>
      </c>
      <c r="E33" s="374">
        <v>2.61</v>
      </c>
      <c r="F33" s="436">
        <v>4.8</v>
      </c>
      <c r="G33" s="253" t="s">
        <v>598</v>
      </c>
      <c r="H33" s="245" t="s">
        <v>626</v>
      </c>
      <c r="I33" s="245" t="s">
        <v>626</v>
      </c>
      <c r="J33" s="243"/>
      <c r="K33" s="383"/>
      <c r="L33" s="383"/>
      <c r="M33" s="398"/>
      <c r="N33" s="382"/>
      <c r="O33" s="383"/>
      <c r="P33" s="383"/>
      <c r="Q33" s="398"/>
      <c r="S33" s="533"/>
      <c r="T33" s="420"/>
      <c r="U33" s="420"/>
      <c r="V33" s="434"/>
      <c r="W33" s="61"/>
      <c r="X33" s="61"/>
    </row>
    <row r="34" spans="1:24" ht="16" x14ac:dyDescent="0.2">
      <c r="A34" s="463"/>
      <c r="B34" s="254" t="s">
        <v>523</v>
      </c>
      <c r="C34" s="255" t="s">
        <v>28</v>
      </c>
      <c r="D34" s="437">
        <v>35.6</v>
      </c>
      <c r="E34" s="376">
        <v>1.82</v>
      </c>
      <c r="F34" s="437">
        <v>2.7</v>
      </c>
      <c r="G34" s="256" t="s">
        <v>598</v>
      </c>
      <c r="H34" s="257" t="s">
        <v>626</v>
      </c>
      <c r="I34" s="257" t="s">
        <v>626</v>
      </c>
      <c r="J34" s="243"/>
      <c r="K34" s="326" t="s">
        <v>100</v>
      </c>
      <c r="L34" s="326" t="s">
        <v>100</v>
      </c>
      <c r="M34" s="398"/>
      <c r="N34" s="382"/>
      <c r="O34" s="326" t="s">
        <v>100</v>
      </c>
      <c r="P34" s="326" t="s">
        <v>100</v>
      </c>
      <c r="Q34" s="398"/>
      <c r="S34" s="326" t="s">
        <v>100</v>
      </c>
      <c r="T34" s="420"/>
      <c r="U34" s="420"/>
      <c r="V34" s="434"/>
      <c r="W34" s="61"/>
      <c r="X34" s="61"/>
    </row>
    <row r="35" spans="1:24" ht="16" x14ac:dyDescent="0.2">
      <c r="A35" s="463"/>
      <c r="B35" s="483" t="s">
        <v>524</v>
      </c>
      <c r="C35" s="251" t="s">
        <v>34</v>
      </c>
      <c r="D35" s="432">
        <v>6</v>
      </c>
      <c r="E35" s="375">
        <v>0.22</v>
      </c>
      <c r="F35" s="403">
        <v>0.4</v>
      </c>
      <c r="G35" s="248" t="s">
        <v>598</v>
      </c>
      <c r="H35" s="89" t="s">
        <v>596</v>
      </c>
      <c r="I35" s="248" t="s">
        <v>598</v>
      </c>
      <c r="J35" s="248"/>
      <c r="K35" s="531">
        <f>AVERAGE(D35:D39)</f>
        <v>14.12</v>
      </c>
      <c r="L35" s="531">
        <f>SQRT(STDEV(D35:D39)^2+(AVERAGE(F35:F39))^2)</f>
        <v>5.1241584674949392</v>
      </c>
      <c r="M35" s="398"/>
      <c r="N35" s="382"/>
      <c r="O35" s="531">
        <f>AVERAGE(D36:D39)</f>
        <v>16.149999999999999</v>
      </c>
      <c r="P35" s="531">
        <f>SQRT(STDEV(D36:D39)^2+(AVERAGE(F36:F39)^2))</f>
        <v>2.7399437342155006</v>
      </c>
      <c r="Q35" s="398"/>
      <c r="S35" s="531" t="str">
        <f>_xlfn.CONCAT(FIXED((O35+P35),1),"–",FIXED((O35-P35),1)," ka")</f>
        <v>18.9–13.4 ka</v>
      </c>
      <c r="T35" s="420"/>
      <c r="U35" s="420"/>
      <c r="V35" s="434"/>
      <c r="W35" s="61"/>
      <c r="X35" s="61"/>
    </row>
    <row r="36" spans="1:24" ht="16" x14ac:dyDescent="0.2">
      <c r="A36" s="463"/>
      <c r="B36" s="484"/>
      <c r="C36" s="11" t="s">
        <v>19</v>
      </c>
      <c r="D36" s="430">
        <v>13.9</v>
      </c>
      <c r="E36" s="312">
        <v>0.37</v>
      </c>
      <c r="F36" s="430">
        <v>0.9</v>
      </c>
      <c r="G36" s="89" t="s">
        <v>596</v>
      </c>
      <c r="H36" s="89" t="s">
        <v>596</v>
      </c>
      <c r="I36" s="89" t="s">
        <v>596</v>
      </c>
      <c r="J36" s="89"/>
      <c r="K36" s="532"/>
      <c r="L36" s="532"/>
      <c r="M36" s="398"/>
      <c r="N36" s="382"/>
      <c r="O36" s="532"/>
      <c r="P36" s="532"/>
      <c r="Q36" s="398"/>
      <c r="S36" s="532"/>
      <c r="T36" s="420"/>
      <c r="U36" s="420"/>
      <c r="V36" s="434"/>
      <c r="W36" s="61"/>
      <c r="X36" s="61"/>
    </row>
    <row r="37" spans="1:24" ht="16" x14ac:dyDescent="0.2">
      <c r="A37" s="463"/>
      <c r="B37" s="484"/>
      <c r="C37" s="11" t="s">
        <v>17</v>
      </c>
      <c r="D37" s="430">
        <v>15.4</v>
      </c>
      <c r="E37" s="312">
        <v>0.39</v>
      </c>
      <c r="F37" s="430">
        <v>0.9</v>
      </c>
      <c r="G37" s="89" t="s">
        <v>596</v>
      </c>
      <c r="H37" s="89" t="s">
        <v>596</v>
      </c>
      <c r="I37" s="89" t="s">
        <v>596</v>
      </c>
      <c r="J37" s="89"/>
      <c r="K37" s="532"/>
      <c r="L37" s="532"/>
      <c r="M37" s="398"/>
      <c r="N37" s="382"/>
      <c r="O37" s="532"/>
      <c r="P37" s="532"/>
      <c r="Q37" s="398"/>
      <c r="S37" s="532"/>
      <c r="T37" s="420"/>
      <c r="U37" s="420"/>
      <c r="V37" s="434"/>
      <c r="W37" s="61"/>
      <c r="X37" s="61"/>
    </row>
    <row r="38" spans="1:24" ht="16" x14ac:dyDescent="0.2">
      <c r="A38" s="463"/>
      <c r="B38" s="484"/>
      <c r="C38" s="11" t="s">
        <v>20</v>
      </c>
      <c r="D38" s="430">
        <v>15.5</v>
      </c>
      <c r="E38" s="312">
        <v>0.48</v>
      </c>
      <c r="F38" s="430">
        <v>1</v>
      </c>
      <c r="G38" s="89" t="s">
        <v>596</v>
      </c>
      <c r="H38" s="89" t="s">
        <v>596</v>
      </c>
      <c r="I38" s="89" t="s">
        <v>596</v>
      </c>
      <c r="J38" s="89"/>
      <c r="K38" s="532"/>
      <c r="L38" s="532"/>
      <c r="M38" s="398"/>
      <c r="N38" s="382"/>
      <c r="O38" s="532"/>
      <c r="P38" s="532"/>
      <c r="Q38" s="398"/>
      <c r="S38" s="532"/>
      <c r="T38" s="420"/>
      <c r="U38" s="420"/>
      <c r="V38" s="434"/>
      <c r="W38" s="61"/>
      <c r="X38" s="61"/>
    </row>
    <row r="39" spans="1:24" ht="16" x14ac:dyDescent="0.2">
      <c r="A39" s="463"/>
      <c r="B39" s="488"/>
      <c r="C39" s="249" t="s">
        <v>18</v>
      </c>
      <c r="D39" s="431">
        <v>19.8</v>
      </c>
      <c r="E39" s="313">
        <v>0.61</v>
      </c>
      <c r="F39" s="431">
        <v>1.3</v>
      </c>
      <c r="G39" s="421" t="s">
        <v>596</v>
      </c>
      <c r="H39" s="250" t="s">
        <v>596</v>
      </c>
      <c r="I39" s="250" t="s">
        <v>596</v>
      </c>
      <c r="J39" s="89"/>
      <c r="K39" s="533"/>
      <c r="L39" s="533"/>
      <c r="M39" s="398"/>
      <c r="N39" s="382"/>
      <c r="O39" s="533"/>
      <c r="P39" s="533"/>
      <c r="Q39" s="398"/>
      <c r="S39" s="533"/>
      <c r="T39" s="420"/>
      <c r="U39" s="420"/>
      <c r="V39" s="434"/>
      <c r="W39" s="61"/>
      <c r="X39" s="61"/>
    </row>
    <row r="40" spans="1:24" ht="16" x14ac:dyDescent="0.2">
      <c r="A40" s="462" t="s">
        <v>76</v>
      </c>
      <c r="B40" s="483" t="s">
        <v>529</v>
      </c>
      <c r="C40" s="251" t="s">
        <v>7</v>
      </c>
      <c r="D40" s="432">
        <v>7.3</v>
      </c>
      <c r="E40" s="375">
        <v>0.49</v>
      </c>
      <c r="F40" s="403">
        <v>0.6</v>
      </c>
      <c r="G40" s="248" t="s">
        <v>598</v>
      </c>
      <c r="H40" s="248" t="s">
        <v>598</v>
      </c>
      <c r="I40" s="248" t="s">
        <v>598</v>
      </c>
      <c r="J40" s="248"/>
      <c r="K40" s="531">
        <f>AVERAGE(D40:D45)</f>
        <v>13.133333333333333</v>
      </c>
      <c r="L40" s="531">
        <f>SQRT(STDEV(D40:D45)^2+(AVERAGE(F40:F45))^2)</f>
        <v>3.3518568651486955</v>
      </c>
      <c r="M40" s="398"/>
      <c r="N40" s="382"/>
      <c r="O40" s="531">
        <f>AVERAGE(D41:D45)</f>
        <v>14.3</v>
      </c>
      <c r="P40" s="531">
        <f>SQRT(STDEV(D41:D45)^2+(AVERAGE(F41:F45)^2))</f>
        <v>1.944376506749657</v>
      </c>
      <c r="Q40" s="398"/>
      <c r="S40" s="531" t="str">
        <f>_xlfn.CONCAT(FIXED((O40+P40),1),"–",FIXED((O40-P40),1)," ka")</f>
        <v>16.2–12.4 ka</v>
      </c>
      <c r="T40" s="420"/>
      <c r="U40" s="420"/>
      <c r="V40" s="434"/>
      <c r="W40" s="61"/>
      <c r="X40" s="61"/>
    </row>
    <row r="41" spans="1:24" ht="16" x14ac:dyDescent="0.2">
      <c r="A41" s="463"/>
      <c r="B41" s="484"/>
      <c r="C41" s="11" t="s">
        <v>8</v>
      </c>
      <c r="D41" s="430">
        <v>13.2</v>
      </c>
      <c r="E41" s="312">
        <v>1.76</v>
      </c>
      <c r="F41" s="430">
        <v>1.9</v>
      </c>
      <c r="G41" s="89" t="s">
        <v>596</v>
      </c>
      <c r="H41" s="89" t="s">
        <v>596</v>
      </c>
      <c r="I41" s="89" t="s">
        <v>596</v>
      </c>
      <c r="J41" s="89"/>
      <c r="K41" s="532"/>
      <c r="L41" s="532"/>
      <c r="M41" s="398"/>
      <c r="N41" s="382"/>
      <c r="O41" s="532"/>
      <c r="P41" s="532"/>
      <c r="Q41" s="398"/>
      <c r="S41" s="532"/>
      <c r="T41" s="420"/>
      <c r="U41" s="420"/>
      <c r="V41" s="434"/>
      <c r="W41" s="61"/>
      <c r="X41" s="61"/>
    </row>
    <row r="42" spans="1:24" ht="16" x14ac:dyDescent="0.2">
      <c r="A42" s="463"/>
      <c r="B42" s="484"/>
      <c r="C42" s="11" t="s">
        <v>126</v>
      </c>
      <c r="D42" s="430">
        <v>13.4</v>
      </c>
      <c r="E42" s="312">
        <v>0.7</v>
      </c>
      <c r="F42" s="430">
        <v>1</v>
      </c>
      <c r="G42" s="89" t="s">
        <v>596</v>
      </c>
      <c r="H42" s="89" t="s">
        <v>596</v>
      </c>
      <c r="I42" s="89" t="s">
        <v>596</v>
      </c>
      <c r="J42" s="89"/>
      <c r="K42" s="532"/>
      <c r="L42" s="532"/>
      <c r="M42" s="398"/>
      <c r="N42" s="382"/>
      <c r="O42" s="532"/>
      <c r="P42" s="532"/>
      <c r="Q42" s="398"/>
      <c r="S42" s="532"/>
      <c r="T42" s="420"/>
      <c r="U42" s="420"/>
      <c r="V42" s="434"/>
      <c r="W42" s="61"/>
      <c r="X42" s="61"/>
    </row>
    <row r="43" spans="1:24" ht="16" x14ac:dyDescent="0.2">
      <c r="A43" s="463"/>
      <c r="B43" s="484"/>
      <c r="C43" s="11" t="s">
        <v>10</v>
      </c>
      <c r="D43" s="430">
        <v>13.9</v>
      </c>
      <c r="E43" s="312">
        <v>0.93</v>
      </c>
      <c r="F43" s="430">
        <v>1.2</v>
      </c>
      <c r="G43" s="89" t="s">
        <v>596</v>
      </c>
      <c r="H43" s="89" t="s">
        <v>596</v>
      </c>
      <c r="I43" s="89" t="s">
        <v>596</v>
      </c>
      <c r="J43" s="89"/>
      <c r="K43" s="532"/>
      <c r="L43" s="532"/>
      <c r="M43" s="398"/>
      <c r="N43" s="382"/>
      <c r="O43" s="532"/>
      <c r="P43" s="532"/>
      <c r="Q43" s="398"/>
      <c r="S43" s="532"/>
      <c r="T43" s="420"/>
      <c r="U43" s="420"/>
      <c r="V43" s="434"/>
      <c r="W43" s="61"/>
      <c r="X43" s="61"/>
    </row>
    <row r="44" spans="1:24" ht="16" x14ac:dyDescent="0.2">
      <c r="A44" s="463"/>
      <c r="B44" s="484"/>
      <c r="C44" s="11" t="s">
        <v>9</v>
      </c>
      <c r="D44" s="430">
        <v>14.3</v>
      </c>
      <c r="E44" s="312">
        <v>0.74</v>
      </c>
      <c r="F44" s="430">
        <v>1.1000000000000001</v>
      </c>
      <c r="G44" s="89" t="s">
        <v>596</v>
      </c>
      <c r="H44" s="89" t="s">
        <v>596</v>
      </c>
      <c r="I44" s="89" t="s">
        <v>596</v>
      </c>
      <c r="J44" s="89"/>
      <c r="K44" s="532"/>
      <c r="L44" s="532"/>
      <c r="M44" s="398"/>
      <c r="N44" s="382"/>
      <c r="O44" s="532"/>
      <c r="P44" s="532"/>
      <c r="Q44" s="398"/>
      <c r="S44" s="532"/>
      <c r="T44" s="420"/>
      <c r="U44" s="420"/>
      <c r="V44" s="434"/>
      <c r="W44" s="61"/>
      <c r="X44" s="61"/>
    </row>
    <row r="45" spans="1:24" ht="16" x14ac:dyDescent="0.2">
      <c r="A45" s="463"/>
      <c r="B45" s="488"/>
      <c r="C45" s="249" t="s">
        <v>11</v>
      </c>
      <c r="D45" s="431">
        <v>16.7</v>
      </c>
      <c r="E45" s="313">
        <v>1.23</v>
      </c>
      <c r="F45" s="431">
        <v>1.5</v>
      </c>
      <c r="G45" s="421" t="s">
        <v>596</v>
      </c>
      <c r="H45" s="250" t="s">
        <v>596</v>
      </c>
      <c r="I45" s="250" t="s">
        <v>596</v>
      </c>
      <c r="J45" s="89"/>
      <c r="K45" s="533"/>
      <c r="L45" s="533"/>
      <c r="M45" s="398"/>
      <c r="N45" s="382"/>
      <c r="O45" s="533"/>
      <c r="P45" s="533"/>
      <c r="Q45" s="398"/>
      <c r="S45" s="533"/>
      <c r="T45" s="420"/>
      <c r="U45" s="420"/>
      <c r="V45" s="434"/>
      <c r="W45" s="61"/>
      <c r="X45" s="61"/>
    </row>
    <row r="46" spans="1:24" ht="16" x14ac:dyDescent="0.2">
      <c r="A46" s="463"/>
      <c r="B46" s="258" t="s">
        <v>525</v>
      </c>
      <c r="C46" s="255" t="s">
        <v>6</v>
      </c>
      <c r="D46" s="438">
        <v>14.4</v>
      </c>
      <c r="E46" s="315">
        <v>0.84</v>
      </c>
      <c r="F46" s="438">
        <v>1.2</v>
      </c>
      <c r="G46" s="259" t="s">
        <v>596</v>
      </c>
      <c r="H46" s="257" t="s">
        <v>626</v>
      </c>
      <c r="I46" s="257" t="s">
        <v>626</v>
      </c>
      <c r="J46" s="243"/>
      <c r="K46" s="326"/>
      <c r="L46" s="326"/>
      <c r="M46" s="398"/>
      <c r="N46" s="382"/>
      <c r="O46" s="326"/>
      <c r="P46" s="326"/>
      <c r="Q46" s="398"/>
      <c r="S46" s="326" t="s">
        <v>632</v>
      </c>
      <c r="T46" s="420"/>
      <c r="U46" s="420"/>
      <c r="V46" s="434"/>
      <c r="W46" s="61"/>
      <c r="X46" s="61"/>
    </row>
    <row r="47" spans="1:24" ht="16" x14ac:dyDescent="0.2">
      <c r="A47" s="462" t="s">
        <v>78</v>
      </c>
      <c r="B47" s="483" t="s">
        <v>526</v>
      </c>
      <c r="C47" s="251" t="s">
        <v>41</v>
      </c>
      <c r="D47" s="429">
        <v>20.2</v>
      </c>
      <c r="E47" s="314">
        <v>1.36</v>
      </c>
      <c r="F47" s="430">
        <v>1.8</v>
      </c>
      <c r="G47" s="422" t="s">
        <v>596</v>
      </c>
      <c r="H47" s="89" t="s">
        <v>596</v>
      </c>
      <c r="I47" s="89" t="s">
        <v>596</v>
      </c>
      <c r="J47" s="89"/>
      <c r="K47" s="531">
        <f>AVERAGE(D47:D49)</f>
        <v>22.166666666666668</v>
      </c>
      <c r="L47" s="531">
        <f>SQRT(STDEV(D47:D49)^2+(AVERAGE(F47:F49))^2)</f>
        <v>2.5425271767366513</v>
      </c>
      <c r="M47" s="398"/>
      <c r="N47" s="382"/>
      <c r="O47" s="531">
        <f>AVERAGE(D47:D49)</f>
        <v>22.166666666666668</v>
      </c>
      <c r="P47" s="531">
        <f>SQRT(STDEV(D47:D49)^2+(AVERAGE(F47:F49)^2))</f>
        <v>2.5425271767366513</v>
      </c>
      <c r="Q47" s="398"/>
      <c r="S47" s="531" t="str">
        <f>_xlfn.CONCAT(FIXED((O47+P47),1),"–",FIXED((O47-P47),1)," ka")</f>
        <v>24.7–19.6 ka</v>
      </c>
      <c r="T47" s="420"/>
      <c r="U47" s="420"/>
      <c r="V47" s="434"/>
      <c r="W47" s="61"/>
      <c r="X47" s="61"/>
    </row>
    <row r="48" spans="1:24" ht="16" x14ac:dyDescent="0.2">
      <c r="A48" s="463"/>
      <c r="B48" s="484"/>
      <c r="C48" s="11" t="s">
        <v>40</v>
      </c>
      <c r="D48" s="430">
        <v>22.7</v>
      </c>
      <c r="E48" s="312">
        <v>1.24</v>
      </c>
      <c r="F48" s="430">
        <v>1.8</v>
      </c>
      <c r="G48" s="89" t="s">
        <v>596</v>
      </c>
      <c r="H48" s="89" t="s">
        <v>596</v>
      </c>
      <c r="I48" s="89" t="s">
        <v>596</v>
      </c>
      <c r="J48" s="89"/>
      <c r="K48" s="532"/>
      <c r="L48" s="532"/>
      <c r="M48" s="398"/>
      <c r="N48" s="382"/>
      <c r="O48" s="532"/>
      <c r="P48" s="532"/>
      <c r="Q48" s="398"/>
      <c r="S48" s="532"/>
      <c r="T48" s="420"/>
      <c r="U48" s="420"/>
      <c r="V48" s="434"/>
      <c r="W48" s="61"/>
      <c r="X48" s="61"/>
    </row>
    <row r="49" spans="1:24" ht="16" x14ac:dyDescent="0.2">
      <c r="A49" s="463"/>
      <c r="B49" s="488"/>
      <c r="C49" s="249" t="s">
        <v>42</v>
      </c>
      <c r="D49" s="431">
        <v>23.6</v>
      </c>
      <c r="E49" s="313">
        <v>1.31</v>
      </c>
      <c r="F49" s="431">
        <v>1.9</v>
      </c>
      <c r="G49" s="250" t="s">
        <v>596</v>
      </c>
      <c r="H49" s="250" t="s">
        <v>596</v>
      </c>
      <c r="I49" s="250" t="s">
        <v>596</v>
      </c>
      <c r="J49" s="89"/>
      <c r="K49" s="533"/>
      <c r="L49" s="533"/>
      <c r="M49" s="398"/>
      <c r="N49" s="382"/>
      <c r="O49" s="533"/>
      <c r="P49" s="533"/>
      <c r="Q49" s="398"/>
      <c r="S49" s="533"/>
      <c r="T49" s="420"/>
      <c r="U49" s="420"/>
      <c r="V49" s="434"/>
      <c r="W49" s="61"/>
      <c r="X49" s="61"/>
    </row>
    <row r="50" spans="1:24" ht="16" x14ac:dyDescent="0.2">
      <c r="A50" s="463"/>
      <c r="B50" s="483" t="s">
        <v>527</v>
      </c>
      <c r="C50" s="251" t="s">
        <v>46</v>
      </c>
      <c r="D50" s="429">
        <v>29.9</v>
      </c>
      <c r="E50" s="314">
        <v>0.91</v>
      </c>
      <c r="F50" s="430">
        <v>1.9</v>
      </c>
      <c r="G50" s="89" t="s">
        <v>596</v>
      </c>
      <c r="H50" s="89" t="s">
        <v>596</v>
      </c>
      <c r="I50" s="89" t="s">
        <v>596</v>
      </c>
      <c r="J50" s="89"/>
      <c r="K50" s="531">
        <f>AVERAGE(D50:D52)</f>
        <v>48.033333333333339</v>
      </c>
      <c r="L50" s="531">
        <f>SQRT(STDEV(D50:D52)^2+(AVERAGE(F50:F52))^2)</f>
        <v>30.358817134035</v>
      </c>
      <c r="M50" s="398"/>
      <c r="N50" s="382"/>
      <c r="O50" s="531">
        <f>AVERAGE(D50:D51)</f>
        <v>30.6</v>
      </c>
      <c r="P50" s="531">
        <f>SQRT(STDEV(D50:D51)^2+(AVERAGE(F50:F51)^2))</f>
        <v>2.1868927728629042</v>
      </c>
      <c r="Q50" s="398"/>
      <c r="S50" s="531" t="str">
        <f>_xlfn.CONCAT(FIXED((O50+P50),1),"–",FIXED((O50-P50),1)," ka")</f>
        <v>32.8–28.4 ka</v>
      </c>
      <c r="T50" s="420"/>
      <c r="U50" s="420"/>
      <c r="V50" s="434"/>
      <c r="W50" s="61"/>
      <c r="X50" s="61"/>
    </row>
    <row r="51" spans="1:24" ht="16" x14ac:dyDescent="0.2">
      <c r="A51" s="463"/>
      <c r="B51" s="484"/>
      <c r="C51" s="11" t="s">
        <v>43</v>
      </c>
      <c r="D51" s="430">
        <v>31.3</v>
      </c>
      <c r="E51" s="312">
        <v>0.95</v>
      </c>
      <c r="F51" s="430">
        <v>2</v>
      </c>
      <c r="G51" s="89" t="s">
        <v>596</v>
      </c>
      <c r="H51" s="89" t="s">
        <v>596</v>
      </c>
      <c r="I51" s="89" t="s">
        <v>596</v>
      </c>
      <c r="J51" s="89"/>
      <c r="K51" s="532"/>
      <c r="L51" s="532"/>
      <c r="M51" s="398"/>
      <c r="N51" s="382"/>
      <c r="O51" s="532"/>
      <c r="P51" s="532"/>
      <c r="Q51" s="398"/>
      <c r="S51" s="532"/>
      <c r="T51" s="420"/>
      <c r="U51" s="420"/>
      <c r="V51" s="434"/>
      <c r="W51" s="61"/>
      <c r="X51" s="61"/>
    </row>
    <row r="52" spans="1:24" ht="16" x14ac:dyDescent="0.2">
      <c r="A52" s="463"/>
      <c r="B52" s="488"/>
      <c r="C52" s="249" t="s">
        <v>44</v>
      </c>
      <c r="D52" s="436">
        <v>82.9</v>
      </c>
      <c r="E52" s="374">
        <v>2.58</v>
      </c>
      <c r="F52" s="436">
        <v>5.3</v>
      </c>
      <c r="G52" s="253" t="s">
        <v>598</v>
      </c>
      <c r="H52" s="250" t="s">
        <v>596</v>
      </c>
      <c r="I52" s="250" t="s">
        <v>596</v>
      </c>
      <c r="J52" s="89"/>
      <c r="K52" s="533"/>
      <c r="L52" s="533"/>
      <c r="M52" s="398"/>
      <c r="N52" s="382"/>
      <c r="O52" s="533"/>
      <c r="P52" s="533"/>
      <c r="Q52" s="398"/>
      <c r="S52" s="533"/>
      <c r="T52" s="420"/>
      <c r="U52" s="420"/>
      <c r="V52" s="434"/>
      <c r="W52" s="61"/>
      <c r="X52" s="61"/>
    </row>
    <row r="53" spans="1:24" ht="16" x14ac:dyDescent="0.2">
      <c r="A53" s="463"/>
      <c r="B53" s="258" t="s">
        <v>530</v>
      </c>
      <c r="C53" s="255" t="s">
        <v>26</v>
      </c>
      <c r="D53" s="438">
        <v>16.2</v>
      </c>
      <c r="E53" s="315">
        <v>0.61</v>
      </c>
      <c r="F53" s="438">
        <v>1.1000000000000001</v>
      </c>
      <c r="G53" s="259" t="s">
        <v>596</v>
      </c>
      <c r="H53" s="257" t="s">
        <v>626</v>
      </c>
      <c r="I53" s="257" t="s">
        <v>626</v>
      </c>
      <c r="J53" s="243"/>
      <c r="K53" s="326"/>
      <c r="L53" s="326"/>
      <c r="M53" s="398"/>
      <c r="N53" s="382"/>
      <c r="O53" s="326"/>
      <c r="P53" s="326"/>
      <c r="Q53" s="398"/>
      <c r="S53" s="326" t="s">
        <v>633</v>
      </c>
      <c r="T53" s="420"/>
      <c r="U53" s="420"/>
      <c r="V53" s="434"/>
      <c r="W53" s="61"/>
      <c r="X53" s="61"/>
    </row>
    <row r="54" spans="1:24" ht="16" x14ac:dyDescent="0.2">
      <c r="A54" s="463"/>
      <c r="B54" s="483" t="s">
        <v>612</v>
      </c>
      <c r="C54" s="251" t="s">
        <v>39</v>
      </c>
      <c r="D54" s="432">
        <v>15</v>
      </c>
      <c r="E54" s="375">
        <v>0.54</v>
      </c>
      <c r="F54" s="403">
        <v>1</v>
      </c>
      <c r="G54" s="248" t="s">
        <v>598</v>
      </c>
      <c r="H54" s="89" t="s">
        <v>596</v>
      </c>
      <c r="I54" s="89" t="s">
        <v>596</v>
      </c>
      <c r="J54" s="89"/>
      <c r="K54" s="531">
        <f>AVERAGE(D54:D56)</f>
        <v>16.033333333333335</v>
      </c>
      <c r="L54" s="531">
        <f>SQRT(STDEV(D54:D56)^2+(AVERAGE(F54:F56))^2)</f>
        <v>1.3678856352455464</v>
      </c>
      <c r="M54" s="398"/>
      <c r="N54" s="382"/>
      <c r="O54" s="531">
        <f>AVERAGE(D55:D56)</f>
        <v>16.55</v>
      </c>
      <c r="P54" s="531">
        <f>SQRT(STDEV(D55:D56)^2+(AVERAGE(F55:F56)^2))</f>
        <v>1.0523782589924595</v>
      </c>
      <c r="Q54" s="398"/>
      <c r="S54" s="531" t="str">
        <f>_xlfn.CONCAT(FIXED((O54+P54),1),"–",FIXED((O54-P54),1)," ka")</f>
        <v>17.6–15.5 ka</v>
      </c>
      <c r="T54" s="420"/>
      <c r="U54" s="420"/>
      <c r="V54" s="434"/>
      <c r="W54" s="61"/>
      <c r="X54" s="61"/>
    </row>
    <row r="55" spans="1:24" ht="16" x14ac:dyDescent="0.2">
      <c r="A55" s="463"/>
      <c r="B55" s="484"/>
      <c r="C55" s="11" t="s">
        <v>27</v>
      </c>
      <c r="D55" s="430">
        <v>16.5</v>
      </c>
      <c r="E55" s="312">
        <v>0.5</v>
      </c>
      <c r="F55" s="430">
        <v>1</v>
      </c>
      <c r="G55" s="89" t="s">
        <v>596</v>
      </c>
      <c r="H55" s="89" t="s">
        <v>596</v>
      </c>
      <c r="I55" s="89" t="s">
        <v>596</v>
      </c>
      <c r="J55" s="89"/>
      <c r="K55" s="532"/>
      <c r="L55" s="532"/>
      <c r="M55" s="398"/>
      <c r="N55" s="382"/>
      <c r="O55" s="532"/>
      <c r="P55" s="532"/>
      <c r="Q55" s="398"/>
      <c r="S55" s="532"/>
      <c r="T55" s="420"/>
      <c r="U55" s="420"/>
      <c r="V55" s="434"/>
      <c r="W55" s="61"/>
      <c r="X55" s="61"/>
    </row>
    <row r="56" spans="1:24" ht="16" x14ac:dyDescent="0.2">
      <c r="A56" s="463"/>
      <c r="B56" s="488"/>
      <c r="C56" s="249" t="s">
        <v>45</v>
      </c>
      <c r="D56" s="431">
        <v>16.600000000000001</v>
      </c>
      <c r="E56" s="313">
        <v>0.51</v>
      </c>
      <c r="F56" s="431">
        <v>1.1000000000000001</v>
      </c>
      <c r="G56" s="250" t="s">
        <v>596</v>
      </c>
      <c r="H56" s="250" t="s">
        <v>596</v>
      </c>
      <c r="I56" s="250" t="s">
        <v>596</v>
      </c>
      <c r="J56" s="89"/>
      <c r="K56" s="533"/>
      <c r="L56" s="533"/>
      <c r="M56" s="398"/>
      <c r="N56" s="382"/>
      <c r="O56" s="533"/>
      <c r="P56" s="533"/>
      <c r="Q56" s="398"/>
      <c r="S56" s="533"/>
      <c r="T56" s="420"/>
      <c r="U56" s="420"/>
      <c r="V56" s="434"/>
      <c r="W56" s="61"/>
      <c r="X56" s="61"/>
    </row>
    <row r="57" spans="1:24" ht="16" x14ac:dyDescent="0.2">
      <c r="A57" s="463" t="s">
        <v>77</v>
      </c>
      <c r="B57" s="483" t="s">
        <v>600</v>
      </c>
      <c r="C57" s="251" t="s">
        <v>0</v>
      </c>
      <c r="D57" s="429">
        <v>22.5</v>
      </c>
      <c r="E57" s="314">
        <v>1.05</v>
      </c>
      <c r="F57" s="430">
        <v>1.6</v>
      </c>
      <c r="G57" s="423" t="s">
        <v>627</v>
      </c>
      <c r="H57" s="89" t="s">
        <v>596</v>
      </c>
      <c r="I57" s="89" t="s">
        <v>596</v>
      </c>
      <c r="J57" s="89"/>
      <c r="K57" s="531">
        <f>AVERAGE(D57:D59)</f>
        <v>59.933333333333337</v>
      </c>
      <c r="L57" s="531">
        <f>SQRT(STDEV(D57:D59)^2+(AVERAGE(F57:F59))^2)</f>
        <v>41.144663485479299</v>
      </c>
      <c r="M57" s="398"/>
      <c r="N57" s="382"/>
      <c r="O57" s="531" t="s">
        <v>100</v>
      </c>
      <c r="P57" s="531" t="s">
        <v>100</v>
      </c>
      <c r="Q57" s="398"/>
      <c r="S57" s="531" t="s">
        <v>634</v>
      </c>
      <c r="T57" s="420"/>
      <c r="U57" s="420"/>
      <c r="V57" s="434"/>
      <c r="W57" s="61"/>
      <c r="X57" s="61"/>
    </row>
    <row r="58" spans="1:24" ht="16" x14ac:dyDescent="0.2">
      <c r="A58" s="463"/>
      <c r="B58" s="484"/>
      <c r="C58" s="11" t="s">
        <v>2</v>
      </c>
      <c r="D58" s="430">
        <v>53.6</v>
      </c>
      <c r="E58" s="312">
        <v>1.44</v>
      </c>
      <c r="F58" s="430">
        <v>3.3</v>
      </c>
      <c r="G58" s="423" t="s">
        <v>627</v>
      </c>
      <c r="H58" s="89" t="s">
        <v>596</v>
      </c>
      <c r="I58" s="89" t="s">
        <v>596</v>
      </c>
      <c r="J58" s="89"/>
      <c r="K58" s="532"/>
      <c r="L58" s="532"/>
      <c r="M58" s="398"/>
      <c r="N58" s="382"/>
      <c r="O58" s="532"/>
      <c r="P58" s="532"/>
      <c r="Q58" s="398"/>
      <c r="S58" s="532"/>
      <c r="T58" s="420"/>
      <c r="U58" s="420"/>
      <c r="V58" s="434"/>
      <c r="W58" s="61"/>
      <c r="X58" s="61"/>
    </row>
    <row r="59" spans="1:24" ht="16" x14ac:dyDescent="0.2">
      <c r="A59" s="463"/>
      <c r="B59" s="488"/>
      <c r="C59" s="249" t="s">
        <v>1</v>
      </c>
      <c r="D59" s="431">
        <v>103.7</v>
      </c>
      <c r="E59" s="313">
        <v>2.84</v>
      </c>
      <c r="F59" s="431">
        <v>6.5</v>
      </c>
      <c r="G59" s="424" t="s">
        <v>627</v>
      </c>
      <c r="H59" s="250" t="s">
        <v>596</v>
      </c>
      <c r="I59" s="250" t="s">
        <v>596</v>
      </c>
      <c r="J59" s="89"/>
      <c r="K59" s="533"/>
      <c r="L59" s="533"/>
      <c r="M59" s="398"/>
      <c r="N59" s="382"/>
      <c r="O59" s="533"/>
      <c r="P59" s="533"/>
      <c r="Q59" s="398"/>
      <c r="S59" s="533"/>
      <c r="T59" s="420"/>
      <c r="U59" s="434"/>
      <c r="V59" s="434"/>
      <c r="W59" s="61"/>
      <c r="X59" s="61"/>
    </row>
    <row r="60" spans="1:24" ht="16" x14ac:dyDescent="0.2">
      <c r="A60" s="463"/>
      <c r="B60" s="483" t="s">
        <v>601</v>
      </c>
      <c r="C60" s="251" t="s">
        <v>3</v>
      </c>
      <c r="D60" s="432">
        <v>22.2</v>
      </c>
      <c r="E60" s="375">
        <v>0.94</v>
      </c>
      <c r="F60" s="403">
        <v>1.5</v>
      </c>
      <c r="G60" s="248" t="s">
        <v>598</v>
      </c>
      <c r="H60" s="89" t="s">
        <v>596</v>
      </c>
      <c r="I60" s="89" t="s">
        <v>596</v>
      </c>
      <c r="J60" s="89"/>
      <c r="K60" s="531">
        <f>AVERAGE(D60:D65)</f>
        <v>35.283333333333339</v>
      </c>
      <c r="L60" s="531">
        <f>SQRT(STDEV(D60:D65)^2+(AVERAGE(F60:F65))^2)</f>
        <v>9.5745583013874054</v>
      </c>
      <c r="M60" s="398"/>
      <c r="N60" s="382"/>
      <c r="O60" s="531">
        <f>AVERAGE(D61:D64)</f>
        <v>34.9</v>
      </c>
      <c r="P60" s="531">
        <f>SQRT(STDEV(D61:D64)^2+(AVERAGE(F61:F64)^2))</f>
        <v>4.5209466191643237</v>
      </c>
      <c r="Q60" s="398"/>
      <c r="S60" s="531" t="str">
        <f>_xlfn.CONCAT(FIXED((O60+P60),1),"–",FIXED((O60-P60),1)," ka")</f>
        <v>39.4–30.4 ka</v>
      </c>
      <c r="T60" s="420"/>
      <c r="U60" s="420"/>
      <c r="V60" s="434"/>
      <c r="W60" s="61"/>
      <c r="X60" s="61"/>
    </row>
    <row r="61" spans="1:24" ht="16" x14ac:dyDescent="0.2">
      <c r="A61" s="463"/>
      <c r="B61" s="484"/>
      <c r="C61" s="11" t="s">
        <v>5</v>
      </c>
      <c r="D61" s="430">
        <v>31.8</v>
      </c>
      <c r="E61" s="312">
        <v>1.1299999999999999</v>
      </c>
      <c r="F61" s="430">
        <v>2.1</v>
      </c>
      <c r="G61" s="89" t="s">
        <v>596</v>
      </c>
      <c r="H61" s="89" t="s">
        <v>596</v>
      </c>
      <c r="I61" s="89" t="s">
        <v>596</v>
      </c>
      <c r="J61" s="89"/>
      <c r="K61" s="532"/>
      <c r="L61" s="532"/>
      <c r="M61" s="398"/>
      <c r="N61" s="382"/>
      <c r="O61" s="532"/>
      <c r="P61" s="532"/>
      <c r="Q61" s="398"/>
      <c r="S61" s="532"/>
      <c r="T61" s="420"/>
      <c r="U61" s="420"/>
      <c r="V61" s="434"/>
      <c r="W61" s="61"/>
      <c r="X61" s="61"/>
    </row>
    <row r="62" spans="1:24" ht="16" x14ac:dyDescent="0.2">
      <c r="A62" s="463"/>
      <c r="B62" s="484"/>
      <c r="C62" s="11" t="s">
        <v>22</v>
      </c>
      <c r="D62" s="430">
        <v>31.8</v>
      </c>
      <c r="E62" s="312">
        <v>1.79</v>
      </c>
      <c r="F62" s="430">
        <v>2.5</v>
      </c>
      <c r="G62" s="89" t="s">
        <v>596</v>
      </c>
      <c r="H62" s="89" t="s">
        <v>596</v>
      </c>
      <c r="I62" s="89" t="s">
        <v>596</v>
      </c>
      <c r="J62" s="89"/>
      <c r="K62" s="532"/>
      <c r="L62" s="532"/>
      <c r="M62" s="398"/>
      <c r="N62" s="382"/>
      <c r="O62" s="532"/>
      <c r="P62" s="532"/>
      <c r="Q62" s="398"/>
      <c r="S62" s="532"/>
      <c r="T62" s="420"/>
      <c r="U62" s="420"/>
      <c r="V62" s="434"/>
      <c r="W62" s="61"/>
      <c r="X62" s="61"/>
    </row>
    <row r="63" spans="1:24" ht="16" x14ac:dyDescent="0.2">
      <c r="A63" s="463"/>
      <c r="B63" s="484"/>
      <c r="C63" s="11" t="s">
        <v>21</v>
      </c>
      <c r="D63" s="430">
        <v>36.5</v>
      </c>
      <c r="E63" s="312">
        <v>1.37</v>
      </c>
      <c r="F63" s="430">
        <v>2.5</v>
      </c>
      <c r="G63" s="89" t="s">
        <v>596</v>
      </c>
      <c r="H63" s="89" t="s">
        <v>596</v>
      </c>
      <c r="I63" s="89" t="s">
        <v>596</v>
      </c>
      <c r="J63" s="89"/>
      <c r="K63" s="532"/>
      <c r="L63" s="532"/>
      <c r="M63" s="398"/>
      <c r="N63" s="382"/>
      <c r="O63" s="532"/>
      <c r="P63" s="532"/>
      <c r="Q63" s="398"/>
      <c r="S63" s="532"/>
      <c r="T63" s="420"/>
      <c r="U63" s="420"/>
      <c r="V63" s="434"/>
      <c r="W63" s="61"/>
      <c r="X63" s="61"/>
    </row>
    <row r="64" spans="1:24" ht="16" x14ac:dyDescent="0.2">
      <c r="A64" s="463"/>
      <c r="B64" s="484"/>
      <c r="C64" s="11" t="s">
        <v>4</v>
      </c>
      <c r="D64" s="430">
        <v>39.5</v>
      </c>
      <c r="E64" s="312">
        <v>1.66</v>
      </c>
      <c r="F64" s="430">
        <v>2.8</v>
      </c>
      <c r="G64" s="89" t="s">
        <v>596</v>
      </c>
      <c r="H64" s="89" t="s">
        <v>596</v>
      </c>
      <c r="I64" s="89" t="s">
        <v>596</v>
      </c>
      <c r="J64" s="89"/>
      <c r="K64" s="532"/>
      <c r="L64" s="532"/>
      <c r="M64" s="398"/>
      <c r="N64" s="382"/>
      <c r="O64" s="532"/>
      <c r="P64" s="532"/>
      <c r="Q64" s="398"/>
      <c r="S64" s="532"/>
      <c r="T64" s="420"/>
      <c r="U64" s="420"/>
      <c r="V64" s="434"/>
      <c r="W64" s="61"/>
      <c r="X64" s="61"/>
    </row>
    <row r="65" spans="1:24" ht="16" x14ac:dyDescent="0.2">
      <c r="A65" s="463"/>
      <c r="B65" s="488"/>
      <c r="C65" s="249" t="s">
        <v>23</v>
      </c>
      <c r="D65" s="436">
        <v>49.9</v>
      </c>
      <c r="E65" s="374">
        <v>1.8</v>
      </c>
      <c r="F65" s="436">
        <v>3.3</v>
      </c>
      <c r="G65" s="253" t="s">
        <v>598</v>
      </c>
      <c r="H65" s="250" t="s">
        <v>596</v>
      </c>
      <c r="I65" s="250" t="s">
        <v>596</v>
      </c>
      <c r="J65" s="89"/>
      <c r="K65" s="533"/>
      <c r="L65" s="533"/>
      <c r="M65" s="398"/>
      <c r="N65" s="382"/>
      <c r="O65" s="533"/>
      <c r="P65" s="533"/>
      <c r="Q65" s="398"/>
      <c r="S65" s="533"/>
      <c r="T65" s="420"/>
      <c r="U65" s="420"/>
      <c r="V65" s="434"/>
      <c r="W65" s="61"/>
      <c r="X65" s="61"/>
    </row>
    <row r="66" spans="1:24" x14ac:dyDescent="0.2">
      <c r="A66" s="462" t="s">
        <v>81</v>
      </c>
      <c r="B66" s="539"/>
      <c r="C66" s="260" t="s">
        <v>30</v>
      </c>
      <c r="D66" s="429">
        <v>0.9</v>
      </c>
      <c r="E66" s="314">
        <v>0.09</v>
      </c>
      <c r="F66" s="430">
        <v>0.1</v>
      </c>
      <c r="G66" s="243" t="s">
        <v>626</v>
      </c>
      <c r="H66" s="243" t="s">
        <v>626</v>
      </c>
      <c r="I66" s="243" t="s">
        <v>626</v>
      </c>
      <c r="J66" s="243"/>
      <c r="K66" s="388"/>
      <c r="L66" s="388"/>
      <c r="M66" s="389"/>
      <c r="N66" s="389"/>
      <c r="O66" s="381"/>
      <c r="P66" s="381"/>
      <c r="Q66" s="398"/>
      <c r="S66" s="323"/>
      <c r="V66" s="435"/>
      <c r="W66" s="61"/>
      <c r="X66" s="61"/>
    </row>
    <row r="67" spans="1:24" x14ac:dyDescent="0.2">
      <c r="A67" s="462"/>
      <c r="B67" s="540"/>
      <c r="C67" s="241" t="s">
        <v>31</v>
      </c>
      <c r="D67" s="430">
        <v>1.6</v>
      </c>
      <c r="E67" s="312">
        <v>0.1</v>
      </c>
      <c r="F67" s="430">
        <v>0.1</v>
      </c>
      <c r="G67" s="243" t="s">
        <v>626</v>
      </c>
      <c r="H67" s="243" t="s">
        <v>626</v>
      </c>
      <c r="I67" s="243" t="s">
        <v>626</v>
      </c>
      <c r="J67" s="243"/>
      <c r="K67" s="389"/>
      <c r="L67" s="389"/>
      <c r="M67" s="389"/>
      <c r="N67" s="389"/>
      <c r="O67" s="382"/>
      <c r="P67" s="382"/>
      <c r="Q67" s="398"/>
      <c r="S67" s="324"/>
      <c r="V67" s="435"/>
      <c r="W67" s="61"/>
      <c r="X67" s="61"/>
    </row>
    <row r="68" spans="1:24" x14ac:dyDescent="0.2">
      <c r="A68" s="462"/>
      <c r="B68" s="540"/>
      <c r="C68" s="241" t="s">
        <v>35</v>
      </c>
      <c r="D68" s="430">
        <v>11.9</v>
      </c>
      <c r="E68" s="312">
        <v>0.42</v>
      </c>
      <c r="F68" s="430">
        <v>0.8</v>
      </c>
      <c r="G68" s="243" t="s">
        <v>626</v>
      </c>
      <c r="H68" s="243" t="s">
        <v>626</v>
      </c>
      <c r="I68" s="243" t="s">
        <v>626</v>
      </c>
      <c r="J68" s="243"/>
      <c r="K68" s="389"/>
      <c r="L68" s="389"/>
      <c r="M68" s="389"/>
      <c r="N68" s="389"/>
      <c r="O68" s="382"/>
      <c r="P68" s="382"/>
      <c r="Q68" s="398"/>
      <c r="S68" s="324"/>
      <c r="V68" s="435"/>
      <c r="W68" s="61"/>
      <c r="X68" s="61"/>
    </row>
    <row r="69" spans="1:24" x14ac:dyDescent="0.2">
      <c r="A69" s="462"/>
      <c r="B69" s="540"/>
      <c r="C69" s="241" t="s">
        <v>51</v>
      </c>
      <c r="D69" s="430">
        <v>4.0999999999999996</v>
      </c>
      <c r="E69" s="312">
        <v>0.15</v>
      </c>
      <c r="F69" s="430">
        <v>0.3</v>
      </c>
      <c r="G69" s="243" t="s">
        <v>626</v>
      </c>
      <c r="H69" s="243" t="s">
        <v>626</v>
      </c>
      <c r="I69" s="243" t="s">
        <v>626</v>
      </c>
      <c r="J69" s="243"/>
      <c r="K69" s="389"/>
      <c r="L69" s="389"/>
      <c r="M69" s="389"/>
      <c r="N69" s="389"/>
      <c r="O69" s="382"/>
      <c r="P69" s="382"/>
      <c r="Q69" s="398"/>
      <c r="S69" s="324"/>
      <c r="V69" s="435"/>
      <c r="W69" s="61"/>
      <c r="X69" s="61"/>
    </row>
    <row r="70" spans="1:24" x14ac:dyDescent="0.2">
      <c r="A70" s="462"/>
      <c r="B70" s="540"/>
      <c r="C70" s="241" t="s">
        <v>52</v>
      </c>
      <c r="D70" s="430">
        <v>18.3</v>
      </c>
      <c r="E70" s="312">
        <v>0.56000000000000005</v>
      </c>
      <c r="F70" s="430">
        <v>1.2</v>
      </c>
      <c r="G70" s="243" t="s">
        <v>626</v>
      </c>
      <c r="H70" s="243" t="s">
        <v>626</v>
      </c>
      <c r="I70" s="243" t="s">
        <v>626</v>
      </c>
      <c r="J70" s="243"/>
      <c r="K70" s="389"/>
      <c r="L70" s="389"/>
      <c r="M70" s="389"/>
      <c r="N70" s="389"/>
      <c r="O70" s="382"/>
      <c r="P70" s="382"/>
      <c r="Q70" s="398"/>
      <c r="S70" s="324"/>
      <c r="V70" s="435"/>
      <c r="W70" s="61"/>
      <c r="X70" s="61"/>
    </row>
    <row r="71" spans="1:24" x14ac:dyDescent="0.2">
      <c r="A71" s="462"/>
      <c r="B71" s="540"/>
      <c r="C71" s="241" t="s">
        <v>29</v>
      </c>
      <c r="D71" s="430">
        <v>0.9</v>
      </c>
      <c r="E71" s="312">
        <v>0.12</v>
      </c>
      <c r="F71" s="430">
        <v>0.1</v>
      </c>
      <c r="G71" s="243" t="s">
        <v>626</v>
      </c>
      <c r="H71" s="243" t="s">
        <v>626</v>
      </c>
      <c r="I71" s="243" t="s">
        <v>626</v>
      </c>
      <c r="J71" s="243"/>
      <c r="K71" s="389"/>
      <c r="L71" s="389"/>
      <c r="M71" s="389"/>
      <c r="N71" s="389"/>
      <c r="O71" s="382"/>
      <c r="P71" s="382"/>
      <c r="Q71" s="398"/>
      <c r="S71" s="324"/>
      <c r="V71" s="435"/>
      <c r="W71" s="61"/>
      <c r="X71" s="61"/>
    </row>
    <row r="72" spans="1:24" x14ac:dyDescent="0.2">
      <c r="A72" s="462"/>
      <c r="B72" s="540"/>
      <c r="C72" s="241" t="s">
        <v>12</v>
      </c>
      <c r="D72" s="430">
        <v>2.6</v>
      </c>
      <c r="E72" s="312">
        <v>0.1</v>
      </c>
      <c r="F72" s="430">
        <v>0.2</v>
      </c>
      <c r="G72" s="243" t="s">
        <v>626</v>
      </c>
      <c r="H72" s="243" t="s">
        <v>626</v>
      </c>
      <c r="I72" s="243" t="s">
        <v>626</v>
      </c>
      <c r="J72" s="243"/>
      <c r="K72" s="389"/>
      <c r="L72" s="389"/>
      <c r="M72" s="389"/>
      <c r="N72" s="389"/>
      <c r="O72" s="382"/>
      <c r="P72" s="382"/>
      <c r="Q72" s="398"/>
      <c r="S72" s="324"/>
      <c r="U72" s="61"/>
      <c r="V72" s="435"/>
      <c r="W72" s="61"/>
      <c r="X72" s="61"/>
    </row>
    <row r="73" spans="1:24" x14ac:dyDescent="0.2">
      <c r="A73" s="462"/>
      <c r="B73" s="540"/>
      <c r="C73" s="241" t="s">
        <v>13</v>
      </c>
      <c r="D73" s="430">
        <v>2.9</v>
      </c>
      <c r="E73" s="312">
        <v>0.1</v>
      </c>
      <c r="F73" s="430">
        <v>0.2</v>
      </c>
      <c r="G73" s="243" t="s">
        <v>626</v>
      </c>
      <c r="H73" s="243" t="s">
        <v>626</v>
      </c>
      <c r="I73" s="243" t="s">
        <v>626</v>
      </c>
      <c r="J73" s="243"/>
      <c r="K73" s="389"/>
      <c r="L73" s="389"/>
      <c r="M73" s="389"/>
      <c r="N73" s="389"/>
      <c r="O73" s="382"/>
      <c r="P73" s="382"/>
      <c r="Q73" s="398"/>
      <c r="S73" s="324"/>
      <c r="V73" s="435"/>
      <c r="W73" s="61"/>
      <c r="X73" s="61"/>
    </row>
    <row r="74" spans="1:24" x14ac:dyDescent="0.2">
      <c r="A74" s="473"/>
      <c r="B74" s="541"/>
      <c r="C74" s="244" t="s">
        <v>14</v>
      </c>
      <c r="D74" s="431">
        <v>2.8</v>
      </c>
      <c r="E74" s="313">
        <v>0.11</v>
      </c>
      <c r="F74" s="431">
        <v>0.2</v>
      </c>
      <c r="G74" s="245" t="s">
        <v>626</v>
      </c>
      <c r="H74" s="245" t="s">
        <v>626</v>
      </c>
      <c r="I74" s="245" t="s">
        <v>626</v>
      </c>
      <c r="J74" s="243"/>
      <c r="K74" s="390"/>
      <c r="L74" s="390"/>
      <c r="M74" s="389"/>
      <c r="N74" s="389"/>
      <c r="O74" s="383"/>
      <c r="P74" s="383"/>
      <c r="Q74" s="398"/>
      <c r="S74" s="325"/>
      <c r="U74" s="61"/>
      <c r="V74" s="435"/>
      <c r="W74" s="61"/>
      <c r="X74" s="61"/>
    </row>
    <row r="77" spans="1:24" ht="16" customHeight="1" x14ac:dyDescent="0.2">
      <c r="A77" s="285" t="s">
        <v>713</v>
      </c>
    </row>
    <row r="78" spans="1:24" ht="16" customHeight="1" x14ac:dyDescent="0.2">
      <c r="A78" s="285" t="s">
        <v>718</v>
      </c>
    </row>
    <row r="79" spans="1:24" ht="16" customHeight="1" x14ac:dyDescent="0.2">
      <c r="A79" s="126" t="s">
        <v>714</v>
      </c>
    </row>
    <row r="80" spans="1:24" ht="16" customHeight="1" x14ac:dyDescent="0.2">
      <c r="A80" s="126" t="s">
        <v>715</v>
      </c>
    </row>
    <row r="81" spans="1:1" ht="16" customHeight="1" x14ac:dyDescent="0.2">
      <c r="A81" s="18" t="s">
        <v>716</v>
      </c>
    </row>
    <row r="82" spans="1:1" ht="16" customHeight="1" x14ac:dyDescent="0.2">
      <c r="A82" s="17"/>
    </row>
    <row r="83" spans="1:1" ht="16" x14ac:dyDescent="0.2">
      <c r="A83" s="449"/>
    </row>
    <row r="84" spans="1:1" ht="16" x14ac:dyDescent="0.2">
      <c r="A84" s="449"/>
    </row>
    <row r="85" spans="1:1" ht="16" x14ac:dyDescent="0.2">
      <c r="A85" s="449"/>
    </row>
    <row r="86" spans="1:1" ht="16" x14ac:dyDescent="0.2">
      <c r="A86" s="449"/>
    </row>
    <row r="87" spans="1:1" ht="16" x14ac:dyDescent="0.2">
      <c r="A87" s="449"/>
    </row>
    <row r="90" spans="1:1" ht="16" x14ac:dyDescent="0.2">
      <c r="A90" s="449"/>
    </row>
    <row r="91" spans="1:1" ht="16" x14ac:dyDescent="0.2">
      <c r="A91" s="17"/>
    </row>
  </sheetData>
  <mergeCells count="89">
    <mergeCell ref="F5:F6"/>
    <mergeCell ref="K60:K65"/>
    <mergeCell ref="L60:L65"/>
    <mergeCell ref="K40:K45"/>
    <mergeCell ref="L40:L45"/>
    <mergeCell ref="K47:K49"/>
    <mergeCell ref="L47:L49"/>
    <mergeCell ref="K50:K52"/>
    <mergeCell ref="L50:L52"/>
    <mergeCell ref="K7:K10"/>
    <mergeCell ref="L7:L10"/>
    <mergeCell ref="K11:K15"/>
    <mergeCell ref="L11:L15"/>
    <mergeCell ref="K16:K21"/>
    <mergeCell ref="L16:L21"/>
    <mergeCell ref="K23:K26"/>
    <mergeCell ref="B50:B52"/>
    <mergeCell ref="B54:B56"/>
    <mergeCell ref="O54:O56"/>
    <mergeCell ref="P54:P56"/>
    <mergeCell ref="O57:O59"/>
    <mergeCell ref="P57:P59"/>
    <mergeCell ref="K54:K56"/>
    <mergeCell ref="L54:L56"/>
    <mergeCell ref="K57:K59"/>
    <mergeCell ref="L57:L59"/>
    <mergeCell ref="L23:L26"/>
    <mergeCell ref="K35:K39"/>
    <mergeCell ref="L35:L39"/>
    <mergeCell ref="B35:B39"/>
    <mergeCell ref="B27:B29"/>
    <mergeCell ref="B40:B45"/>
    <mergeCell ref="B47:B49"/>
    <mergeCell ref="K5:L5"/>
    <mergeCell ref="O5:P5"/>
    <mergeCell ref="O7:O10"/>
    <mergeCell ref="P7:P10"/>
    <mergeCell ref="O11:O15"/>
    <mergeCell ref="P11:P15"/>
    <mergeCell ref="O16:O21"/>
    <mergeCell ref="P16:P21"/>
    <mergeCell ref="O23:O26"/>
    <mergeCell ref="B30:B31"/>
    <mergeCell ref="B7:B10"/>
    <mergeCell ref="B11:B15"/>
    <mergeCell ref="B16:B21"/>
    <mergeCell ref="B23:B26"/>
    <mergeCell ref="A66:A74"/>
    <mergeCell ref="A7:A21"/>
    <mergeCell ref="B66:B74"/>
    <mergeCell ref="G5:I5"/>
    <mergeCell ref="E5:E6"/>
    <mergeCell ref="D5:D6"/>
    <mergeCell ref="C5:C6"/>
    <mergeCell ref="B5:B6"/>
    <mergeCell ref="A5:A6"/>
    <mergeCell ref="B57:B59"/>
    <mergeCell ref="B60:B65"/>
    <mergeCell ref="A22:A39"/>
    <mergeCell ref="A40:A46"/>
    <mergeCell ref="A47:A56"/>
    <mergeCell ref="A57:A65"/>
    <mergeCell ref="B32:B33"/>
    <mergeCell ref="S7:S10"/>
    <mergeCell ref="S11:S15"/>
    <mergeCell ref="S16:S21"/>
    <mergeCell ref="S23:S26"/>
    <mergeCell ref="S5:S6"/>
    <mergeCell ref="S35:S39"/>
    <mergeCell ref="S32:S33"/>
    <mergeCell ref="S30:S31"/>
    <mergeCell ref="S27:S29"/>
    <mergeCell ref="S40:S45"/>
    <mergeCell ref="S60:S65"/>
    <mergeCell ref="S54:S56"/>
    <mergeCell ref="S57:S59"/>
    <mergeCell ref="S50:S52"/>
    <mergeCell ref="S47:S49"/>
    <mergeCell ref="O60:O65"/>
    <mergeCell ref="P60:P65"/>
    <mergeCell ref="P23:P26"/>
    <mergeCell ref="O35:O39"/>
    <mergeCell ref="P35:P39"/>
    <mergeCell ref="O40:O45"/>
    <mergeCell ref="P40:P45"/>
    <mergeCell ref="O47:O49"/>
    <mergeCell ref="P47:P49"/>
    <mergeCell ref="O50:O52"/>
    <mergeCell ref="P50:P52"/>
  </mergeCells>
  <phoneticPr fontId="47" type="noConversion"/>
  <pageMargins left="0.7" right="0.7" top="0.75" bottom="0.75" header="0.3" footer="0.3"/>
  <pageSetup scale="43" orientation="landscape" horizontalDpi="0" verticalDpi="0"/>
  <rowBreaks count="1" manualBreakCount="1">
    <brk id="65" max="16383" man="1"/>
  </rowBreaks>
  <ignoredErrors>
    <ignoredError sqref="K7:P6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A5" sqref="A5"/>
    </sheetView>
  </sheetViews>
  <sheetFormatPr baseColWidth="10" defaultRowHeight="15" x14ac:dyDescent="0.2"/>
  <cols>
    <col min="1" max="1" width="14.19921875" style="105" customWidth="1"/>
    <col min="2" max="2" width="22.59765625" style="105" customWidth="1"/>
    <col min="3" max="3" width="21.3984375" style="106" customWidth="1"/>
    <col min="4" max="4" width="15" style="105" customWidth="1"/>
    <col min="5" max="5" width="15.59765625" style="105" customWidth="1"/>
    <col min="6" max="6" width="18" style="105" customWidth="1"/>
    <col min="7" max="7" width="17" style="105" customWidth="1"/>
    <col min="8" max="8" width="15.59765625" style="105" customWidth="1"/>
    <col min="9" max="9" width="21.3984375" style="105" customWidth="1"/>
    <col min="10" max="10" width="15.19921875" style="105" customWidth="1"/>
    <col min="11" max="11" width="20.3984375" style="105" customWidth="1"/>
    <col min="12" max="13" width="11" style="61"/>
    <col min="14" max="14" width="11.19921875" style="15" customWidth="1"/>
    <col min="15" max="15" width="11" style="15"/>
  </cols>
  <sheetData>
    <row r="1" spans="1:15" ht="16" x14ac:dyDescent="0.2">
      <c r="A1" s="320" t="s">
        <v>727</v>
      </c>
    </row>
    <row r="2" spans="1:15" ht="16" x14ac:dyDescent="0.2">
      <c r="A2" s="319" t="s">
        <v>728</v>
      </c>
    </row>
    <row r="3" spans="1:15" ht="16" x14ac:dyDescent="0.2">
      <c r="A3" s="320" t="s">
        <v>655</v>
      </c>
    </row>
    <row r="5" spans="1:15" s="90" customFormat="1" ht="51" customHeight="1" x14ac:dyDescent="0.2">
      <c r="A5" s="91" t="s">
        <v>71</v>
      </c>
      <c r="B5" s="91" t="s">
        <v>537</v>
      </c>
      <c r="C5" s="82" t="s">
        <v>570</v>
      </c>
      <c r="D5" s="80" t="s">
        <v>617</v>
      </c>
      <c r="E5" s="210" t="s">
        <v>687</v>
      </c>
      <c r="F5" s="210" t="s">
        <v>688</v>
      </c>
      <c r="G5" s="118" t="s">
        <v>544</v>
      </c>
      <c r="H5" s="118" t="s">
        <v>156</v>
      </c>
      <c r="I5" s="81" t="s">
        <v>550</v>
      </c>
      <c r="J5" s="118" t="s">
        <v>157</v>
      </c>
      <c r="K5" s="89" t="s">
        <v>158</v>
      </c>
      <c r="L5" s="264"/>
      <c r="M5" s="264"/>
      <c r="N5" s="125"/>
      <c r="O5" s="125"/>
    </row>
    <row r="6" spans="1:15" ht="17" customHeight="1" x14ac:dyDescent="0.2">
      <c r="A6" s="555" t="s">
        <v>542</v>
      </c>
      <c r="B6" s="102" t="s">
        <v>613</v>
      </c>
      <c r="C6" s="102" t="s">
        <v>614</v>
      </c>
      <c r="D6" s="96">
        <v>3440</v>
      </c>
      <c r="E6" s="266" t="s">
        <v>100</v>
      </c>
      <c r="F6" s="263" t="s">
        <v>100</v>
      </c>
      <c r="G6" s="209" t="s">
        <v>100</v>
      </c>
      <c r="H6" s="209" t="s">
        <v>100</v>
      </c>
      <c r="I6" s="103" t="s">
        <v>100</v>
      </c>
      <c r="J6" s="118"/>
      <c r="K6" s="89"/>
    </row>
    <row r="7" spans="1:15" ht="17" customHeight="1" x14ac:dyDescent="0.2">
      <c r="A7" s="556"/>
      <c r="B7" s="93" t="s">
        <v>535</v>
      </c>
      <c r="C7" s="83" t="s">
        <v>96</v>
      </c>
      <c r="D7" s="452" t="s">
        <v>722</v>
      </c>
      <c r="E7" s="210" t="s">
        <v>194</v>
      </c>
      <c r="F7" s="210" t="s">
        <v>194</v>
      </c>
      <c r="G7" s="8">
        <v>3290</v>
      </c>
      <c r="H7" s="92">
        <v>3320</v>
      </c>
      <c r="I7" s="110">
        <f>($D$6-H7)/($D$6-$H$12)</f>
        <v>1</v>
      </c>
      <c r="J7" s="80" t="s">
        <v>689</v>
      </c>
      <c r="K7" s="104" t="s">
        <v>183</v>
      </c>
    </row>
    <row r="8" spans="1:15" ht="17" customHeight="1" x14ac:dyDescent="0.2">
      <c r="A8" s="556"/>
      <c r="B8" s="93" t="s">
        <v>518</v>
      </c>
      <c r="C8" s="83" t="s">
        <v>97</v>
      </c>
      <c r="D8" s="453" t="s">
        <v>723</v>
      </c>
      <c r="E8" s="214">
        <v>7.5</v>
      </c>
      <c r="F8" s="214">
        <v>0.8</v>
      </c>
      <c r="G8" s="8">
        <v>3297</v>
      </c>
      <c r="H8" s="92">
        <v>3330</v>
      </c>
      <c r="I8" s="110">
        <f>($D$6-H8)/($D$6-$H$12)</f>
        <v>0.91666666666666663</v>
      </c>
      <c r="J8" s="80" t="s">
        <v>101</v>
      </c>
      <c r="K8" s="104" t="s">
        <v>183</v>
      </c>
      <c r="M8" s="116"/>
    </row>
    <row r="9" spans="1:15" ht="17" customHeight="1" x14ac:dyDescent="0.2">
      <c r="A9" s="556"/>
      <c r="B9" s="85" t="s">
        <v>519</v>
      </c>
      <c r="C9" s="83" t="s">
        <v>98</v>
      </c>
      <c r="D9" s="88" t="s">
        <v>724</v>
      </c>
      <c r="E9" s="214">
        <v>2.6</v>
      </c>
      <c r="F9" s="214">
        <v>0.7</v>
      </c>
      <c r="G9" s="8">
        <v>3310</v>
      </c>
      <c r="H9" s="92">
        <v>3360</v>
      </c>
      <c r="I9" s="110">
        <f>($D$6-H9)/($D$6-$H$12)</f>
        <v>0.66666666666666663</v>
      </c>
      <c r="J9" s="80" t="s">
        <v>101</v>
      </c>
      <c r="K9" s="104" t="s">
        <v>183</v>
      </c>
      <c r="M9" s="116"/>
    </row>
    <row r="10" spans="1:15" ht="17" customHeight="1" x14ac:dyDescent="0.2">
      <c r="A10" s="556"/>
      <c r="B10" s="85" t="s">
        <v>520</v>
      </c>
      <c r="C10" s="83" t="s">
        <v>99</v>
      </c>
      <c r="D10" s="88" t="s">
        <v>725</v>
      </c>
      <c r="E10" s="214">
        <v>1.5</v>
      </c>
      <c r="F10" s="214">
        <v>0.4</v>
      </c>
      <c r="G10" s="8">
        <v>3320</v>
      </c>
      <c r="H10" s="92">
        <v>3365</v>
      </c>
      <c r="I10" s="110">
        <f>($D$6-H10)/($D$6-$H$12)</f>
        <v>0.625</v>
      </c>
      <c r="J10" s="80" t="s">
        <v>101</v>
      </c>
      <c r="K10" s="104" t="s">
        <v>183</v>
      </c>
      <c r="M10" s="116"/>
    </row>
    <row r="11" spans="1:15" ht="17" customHeight="1" x14ac:dyDescent="0.2">
      <c r="A11" s="556"/>
      <c r="B11" s="85" t="s">
        <v>720</v>
      </c>
      <c r="C11" s="83" t="s">
        <v>721</v>
      </c>
      <c r="D11" s="88" t="s">
        <v>726</v>
      </c>
      <c r="E11" s="214" t="s">
        <v>194</v>
      </c>
      <c r="F11" s="214" t="s">
        <v>194</v>
      </c>
      <c r="G11" s="8">
        <v>3335</v>
      </c>
      <c r="H11" s="92">
        <v>3370</v>
      </c>
      <c r="I11" s="110">
        <f>($D$6-H11)/($D$6-$H$12)</f>
        <v>0.58333333333333337</v>
      </c>
      <c r="J11" s="80" t="s">
        <v>101</v>
      </c>
      <c r="K11" s="104" t="s">
        <v>183</v>
      </c>
      <c r="M11" s="116"/>
    </row>
    <row r="12" spans="1:15" ht="17" customHeight="1" x14ac:dyDescent="0.2">
      <c r="A12" s="557"/>
      <c r="B12" s="97"/>
      <c r="C12" s="98"/>
      <c r="D12" s="114"/>
      <c r="E12" s="211"/>
      <c r="F12" s="211"/>
      <c r="G12" s="99" t="s">
        <v>159</v>
      </c>
      <c r="H12" s="100">
        <f>MIN(H7:H11)</f>
        <v>3320</v>
      </c>
      <c r="I12" s="60"/>
      <c r="J12" s="118"/>
      <c r="K12" s="89"/>
    </row>
    <row r="13" spans="1:15" ht="17" customHeight="1" x14ac:dyDescent="0.2">
      <c r="A13" s="555" t="s">
        <v>164</v>
      </c>
      <c r="B13" s="111" t="s">
        <v>613</v>
      </c>
      <c r="C13" s="109" t="s">
        <v>704</v>
      </c>
      <c r="D13" s="101">
        <v>3800</v>
      </c>
      <c r="E13" s="266" t="s">
        <v>100</v>
      </c>
      <c r="F13" s="263" t="s">
        <v>100</v>
      </c>
      <c r="G13" s="209" t="s">
        <v>100</v>
      </c>
      <c r="H13" s="209" t="s">
        <v>100</v>
      </c>
      <c r="I13" s="103" t="s">
        <v>100</v>
      </c>
      <c r="J13" s="118"/>
      <c r="K13" s="89"/>
    </row>
    <row r="14" spans="1:15" ht="17" customHeight="1" x14ac:dyDescent="0.2">
      <c r="A14" s="556"/>
      <c r="B14" s="91" t="s">
        <v>546</v>
      </c>
      <c r="C14" s="95" t="s">
        <v>547</v>
      </c>
      <c r="D14" s="118" t="s">
        <v>552</v>
      </c>
      <c r="E14" s="213" t="s">
        <v>194</v>
      </c>
      <c r="F14" s="213" t="s">
        <v>194</v>
      </c>
      <c r="G14" s="119">
        <v>3110</v>
      </c>
      <c r="H14" s="92">
        <f>G14+(0.58*($D$13-G14))</f>
        <v>3510.2</v>
      </c>
      <c r="I14" s="110">
        <f>($D$13-H14)/($D$13-$H$17)</f>
        <v>1</v>
      </c>
      <c r="J14" s="118" t="s">
        <v>690</v>
      </c>
      <c r="K14" s="104" t="s">
        <v>183</v>
      </c>
    </row>
    <row r="15" spans="1:15" ht="17" customHeight="1" x14ac:dyDescent="0.2">
      <c r="A15" s="556"/>
      <c r="B15" s="85" t="s">
        <v>538</v>
      </c>
      <c r="C15" s="83" t="s">
        <v>104</v>
      </c>
      <c r="D15" s="88" t="s">
        <v>548</v>
      </c>
      <c r="E15" s="213">
        <v>24.7</v>
      </c>
      <c r="F15" s="213">
        <v>2.4</v>
      </c>
      <c r="G15" s="212">
        <v>3245</v>
      </c>
      <c r="H15" s="92">
        <f>G15+(0.58*($D$13-G15))</f>
        <v>3566.9</v>
      </c>
      <c r="I15" s="110">
        <f>($D$13-H15)/($D$13-$H$17)</f>
        <v>0.80434782608695565</v>
      </c>
      <c r="J15" s="118" t="s">
        <v>95</v>
      </c>
      <c r="K15" s="104" t="s">
        <v>183</v>
      </c>
    </row>
    <row r="16" spans="1:15" ht="17" customHeight="1" x14ac:dyDescent="0.2">
      <c r="A16" s="556"/>
      <c r="B16" s="91" t="s">
        <v>103</v>
      </c>
      <c r="C16" s="95" t="s">
        <v>554</v>
      </c>
      <c r="D16" s="118" t="s">
        <v>551</v>
      </c>
      <c r="E16" s="213">
        <v>0</v>
      </c>
      <c r="F16" s="213">
        <v>0</v>
      </c>
      <c r="G16" s="119">
        <v>3555</v>
      </c>
      <c r="H16" s="92">
        <f>G16+(0.58*($D$13-G16))</f>
        <v>3697.1</v>
      </c>
      <c r="I16" s="110">
        <f>($D$13-H16)/($D$13-$H$17)</f>
        <v>0.35507246376811602</v>
      </c>
      <c r="J16" s="118" t="s">
        <v>95</v>
      </c>
      <c r="K16" s="104" t="s">
        <v>183</v>
      </c>
    </row>
    <row r="17" spans="1:18" ht="17" customHeight="1" x14ac:dyDescent="0.2">
      <c r="A17" s="557"/>
      <c r="B17" s="112"/>
      <c r="C17" s="67"/>
      <c r="D17" s="120"/>
      <c r="E17" s="211"/>
      <c r="F17" s="211"/>
      <c r="G17" s="99" t="s">
        <v>159</v>
      </c>
      <c r="H17" s="100">
        <f>MIN(H14:H16)</f>
        <v>3510.2</v>
      </c>
      <c r="I17" s="60"/>
      <c r="J17" s="118"/>
      <c r="K17" s="89"/>
    </row>
    <row r="18" spans="1:18" ht="17" customHeight="1" x14ac:dyDescent="0.2">
      <c r="A18" s="555" t="s">
        <v>165</v>
      </c>
      <c r="B18" s="111" t="s">
        <v>613</v>
      </c>
      <c r="C18" s="109" t="s">
        <v>615</v>
      </c>
      <c r="D18" s="96">
        <v>4100</v>
      </c>
      <c r="E18" s="266" t="s">
        <v>100</v>
      </c>
      <c r="F18" s="263" t="s">
        <v>100</v>
      </c>
      <c r="G18" s="209" t="s">
        <v>100</v>
      </c>
      <c r="H18" s="209" t="s">
        <v>100</v>
      </c>
      <c r="I18" s="103" t="s">
        <v>100</v>
      </c>
      <c r="J18" s="118"/>
      <c r="K18" s="89"/>
    </row>
    <row r="19" spans="1:18" ht="17" customHeight="1" x14ac:dyDescent="0.2">
      <c r="A19" s="556"/>
      <c r="B19" s="87" t="s">
        <v>540</v>
      </c>
      <c r="C19" s="86" t="s">
        <v>545</v>
      </c>
      <c r="D19" s="118">
        <v>3105</v>
      </c>
      <c r="E19" s="213" t="s">
        <v>631</v>
      </c>
      <c r="F19" s="213" t="s">
        <v>100</v>
      </c>
      <c r="G19" s="12" t="s">
        <v>194</v>
      </c>
      <c r="H19" s="92" t="s">
        <v>194</v>
      </c>
      <c r="I19" s="110" t="s">
        <v>194</v>
      </c>
      <c r="J19" s="118"/>
      <c r="K19" s="104" t="s">
        <v>183</v>
      </c>
    </row>
    <row r="20" spans="1:18" ht="17" customHeight="1" x14ac:dyDescent="0.2">
      <c r="A20" s="556"/>
      <c r="B20" s="85" t="s">
        <v>539</v>
      </c>
      <c r="C20" s="83" t="s">
        <v>102</v>
      </c>
      <c r="D20" s="88" t="s">
        <v>549</v>
      </c>
      <c r="E20" s="213">
        <v>16.2</v>
      </c>
      <c r="F20" s="213">
        <v>2.7</v>
      </c>
      <c r="G20" s="119" t="s">
        <v>100</v>
      </c>
      <c r="H20" s="118">
        <v>3275</v>
      </c>
      <c r="I20" s="110">
        <f>($D$18-H20)/($D$18-$H$22)</f>
        <v>1</v>
      </c>
      <c r="J20" s="118" t="s">
        <v>101</v>
      </c>
      <c r="K20" s="104" t="s">
        <v>183</v>
      </c>
    </row>
    <row r="21" spans="1:18" ht="17" customHeight="1" x14ac:dyDescent="0.2">
      <c r="A21" s="556"/>
      <c r="B21" s="85" t="s">
        <v>103</v>
      </c>
      <c r="C21" s="83" t="s">
        <v>553</v>
      </c>
      <c r="D21" s="88" t="s">
        <v>555</v>
      </c>
      <c r="E21" s="213">
        <v>0</v>
      </c>
      <c r="F21" s="213">
        <v>0</v>
      </c>
      <c r="G21" s="119">
        <v>3545</v>
      </c>
      <c r="H21" s="92">
        <f>G21+(0.58*($D$18-G21))</f>
        <v>3866.9</v>
      </c>
      <c r="I21" s="110">
        <f>($D$18-H21)/($D$18-$H$22)</f>
        <v>0.28254545454545443</v>
      </c>
      <c r="J21" s="118" t="s">
        <v>95</v>
      </c>
      <c r="K21" s="104" t="s">
        <v>183</v>
      </c>
    </row>
    <row r="22" spans="1:18" ht="17" customHeight="1" x14ac:dyDescent="0.2">
      <c r="A22" s="557"/>
      <c r="B22" s="112"/>
      <c r="C22" s="67"/>
      <c r="D22" s="120"/>
      <c r="E22" s="211"/>
      <c r="F22" s="211"/>
      <c r="G22" s="99" t="s">
        <v>159</v>
      </c>
      <c r="H22" s="100">
        <f>MIN(H19:H20)</f>
        <v>3275</v>
      </c>
      <c r="I22" s="60"/>
      <c r="J22" s="118"/>
      <c r="K22" s="89"/>
    </row>
    <row r="23" spans="1:18" ht="17" customHeight="1" x14ac:dyDescent="0.2">
      <c r="A23" s="555" t="s">
        <v>543</v>
      </c>
      <c r="B23" s="111" t="s">
        <v>613</v>
      </c>
      <c r="C23" s="109" t="s">
        <v>616</v>
      </c>
      <c r="D23" s="96">
        <v>3500</v>
      </c>
      <c r="E23" s="266" t="s">
        <v>100</v>
      </c>
      <c r="F23" s="263" t="s">
        <v>100</v>
      </c>
      <c r="G23" s="209" t="s">
        <v>100</v>
      </c>
      <c r="H23" s="209" t="s">
        <v>100</v>
      </c>
      <c r="I23" s="103" t="s">
        <v>100</v>
      </c>
      <c r="J23" s="118"/>
      <c r="K23" s="89"/>
    </row>
    <row r="24" spans="1:18" ht="17" customHeight="1" x14ac:dyDescent="0.2">
      <c r="A24" s="556"/>
      <c r="B24" s="87" t="s">
        <v>536</v>
      </c>
      <c r="C24" s="83" t="s">
        <v>106</v>
      </c>
      <c r="D24" s="92" t="s">
        <v>556</v>
      </c>
      <c r="E24" s="213" t="s">
        <v>194</v>
      </c>
      <c r="F24" s="213" t="s">
        <v>194</v>
      </c>
      <c r="G24" s="212">
        <v>3325</v>
      </c>
      <c r="H24" s="92">
        <f>G24+(0.58*($D$23-G24))</f>
        <v>3426.5</v>
      </c>
      <c r="I24" s="110">
        <f>($D$23-H24)/($D$23-$H$26)</f>
        <v>1</v>
      </c>
      <c r="J24" s="118" t="s">
        <v>95</v>
      </c>
      <c r="K24" s="104" t="s">
        <v>183</v>
      </c>
    </row>
    <row r="25" spans="1:18" ht="17" customHeight="1" x14ac:dyDescent="0.2">
      <c r="A25" s="556"/>
      <c r="B25" s="85" t="s">
        <v>529</v>
      </c>
      <c r="C25" s="83" t="s">
        <v>107</v>
      </c>
      <c r="D25" s="88" t="s">
        <v>557</v>
      </c>
      <c r="E25" s="443">
        <v>14.3</v>
      </c>
      <c r="F25" s="443">
        <v>1.9</v>
      </c>
      <c r="G25" s="119">
        <v>3380</v>
      </c>
      <c r="H25" s="92">
        <f>G25+(0.58*($D$23-G25))</f>
        <v>3449.6</v>
      </c>
      <c r="I25" s="110">
        <f>($D$23-H25)/($D$23-$H$26)</f>
        <v>0.68571428571428694</v>
      </c>
      <c r="J25" s="118" t="s">
        <v>95</v>
      </c>
      <c r="K25" s="104" t="s">
        <v>183</v>
      </c>
    </row>
    <row r="26" spans="1:18" ht="17" customHeight="1" x14ac:dyDescent="0.2">
      <c r="A26" s="557"/>
      <c r="B26" s="97"/>
      <c r="C26" s="98"/>
      <c r="D26" s="114"/>
      <c r="E26" s="211"/>
      <c r="F26" s="211"/>
      <c r="G26" s="99" t="s">
        <v>159</v>
      </c>
      <c r="H26" s="100">
        <f>MIN(H24:H25)</f>
        <v>3426.5</v>
      </c>
      <c r="I26" s="60"/>
      <c r="J26" s="118"/>
      <c r="K26" s="89"/>
    </row>
    <row r="27" spans="1:18" ht="17" customHeight="1" x14ac:dyDescent="0.2">
      <c r="A27" s="555" t="s">
        <v>161</v>
      </c>
      <c r="B27" s="111" t="s">
        <v>613</v>
      </c>
      <c r="C27" s="109" t="s">
        <v>618</v>
      </c>
      <c r="D27" s="96">
        <v>3400</v>
      </c>
      <c r="E27" s="266" t="s">
        <v>100</v>
      </c>
      <c r="F27" s="263" t="s">
        <v>100</v>
      </c>
      <c r="G27" s="209" t="s">
        <v>100</v>
      </c>
      <c r="H27" s="209" t="s">
        <v>100</v>
      </c>
      <c r="I27" s="103" t="s">
        <v>100</v>
      </c>
      <c r="J27" s="118"/>
      <c r="K27" s="104"/>
    </row>
    <row r="28" spans="1:18" ht="17" customHeight="1" x14ac:dyDescent="0.2">
      <c r="A28" s="556"/>
      <c r="B28" s="91" t="s">
        <v>654</v>
      </c>
      <c r="C28" s="83" t="s">
        <v>109</v>
      </c>
      <c r="D28" s="80">
        <v>2140</v>
      </c>
      <c r="E28" s="213">
        <v>37.5</v>
      </c>
      <c r="F28" s="213">
        <v>2.5</v>
      </c>
      <c r="G28" s="8">
        <v>2070</v>
      </c>
      <c r="H28" s="92">
        <f>G28+(0.58*($D$27-G28))</f>
        <v>2841.4</v>
      </c>
      <c r="I28" s="110">
        <f>($D$27-H28)/($D$27-$H$32)</f>
        <v>1</v>
      </c>
      <c r="J28" s="80" t="s">
        <v>95</v>
      </c>
      <c r="K28" s="89" t="s">
        <v>621</v>
      </c>
    </row>
    <row r="29" spans="1:18" ht="17" customHeight="1" x14ac:dyDescent="0.2">
      <c r="A29" s="556"/>
      <c r="B29" s="85" t="s">
        <v>541</v>
      </c>
      <c r="C29" s="83" t="s">
        <v>108</v>
      </c>
      <c r="D29" s="88" t="s">
        <v>558</v>
      </c>
      <c r="E29" s="443">
        <v>22.2</v>
      </c>
      <c r="F29" s="443">
        <v>2.5</v>
      </c>
      <c r="G29" s="212">
        <v>2070</v>
      </c>
      <c r="H29" s="92">
        <f>G29+(0.58*($D$27-G29))</f>
        <v>2841.4</v>
      </c>
      <c r="I29" s="110">
        <f>($D$27-H29)/($D$27-$H$32)</f>
        <v>1</v>
      </c>
      <c r="J29" s="80" t="s">
        <v>95</v>
      </c>
      <c r="K29" s="104" t="s">
        <v>183</v>
      </c>
    </row>
    <row r="30" spans="1:18" ht="17" customHeight="1" x14ac:dyDescent="0.2">
      <c r="A30" s="556"/>
      <c r="B30" s="91" t="s">
        <v>160</v>
      </c>
      <c r="C30" s="83" t="s">
        <v>111</v>
      </c>
      <c r="D30" s="80" t="s">
        <v>559</v>
      </c>
      <c r="E30" s="443">
        <v>18.399999999999999</v>
      </c>
      <c r="F30" s="443">
        <v>3.3</v>
      </c>
      <c r="G30" s="212">
        <v>2150</v>
      </c>
      <c r="H30" s="92">
        <f>G30+(0.58*($D$27-G30))</f>
        <v>2875</v>
      </c>
      <c r="I30" s="110">
        <f>($D$27-H30)/($D$27-$H$32)</f>
        <v>0.93984962406015049</v>
      </c>
      <c r="J30" s="80" t="s">
        <v>95</v>
      </c>
      <c r="K30" s="89" t="s">
        <v>621</v>
      </c>
      <c r="N30"/>
      <c r="O30" s="425"/>
      <c r="P30" s="425"/>
    </row>
    <row r="31" spans="1:18" ht="17" customHeight="1" x14ac:dyDescent="0.2">
      <c r="A31" s="556"/>
      <c r="B31" s="85" t="s">
        <v>105</v>
      </c>
      <c r="C31" s="86" t="s">
        <v>560</v>
      </c>
      <c r="D31" s="118" t="s">
        <v>561</v>
      </c>
      <c r="E31" s="213">
        <v>0</v>
      </c>
      <c r="F31" s="213">
        <v>0</v>
      </c>
      <c r="G31" s="212" t="s">
        <v>100</v>
      </c>
      <c r="H31" s="92">
        <v>3800</v>
      </c>
      <c r="I31" s="110">
        <f>($D$27-H31)/($D$27-$H$32)</f>
        <v>-0.71607590404582899</v>
      </c>
      <c r="J31" s="80" t="s">
        <v>95</v>
      </c>
      <c r="K31" s="104" t="s">
        <v>183</v>
      </c>
      <c r="M31"/>
      <c r="N31"/>
      <c r="O31" s="425"/>
      <c r="P31" s="425"/>
    </row>
    <row r="32" spans="1:18" ht="17" customHeight="1" x14ac:dyDescent="0.2">
      <c r="A32" s="557"/>
      <c r="B32" s="112"/>
      <c r="C32" s="67"/>
      <c r="D32" s="120"/>
      <c r="E32" s="211"/>
      <c r="F32" s="211"/>
      <c r="G32" s="99" t="s">
        <v>159</v>
      </c>
      <c r="H32" s="100">
        <f>MIN(H28:H31)</f>
        <v>2841.4</v>
      </c>
      <c r="I32" s="60"/>
      <c r="J32" s="118"/>
      <c r="K32" s="104"/>
      <c r="M32"/>
      <c r="N32"/>
      <c r="O32" s="425"/>
      <c r="P32" s="439"/>
      <c r="Q32" s="439"/>
      <c r="R32" s="439"/>
    </row>
    <row r="33" spans="1:18" ht="17" customHeight="1" x14ac:dyDescent="0.2">
      <c r="A33" s="558" t="s">
        <v>162</v>
      </c>
      <c r="B33" s="111" t="s">
        <v>613</v>
      </c>
      <c r="C33" s="109" t="s">
        <v>619</v>
      </c>
      <c r="D33" s="96">
        <v>3100</v>
      </c>
      <c r="E33" s="266" t="s">
        <v>100</v>
      </c>
      <c r="F33" s="263" t="s">
        <v>100</v>
      </c>
      <c r="G33" s="209" t="s">
        <v>100</v>
      </c>
      <c r="H33" s="209" t="s">
        <v>100</v>
      </c>
      <c r="I33" s="103" t="s">
        <v>100</v>
      </c>
      <c r="J33" s="118"/>
      <c r="K33" s="104"/>
      <c r="M33"/>
      <c r="N33"/>
      <c r="O33" s="425"/>
      <c r="P33" s="439"/>
      <c r="Q33" s="439"/>
      <c r="R33" s="439"/>
    </row>
    <row r="34" spans="1:18" ht="17" customHeight="1" x14ac:dyDescent="0.2">
      <c r="A34" s="559"/>
      <c r="B34" s="91" t="s">
        <v>568</v>
      </c>
      <c r="C34" s="95" t="s">
        <v>562</v>
      </c>
      <c r="D34" s="118" t="s">
        <v>563</v>
      </c>
      <c r="E34" s="213" t="s">
        <v>194</v>
      </c>
      <c r="F34" s="213" t="s">
        <v>194</v>
      </c>
      <c r="G34" s="119">
        <v>2510</v>
      </c>
      <c r="H34" s="92">
        <f>G34+(0.58*($D$33-G34))</f>
        <v>2852.2</v>
      </c>
      <c r="I34" s="110">
        <f>($D$33-H34)/($D$33-$H$37)</f>
        <v>1</v>
      </c>
      <c r="J34" s="80" t="s">
        <v>95</v>
      </c>
      <c r="K34" s="104" t="s">
        <v>183</v>
      </c>
      <c r="M34"/>
      <c r="N34"/>
      <c r="O34" s="425"/>
      <c r="P34" s="440"/>
      <c r="Q34" s="439"/>
      <c r="R34" s="439"/>
    </row>
    <row r="35" spans="1:18" ht="17" customHeight="1" x14ac:dyDescent="0.2">
      <c r="A35" s="559"/>
      <c r="B35" s="91" t="s">
        <v>569</v>
      </c>
      <c r="C35" s="83" t="s">
        <v>114</v>
      </c>
      <c r="D35" s="118" t="s">
        <v>564</v>
      </c>
      <c r="E35" s="213">
        <v>30.6</v>
      </c>
      <c r="F35" s="213">
        <v>2.2000000000000002</v>
      </c>
      <c r="G35" s="119">
        <v>2525</v>
      </c>
      <c r="H35" s="92">
        <f>G35+(0.58*($D$33-G35))</f>
        <v>2858.5</v>
      </c>
      <c r="I35" s="110">
        <f>($D$33-H35)/($D$33-$H$37)</f>
        <v>0.97457627118643997</v>
      </c>
      <c r="J35" s="80" t="s">
        <v>95</v>
      </c>
      <c r="K35" s="104" t="s">
        <v>183</v>
      </c>
      <c r="M35"/>
      <c r="N35"/>
      <c r="O35" s="425"/>
      <c r="P35" s="441"/>
      <c r="Q35" s="439"/>
      <c r="R35" s="439"/>
    </row>
    <row r="36" spans="1:18" ht="17" customHeight="1" x14ac:dyDescent="0.2">
      <c r="A36" s="559"/>
      <c r="B36" s="91" t="s">
        <v>624</v>
      </c>
      <c r="C36" s="83" t="s">
        <v>115</v>
      </c>
      <c r="D36" s="118" t="s">
        <v>565</v>
      </c>
      <c r="E36" s="213">
        <v>16.600000000000001</v>
      </c>
      <c r="F36" s="213">
        <v>1.1000000000000001</v>
      </c>
      <c r="G36" s="119">
        <v>2721</v>
      </c>
      <c r="H36" s="92">
        <f>G36+(0.58*($D$33-G36))</f>
        <v>2940.82</v>
      </c>
      <c r="I36" s="110">
        <f>($D$33-H36)/($D$33-$H$37)</f>
        <v>0.64237288135593107</v>
      </c>
      <c r="J36" s="80" t="s">
        <v>95</v>
      </c>
      <c r="K36" s="104" t="s">
        <v>183</v>
      </c>
      <c r="M36"/>
      <c r="N36"/>
      <c r="O36" s="425"/>
      <c r="P36" s="440"/>
      <c r="Q36" s="439"/>
      <c r="R36" s="439"/>
    </row>
    <row r="37" spans="1:18" ht="17" customHeight="1" x14ac:dyDescent="0.2">
      <c r="A37" s="560"/>
      <c r="B37" s="112"/>
      <c r="C37" s="67"/>
      <c r="D37" s="120"/>
      <c r="E37" s="211"/>
      <c r="F37" s="211"/>
      <c r="G37" s="99" t="s">
        <v>159</v>
      </c>
      <c r="H37" s="100">
        <f>MIN(H34:H36)</f>
        <v>2852.2</v>
      </c>
      <c r="I37" s="60"/>
      <c r="J37" s="118"/>
      <c r="K37" s="89"/>
      <c r="M37"/>
      <c r="N37"/>
      <c r="O37" s="425"/>
      <c r="P37" s="440"/>
      <c r="Q37" s="439"/>
      <c r="R37" s="439"/>
    </row>
    <row r="38" spans="1:18" ht="17" customHeight="1" x14ac:dyDescent="0.2">
      <c r="A38" s="555" t="s">
        <v>163</v>
      </c>
      <c r="B38" s="111" t="s">
        <v>613</v>
      </c>
      <c r="C38" s="109" t="s">
        <v>620</v>
      </c>
      <c r="D38" s="96">
        <v>3080</v>
      </c>
      <c r="E38" s="266" t="s">
        <v>100</v>
      </c>
      <c r="F38" s="263" t="s">
        <v>100</v>
      </c>
      <c r="G38" s="209" t="s">
        <v>100</v>
      </c>
      <c r="H38" s="209" t="s">
        <v>100</v>
      </c>
      <c r="I38" s="103" t="s">
        <v>100</v>
      </c>
      <c r="J38" s="118"/>
      <c r="K38" s="89"/>
      <c r="M38"/>
      <c r="N38"/>
      <c r="O38" s="425"/>
      <c r="P38" s="440"/>
      <c r="Q38" s="442"/>
      <c r="R38" s="442"/>
    </row>
    <row r="39" spans="1:18" ht="17" customHeight="1" x14ac:dyDescent="0.2">
      <c r="A39" s="556"/>
      <c r="B39" s="85" t="s">
        <v>600</v>
      </c>
      <c r="C39" s="94" t="s">
        <v>116</v>
      </c>
      <c r="D39" s="88" t="s">
        <v>566</v>
      </c>
      <c r="E39" s="210" t="s">
        <v>634</v>
      </c>
      <c r="F39" s="214" t="s">
        <v>100</v>
      </c>
      <c r="G39" s="119">
        <v>2110</v>
      </c>
      <c r="H39" s="92">
        <f>G39+(0.58*($D$38-G39))</f>
        <v>2672.6</v>
      </c>
      <c r="I39" s="110">
        <f>($D$38-H39)/($D$38-$H$41)</f>
        <v>1</v>
      </c>
      <c r="J39" s="80" t="s">
        <v>95</v>
      </c>
      <c r="K39" s="104" t="s">
        <v>183</v>
      </c>
      <c r="M39"/>
      <c r="N39"/>
      <c r="O39" s="425"/>
      <c r="P39" s="440"/>
      <c r="Q39" s="442"/>
      <c r="R39" s="442"/>
    </row>
    <row r="40" spans="1:18" ht="17" customHeight="1" x14ac:dyDescent="0.2">
      <c r="A40" s="556"/>
      <c r="B40" s="85" t="s">
        <v>601</v>
      </c>
      <c r="C40" s="83" t="s">
        <v>117</v>
      </c>
      <c r="D40" s="88" t="s">
        <v>567</v>
      </c>
      <c r="E40" s="443">
        <v>34.9</v>
      </c>
      <c r="F40" s="443">
        <v>4.5</v>
      </c>
      <c r="G40" s="119">
        <v>2135</v>
      </c>
      <c r="H40" s="92">
        <f>G40+(0.58*($D$38-G40))</f>
        <v>2683.1</v>
      </c>
      <c r="I40" s="110">
        <f>($D$38-H40)/($D$38-$H$41)</f>
        <v>0.97422680412371132</v>
      </c>
      <c r="J40" s="80" t="s">
        <v>95</v>
      </c>
      <c r="K40" s="104" t="s">
        <v>183</v>
      </c>
      <c r="M40"/>
      <c r="N40" s="17"/>
      <c r="O40" s="17"/>
      <c r="P40" s="440"/>
      <c r="Q40" s="442"/>
      <c r="R40" s="442"/>
    </row>
    <row r="41" spans="1:18" ht="17" customHeight="1" x14ac:dyDescent="0.2">
      <c r="A41" s="557"/>
      <c r="B41" s="97"/>
      <c r="C41" s="98"/>
      <c r="D41" s="114"/>
      <c r="E41" s="211"/>
      <c r="F41" s="211"/>
      <c r="G41" s="99" t="s">
        <v>159</v>
      </c>
      <c r="H41" s="100">
        <f>MIN(H39:H40)</f>
        <v>2672.6</v>
      </c>
      <c r="I41" s="60"/>
      <c r="J41" s="118"/>
      <c r="K41" s="89"/>
      <c r="M41"/>
      <c r="N41" s="396"/>
      <c r="O41" s="396"/>
      <c r="P41" s="440"/>
      <c r="Q41" s="439"/>
      <c r="R41" s="439"/>
    </row>
    <row r="42" spans="1:18" ht="16" customHeight="1" x14ac:dyDescent="0.2">
      <c r="A42" s="104"/>
      <c r="B42" s="107"/>
      <c r="C42" s="30"/>
      <c r="D42" s="27"/>
      <c r="E42" s="84"/>
      <c r="F42" s="108"/>
      <c r="G42" s="108"/>
      <c r="H42" s="8"/>
      <c r="I42" s="9"/>
      <c r="J42" s="31"/>
      <c r="K42" s="31"/>
      <c r="M42"/>
      <c r="N42" s="397"/>
      <c r="O42" s="397"/>
      <c r="P42" s="115"/>
      <c r="Q42" s="17"/>
      <c r="R42" s="17"/>
    </row>
    <row r="43" spans="1:18" ht="16" customHeight="1" x14ac:dyDescent="0.2">
      <c r="A43" s="104" t="s">
        <v>635</v>
      </c>
      <c r="B43" s="107"/>
      <c r="C43" s="30"/>
      <c r="D43" s="27"/>
      <c r="E43" s="84"/>
      <c r="F43" s="108"/>
      <c r="G43" s="108"/>
      <c r="H43" s="8"/>
      <c r="I43" s="9"/>
      <c r="J43" s="31"/>
      <c r="K43" s="31"/>
      <c r="M43"/>
      <c r="N43" s="396"/>
      <c r="O43" s="396"/>
      <c r="P43" s="115"/>
      <c r="Q43" s="17"/>
      <c r="R43" s="17"/>
    </row>
    <row r="44" spans="1:18" ht="15" customHeight="1" x14ac:dyDescent="0.2">
      <c r="A44" s="450" t="s">
        <v>717</v>
      </c>
      <c r="E44" s="28"/>
      <c r="F44" s="28"/>
      <c r="G44" s="27"/>
      <c r="H44" s="8"/>
      <c r="I44" s="29"/>
      <c r="J44" s="27"/>
      <c r="K44" s="27"/>
      <c r="M44"/>
      <c r="N44" s="17"/>
      <c r="O44" s="17"/>
      <c r="P44" s="116"/>
      <c r="Q44" s="17"/>
      <c r="R44" s="17"/>
    </row>
    <row r="45" spans="1:18" ht="15" customHeight="1" x14ac:dyDescent="0.2">
      <c r="A45" s="105" t="s">
        <v>691</v>
      </c>
      <c r="E45" s="28"/>
      <c r="F45" s="28"/>
      <c r="G45" s="27"/>
      <c r="H45" s="8"/>
      <c r="I45" s="29"/>
      <c r="J45" s="27"/>
      <c r="K45" s="27"/>
      <c r="M45"/>
      <c r="N45" s="396"/>
      <c r="O45" s="396"/>
      <c r="P45" s="116"/>
      <c r="Q45" s="17"/>
      <c r="R45" s="17"/>
    </row>
    <row r="46" spans="1:18" ht="15" customHeight="1" x14ac:dyDescent="0.2">
      <c r="A46" s="105" t="s">
        <v>692</v>
      </c>
      <c r="E46" s="28"/>
      <c r="F46" s="28"/>
      <c r="G46" s="27"/>
      <c r="H46" s="8"/>
      <c r="I46" s="29"/>
      <c r="J46" s="27"/>
      <c r="K46" s="27"/>
      <c r="M46"/>
      <c r="N46" s="397"/>
      <c r="O46" s="397"/>
      <c r="Q46" s="17"/>
      <c r="R46" s="17"/>
    </row>
    <row r="47" spans="1:18" ht="15" customHeight="1" x14ac:dyDescent="0.2">
      <c r="E47" s="28"/>
      <c r="F47" s="28"/>
      <c r="G47" s="27"/>
      <c r="H47" s="8"/>
      <c r="I47" s="29"/>
      <c r="J47" s="27"/>
      <c r="K47" s="27"/>
      <c r="M47"/>
      <c r="N47" s="396"/>
      <c r="O47" s="396"/>
      <c r="P47" s="116"/>
      <c r="Q47" s="397"/>
      <c r="R47" s="397"/>
    </row>
    <row r="48" spans="1:18" ht="15" customHeight="1" x14ac:dyDescent="0.2">
      <c r="A48" s="208" t="s">
        <v>182</v>
      </c>
      <c r="E48" s="28"/>
      <c r="F48" s="28"/>
      <c r="G48" s="27"/>
      <c r="H48" s="8"/>
      <c r="I48" s="29"/>
      <c r="J48" s="27"/>
      <c r="K48" s="27"/>
      <c r="N48" s="62"/>
      <c r="O48" s="116"/>
    </row>
    <row r="49" spans="1:18" ht="15" customHeight="1" x14ac:dyDescent="0.2">
      <c r="A49" s="105" t="s">
        <v>623</v>
      </c>
      <c r="G49" s="13"/>
      <c r="H49" s="113"/>
      <c r="N49" s="62"/>
      <c r="O49" s="116"/>
      <c r="P49" s="116"/>
      <c r="Q49" s="17"/>
      <c r="R49" s="17"/>
    </row>
    <row r="50" spans="1:18" ht="15" customHeight="1" x14ac:dyDescent="0.2">
      <c r="A50" s="17" t="s">
        <v>622</v>
      </c>
      <c r="G50" s="13"/>
      <c r="H50" s="113"/>
      <c r="N50" s="62"/>
      <c r="O50" s="116"/>
      <c r="P50" s="116"/>
      <c r="Q50" s="17"/>
      <c r="R50" s="17"/>
    </row>
    <row r="51" spans="1:18" ht="15" customHeight="1" x14ac:dyDescent="0.2">
      <c r="G51" s="13"/>
      <c r="H51" s="113"/>
      <c r="Q51" s="17"/>
      <c r="R51" s="17"/>
    </row>
    <row r="52" spans="1:18" ht="15" customHeight="1" x14ac:dyDescent="0.2">
      <c r="G52" s="13"/>
      <c r="H52" s="113"/>
      <c r="N52" s="62"/>
      <c r="O52" s="116"/>
      <c r="P52" s="116"/>
      <c r="Q52" s="397"/>
      <c r="R52" s="397"/>
    </row>
    <row r="53" spans="1:18" ht="15" customHeight="1" x14ac:dyDescent="0.2">
      <c r="A53" s="449"/>
      <c r="G53" s="13"/>
      <c r="H53" s="113"/>
      <c r="O53" s="116"/>
      <c r="P53" s="116"/>
      <c r="Q53" s="17"/>
      <c r="R53" s="17"/>
    </row>
    <row r="54" spans="1:18" ht="15" customHeight="1" x14ac:dyDescent="0.2">
      <c r="A54" s="449"/>
      <c r="G54" s="13"/>
      <c r="H54" s="113"/>
      <c r="O54" s="116"/>
      <c r="P54" s="116"/>
      <c r="Q54" s="17"/>
      <c r="R54" s="17"/>
    </row>
    <row r="55" spans="1:18" ht="15" customHeight="1" x14ac:dyDescent="0.2">
      <c r="A55" s="176"/>
      <c r="G55" s="13"/>
      <c r="H55" s="113"/>
      <c r="O55" s="116"/>
      <c r="P55" s="116"/>
      <c r="Q55" s="397"/>
      <c r="R55" s="397"/>
    </row>
    <row r="56" spans="1:18" ht="15" customHeight="1" x14ac:dyDescent="0.2">
      <c r="A56" s="176"/>
      <c r="G56" s="13"/>
      <c r="H56" s="113"/>
      <c r="O56" s="116"/>
      <c r="P56" s="116"/>
      <c r="Q56" s="17"/>
      <c r="R56" s="17"/>
    </row>
    <row r="57" spans="1:18" ht="15" customHeight="1" x14ac:dyDescent="0.2">
      <c r="A57" s="17"/>
      <c r="G57" s="13"/>
      <c r="H57" s="113"/>
      <c r="O57" s="116"/>
      <c r="P57" s="116"/>
      <c r="Q57" s="397"/>
      <c r="R57" s="397"/>
    </row>
    <row r="58" spans="1:18" ht="15" customHeight="1" x14ac:dyDescent="0.2">
      <c r="G58" s="13"/>
      <c r="H58" s="113"/>
      <c r="O58" s="116"/>
      <c r="P58" s="116"/>
      <c r="Q58" s="17"/>
      <c r="R58" s="17"/>
    </row>
    <row r="59" spans="1:18" ht="15" customHeight="1" x14ac:dyDescent="0.2">
      <c r="G59" s="13"/>
      <c r="H59" s="113"/>
      <c r="Q59" s="397"/>
      <c r="R59" s="397"/>
    </row>
    <row r="60" spans="1:18" ht="15" customHeight="1" x14ac:dyDescent="0.2">
      <c r="G60" s="13"/>
      <c r="H60" s="113"/>
    </row>
    <row r="61" spans="1:18" ht="15" customHeight="1" x14ac:dyDescent="0.2">
      <c r="G61" s="13"/>
      <c r="H61" s="113"/>
      <c r="O61" s="116"/>
      <c r="P61" s="116"/>
      <c r="Q61" s="17"/>
      <c r="R61" s="17"/>
    </row>
    <row r="62" spans="1:18" ht="15" customHeight="1" x14ac:dyDescent="0.2">
      <c r="G62" s="13"/>
      <c r="H62" s="113"/>
      <c r="O62" s="116"/>
      <c r="P62" s="116"/>
      <c r="Q62" s="17"/>
      <c r="R62" s="17"/>
    </row>
    <row r="63" spans="1:18" ht="15" customHeight="1" x14ac:dyDescent="0.2">
      <c r="G63" s="13"/>
      <c r="H63" s="113"/>
      <c r="Q63" s="17"/>
      <c r="R63" s="17"/>
    </row>
    <row r="64" spans="1:18" ht="15" customHeight="1" x14ac:dyDescent="0.2">
      <c r="G64" s="13"/>
      <c r="H64" s="113"/>
      <c r="Q64" s="17"/>
      <c r="R64" s="17"/>
    </row>
    <row r="65" spans="3:16" ht="15" customHeight="1" x14ac:dyDescent="0.2">
      <c r="D65" s="27"/>
      <c r="G65" s="13"/>
      <c r="H65" s="113"/>
    </row>
    <row r="66" spans="3:16" ht="15" customHeight="1" x14ac:dyDescent="0.2">
      <c r="G66" s="65"/>
      <c r="H66" s="65"/>
    </row>
    <row r="67" spans="3:16" ht="15" customHeight="1" x14ac:dyDescent="0.2">
      <c r="G67" s="65"/>
      <c r="H67" s="65"/>
    </row>
    <row r="68" spans="3:16" ht="15" customHeight="1" x14ac:dyDescent="0.2">
      <c r="G68" s="65"/>
      <c r="H68" s="65"/>
    </row>
    <row r="69" spans="3:16" s="105" customFormat="1" ht="15" customHeight="1" x14ac:dyDescent="0.2">
      <c r="C69" s="106"/>
      <c r="G69" s="65"/>
      <c r="H69" s="65"/>
      <c r="L69" s="265"/>
      <c r="M69" s="265"/>
      <c r="O69" s="15"/>
      <c r="P69"/>
    </row>
    <row r="70" spans="3:16" s="105" customFormat="1" x14ac:dyDescent="0.2">
      <c r="C70" s="106"/>
      <c r="G70" s="65"/>
      <c r="H70" s="65"/>
      <c r="L70" s="265"/>
      <c r="M70" s="265"/>
      <c r="O70" s="15"/>
      <c r="P70"/>
    </row>
    <row r="71" spans="3:16" s="105" customFormat="1" x14ac:dyDescent="0.2">
      <c r="C71" s="106"/>
      <c r="G71" s="65"/>
      <c r="H71" s="65"/>
      <c r="L71" s="61"/>
      <c r="M71" s="61"/>
      <c r="N71" s="15"/>
      <c r="O71" s="15"/>
      <c r="P71"/>
    </row>
  </sheetData>
  <mergeCells count="7">
    <mergeCell ref="A38:A41"/>
    <mergeCell ref="A6:A12"/>
    <mergeCell ref="A13:A17"/>
    <mergeCell ref="A18:A22"/>
    <mergeCell ref="A23:A26"/>
    <mergeCell ref="A27:A32"/>
    <mergeCell ref="A33:A3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A5" sqref="A5:A6"/>
    </sheetView>
  </sheetViews>
  <sheetFormatPr baseColWidth="10" defaultRowHeight="15" x14ac:dyDescent="0.2"/>
  <cols>
    <col min="1" max="1" width="8.19921875" style="64" customWidth="1"/>
    <col min="2" max="2" width="29" style="64" customWidth="1"/>
    <col min="3" max="3" width="19" style="64" customWidth="1"/>
    <col min="4" max="4" width="14.796875" style="64" customWidth="1"/>
    <col min="5" max="5" width="5.3984375" style="308" customWidth="1"/>
    <col min="6" max="7" width="15.19921875" style="64" customWidth="1"/>
    <col min="8" max="9" width="15.19921875" style="247" customWidth="1"/>
    <col min="10" max="10" width="4.59765625" style="64" customWidth="1"/>
    <col min="11" max="11" width="13.59765625" style="63" customWidth="1"/>
    <col min="12" max="14" width="13.59765625" style="64" customWidth="1"/>
    <col min="15" max="20" width="11" style="64"/>
    <col min="21" max="21" width="32.3984375" style="64" customWidth="1"/>
    <col min="22" max="16384" width="11" style="64"/>
  </cols>
  <sheetData>
    <row r="1" spans="1:14" ht="16" customHeight="1" x14ac:dyDescent="0.2">
      <c r="A1" s="320" t="s">
        <v>727</v>
      </c>
    </row>
    <row r="2" spans="1:14" ht="16" customHeight="1" x14ac:dyDescent="0.2">
      <c r="A2" s="319" t="s">
        <v>728</v>
      </c>
    </row>
    <row r="3" spans="1:14" ht="16" customHeight="1" x14ac:dyDescent="0.2">
      <c r="A3" s="320" t="s">
        <v>655</v>
      </c>
    </row>
    <row r="4" spans="1:14" ht="16" customHeight="1" x14ac:dyDescent="0.2"/>
    <row r="5" spans="1:14" ht="31" customHeight="1" x14ac:dyDescent="0.2">
      <c r="A5" s="567" t="s">
        <v>71</v>
      </c>
      <c r="B5" s="568" t="s">
        <v>72</v>
      </c>
      <c r="C5" s="562" t="s">
        <v>146</v>
      </c>
      <c r="D5" s="564" t="s">
        <v>645</v>
      </c>
      <c r="E5" s="566"/>
      <c r="F5" s="561" t="s">
        <v>703</v>
      </c>
      <c r="G5" s="561"/>
      <c r="H5" s="561"/>
      <c r="I5" s="561"/>
      <c r="J5" s="283"/>
      <c r="K5" s="561" t="s">
        <v>510</v>
      </c>
      <c r="L5" s="561"/>
      <c r="M5" s="561"/>
      <c r="N5" s="561"/>
    </row>
    <row r="6" spans="1:14" ht="24" customHeight="1" x14ac:dyDescent="0.2">
      <c r="A6" s="475"/>
      <c r="B6" s="476"/>
      <c r="C6" s="563"/>
      <c r="D6" s="565"/>
      <c r="E6" s="566"/>
      <c r="F6" s="305" t="s">
        <v>197</v>
      </c>
      <c r="G6" s="305" t="s">
        <v>199</v>
      </c>
      <c r="H6" s="305" t="s">
        <v>200</v>
      </c>
      <c r="I6" s="305" t="s">
        <v>198</v>
      </c>
      <c r="J6" s="294"/>
      <c r="K6" s="306" t="s">
        <v>197</v>
      </c>
      <c r="L6" s="306" t="s">
        <v>199</v>
      </c>
      <c r="M6" s="306" t="s">
        <v>200</v>
      </c>
      <c r="N6" s="305" t="s">
        <v>198</v>
      </c>
    </row>
    <row r="7" spans="1:14" ht="15" customHeight="1" x14ac:dyDescent="0.2">
      <c r="A7" s="462" t="s">
        <v>79</v>
      </c>
      <c r="B7" s="461" t="s">
        <v>518</v>
      </c>
      <c r="C7" s="285" t="s">
        <v>64</v>
      </c>
      <c r="D7" s="302" t="s">
        <v>202</v>
      </c>
      <c r="E7" s="307"/>
      <c r="F7" s="302" t="s">
        <v>203</v>
      </c>
      <c r="G7" s="302" t="s">
        <v>204</v>
      </c>
      <c r="H7" s="302" t="s">
        <v>205</v>
      </c>
      <c r="I7" s="302" t="s">
        <v>206</v>
      </c>
      <c r="J7" s="285"/>
      <c r="K7" s="303">
        <v>0.56000000000000005</v>
      </c>
      <c r="L7" s="303">
        <v>1.7</v>
      </c>
      <c r="M7" s="303">
        <v>2.85</v>
      </c>
      <c r="N7" s="304">
        <v>5.77</v>
      </c>
    </row>
    <row r="8" spans="1:14" ht="15" customHeight="1" x14ac:dyDescent="0.2">
      <c r="A8" s="463"/>
      <c r="B8" s="461"/>
      <c r="C8" s="285" t="s">
        <v>65</v>
      </c>
      <c r="D8" s="302" t="s">
        <v>207</v>
      </c>
      <c r="E8" s="307"/>
      <c r="F8" s="302" t="s">
        <v>208</v>
      </c>
      <c r="G8" s="302" t="s">
        <v>209</v>
      </c>
      <c r="H8" s="302" t="s">
        <v>210</v>
      </c>
      <c r="I8" s="302" t="s">
        <v>211</v>
      </c>
      <c r="J8" s="285"/>
      <c r="K8" s="303">
        <v>0.67</v>
      </c>
      <c r="L8" s="303">
        <v>2.0299999999999998</v>
      </c>
      <c r="M8" s="303">
        <v>3.39</v>
      </c>
      <c r="N8" s="304">
        <v>6.86</v>
      </c>
    </row>
    <row r="9" spans="1:14" ht="15" customHeight="1" x14ac:dyDescent="0.2">
      <c r="A9" s="463"/>
      <c r="B9" s="461"/>
      <c r="C9" s="285" t="s">
        <v>73</v>
      </c>
      <c r="D9" s="302" t="s">
        <v>212</v>
      </c>
      <c r="E9" s="307"/>
      <c r="F9" s="302" t="s">
        <v>213</v>
      </c>
      <c r="G9" s="302" t="s">
        <v>214</v>
      </c>
      <c r="H9" s="302" t="s">
        <v>215</v>
      </c>
      <c r="I9" s="302" t="s">
        <v>216</v>
      </c>
      <c r="J9" s="285"/>
      <c r="K9" s="303">
        <v>0.43</v>
      </c>
      <c r="L9" s="303">
        <v>1.31</v>
      </c>
      <c r="M9" s="303">
        <v>2.1800000000000002</v>
      </c>
      <c r="N9" s="304">
        <v>4.3899999999999997</v>
      </c>
    </row>
    <row r="10" spans="1:14" ht="15" customHeight="1" x14ac:dyDescent="0.2">
      <c r="A10" s="463"/>
      <c r="B10" s="461"/>
      <c r="C10" s="285" t="s">
        <v>74</v>
      </c>
      <c r="D10" s="302" t="s">
        <v>217</v>
      </c>
      <c r="E10" s="307"/>
      <c r="F10" s="302" t="s">
        <v>218</v>
      </c>
      <c r="G10" s="302" t="s">
        <v>219</v>
      </c>
      <c r="H10" s="302" t="s">
        <v>220</v>
      </c>
      <c r="I10" s="302" t="s">
        <v>221</v>
      </c>
      <c r="J10" s="285"/>
      <c r="K10" s="303">
        <v>0.61</v>
      </c>
      <c r="L10" s="303">
        <v>1.85</v>
      </c>
      <c r="M10" s="303">
        <v>3.1</v>
      </c>
      <c r="N10" s="304">
        <v>6.28</v>
      </c>
    </row>
    <row r="11" spans="1:14" ht="15" customHeight="1" x14ac:dyDescent="0.2">
      <c r="A11" s="463"/>
      <c r="B11" s="461" t="s">
        <v>519</v>
      </c>
      <c r="C11" s="285" t="s">
        <v>62</v>
      </c>
      <c r="D11" s="302" t="s">
        <v>222</v>
      </c>
      <c r="E11" s="307"/>
      <c r="F11" s="302" t="s">
        <v>223</v>
      </c>
      <c r="G11" s="302" t="s">
        <v>223</v>
      </c>
      <c r="H11" s="302" t="s">
        <v>223</v>
      </c>
      <c r="I11" s="302" t="s">
        <v>224</v>
      </c>
      <c r="J11" s="285"/>
      <c r="K11" s="303">
        <v>0.13</v>
      </c>
      <c r="L11" s="303">
        <v>0.38</v>
      </c>
      <c r="M11" s="303">
        <v>0.64</v>
      </c>
      <c r="N11" s="304">
        <v>1.33</v>
      </c>
    </row>
    <row r="12" spans="1:14" ht="15" customHeight="1" x14ac:dyDescent="0.2">
      <c r="A12" s="463"/>
      <c r="B12" s="461"/>
      <c r="C12" s="285" t="s">
        <v>63</v>
      </c>
      <c r="D12" s="302" t="s">
        <v>225</v>
      </c>
      <c r="E12" s="307"/>
      <c r="F12" s="302" t="s">
        <v>226</v>
      </c>
      <c r="G12" s="302" t="s">
        <v>227</v>
      </c>
      <c r="H12" s="302" t="s">
        <v>228</v>
      </c>
      <c r="I12" s="302" t="s">
        <v>229</v>
      </c>
      <c r="J12" s="285"/>
      <c r="K12" s="303">
        <v>0.25</v>
      </c>
      <c r="L12" s="303">
        <v>0.77</v>
      </c>
      <c r="M12" s="303">
        <v>1.33</v>
      </c>
      <c r="N12" s="304">
        <v>2.65</v>
      </c>
    </row>
    <row r="13" spans="1:14" ht="15" customHeight="1" x14ac:dyDescent="0.2">
      <c r="A13" s="463"/>
      <c r="B13" s="461"/>
      <c r="C13" s="285" t="s">
        <v>59</v>
      </c>
      <c r="D13" s="302" t="s">
        <v>230</v>
      </c>
      <c r="E13" s="307"/>
      <c r="F13" s="302" t="s">
        <v>230</v>
      </c>
      <c r="G13" s="302" t="s">
        <v>230</v>
      </c>
      <c r="H13" s="302" t="s">
        <v>230</v>
      </c>
      <c r="I13" s="302" t="s">
        <v>230</v>
      </c>
      <c r="J13" s="285"/>
      <c r="K13" s="303">
        <v>0.13</v>
      </c>
      <c r="L13" s="303">
        <v>0.25</v>
      </c>
      <c r="M13" s="303">
        <v>0.38</v>
      </c>
      <c r="N13" s="304">
        <v>0.75</v>
      </c>
    </row>
    <row r="14" spans="1:14" ht="15" customHeight="1" x14ac:dyDescent="0.2">
      <c r="A14" s="463"/>
      <c r="B14" s="461"/>
      <c r="C14" s="285" t="s">
        <v>60</v>
      </c>
      <c r="D14" s="302" t="s">
        <v>231</v>
      </c>
      <c r="E14" s="307"/>
      <c r="F14" s="302" t="s">
        <v>232</v>
      </c>
      <c r="G14" s="302" t="s">
        <v>233</v>
      </c>
      <c r="H14" s="302" t="s">
        <v>234</v>
      </c>
      <c r="I14" s="302" t="s">
        <v>235</v>
      </c>
      <c r="J14" s="285"/>
      <c r="K14" s="303">
        <v>0.25</v>
      </c>
      <c r="L14" s="303">
        <v>0.71</v>
      </c>
      <c r="M14" s="303">
        <v>1.1599999999999999</v>
      </c>
      <c r="N14" s="304">
        <v>2.33</v>
      </c>
    </row>
    <row r="15" spans="1:14" ht="15" customHeight="1" x14ac:dyDescent="0.2">
      <c r="A15" s="463"/>
      <c r="B15" s="461"/>
      <c r="C15" s="285" t="s">
        <v>61</v>
      </c>
      <c r="D15" s="302" t="s">
        <v>236</v>
      </c>
      <c r="E15" s="307"/>
      <c r="F15" s="302" t="s">
        <v>237</v>
      </c>
      <c r="G15" s="302" t="s">
        <v>238</v>
      </c>
      <c r="H15" s="302" t="s">
        <v>239</v>
      </c>
      <c r="I15" s="302" t="s">
        <v>240</v>
      </c>
      <c r="J15" s="285"/>
      <c r="K15" s="303">
        <v>0.23</v>
      </c>
      <c r="L15" s="303">
        <v>0.62</v>
      </c>
      <c r="M15" s="303">
        <v>1.05</v>
      </c>
      <c r="N15" s="304">
        <v>2.15</v>
      </c>
    </row>
    <row r="16" spans="1:14" ht="15" customHeight="1" x14ac:dyDescent="0.2">
      <c r="A16" s="463"/>
      <c r="B16" s="461" t="s">
        <v>520</v>
      </c>
      <c r="C16" s="285" t="s">
        <v>87</v>
      </c>
      <c r="D16" s="302" t="s">
        <v>241</v>
      </c>
      <c r="E16" s="307"/>
      <c r="F16" s="302" t="s">
        <v>241</v>
      </c>
      <c r="G16" s="302" t="s">
        <v>241</v>
      </c>
      <c r="H16" s="302" t="s">
        <v>241</v>
      </c>
      <c r="I16" s="302" t="s">
        <v>242</v>
      </c>
      <c r="J16" s="285"/>
      <c r="K16" s="303">
        <v>0</v>
      </c>
      <c r="L16" s="303">
        <v>0.22</v>
      </c>
      <c r="M16" s="303">
        <v>0.33</v>
      </c>
      <c r="N16" s="304">
        <v>0.77</v>
      </c>
    </row>
    <row r="17" spans="1:14" ht="15" customHeight="1" x14ac:dyDescent="0.2">
      <c r="A17" s="463"/>
      <c r="B17" s="461"/>
      <c r="C17" s="285" t="s">
        <v>88</v>
      </c>
      <c r="D17" s="302" t="s">
        <v>243</v>
      </c>
      <c r="E17" s="307"/>
      <c r="F17" s="302" t="s">
        <v>243</v>
      </c>
      <c r="G17" s="302" t="s">
        <v>243</v>
      </c>
      <c r="H17" s="302" t="s">
        <v>243</v>
      </c>
      <c r="I17" s="302" t="s">
        <v>244</v>
      </c>
      <c r="J17" s="285"/>
      <c r="K17" s="303">
        <v>0</v>
      </c>
      <c r="L17" s="303">
        <v>0.19</v>
      </c>
      <c r="M17" s="303">
        <v>0.38</v>
      </c>
      <c r="N17" s="304">
        <v>0.86</v>
      </c>
    </row>
    <row r="18" spans="1:14" ht="15" customHeight="1" x14ac:dyDescent="0.2">
      <c r="A18" s="463"/>
      <c r="B18" s="461"/>
      <c r="C18" s="285" t="s">
        <v>89</v>
      </c>
      <c r="D18" s="302" t="s">
        <v>245</v>
      </c>
      <c r="E18" s="307"/>
      <c r="F18" s="302" t="s">
        <v>246</v>
      </c>
      <c r="G18" s="302" t="s">
        <v>246</v>
      </c>
      <c r="H18" s="302" t="s">
        <v>246</v>
      </c>
      <c r="I18" s="302" t="s">
        <v>247</v>
      </c>
      <c r="J18" s="285"/>
      <c r="K18" s="303">
        <v>7.0000000000000007E-2</v>
      </c>
      <c r="L18" s="303">
        <v>0.34</v>
      </c>
      <c r="M18" s="303">
        <v>0.61</v>
      </c>
      <c r="N18" s="304">
        <v>1.21</v>
      </c>
    </row>
    <row r="19" spans="1:14" ht="15" customHeight="1" x14ac:dyDescent="0.2">
      <c r="A19" s="463"/>
      <c r="B19" s="461"/>
      <c r="C19" s="285" t="s">
        <v>56</v>
      </c>
      <c r="D19" s="302" t="s">
        <v>248</v>
      </c>
      <c r="E19" s="307"/>
      <c r="F19" s="302" t="s">
        <v>248</v>
      </c>
      <c r="G19" s="302" t="s">
        <v>249</v>
      </c>
      <c r="H19" s="302" t="s">
        <v>250</v>
      </c>
      <c r="I19" s="302" t="s">
        <v>251</v>
      </c>
      <c r="J19" s="285"/>
      <c r="K19" s="303">
        <v>0.16</v>
      </c>
      <c r="L19" s="303">
        <v>0.49</v>
      </c>
      <c r="M19" s="303">
        <v>0.76</v>
      </c>
      <c r="N19" s="304">
        <v>1.56</v>
      </c>
    </row>
    <row r="20" spans="1:14" ht="15" customHeight="1" x14ac:dyDescent="0.2">
      <c r="A20" s="463"/>
      <c r="B20" s="461"/>
      <c r="C20" s="285" t="s">
        <v>57</v>
      </c>
      <c r="D20" s="302" t="s">
        <v>252</v>
      </c>
      <c r="E20" s="307"/>
      <c r="F20" s="302" t="s">
        <v>252</v>
      </c>
      <c r="G20" s="302" t="s">
        <v>252</v>
      </c>
      <c r="H20" s="302" t="s">
        <v>253</v>
      </c>
      <c r="I20" s="302" t="s">
        <v>254</v>
      </c>
      <c r="J20" s="285"/>
      <c r="K20" s="303">
        <v>0.16</v>
      </c>
      <c r="L20" s="303">
        <v>0.48</v>
      </c>
      <c r="M20" s="303">
        <v>0.8</v>
      </c>
      <c r="N20" s="304">
        <v>1.53</v>
      </c>
    </row>
    <row r="21" spans="1:14" ht="15" customHeight="1" x14ac:dyDescent="0.2">
      <c r="A21" s="463"/>
      <c r="B21" s="461"/>
      <c r="C21" s="285" t="s">
        <v>58</v>
      </c>
      <c r="D21" s="302" t="s">
        <v>255</v>
      </c>
      <c r="E21" s="307"/>
      <c r="F21" s="302" t="s">
        <v>255</v>
      </c>
      <c r="G21" s="302" t="s">
        <v>255</v>
      </c>
      <c r="H21" s="302" t="s">
        <v>256</v>
      </c>
      <c r="I21" s="302" t="s">
        <v>257</v>
      </c>
      <c r="J21" s="285"/>
      <c r="K21" s="303">
        <v>0.13</v>
      </c>
      <c r="L21" s="303">
        <v>0.38</v>
      </c>
      <c r="M21" s="303">
        <v>0.63</v>
      </c>
      <c r="N21" s="304">
        <v>1.31</v>
      </c>
    </row>
    <row r="22" spans="1:14" ht="15" customHeight="1" x14ac:dyDescent="0.2">
      <c r="A22" s="462" t="s">
        <v>80</v>
      </c>
      <c r="B22" s="222" t="s">
        <v>521</v>
      </c>
      <c r="C22" s="285" t="s">
        <v>48</v>
      </c>
      <c r="D22" s="302" t="s">
        <v>258</v>
      </c>
      <c r="E22" s="307"/>
      <c r="F22" s="302" t="s">
        <v>259</v>
      </c>
      <c r="G22" s="302" t="s">
        <v>260</v>
      </c>
      <c r="H22" s="302" t="s">
        <v>261</v>
      </c>
      <c r="I22" s="302" t="s">
        <v>262</v>
      </c>
      <c r="J22" s="285"/>
      <c r="K22" s="303">
        <v>0.6</v>
      </c>
      <c r="L22" s="303">
        <v>1.82</v>
      </c>
      <c r="M22" s="303">
        <v>3.04</v>
      </c>
      <c r="N22" s="304">
        <v>6.17</v>
      </c>
    </row>
    <row r="23" spans="1:14" ht="15" customHeight="1" x14ac:dyDescent="0.2">
      <c r="A23" s="463"/>
      <c r="B23" s="461" t="s">
        <v>522</v>
      </c>
      <c r="C23" s="285" t="s">
        <v>49</v>
      </c>
      <c r="D23" s="302" t="s">
        <v>263</v>
      </c>
      <c r="E23" s="307"/>
      <c r="F23" s="302" t="s">
        <v>264</v>
      </c>
      <c r="G23" s="302" t="s">
        <v>265</v>
      </c>
      <c r="H23" s="302" t="s">
        <v>266</v>
      </c>
      <c r="I23" s="302" t="s">
        <v>267</v>
      </c>
      <c r="J23" s="285"/>
      <c r="K23" s="303">
        <v>2.1800000000000002</v>
      </c>
      <c r="L23" s="303">
        <v>6.63</v>
      </c>
      <c r="M23" s="303">
        <v>11.23</v>
      </c>
      <c r="N23" s="304">
        <v>23.58</v>
      </c>
    </row>
    <row r="24" spans="1:14" ht="15" customHeight="1" x14ac:dyDescent="0.2">
      <c r="A24" s="463"/>
      <c r="B24" s="461"/>
      <c r="C24" s="285" t="s">
        <v>47</v>
      </c>
      <c r="D24" s="302" t="s">
        <v>268</v>
      </c>
      <c r="E24" s="307"/>
      <c r="F24" s="302" t="s">
        <v>269</v>
      </c>
      <c r="G24" s="302" t="s">
        <v>270</v>
      </c>
      <c r="H24" s="302" t="s">
        <v>271</v>
      </c>
      <c r="I24" s="302" t="s">
        <v>272</v>
      </c>
      <c r="J24" s="285"/>
      <c r="K24" s="303">
        <v>1.9</v>
      </c>
      <c r="L24" s="303">
        <v>5.77</v>
      </c>
      <c r="M24" s="303">
        <v>9.76</v>
      </c>
      <c r="N24" s="304">
        <v>20.329999999999998</v>
      </c>
    </row>
    <row r="25" spans="1:14" ht="15" customHeight="1" x14ac:dyDescent="0.2">
      <c r="A25" s="463"/>
      <c r="B25" s="461"/>
      <c r="C25" s="285" t="s">
        <v>53</v>
      </c>
      <c r="D25" s="302" t="s">
        <v>273</v>
      </c>
      <c r="E25" s="307"/>
      <c r="F25" s="302" t="s">
        <v>274</v>
      </c>
      <c r="G25" s="302" t="s">
        <v>275</v>
      </c>
      <c r="H25" s="302" t="s">
        <v>276</v>
      </c>
      <c r="I25" s="302" t="s">
        <v>277</v>
      </c>
      <c r="J25" s="285"/>
      <c r="K25" s="303">
        <v>2.0699999999999998</v>
      </c>
      <c r="L25" s="303">
        <v>6.29</v>
      </c>
      <c r="M25" s="303">
        <v>10.64</v>
      </c>
      <c r="N25" s="304">
        <v>22.28</v>
      </c>
    </row>
    <row r="26" spans="1:14" ht="15" customHeight="1" x14ac:dyDescent="0.2">
      <c r="A26" s="463"/>
      <c r="B26" s="461"/>
      <c r="C26" s="285" t="s">
        <v>50</v>
      </c>
      <c r="D26" s="302" t="s">
        <v>278</v>
      </c>
      <c r="E26" s="307"/>
      <c r="F26" s="302" t="s">
        <v>279</v>
      </c>
      <c r="G26" s="302" t="s">
        <v>280</v>
      </c>
      <c r="H26" s="302" t="s">
        <v>281</v>
      </c>
      <c r="I26" s="302" t="s">
        <v>282</v>
      </c>
      <c r="J26" s="285"/>
      <c r="K26" s="303">
        <v>0.55000000000000004</v>
      </c>
      <c r="L26" s="303">
        <v>1.66</v>
      </c>
      <c r="M26" s="303">
        <v>2.79</v>
      </c>
      <c r="N26" s="304">
        <v>5.65</v>
      </c>
    </row>
    <row r="27" spans="1:14" ht="15" customHeight="1" x14ac:dyDescent="0.2">
      <c r="A27" s="463"/>
      <c r="B27" s="461" t="s">
        <v>195</v>
      </c>
      <c r="C27" s="285" t="s">
        <v>36</v>
      </c>
      <c r="D27" s="302" t="s">
        <v>283</v>
      </c>
      <c r="E27" s="307"/>
      <c r="F27" s="302" t="s">
        <v>284</v>
      </c>
      <c r="G27" s="302" t="s">
        <v>285</v>
      </c>
      <c r="H27" s="302" t="s">
        <v>286</v>
      </c>
      <c r="I27" s="302" t="s">
        <v>287</v>
      </c>
      <c r="J27" s="285"/>
      <c r="K27" s="303">
        <v>3.77</v>
      </c>
      <c r="L27" s="303">
        <v>11.62</v>
      </c>
      <c r="M27" s="303">
        <v>20.02</v>
      </c>
      <c r="N27" s="304">
        <v>45.22</v>
      </c>
    </row>
    <row r="28" spans="1:14" ht="15" customHeight="1" x14ac:dyDescent="0.2">
      <c r="A28" s="463"/>
      <c r="B28" s="461"/>
      <c r="C28" s="285" t="s">
        <v>37</v>
      </c>
      <c r="D28" s="302" t="s">
        <v>288</v>
      </c>
      <c r="E28" s="307"/>
      <c r="F28" s="302" t="s">
        <v>289</v>
      </c>
      <c r="G28" s="302" t="s">
        <v>290</v>
      </c>
      <c r="H28" s="302" t="s">
        <v>291</v>
      </c>
      <c r="I28" s="302" t="s">
        <v>292</v>
      </c>
      <c r="J28" s="285"/>
      <c r="K28" s="303">
        <v>1.0900000000000001</v>
      </c>
      <c r="L28" s="303">
        <v>3.31</v>
      </c>
      <c r="M28" s="303">
        <v>5.54</v>
      </c>
      <c r="N28" s="304">
        <v>11.31</v>
      </c>
    </row>
    <row r="29" spans="1:14" ht="15" customHeight="1" x14ac:dyDescent="0.2">
      <c r="A29" s="463"/>
      <c r="B29" s="461"/>
      <c r="C29" s="285" t="s">
        <v>38</v>
      </c>
      <c r="D29" s="302" t="s">
        <v>332</v>
      </c>
      <c r="E29" s="307"/>
      <c r="F29" s="302" t="s">
        <v>333</v>
      </c>
      <c r="G29" s="302" t="s">
        <v>334</v>
      </c>
      <c r="H29" s="302" t="s">
        <v>335</v>
      </c>
      <c r="I29" s="302" t="s">
        <v>336</v>
      </c>
      <c r="J29" s="285"/>
      <c r="K29" s="303">
        <v>2.06</v>
      </c>
      <c r="L29" s="303">
        <v>6.26</v>
      </c>
      <c r="M29" s="303">
        <v>10.6</v>
      </c>
      <c r="N29" s="304">
        <v>22.17</v>
      </c>
    </row>
    <row r="30" spans="1:14" ht="15" customHeight="1" x14ac:dyDescent="0.2">
      <c r="A30" s="463"/>
      <c r="B30" s="461" t="s">
        <v>196</v>
      </c>
      <c r="C30" s="285" t="s">
        <v>15</v>
      </c>
      <c r="D30" s="302" t="s">
        <v>337</v>
      </c>
      <c r="E30" s="307"/>
      <c r="F30" s="302" t="s">
        <v>338</v>
      </c>
      <c r="G30" s="302" t="s">
        <v>339</v>
      </c>
      <c r="H30" s="302" t="s">
        <v>340</v>
      </c>
      <c r="I30" s="302" t="s">
        <v>341</v>
      </c>
      <c r="J30" s="285"/>
      <c r="K30" s="303">
        <v>1.76</v>
      </c>
      <c r="L30" s="303">
        <v>5.35</v>
      </c>
      <c r="M30" s="303">
        <v>9.0399999999999991</v>
      </c>
      <c r="N30" s="304">
        <v>18.760000000000002</v>
      </c>
    </row>
    <row r="31" spans="1:14" ht="15" customHeight="1" x14ac:dyDescent="0.2">
      <c r="A31" s="463"/>
      <c r="B31" s="461"/>
      <c r="C31" s="285" t="s">
        <v>16</v>
      </c>
      <c r="D31" s="302" t="s">
        <v>342</v>
      </c>
      <c r="E31" s="307"/>
      <c r="F31" s="302" t="s">
        <v>343</v>
      </c>
      <c r="G31" s="302" t="s">
        <v>344</v>
      </c>
      <c r="H31" s="302" t="s">
        <v>345</v>
      </c>
      <c r="I31" s="302" t="s">
        <v>346</v>
      </c>
      <c r="J31" s="285"/>
      <c r="K31" s="303">
        <v>3.48</v>
      </c>
      <c r="L31" s="303">
        <v>10.71</v>
      </c>
      <c r="M31" s="303">
        <v>18.38</v>
      </c>
      <c r="N31" s="304">
        <v>40.799999999999997</v>
      </c>
    </row>
    <row r="32" spans="1:14" ht="15" customHeight="1" x14ac:dyDescent="0.2">
      <c r="A32" s="463"/>
      <c r="B32" s="464" t="s">
        <v>517</v>
      </c>
      <c r="C32" s="285" t="s">
        <v>32</v>
      </c>
      <c r="D32" s="302" t="s">
        <v>293</v>
      </c>
      <c r="E32" s="307"/>
      <c r="F32" s="302" t="s">
        <v>294</v>
      </c>
      <c r="G32" s="302" t="s">
        <v>295</v>
      </c>
      <c r="H32" s="302" t="s">
        <v>296</v>
      </c>
      <c r="I32" s="302" t="s">
        <v>297</v>
      </c>
      <c r="J32" s="285"/>
      <c r="K32" s="303">
        <v>1.84</v>
      </c>
      <c r="L32" s="303">
        <v>5.57</v>
      </c>
      <c r="M32" s="303">
        <v>9.41</v>
      </c>
      <c r="N32" s="304">
        <v>19.559999999999999</v>
      </c>
    </row>
    <row r="33" spans="1:14" ht="15" customHeight="1" x14ac:dyDescent="0.2">
      <c r="A33" s="463"/>
      <c r="B33" s="464"/>
      <c r="C33" s="285" t="s">
        <v>33</v>
      </c>
      <c r="D33" s="302" t="s">
        <v>298</v>
      </c>
      <c r="E33" s="307"/>
      <c r="F33" s="302" t="s">
        <v>299</v>
      </c>
      <c r="G33" s="302" t="s">
        <v>300</v>
      </c>
      <c r="H33" s="302" t="s">
        <v>301</v>
      </c>
      <c r="I33" s="188" t="s">
        <v>201</v>
      </c>
      <c r="J33" s="285"/>
      <c r="K33" s="303">
        <v>6.13</v>
      </c>
      <c r="L33" s="303">
        <v>19.34</v>
      </c>
      <c r="M33" s="303">
        <v>34.5</v>
      </c>
      <c r="N33" s="188" t="s">
        <v>201</v>
      </c>
    </row>
    <row r="34" spans="1:14" ht="15" customHeight="1" x14ac:dyDescent="0.2">
      <c r="A34" s="463"/>
      <c r="B34" s="79" t="s">
        <v>523</v>
      </c>
      <c r="C34" s="285" t="s">
        <v>28</v>
      </c>
      <c r="D34" s="302" t="s">
        <v>302</v>
      </c>
      <c r="E34" s="307"/>
      <c r="F34" s="302" t="s">
        <v>303</v>
      </c>
      <c r="G34" s="302" t="s">
        <v>304</v>
      </c>
      <c r="H34" s="302" t="s">
        <v>305</v>
      </c>
      <c r="I34" s="302" t="s">
        <v>306</v>
      </c>
      <c r="J34" s="285"/>
      <c r="K34" s="303">
        <v>2.97</v>
      </c>
      <c r="L34" s="303">
        <v>9.09</v>
      </c>
      <c r="M34" s="303">
        <v>15.52</v>
      </c>
      <c r="N34" s="304">
        <v>33.549999999999997</v>
      </c>
    </row>
    <row r="35" spans="1:14" ht="15" customHeight="1" x14ac:dyDescent="0.2">
      <c r="A35" s="463"/>
      <c r="B35" s="461" t="s">
        <v>524</v>
      </c>
      <c r="C35" s="285" t="s">
        <v>34</v>
      </c>
      <c r="D35" s="302" t="s">
        <v>307</v>
      </c>
      <c r="E35" s="307"/>
      <c r="F35" s="302" t="s">
        <v>308</v>
      </c>
      <c r="G35" s="302" t="s">
        <v>309</v>
      </c>
      <c r="H35" s="302" t="s">
        <v>310</v>
      </c>
      <c r="I35" s="302" t="s">
        <v>311</v>
      </c>
      <c r="J35" s="285"/>
      <c r="K35" s="303">
        <v>0.5</v>
      </c>
      <c r="L35" s="303">
        <v>1.47</v>
      </c>
      <c r="M35" s="303">
        <v>2.4700000000000002</v>
      </c>
      <c r="N35" s="304">
        <v>4.9800000000000004</v>
      </c>
    </row>
    <row r="36" spans="1:14" ht="15" customHeight="1" x14ac:dyDescent="0.2">
      <c r="A36" s="463"/>
      <c r="B36" s="461"/>
      <c r="C36" s="285" t="s">
        <v>17</v>
      </c>
      <c r="D36" s="302" t="s">
        <v>312</v>
      </c>
      <c r="E36" s="307"/>
      <c r="F36" s="302" t="s">
        <v>313</v>
      </c>
      <c r="G36" s="302" t="s">
        <v>314</v>
      </c>
      <c r="H36" s="302" t="s">
        <v>315</v>
      </c>
      <c r="I36" s="302" t="s">
        <v>316</v>
      </c>
      <c r="J36" s="285"/>
      <c r="K36" s="303">
        <v>1.27</v>
      </c>
      <c r="L36" s="303">
        <v>3.85</v>
      </c>
      <c r="M36" s="303">
        <v>6.48</v>
      </c>
      <c r="N36" s="304">
        <v>13.28</v>
      </c>
    </row>
    <row r="37" spans="1:14" ht="15" customHeight="1" x14ac:dyDescent="0.2">
      <c r="A37" s="463"/>
      <c r="B37" s="461"/>
      <c r="C37" s="285" t="s">
        <v>18</v>
      </c>
      <c r="D37" s="302" t="s">
        <v>317</v>
      </c>
      <c r="E37" s="307"/>
      <c r="F37" s="302" t="s">
        <v>318</v>
      </c>
      <c r="G37" s="302" t="s">
        <v>319</v>
      </c>
      <c r="H37" s="302" t="s">
        <v>320</v>
      </c>
      <c r="I37" s="302" t="s">
        <v>321</v>
      </c>
      <c r="J37" s="285"/>
      <c r="K37" s="303">
        <v>1.64</v>
      </c>
      <c r="L37" s="303">
        <v>4.9800000000000004</v>
      </c>
      <c r="M37" s="303">
        <v>8.4</v>
      </c>
      <c r="N37" s="304">
        <v>17.37</v>
      </c>
    </row>
    <row r="38" spans="1:14" ht="15" customHeight="1" x14ac:dyDescent="0.2">
      <c r="A38" s="463"/>
      <c r="B38" s="461"/>
      <c r="C38" s="285" t="s">
        <v>19</v>
      </c>
      <c r="D38" s="302" t="s">
        <v>322</v>
      </c>
      <c r="E38" s="307"/>
      <c r="F38" s="302" t="s">
        <v>323</v>
      </c>
      <c r="G38" s="302" t="s">
        <v>324</v>
      </c>
      <c r="H38" s="302" t="s">
        <v>325</v>
      </c>
      <c r="I38" s="302" t="s">
        <v>326</v>
      </c>
      <c r="J38" s="285"/>
      <c r="K38" s="303">
        <v>1.1499999999999999</v>
      </c>
      <c r="L38" s="303">
        <v>3.48</v>
      </c>
      <c r="M38" s="303">
        <v>5.84</v>
      </c>
      <c r="N38" s="304">
        <v>11.93</v>
      </c>
    </row>
    <row r="39" spans="1:14" ht="15" customHeight="1" x14ac:dyDescent="0.2">
      <c r="A39" s="463"/>
      <c r="B39" s="461"/>
      <c r="C39" s="285" t="s">
        <v>20</v>
      </c>
      <c r="D39" s="302" t="s">
        <v>327</v>
      </c>
      <c r="E39" s="307"/>
      <c r="F39" s="302" t="s">
        <v>328</v>
      </c>
      <c r="G39" s="302" t="s">
        <v>329</v>
      </c>
      <c r="H39" s="302" t="s">
        <v>330</v>
      </c>
      <c r="I39" s="302" t="s">
        <v>331</v>
      </c>
      <c r="J39" s="285"/>
      <c r="K39" s="303">
        <v>1.28</v>
      </c>
      <c r="L39" s="303">
        <v>3.88</v>
      </c>
      <c r="M39" s="303">
        <v>6.54</v>
      </c>
      <c r="N39" s="304">
        <v>13.39</v>
      </c>
    </row>
    <row r="40" spans="1:14" ht="15" customHeight="1" x14ac:dyDescent="0.2">
      <c r="A40" s="462" t="s">
        <v>76</v>
      </c>
      <c r="B40" s="461" t="s">
        <v>529</v>
      </c>
      <c r="C40" s="285" t="s">
        <v>11</v>
      </c>
      <c r="D40" s="302" t="s">
        <v>347</v>
      </c>
      <c r="E40" s="307"/>
      <c r="F40" s="302" t="s">
        <v>348</v>
      </c>
      <c r="G40" s="302" t="s">
        <v>349</v>
      </c>
      <c r="H40" s="302" t="s">
        <v>350</v>
      </c>
      <c r="I40" s="302" t="s">
        <v>351</v>
      </c>
      <c r="J40" s="285"/>
      <c r="K40" s="303">
        <v>1.38</v>
      </c>
      <c r="L40" s="303">
        <v>4.18</v>
      </c>
      <c r="M40" s="303">
        <v>7.04</v>
      </c>
      <c r="N40" s="304">
        <v>14.47</v>
      </c>
    </row>
    <row r="41" spans="1:14" ht="15" customHeight="1" x14ac:dyDescent="0.2">
      <c r="A41" s="463"/>
      <c r="B41" s="461"/>
      <c r="C41" s="285" t="s">
        <v>7</v>
      </c>
      <c r="D41" s="302" t="s">
        <v>352</v>
      </c>
      <c r="E41" s="307"/>
      <c r="F41" s="302" t="s">
        <v>353</v>
      </c>
      <c r="G41" s="302" t="s">
        <v>354</v>
      </c>
      <c r="H41" s="302" t="s">
        <v>355</v>
      </c>
      <c r="I41" s="302" t="s">
        <v>356</v>
      </c>
      <c r="J41" s="285"/>
      <c r="K41" s="303">
        <v>0.59</v>
      </c>
      <c r="L41" s="303">
        <v>1.8</v>
      </c>
      <c r="M41" s="303">
        <v>3.01</v>
      </c>
      <c r="N41" s="304">
        <v>6.1</v>
      </c>
    </row>
    <row r="42" spans="1:14" ht="15" customHeight="1" x14ac:dyDescent="0.2">
      <c r="A42" s="463"/>
      <c r="B42" s="461"/>
      <c r="C42" s="285" t="s">
        <v>8</v>
      </c>
      <c r="D42" s="302" t="s">
        <v>357</v>
      </c>
      <c r="E42" s="307"/>
      <c r="F42" s="302" t="s">
        <v>358</v>
      </c>
      <c r="G42" s="302" t="s">
        <v>359</v>
      </c>
      <c r="H42" s="302" t="s">
        <v>360</v>
      </c>
      <c r="I42" s="302" t="s">
        <v>361</v>
      </c>
      <c r="J42" s="285"/>
      <c r="K42" s="303">
        <v>1.0900000000000001</v>
      </c>
      <c r="L42" s="303">
        <v>3.29</v>
      </c>
      <c r="M42" s="303">
        <v>5.53</v>
      </c>
      <c r="N42" s="304">
        <v>11.3</v>
      </c>
    </row>
    <row r="43" spans="1:14" ht="15" customHeight="1" x14ac:dyDescent="0.2">
      <c r="A43" s="463"/>
      <c r="B43" s="461"/>
      <c r="C43" s="285" t="s">
        <v>9</v>
      </c>
      <c r="D43" s="302" t="s">
        <v>362</v>
      </c>
      <c r="E43" s="307"/>
      <c r="F43" s="302" t="s">
        <v>363</v>
      </c>
      <c r="G43" s="302" t="s">
        <v>364</v>
      </c>
      <c r="H43" s="302" t="s">
        <v>365</v>
      </c>
      <c r="I43" s="302" t="s">
        <v>366</v>
      </c>
      <c r="J43" s="285"/>
      <c r="K43" s="303">
        <v>1.18</v>
      </c>
      <c r="L43" s="303">
        <v>3.56</v>
      </c>
      <c r="M43" s="303">
        <v>5.98</v>
      </c>
      <c r="N43" s="304">
        <v>12.23</v>
      </c>
    </row>
    <row r="44" spans="1:14" ht="15" customHeight="1" x14ac:dyDescent="0.2">
      <c r="A44" s="463"/>
      <c r="B44" s="461"/>
      <c r="C44" s="285" t="s">
        <v>10</v>
      </c>
      <c r="D44" s="302" t="s">
        <v>367</v>
      </c>
      <c r="E44" s="307"/>
      <c r="F44" s="302" t="s">
        <v>368</v>
      </c>
      <c r="G44" s="302" t="s">
        <v>369</v>
      </c>
      <c r="H44" s="302" t="s">
        <v>370</v>
      </c>
      <c r="I44" s="302" t="s">
        <v>371</v>
      </c>
      <c r="J44" s="285"/>
      <c r="K44" s="303">
        <v>1.1499999999999999</v>
      </c>
      <c r="L44" s="303">
        <v>3.48</v>
      </c>
      <c r="M44" s="303">
        <v>5.84</v>
      </c>
      <c r="N44" s="304">
        <v>11.94</v>
      </c>
    </row>
    <row r="45" spans="1:14" ht="15" customHeight="1" x14ac:dyDescent="0.2">
      <c r="A45" s="463"/>
      <c r="B45" s="461"/>
      <c r="C45" s="285" t="s">
        <v>126</v>
      </c>
      <c r="D45" s="302" t="s">
        <v>372</v>
      </c>
      <c r="E45" s="307"/>
      <c r="F45" s="302" t="s">
        <v>373</v>
      </c>
      <c r="G45" s="302" t="s">
        <v>374</v>
      </c>
      <c r="H45" s="302" t="s">
        <v>375</v>
      </c>
      <c r="I45" s="302" t="s">
        <v>376</v>
      </c>
      <c r="J45" s="285"/>
      <c r="K45" s="303">
        <v>1.1100000000000001</v>
      </c>
      <c r="L45" s="303">
        <v>3.35</v>
      </c>
      <c r="M45" s="303">
        <v>5.62</v>
      </c>
      <c r="N45" s="304">
        <v>11.48</v>
      </c>
    </row>
    <row r="46" spans="1:14" ht="15" customHeight="1" x14ac:dyDescent="0.2">
      <c r="A46" s="463"/>
      <c r="B46" s="222" t="s">
        <v>525</v>
      </c>
      <c r="C46" s="285" t="s">
        <v>6</v>
      </c>
      <c r="D46" s="302" t="s">
        <v>377</v>
      </c>
      <c r="E46" s="307"/>
      <c r="F46" s="302" t="s">
        <v>378</v>
      </c>
      <c r="G46" s="302" t="s">
        <v>379</v>
      </c>
      <c r="H46" s="302" t="s">
        <v>380</v>
      </c>
      <c r="I46" s="302" t="s">
        <v>381</v>
      </c>
      <c r="J46" s="285"/>
      <c r="K46" s="303">
        <v>1.19</v>
      </c>
      <c r="L46" s="303">
        <v>3.6</v>
      </c>
      <c r="M46" s="303">
        <v>6.06</v>
      </c>
      <c r="N46" s="304">
        <v>12.39</v>
      </c>
    </row>
    <row r="47" spans="1:14" ht="15" customHeight="1" x14ac:dyDescent="0.2">
      <c r="A47" s="462" t="s">
        <v>78</v>
      </c>
      <c r="B47" s="461" t="s">
        <v>526</v>
      </c>
      <c r="C47" s="285" t="s">
        <v>40</v>
      </c>
      <c r="D47" s="302" t="s">
        <v>382</v>
      </c>
      <c r="E47" s="307"/>
      <c r="F47" s="302" t="s">
        <v>383</v>
      </c>
      <c r="G47" s="302" t="s">
        <v>384</v>
      </c>
      <c r="H47" s="302" t="s">
        <v>385</v>
      </c>
      <c r="I47" s="302" t="s">
        <v>386</v>
      </c>
      <c r="J47" s="285"/>
      <c r="K47" s="303">
        <v>1.86</v>
      </c>
      <c r="L47" s="303">
        <v>5.67</v>
      </c>
      <c r="M47" s="303">
        <v>9.58</v>
      </c>
      <c r="N47" s="304">
        <v>19.93</v>
      </c>
    </row>
    <row r="48" spans="1:14" ht="15" customHeight="1" x14ac:dyDescent="0.2">
      <c r="A48" s="463"/>
      <c r="B48" s="461"/>
      <c r="C48" s="285" t="s">
        <v>41</v>
      </c>
      <c r="D48" s="302" t="s">
        <v>387</v>
      </c>
      <c r="E48" s="307"/>
      <c r="F48" s="302" t="s">
        <v>388</v>
      </c>
      <c r="G48" s="302" t="s">
        <v>389</v>
      </c>
      <c r="H48" s="302" t="s">
        <v>390</v>
      </c>
      <c r="I48" s="302" t="s">
        <v>391</v>
      </c>
      <c r="J48" s="285"/>
      <c r="K48" s="303">
        <v>1.67</v>
      </c>
      <c r="L48" s="303">
        <v>5.04</v>
      </c>
      <c r="M48" s="303">
        <v>8.5</v>
      </c>
      <c r="N48" s="304">
        <v>17.600000000000001</v>
      </c>
    </row>
    <row r="49" spans="1:14" ht="15" customHeight="1" x14ac:dyDescent="0.2">
      <c r="A49" s="463"/>
      <c r="B49" s="461"/>
      <c r="C49" s="285" t="s">
        <v>42</v>
      </c>
      <c r="D49" s="302" t="s">
        <v>392</v>
      </c>
      <c r="E49" s="307"/>
      <c r="F49" s="302" t="s">
        <v>393</v>
      </c>
      <c r="G49" s="302" t="s">
        <v>394</v>
      </c>
      <c r="H49" s="302" t="s">
        <v>395</v>
      </c>
      <c r="I49" s="302" t="s">
        <v>396</v>
      </c>
      <c r="J49" s="285"/>
      <c r="K49" s="303">
        <v>1.94</v>
      </c>
      <c r="L49" s="303">
        <v>5.9</v>
      </c>
      <c r="M49" s="303">
        <v>9.98</v>
      </c>
      <c r="N49" s="304">
        <v>20.81</v>
      </c>
    </row>
    <row r="50" spans="1:14" ht="15" customHeight="1" x14ac:dyDescent="0.2">
      <c r="A50" s="463"/>
      <c r="B50" s="461" t="s">
        <v>527</v>
      </c>
      <c r="C50" s="285" t="s">
        <v>43</v>
      </c>
      <c r="D50" s="302" t="s">
        <v>397</v>
      </c>
      <c r="E50" s="307"/>
      <c r="F50" s="302" t="s">
        <v>398</v>
      </c>
      <c r="G50" s="302" t="s">
        <v>399</v>
      </c>
      <c r="H50" s="302" t="s">
        <v>400</v>
      </c>
      <c r="I50" s="302" t="s">
        <v>401</v>
      </c>
      <c r="J50" s="285"/>
      <c r="K50" s="303">
        <v>2.6</v>
      </c>
      <c r="L50" s="303">
        <v>7.93</v>
      </c>
      <c r="M50" s="303">
        <v>13.49</v>
      </c>
      <c r="N50" s="304">
        <v>28.74</v>
      </c>
    </row>
    <row r="51" spans="1:14" ht="15" customHeight="1" x14ac:dyDescent="0.2">
      <c r="A51" s="463"/>
      <c r="B51" s="461"/>
      <c r="C51" s="285" t="s">
        <v>44</v>
      </c>
      <c r="D51" s="302" t="s">
        <v>402</v>
      </c>
      <c r="E51" s="307"/>
      <c r="F51" s="302" t="s">
        <v>403</v>
      </c>
      <c r="G51" s="302" t="s">
        <v>404</v>
      </c>
      <c r="H51" s="302" t="s">
        <v>405</v>
      </c>
      <c r="I51" s="188" t="s">
        <v>201</v>
      </c>
      <c r="J51" s="285"/>
      <c r="K51" s="303">
        <v>7.04</v>
      </c>
      <c r="L51" s="303">
        <v>22.43</v>
      </c>
      <c r="M51" s="303">
        <v>40.79</v>
      </c>
      <c r="N51" s="188" t="s">
        <v>201</v>
      </c>
    </row>
    <row r="52" spans="1:14" ht="15" customHeight="1" x14ac:dyDescent="0.2">
      <c r="A52" s="463"/>
      <c r="B52" s="461"/>
      <c r="C52" s="285" t="s">
        <v>46</v>
      </c>
      <c r="D52" s="302" t="s">
        <v>406</v>
      </c>
      <c r="E52" s="307"/>
      <c r="F52" s="302" t="s">
        <v>407</v>
      </c>
      <c r="G52" s="302" t="s">
        <v>408</v>
      </c>
      <c r="H52" s="302" t="s">
        <v>409</v>
      </c>
      <c r="I52" s="302" t="s">
        <v>410</v>
      </c>
      <c r="J52" s="285"/>
      <c r="K52" s="303">
        <v>2.48</v>
      </c>
      <c r="L52" s="303">
        <v>7.57</v>
      </c>
      <c r="M52" s="303">
        <v>12.86</v>
      </c>
      <c r="N52" s="304">
        <v>27.26</v>
      </c>
    </row>
    <row r="53" spans="1:14" ht="15" customHeight="1" x14ac:dyDescent="0.2">
      <c r="A53" s="463"/>
      <c r="B53" s="222" t="s">
        <v>530</v>
      </c>
      <c r="C53" s="285" t="s">
        <v>26</v>
      </c>
      <c r="D53" s="302" t="s">
        <v>411</v>
      </c>
      <c r="E53" s="307"/>
      <c r="F53" s="302" t="s">
        <v>412</v>
      </c>
      <c r="G53" s="302" t="s">
        <v>413</v>
      </c>
      <c r="H53" s="302" t="s">
        <v>414</v>
      </c>
      <c r="I53" s="302" t="s">
        <v>415</v>
      </c>
      <c r="J53" s="285"/>
      <c r="K53" s="303">
        <v>1.34</v>
      </c>
      <c r="L53" s="303">
        <v>4.0599999999999996</v>
      </c>
      <c r="M53" s="303">
        <v>6.83</v>
      </c>
      <c r="N53" s="304">
        <v>14.01</v>
      </c>
    </row>
    <row r="54" spans="1:14" ht="15" customHeight="1" x14ac:dyDescent="0.2">
      <c r="A54" s="463"/>
      <c r="B54" s="461" t="s">
        <v>612</v>
      </c>
      <c r="C54" s="285" t="s">
        <v>39</v>
      </c>
      <c r="D54" s="302" t="s">
        <v>416</v>
      </c>
      <c r="E54" s="307"/>
      <c r="F54" s="302" t="s">
        <v>417</v>
      </c>
      <c r="G54" s="302" t="s">
        <v>418</v>
      </c>
      <c r="H54" s="302" t="s">
        <v>419</v>
      </c>
      <c r="I54" s="302" t="s">
        <v>420</v>
      </c>
      <c r="J54" s="285"/>
      <c r="K54" s="303">
        <v>1.23</v>
      </c>
      <c r="L54" s="303">
        <v>3.74</v>
      </c>
      <c r="M54" s="303">
        <v>6.28</v>
      </c>
      <c r="N54" s="304">
        <v>12.86</v>
      </c>
    </row>
    <row r="55" spans="1:14" ht="15" customHeight="1" x14ac:dyDescent="0.2">
      <c r="A55" s="463"/>
      <c r="B55" s="461"/>
      <c r="C55" s="285" t="s">
        <v>27</v>
      </c>
      <c r="D55" s="302" t="s">
        <v>421</v>
      </c>
      <c r="E55" s="307"/>
      <c r="F55" s="302" t="s">
        <v>422</v>
      </c>
      <c r="G55" s="302" t="s">
        <v>423</v>
      </c>
      <c r="H55" s="302" t="s">
        <v>424</v>
      </c>
      <c r="I55" s="302" t="s">
        <v>425</v>
      </c>
      <c r="J55" s="285"/>
      <c r="K55" s="303">
        <v>1.37</v>
      </c>
      <c r="L55" s="303">
        <v>4.13</v>
      </c>
      <c r="M55" s="303">
        <v>6.95</v>
      </c>
      <c r="N55" s="304">
        <v>14.28</v>
      </c>
    </row>
    <row r="56" spans="1:14" ht="15" customHeight="1" x14ac:dyDescent="0.2">
      <c r="A56" s="463"/>
      <c r="B56" s="461"/>
      <c r="C56" s="285" t="s">
        <v>45</v>
      </c>
      <c r="D56" s="302" t="s">
        <v>426</v>
      </c>
      <c r="E56" s="307"/>
      <c r="F56" s="302" t="s">
        <v>427</v>
      </c>
      <c r="G56" s="302" t="s">
        <v>428</v>
      </c>
      <c r="H56" s="302" t="s">
        <v>429</v>
      </c>
      <c r="I56" s="302" t="s">
        <v>430</v>
      </c>
      <c r="J56" s="285"/>
      <c r="K56" s="303">
        <v>1.37</v>
      </c>
      <c r="L56" s="303">
        <v>4.1500000000000004</v>
      </c>
      <c r="M56" s="303">
        <v>6.98</v>
      </c>
      <c r="N56" s="304">
        <v>14.34</v>
      </c>
    </row>
    <row r="57" spans="1:14" ht="15" customHeight="1" x14ac:dyDescent="0.2">
      <c r="A57" s="463" t="s">
        <v>77</v>
      </c>
      <c r="B57" s="461" t="s">
        <v>600</v>
      </c>
      <c r="C57" s="285" t="s">
        <v>1</v>
      </c>
      <c r="D57" s="302" t="s">
        <v>431</v>
      </c>
      <c r="E57" s="307"/>
      <c r="F57" s="302" t="s">
        <v>432</v>
      </c>
      <c r="G57" s="302" t="s">
        <v>433</v>
      </c>
      <c r="H57" s="302" t="s">
        <v>434</v>
      </c>
      <c r="I57" s="188" t="s">
        <v>201</v>
      </c>
      <c r="J57" s="285"/>
      <c r="K57" s="303">
        <v>8.8800000000000008</v>
      </c>
      <c r="L57" s="303">
        <v>28.91</v>
      </c>
      <c r="M57" s="303">
        <v>55.92</v>
      </c>
      <c r="N57" s="188" t="s">
        <v>201</v>
      </c>
    </row>
    <row r="58" spans="1:14" ht="15" customHeight="1" x14ac:dyDescent="0.2">
      <c r="A58" s="463"/>
      <c r="B58" s="461"/>
      <c r="C58" s="285" t="s">
        <v>2</v>
      </c>
      <c r="D58" s="302" t="s">
        <v>435</v>
      </c>
      <c r="E58" s="307"/>
      <c r="F58" s="302" t="s">
        <v>436</v>
      </c>
      <c r="G58" s="302" t="s">
        <v>437</v>
      </c>
      <c r="H58" s="302" t="s">
        <v>438</v>
      </c>
      <c r="I58" s="302" t="s">
        <v>439</v>
      </c>
      <c r="J58" s="285"/>
      <c r="K58" s="303">
        <v>4.4800000000000004</v>
      </c>
      <c r="L58" s="303">
        <v>13.92</v>
      </c>
      <c r="M58" s="303">
        <v>24.17</v>
      </c>
      <c r="N58" s="304">
        <v>57.99</v>
      </c>
    </row>
    <row r="59" spans="1:14" ht="15" customHeight="1" x14ac:dyDescent="0.2">
      <c r="A59" s="463"/>
      <c r="B59" s="461"/>
      <c r="C59" s="285" t="s">
        <v>0</v>
      </c>
      <c r="D59" s="302" t="s">
        <v>440</v>
      </c>
      <c r="E59" s="307"/>
      <c r="F59" s="302" t="s">
        <v>441</v>
      </c>
      <c r="G59" s="302" t="s">
        <v>442</v>
      </c>
      <c r="H59" s="302" t="s">
        <v>443</v>
      </c>
      <c r="I59" s="302" t="s">
        <v>444</v>
      </c>
      <c r="J59" s="285"/>
      <c r="K59" s="303">
        <v>1.85</v>
      </c>
      <c r="L59" s="303">
        <v>5.64</v>
      </c>
      <c r="M59" s="303">
        <v>9.52</v>
      </c>
      <c r="N59" s="304">
        <v>19.8</v>
      </c>
    </row>
    <row r="60" spans="1:14" ht="15" customHeight="1" x14ac:dyDescent="0.2">
      <c r="A60" s="463"/>
      <c r="B60" s="461" t="s">
        <v>601</v>
      </c>
      <c r="C60" s="285" t="s">
        <v>3</v>
      </c>
      <c r="D60" s="302" t="s">
        <v>445</v>
      </c>
      <c r="E60" s="307"/>
      <c r="F60" s="302" t="s">
        <v>446</v>
      </c>
      <c r="G60" s="302" t="s">
        <v>447</v>
      </c>
      <c r="H60" s="302" t="s">
        <v>448</v>
      </c>
      <c r="I60" s="302" t="s">
        <v>449</v>
      </c>
      <c r="J60" s="285"/>
      <c r="K60" s="303">
        <v>1.83</v>
      </c>
      <c r="L60" s="303">
        <v>5.55</v>
      </c>
      <c r="M60" s="303">
        <v>9.3800000000000008</v>
      </c>
      <c r="N60" s="304">
        <v>19.48</v>
      </c>
    </row>
    <row r="61" spans="1:14" ht="15" customHeight="1" x14ac:dyDescent="0.2">
      <c r="A61" s="463"/>
      <c r="B61" s="461"/>
      <c r="C61" s="285" t="s">
        <v>4</v>
      </c>
      <c r="D61" s="302" t="s">
        <v>450</v>
      </c>
      <c r="E61" s="307"/>
      <c r="F61" s="302" t="s">
        <v>451</v>
      </c>
      <c r="G61" s="302" t="s">
        <v>452</v>
      </c>
      <c r="H61" s="302" t="s">
        <v>453</v>
      </c>
      <c r="I61" s="302" t="s">
        <v>454</v>
      </c>
      <c r="J61" s="285"/>
      <c r="K61" s="303">
        <v>3.29</v>
      </c>
      <c r="L61" s="303">
        <v>10.09</v>
      </c>
      <c r="M61" s="303">
        <v>17.28</v>
      </c>
      <c r="N61" s="304">
        <v>37.869999999999997</v>
      </c>
    </row>
    <row r="62" spans="1:14" ht="15" customHeight="1" x14ac:dyDescent="0.2">
      <c r="A62" s="463"/>
      <c r="B62" s="461"/>
      <c r="C62" s="285" t="s">
        <v>5</v>
      </c>
      <c r="D62" s="302" t="s">
        <v>455</v>
      </c>
      <c r="E62" s="307"/>
      <c r="F62" s="302" t="s">
        <v>456</v>
      </c>
      <c r="G62" s="302" t="s">
        <v>457</v>
      </c>
      <c r="H62" s="302" t="s">
        <v>458</v>
      </c>
      <c r="I62" s="302" t="s">
        <v>459</v>
      </c>
      <c r="J62" s="285"/>
      <c r="K62" s="303">
        <v>2.63</v>
      </c>
      <c r="L62" s="303">
        <v>8.0399999999999991</v>
      </c>
      <c r="M62" s="303">
        <v>13.68</v>
      </c>
      <c r="N62" s="304">
        <v>29.15</v>
      </c>
    </row>
    <row r="63" spans="1:14" ht="15" customHeight="1" x14ac:dyDescent="0.2">
      <c r="A63" s="463"/>
      <c r="B63" s="461"/>
      <c r="C63" s="285" t="s">
        <v>21</v>
      </c>
      <c r="D63" s="302" t="s">
        <v>460</v>
      </c>
      <c r="E63" s="307"/>
      <c r="F63" s="302" t="s">
        <v>461</v>
      </c>
      <c r="G63" s="302" t="s">
        <v>462</v>
      </c>
      <c r="H63" s="302" t="s">
        <v>463</v>
      </c>
      <c r="I63" s="302" t="s">
        <v>464</v>
      </c>
      <c r="J63" s="285"/>
      <c r="K63" s="303">
        <v>3.03</v>
      </c>
      <c r="L63" s="303">
        <v>9.3000000000000007</v>
      </c>
      <c r="M63" s="303">
        <v>15.88</v>
      </c>
      <c r="N63" s="304">
        <v>34.39</v>
      </c>
    </row>
    <row r="64" spans="1:14" ht="15" customHeight="1" x14ac:dyDescent="0.2">
      <c r="A64" s="463"/>
      <c r="B64" s="461"/>
      <c r="C64" s="285" t="s">
        <v>22</v>
      </c>
      <c r="D64" s="302" t="s">
        <v>465</v>
      </c>
      <c r="E64" s="307"/>
      <c r="F64" s="302" t="s">
        <v>466</v>
      </c>
      <c r="G64" s="302" t="s">
        <v>467</v>
      </c>
      <c r="H64" s="302" t="s">
        <v>468</v>
      </c>
      <c r="I64" s="302" t="s">
        <v>469</v>
      </c>
      <c r="J64" s="285"/>
      <c r="K64" s="303">
        <v>2.63</v>
      </c>
      <c r="L64" s="303">
        <v>8.0399999999999991</v>
      </c>
      <c r="M64" s="303">
        <v>13.68</v>
      </c>
      <c r="N64" s="304">
        <v>29.16</v>
      </c>
    </row>
    <row r="65" spans="1:14" ht="15" customHeight="1" x14ac:dyDescent="0.2">
      <c r="A65" s="463"/>
      <c r="B65" s="461"/>
      <c r="C65" s="285" t="s">
        <v>23</v>
      </c>
      <c r="D65" s="302" t="s">
        <v>470</v>
      </c>
      <c r="E65" s="307"/>
      <c r="F65" s="302" t="s">
        <v>471</v>
      </c>
      <c r="G65" s="302" t="s">
        <v>472</v>
      </c>
      <c r="H65" s="302" t="s">
        <v>473</v>
      </c>
      <c r="I65" s="302" t="s">
        <v>474</v>
      </c>
      <c r="J65" s="285"/>
      <c r="K65" s="303">
        <v>4.16</v>
      </c>
      <c r="L65" s="303">
        <v>12.88</v>
      </c>
      <c r="M65" s="303">
        <v>22.28</v>
      </c>
      <c r="N65" s="304">
        <v>51.73</v>
      </c>
    </row>
    <row r="66" spans="1:14" ht="15" customHeight="1" x14ac:dyDescent="0.2">
      <c r="A66" s="462" t="s">
        <v>81</v>
      </c>
      <c r="B66" s="467"/>
      <c r="C66" s="285" t="s">
        <v>30</v>
      </c>
      <c r="D66" s="302" t="s">
        <v>475</v>
      </c>
      <c r="E66" s="307"/>
      <c r="F66" s="302" t="s">
        <v>476</v>
      </c>
      <c r="G66" s="302" t="s">
        <v>476</v>
      </c>
      <c r="H66" s="302" t="s">
        <v>476</v>
      </c>
      <c r="I66" s="302" t="s">
        <v>476</v>
      </c>
      <c r="J66" s="285"/>
      <c r="K66" s="303">
        <v>0.11</v>
      </c>
      <c r="L66" s="303">
        <v>0.21</v>
      </c>
      <c r="M66" s="303">
        <v>0.42</v>
      </c>
      <c r="N66" s="304">
        <v>0.84</v>
      </c>
    </row>
    <row r="67" spans="1:14" ht="15" customHeight="1" x14ac:dyDescent="0.2">
      <c r="A67" s="462"/>
      <c r="B67" s="467"/>
      <c r="C67" s="285" t="s">
        <v>31</v>
      </c>
      <c r="D67" s="302" t="s">
        <v>477</v>
      </c>
      <c r="E67" s="307"/>
      <c r="F67" s="302" t="s">
        <v>477</v>
      </c>
      <c r="G67" s="302" t="s">
        <v>478</v>
      </c>
      <c r="H67" s="302" t="s">
        <v>478</v>
      </c>
      <c r="I67" s="302" t="s">
        <v>479</v>
      </c>
      <c r="J67" s="285"/>
      <c r="K67" s="303">
        <v>0.19</v>
      </c>
      <c r="L67" s="303">
        <v>0.44</v>
      </c>
      <c r="M67" s="303">
        <v>0.69</v>
      </c>
      <c r="N67" s="304">
        <v>1.36</v>
      </c>
    </row>
    <row r="68" spans="1:14" ht="15" customHeight="1" x14ac:dyDescent="0.2">
      <c r="A68" s="462"/>
      <c r="B68" s="467"/>
      <c r="C68" s="285" t="s">
        <v>35</v>
      </c>
      <c r="D68" s="302" t="s">
        <v>480</v>
      </c>
      <c r="E68" s="307"/>
      <c r="F68" s="302" t="s">
        <v>481</v>
      </c>
      <c r="G68" s="302" t="s">
        <v>482</v>
      </c>
      <c r="H68" s="302" t="s">
        <v>483</v>
      </c>
      <c r="I68" s="302" t="s">
        <v>484</v>
      </c>
      <c r="J68" s="285"/>
      <c r="K68" s="303">
        <v>0.98</v>
      </c>
      <c r="L68" s="303">
        <v>2.96</v>
      </c>
      <c r="M68" s="303">
        <v>4.96</v>
      </c>
      <c r="N68" s="304">
        <v>10.11</v>
      </c>
    </row>
    <row r="69" spans="1:14" ht="15" customHeight="1" x14ac:dyDescent="0.2">
      <c r="A69" s="462"/>
      <c r="B69" s="467"/>
      <c r="C69" s="285" t="s">
        <v>147</v>
      </c>
      <c r="D69" s="302" t="s">
        <v>485</v>
      </c>
      <c r="E69" s="307"/>
      <c r="F69" s="302" t="s">
        <v>486</v>
      </c>
      <c r="G69" s="302" t="s">
        <v>487</v>
      </c>
      <c r="H69" s="302" t="s">
        <v>488</v>
      </c>
      <c r="I69" s="302" t="s">
        <v>489</v>
      </c>
      <c r="J69" s="285"/>
      <c r="K69" s="303">
        <v>0.32</v>
      </c>
      <c r="L69" s="303">
        <v>1</v>
      </c>
      <c r="M69" s="303">
        <v>1.67</v>
      </c>
      <c r="N69" s="304">
        <v>3.38</v>
      </c>
    </row>
    <row r="70" spans="1:14" ht="15" customHeight="1" x14ac:dyDescent="0.2">
      <c r="A70" s="462"/>
      <c r="B70" s="467"/>
      <c r="C70" s="285" t="s">
        <v>52</v>
      </c>
      <c r="D70" s="302" t="s">
        <v>490</v>
      </c>
      <c r="E70" s="307"/>
      <c r="F70" s="302" t="s">
        <v>491</v>
      </c>
      <c r="G70" s="302" t="s">
        <v>492</v>
      </c>
      <c r="H70" s="302" t="s">
        <v>493</v>
      </c>
      <c r="I70" s="302" t="s">
        <v>494</v>
      </c>
      <c r="J70" s="285"/>
      <c r="K70" s="303">
        <v>1.51</v>
      </c>
      <c r="L70" s="303">
        <v>4.58</v>
      </c>
      <c r="M70" s="303">
        <v>7.72</v>
      </c>
      <c r="N70" s="304">
        <v>15.92</v>
      </c>
    </row>
    <row r="71" spans="1:14" ht="15" customHeight="1" x14ac:dyDescent="0.2">
      <c r="A71" s="462"/>
      <c r="B71" s="467"/>
      <c r="C71" s="285" t="s">
        <v>29</v>
      </c>
      <c r="D71" s="302" t="s">
        <v>495</v>
      </c>
      <c r="E71" s="307"/>
      <c r="F71" s="302" t="s">
        <v>495</v>
      </c>
      <c r="G71" s="302" t="s">
        <v>495</v>
      </c>
      <c r="H71" s="302" t="s">
        <v>495</v>
      </c>
      <c r="I71" s="302" t="s">
        <v>496</v>
      </c>
      <c r="J71" s="285"/>
      <c r="K71" s="303">
        <v>0.11</v>
      </c>
      <c r="L71" s="303">
        <v>0.22</v>
      </c>
      <c r="M71" s="303">
        <v>0.43</v>
      </c>
      <c r="N71" s="304">
        <v>0.75</v>
      </c>
    </row>
    <row r="72" spans="1:14" ht="15" customHeight="1" x14ac:dyDescent="0.2">
      <c r="A72" s="462"/>
      <c r="B72" s="467"/>
      <c r="C72" s="285" t="s">
        <v>12</v>
      </c>
      <c r="D72" s="302" t="s">
        <v>497</v>
      </c>
      <c r="E72" s="307"/>
      <c r="F72" s="302" t="s">
        <v>497</v>
      </c>
      <c r="G72" s="302" t="s">
        <v>498</v>
      </c>
      <c r="H72" s="302" t="s">
        <v>499</v>
      </c>
      <c r="I72" s="302" t="s">
        <v>500</v>
      </c>
      <c r="J72" s="285"/>
      <c r="K72" s="303">
        <v>0.23</v>
      </c>
      <c r="L72" s="303">
        <v>0.65</v>
      </c>
      <c r="M72" s="303">
        <v>1.1000000000000001</v>
      </c>
      <c r="N72" s="304">
        <v>2.1800000000000002</v>
      </c>
    </row>
    <row r="73" spans="1:14" ht="15" customHeight="1" x14ac:dyDescent="0.2">
      <c r="A73" s="462"/>
      <c r="B73" s="467"/>
      <c r="C73" s="285" t="s">
        <v>13</v>
      </c>
      <c r="D73" s="302" t="s">
        <v>501</v>
      </c>
      <c r="E73" s="307"/>
      <c r="F73" s="302" t="s">
        <v>501</v>
      </c>
      <c r="G73" s="302" t="s">
        <v>502</v>
      </c>
      <c r="H73" s="302" t="s">
        <v>503</v>
      </c>
      <c r="I73" s="302" t="s">
        <v>504</v>
      </c>
      <c r="J73" s="285"/>
      <c r="K73" s="303">
        <v>0.24</v>
      </c>
      <c r="L73" s="303">
        <v>0.72</v>
      </c>
      <c r="M73" s="303">
        <v>1.2</v>
      </c>
      <c r="N73" s="304">
        <v>2.4</v>
      </c>
    </row>
    <row r="74" spans="1:14" ht="15" customHeight="1" x14ac:dyDescent="0.2">
      <c r="A74" s="462"/>
      <c r="B74" s="467"/>
      <c r="C74" s="285" t="s">
        <v>14</v>
      </c>
      <c r="D74" s="302" t="s">
        <v>505</v>
      </c>
      <c r="E74" s="307"/>
      <c r="F74" s="302" t="s">
        <v>506</v>
      </c>
      <c r="G74" s="302" t="s">
        <v>507</v>
      </c>
      <c r="H74" s="302" t="s">
        <v>508</v>
      </c>
      <c r="I74" s="302" t="s">
        <v>509</v>
      </c>
      <c r="J74" s="285"/>
      <c r="K74" s="303">
        <v>0.22</v>
      </c>
      <c r="L74" s="303">
        <v>0.68</v>
      </c>
      <c r="M74" s="303">
        <v>1.1399999999999999</v>
      </c>
      <c r="N74" s="304">
        <v>2.3199999999999998</v>
      </c>
    </row>
  </sheetData>
  <mergeCells count="28">
    <mergeCell ref="A5:A6"/>
    <mergeCell ref="B5:B6"/>
    <mergeCell ref="A7:A21"/>
    <mergeCell ref="B7:B10"/>
    <mergeCell ref="B11:B15"/>
    <mergeCell ref="B16:B21"/>
    <mergeCell ref="F5:I5"/>
    <mergeCell ref="K5:N5"/>
    <mergeCell ref="C5:C6"/>
    <mergeCell ref="D5:D6"/>
    <mergeCell ref="E5:E6"/>
    <mergeCell ref="B30:B31"/>
    <mergeCell ref="A40:A46"/>
    <mergeCell ref="A47:A56"/>
    <mergeCell ref="B47:B49"/>
    <mergeCell ref="A22:A39"/>
    <mergeCell ref="B27:B29"/>
    <mergeCell ref="B35:B39"/>
    <mergeCell ref="B23:B26"/>
    <mergeCell ref="B32:B33"/>
    <mergeCell ref="B40:B45"/>
    <mergeCell ref="B50:B52"/>
    <mergeCell ref="B54:B56"/>
    <mergeCell ref="A57:A65"/>
    <mergeCell ref="B57:B59"/>
    <mergeCell ref="B60:B65"/>
    <mergeCell ref="A66:A74"/>
    <mergeCell ref="B66:B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Be-10 data</vt:lpstr>
      <vt:lpstr>CRONUS Feed</vt:lpstr>
      <vt:lpstr>Probability density</vt:lpstr>
      <vt:lpstr>Outlier- Deviation &amp; Strat.</vt:lpstr>
      <vt:lpstr>Outlier- Chauvenet &amp; Peirce</vt:lpstr>
      <vt:lpstr>Outlier- Summary</vt:lpstr>
      <vt:lpstr>ELA estimation</vt:lpstr>
      <vt:lpstr>Be-10 ages with erosion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2017-10-13T01:57:42Z</cp:lastPrinted>
  <dcterms:created xsi:type="dcterms:W3CDTF">2016-06-13T09:52:05Z</dcterms:created>
  <dcterms:modified xsi:type="dcterms:W3CDTF">2017-12-15T01:48:13Z</dcterms:modified>
</cp:coreProperties>
</file>