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Building Inventory" sheetId="2" state="visible" r:id="rId2"/>
    <sheet name="Value Calculations" sheetId="3" state="visible" r:id="rId3"/>
    <sheet name="CPS Energy Data" sheetId="4" state="visible" r:id="rId4"/>
    <sheet name="Financial Model" sheetId="5" state="visible" r:id="rId5"/>
    <sheet name="Sensitivity Analysis" sheetId="6" state="visible" r:id="rId6"/>
    <sheet name="Prioritization Scoring" sheetId="7" state="visible" r:id="rId7"/>
    <sheet name="Phase Plannin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$#,##0"/>
    <numFmt numFmtId="165" formatCode="$#,##0.00"/>
    <numFmt numFmtId="166" formatCode="0.0%"/>
    <numFmt numFmtId="167" formatCode="0.0"/>
    <numFmt numFmtId="168" formatCode="$0.000"/>
    <numFmt numFmtId="169" formatCode="$0.0"/>
  </numFmts>
  <fonts count="9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sz val="12"/>
    </font>
    <font>
      <b val="1"/>
    </font>
    <font>
      <i val="1"/>
      <sz val="9"/>
    </font>
    <font>
      <b val="1"/>
      <sz val="16"/>
    </font>
    <font>
      <sz val="12"/>
    </font>
    <font>
      <b val="1"/>
      <color rgb="00FFFFFF"/>
      <sz val="12"/>
    </font>
  </fonts>
  <fills count="9">
    <fill>
      <patternFill/>
    </fill>
    <fill>
      <patternFill patternType="gray125"/>
    </fill>
    <fill>
      <patternFill patternType="solid">
        <fgColor rgb="002E75B5"/>
        <bgColor rgb="002E75B5"/>
      </patternFill>
    </fill>
    <fill>
      <patternFill patternType="solid">
        <fgColor rgb="00FFF2CC"/>
        <bgColor rgb="00FFF2CC"/>
      </patternFill>
    </fill>
    <fill>
      <patternFill patternType="solid">
        <fgColor rgb="00DAEEF3"/>
        <bgColor rgb="00DAEEF3"/>
      </patternFill>
    </fill>
    <fill>
      <patternFill patternType="solid">
        <fgColor rgb="00E2EFDA"/>
        <bgColor rgb="00E2EFDA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2" borderId="0" pivotButton="0" quotePrefix="0" xfId="0"/>
    <xf numFmtId="2" fontId="0" fillId="0" borderId="0" pivotButton="0" quotePrefix="0" xfId="0"/>
    <xf numFmtId="169" fontId="0" fillId="0" borderId="0" pivotButton="0" quotePrefix="0" xfId="0"/>
    <xf numFmtId="167" fontId="0" fillId="0" borderId="0" pivotButton="0" quotePrefix="0" xfId="0"/>
    <xf numFmtId="169" fontId="4" fillId="5" borderId="0" pivotButton="0" quotePrefix="0" xfId="0"/>
    <xf numFmtId="166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64" fontId="4" fillId="5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2" fillId="0" borderId="0" applyAlignment="1" pivotButton="0" quotePrefix="0" xfId="0">
      <alignment horizontal="center"/>
    </xf>
    <xf numFmtId="164" fontId="0" fillId="4" borderId="0" pivotButton="0" quotePrefix="0" xfId="0"/>
    <xf numFmtId="165" fontId="0" fillId="4" borderId="0" pivotButton="0" quotePrefix="0" xfId="0"/>
    <xf numFmtId="164" fontId="0" fillId="3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4" fillId="5" borderId="0" pivotButton="0" quotePrefix="0" xfId="0"/>
    <xf numFmtId="166" fontId="4" fillId="5" borderId="0" pivotButton="0" quotePrefix="0" xfId="0"/>
    <xf numFmtId="167" fontId="4" fillId="5" borderId="0" pivotButton="0" quotePrefix="0" xfId="0"/>
    <xf numFmtId="2" fontId="4" fillId="5" borderId="0" pivotButton="0" quotePrefix="0" xfId="0"/>
    <xf numFmtId="168" fontId="4" fillId="5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applyAlignment="1" pivotButton="0" quotePrefix="0" xfId="0">
      <alignment wrapText="1"/>
    </xf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5" customWidth="1" min="4" max="4"/>
    <col width="15" customWidth="1" min="5" max="5"/>
    <col width="12" customWidth="1" min="6" max="6"/>
  </cols>
  <sheetData>
    <row r="1">
      <c r="A1" s="1" t="inlineStr">
        <is>
          <t>SAN ANTONIO BESS DEPLOYMENT</t>
        </is>
      </c>
    </row>
    <row r="2">
      <c r="A2" s="2" t="inlineStr">
        <is>
          <t>38 Municipal Buildings - Executive Dashboard</t>
        </is>
      </c>
    </row>
    <row r="4">
      <c r="A4" s="3" t="inlineStr">
        <is>
          <t>FLEET SUMMARY</t>
        </is>
      </c>
      <c r="D4" s="3" t="inlineStr">
        <is>
          <t>FINANCIAL SUMMARY</t>
        </is>
      </c>
    </row>
    <row r="5">
      <c r="A5" t="inlineStr">
        <is>
          <t>Total Capacity (MW)</t>
        </is>
      </c>
      <c r="B5" s="4">
        <f>SUM('Building Inventory'!E2:E39)/1000</f>
        <v/>
      </c>
      <c r="D5" t="inlineStr">
        <is>
          <t>Total CAPEX ($M)</t>
        </is>
      </c>
      <c r="E5" s="5">
        <f>'Financial Model'!B16/1000000</f>
        <v/>
      </c>
    </row>
    <row r="6">
      <c r="A6" t="inlineStr">
        <is>
          <t>Total Buildings</t>
        </is>
      </c>
      <c r="B6" t="n">
        <v>38</v>
      </c>
      <c r="D6" t="inlineStr">
        <is>
          <t>Annual Revenue ($M)</t>
        </is>
      </c>
      <c r="E6" s="5">
        <f>'Financial Model'!B43/1000000</f>
        <v/>
      </c>
    </row>
    <row r="7">
      <c r="A7" t="inlineStr">
        <is>
          <t>Avg System Size (kW)</t>
        </is>
      </c>
      <c r="B7" s="6">
        <f>AVERAGE('Building Inventory'!E2:E39)</f>
        <v/>
      </c>
      <c r="D7" t="inlineStr">
        <is>
          <t>20-Year NPV ($M)</t>
        </is>
      </c>
      <c r="E7" s="7">
        <f>'Financial Model'!B74/1000000</f>
        <v/>
      </c>
    </row>
    <row r="8">
      <c r="A8" t="inlineStr">
        <is>
          <t>Total Battery (MWh)</t>
        </is>
      </c>
      <c r="B8" s="4">
        <f>SUM('Building Inventory'!F2:F39)/1000</f>
        <v/>
      </c>
      <c r="D8" t="inlineStr">
        <is>
          <t>IRR (%)</t>
        </is>
      </c>
      <c r="E8" s="8">
        <f>'Financial Model'!B75</f>
        <v/>
      </c>
    </row>
    <row r="9">
      <c r="D9" t="inlineStr">
        <is>
          <t>Payback (years)</t>
        </is>
      </c>
      <c r="E9" s="6">
        <f>'Financial Model'!B77</f>
        <v/>
      </c>
    </row>
    <row r="11">
      <c r="A11" s="9" t="inlineStr">
        <is>
          <t>VALUE STACK ($/kW-year)</t>
        </is>
      </c>
      <c r="D11" s="9" t="inlineStr">
        <is>
          <t>ANNUAL REVENUE BY SOURCE</t>
        </is>
      </c>
    </row>
    <row r="12">
      <c r="A12" t="inlineStr">
        <is>
          <t>Demand Charges</t>
        </is>
      </c>
      <c r="B12" s="10">
        <f>'Value Calculations'!B52/SUM('Building Inventory'!E2:E39)</f>
        <v/>
      </c>
      <c r="D12" t="inlineStr">
        <is>
          <t>Demand Charges</t>
        </is>
      </c>
      <c r="E12" s="10">
        <f>'Value Calculations'!B52</f>
        <v/>
      </c>
    </row>
    <row r="13">
      <c r="A13" t="inlineStr">
        <is>
          <t>CPS Energy DR</t>
        </is>
      </c>
      <c r="B13" s="10">
        <f>'Value Calculations'!B53/SUM('Building Inventory'!E2:E39)</f>
        <v/>
      </c>
      <c r="D13" t="inlineStr">
        <is>
          <t>CPS Energy DR</t>
        </is>
      </c>
      <c r="E13" s="10">
        <f>'Value Calculations'!B53</f>
        <v/>
      </c>
    </row>
    <row r="14">
      <c r="A14" t="inlineStr">
        <is>
          <t>ERCOT Call Option</t>
        </is>
      </c>
      <c r="B14" s="10">
        <f>'Value Calculations'!B54/SUM('Building Inventory'!E2:E39)</f>
        <v/>
      </c>
      <c r="D14" t="inlineStr">
        <is>
          <t>ERCOT Call Option</t>
        </is>
      </c>
      <c r="E14" s="10">
        <f>'Value Calculations'!B54</f>
        <v/>
      </c>
    </row>
    <row r="15">
      <c r="A15" t="inlineStr">
        <is>
          <t>Infrastructure</t>
        </is>
      </c>
      <c r="B15" s="10">
        <f>'Value Calculations'!B55/SUM('Building Inventory'!E2:E39)</f>
        <v/>
      </c>
      <c r="D15" t="inlineStr">
        <is>
          <t>Infrastructure</t>
        </is>
      </c>
      <c r="E15" s="10">
        <f>'Value Calculations'!B55</f>
        <v/>
      </c>
    </row>
    <row r="16">
      <c r="A16" t="inlineStr">
        <is>
          <t>Resilience</t>
        </is>
      </c>
      <c r="B16" s="10">
        <f>'Value Calculations'!B56/SUM('Building Inventory'!E2:E39)</f>
        <v/>
      </c>
      <c r="D16" t="inlineStr">
        <is>
          <t>Resilience</t>
        </is>
      </c>
      <c r="E16" s="10">
        <f>'Value Calculations'!B56</f>
        <v/>
      </c>
    </row>
    <row r="17">
      <c r="A17" t="inlineStr">
        <is>
          <t>Energy Arbitrage</t>
        </is>
      </c>
      <c r="B17" s="10">
        <f>'Value Calculations'!B57/SUM('Building Inventory'!E2:E39)</f>
        <v/>
      </c>
      <c r="D17" t="inlineStr">
        <is>
          <t>Energy Arbitrage</t>
        </is>
      </c>
      <c r="E17" s="10">
        <f>'Value Calculations'!B57</f>
        <v/>
      </c>
    </row>
    <row r="18">
      <c r="A18" t="inlineStr">
        <is>
          <t>TOTAL</t>
        </is>
      </c>
      <c r="B18" s="11">
        <f>SUM(B12:B17)</f>
        <v/>
      </c>
      <c r="D18" t="inlineStr">
        <is>
          <t>TOTAL</t>
        </is>
      </c>
      <c r="E18" s="11">
        <f>SUM(E12:E17)</f>
        <v/>
      </c>
    </row>
    <row r="20">
      <c r="A20" s="9" t="inlineStr">
        <is>
          <t>TOP 10 PRIORITY BUILDINGS</t>
        </is>
      </c>
      <c r="D20" s="9" t="inlineStr">
        <is>
          <t>DEPLOYMENT PHASES</t>
        </is>
      </c>
    </row>
    <row r="21">
      <c r="A21" s="12" t="inlineStr">
        <is>
          <t>Rank</t>
        </is>
      </c>
      <c r="B21" s="12" t="inlineStr">
        <is>
          <t>Building</t>
        </is>
      </c>
      <c r="C21" s="12" t="inlineStr">
        <is>
          <t>Score</t>
        </is>
      </c>
    </row>
    <row r="22">
      <c r="A22" t="n">
        <v>1</v>
      </c>
      <c r="B22">
        <f>IFERROR(INDEX('Building Inventory'!$B$2:$B$39,MATCH(1,'Prioritization Scoring'!$Y$3:$Y$40,0)),"")</f>
        <v/>
      </c>
      <c r="C22" s="6">
        <f>IFERROR(INDEX('Prioritization Scoring'!$X$3:$X$40,MATCH(1,'Prioritization Scoring'!$Y$3:$Y$40,0)),"")</f>
        <v/>
      </c>
      <c r="D22" t="inlineStr">
        <is>
          <t>Phase 1 (Year 1)</t>
        </is>
      </c>
      <c r="E22">
        <f>COUNTIF('Building Inventory'!O2:O39,1)</f>
        <v/>
      </c>
      <c r="F22" t="inlineStr">
        <is>
          <t>buildings</t>
        </is>
      </c>
    </row>
    <row r="23">
      <c r="A23" t="n">
        <v>2</v>
      </c>
      <c r="B23">
        <f>IFERROR(INDEX('Building Inventory'!$B$2:$B$39,MATCH(2,'Prioritization Scoring'!$Y$3:$Y$40,0)),"")</f>
        <v/>
      </c>
      <c r="C23" s="6">
        <f>IFERROR(INDEX('Prioritization Scoring'!$X$3:$X$40,MATCH(2,'Prioritization Scoring'!$Y$3:$Y$40,0)),"")</f>
        <v/>
      </c>
      <c r="D23" t="inlineStr">
        <is>
          <t>Phase 2 (Year 2)</t>
        </is>
      </c>
      <c r="E23">
        <f>COUNTIF('Building Inventory'!O2:O39,2)</f>
        <v/>
      </c>
      <c r="F23" t="inlineStr">
        <is>
          <t>buildings</t>
        </is>
      </c>
    </row>
    <row r="24">
      <c r="A24" t="n">
        <v>3</v>
      </c>
      <c r="B24">
        <f>IFERROR(INDEX('Building Inventory'!$B$2:$B$39,MATCH(3,'Prioritization Scoring'!$Y$3:$Y$40,0)),"")</f>
        <v/>
      </c>
      <c r="C24" s="6">
        <f>IFERROR(INDEX('Prioritization Scoring'!$X$3:$X$40,MATCH(3,'Prioritization Scoring'!$Y$3:$Y$40,0)),"")</f>
        <v/>
      </c>
      <c r="D24" t="inlineStr">
        <is>
          <t>Phase 3 (Year 3)</t>
        </is>
      </c>
      <c r="E24">
        <f>COUNTIF('Building Inventory'!O2:O39,3)</f>
        <v/>
      </c>
      <c r="F24" t="inlineStr">
        <is>
          <t>buildings</t>
        </is>
      </c>
    </row>
    <row r="25">
      <c r="A25" t="n">
        <v>4</v>
      </c>
      <c r="B25">
        <f>IFERROR(INDEX('Building Inventory'!$B$2:$B$39,MATCH(4,'Prioritization Scoring'!$Y$3:$Y$40,0)),"")</f>
        <v/>
      </c>
      <c r="C25" s="6">
        <f>IFERROR(INDEX('Prioritization Scoring'!$X$3:$X$40,MATCH(4,'Prioritization Scoring'!$Y$3:$Y$40,0)),"")</f>
        <v/>
      </c>
    </row>
    <row r="26">
      <c r="A26" t="n">
        <v>5</v>
      </c>
      <c r="B26">
        <f>IFERROR(INDEX('Building Inventory'!$B$2:$B$39,MATCH(5,'Prioritization Scoring'!$Y$3:$Y$40,0)),"")</f>
        <v/>
      </c>
      <c r="C26" s="6">
        <f>IFERROR(INDEX('Prioritization Scoring'!$X$3:$X$40,MATCH(5,'Prioritization Scoring'!$Y$3:$Y$40,0)),"")</f>
        <v/>
      </c>
    </row>
    <row r="27">
      <c r="A27" t="n">
        <v>6</v>
      </c>
      <c r="B27">
        <f>IFERROR(INDEX('Building Inventory'!$B$2:$B$39,MATCH(6,'Prioritization Scoring'!$Y$3:$Y$40,0)),"")</f>
        <v/>
      </c>
      <c r="C27" s="6">
        <f>IFERROR(INDEX('Prioritization Scoring'!$X$3:$X$40,MATCH(6,'Prioritization Scoring'!$Y$3:$Y$40,0)),"")</f>
        <v/>
      </c>
    </row>
    <row r="28">
      <c r="A28" t="n">
        <v>7</v>
      </c>
      <c r="B28">
        <f>IFERROR(INDEX('Building Inventory'!$B$2:$B$39,MATCH(7,'Prioritization Scoring'!$Y$3:$Y$40,0)),"")</f>
        <v/>
      </c>
      <c r="C28" s="6">
        <f>IFERROR(INDEX('Prioritization Scoring'!$X$3:$X$40,MATCH(7,'Prioritization Scoring'!$Y$3:$Y$40,0)),"")</f>
        <v/>
      </c>
    </row>
    <row r="29">
      <c r="A29" t="n">
        <v>8</v>
      </c>
      <c r="B29">
        <f>IFERROR(INDEX('Building Inventory'!$B$2:$B$39,MATCH(8,'Prioritization Scoring'!$Y$3:$Y$40,0)),"")</f>
        <v/>
      </c>
      <c r="C29" s="6">
        <f>IFERROR(INDEX('Prioritization Scoring'!$X$3:$X$40,MATCH(8,'Prioritization Scoring'!$Y$3:$Y$40,0)),"")</f>
        <v/>
      </c>
    </row>
    <row r="30">
      <c r="A30" t="n">
        <v>9</v>
      </c>
      <c r="B30">
        <f>IFERROR(INDEX('Building Inventory'!$B$2:$B$39,MATCH(9,'Prioritization Scoring'!$Y$3:$Y$40,0)),"")</f>
        <v/>
      </c>
      <c r="C30" s="6">
        <f>IFERROR(INDEX('Prioritization Scoring'!$X$3:$X$40,MATCH(9,'Prioritization Scoring'!$Y$3:$Y$40,0)),"")</f>
        <v/>
      </c>
    </row>
    <row r="31">
      <c r="A31" t="n">
        <v>10</v>
      </c>
      <c r="B31">
        <f>IFERROR(INDEX('Building Inventory'!$B$2:$B$39,MATCH(10,'Prioritization Scoring'!$Y$3:$Y$40,0)),"")</f>
        <v/>
      </c>
      <c r="C31" s="6">
        <f>IFERROR(INDEX('Prioritization Scoring'!$X$3:$X$40,MATCH(10,'Prioritization Scoring'!$Y$3:$Y$40,0)),"")</f>
        <v/>
      </c>
    </row>
  </sheetData>
  <mergeCells count="8">
    <mergeCell ref="A4:B4"/>
    <mergeCell ref="D20:E20"/>
    <mergeCell ref="D11:E11"/>
    <mergeCell ref="A11:B11"/>
    <mergeCell ref="A2:H2"/>
    <mergeCell ref="D4:E4"/>
    <mergeCell ref="A1:H1"/>
    <mergeCell ref="A20:C20"/>
  </mergeCells>
  <conditionalFormatting sqref="C22:C31">
    <cfRule type="colorScale" priority="1">
      <colorScale>
        <cfvo type="num" val="50"/>
        <cfvo type="num" val="100"/>
        <color rgb="00FFEB84"/>
        <color rgb="00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40" customWidth="1" min="3" max="3"/>
    <col width="15" customWidth="1" min="4" max="4"/>
    <col width="20" customWidth="1" min="5" max="5"/>
    <col width="22" customWidth="1" min="6" max="6"/>
    <col width="18" customWidth="1" min="7" max="7"/>
    <col width="15" customWidth="1" min="8" max="8"/>
    <col width="18" customWidth="1" min="9" max="9"/>
    <col width="18" customWidth="1" min="10" max="10"/>
    <col width="25" customWidth="1" min="11" max="11"/>
    <col width="20" customWidth="1" min="12" max="12"/>
    <col width="15" customWidth="1" min="13" max="13"/>
    <col width="15" customWidth="1" min="14" max="14"/>
    <col width="15" customWidth="1" min="15" max="15"/>
    <col width="30" customWidth="1" min="16" max="16"/>
  </cols>
  <sheetData>
    <row r="1">
      <c r="A1" s="13" t="inlineStr">
        <is>
          <t>Building ID</t>
        </is>
      </c>
      <c r="B1" s="13" t="inlineStr">
        <is>
          <t>Building Name</t>
        </is>
      </c>
      <c r="C1" s="13" t="inlineStr">
        <is>
          <t>Address</t>
        </is>
      </c>
      <c r="D1" s="13" t="inlineStr">
        <is>
          <t>Building Type</t>
        </is>
      </c>
      <c r="E1" s="13" t="inlineStr">
        <is>
          <t>Proposed BESS Size (kW)</t>
        </is>
      </c>
      <c r="F1" s="13" t="inlineStr">
        <is>
          <t>Battery Capacity (kWh)</t>
        </is>
      </c>
      <c r="G1" s="13" t="inlineStr">
        <is>
          <t>CPS Account Number</t>
        </is>
      </c>
      <c r="H1" s="13" t="inlineStr">
        <is>
          <t>Rate Schedule</t>
        </is>
      </c>
      <c r="I1" s="13" t="inlineStr">
        <is>
          <t>Peak Demand (kW)</t>
        </is>
      </c>
      <c r="J1" s="13" t="inlineStr">
        <is>
          <t>Annual Energy (kWh)</t>
        </is>
      </c>
      <c r="K1" s="13" t="inlineStr">
        <is>
          <t>Current Demand Charge ($/month)</t>
        </is>
      </c>
      <c r="L1" s="13" t="inlineStr">
        <is>
          <t>Distribution Feeder ID</t>
        </is>
      </c>
      <c r="M1" s="13" t="inlineStr">
        <is>
          <t>Critical Facility</t>
        </is>
      </c>
      <c r="N1" s="13" t="inlineStr">
        <is>
          <t>Priority Score</t>
        </is>
      </c>
      <c r="O1" s="13" t="inlineStr">
        <is>
          <t>Phase Assignment</t>
        </is>
      </c>
      <c r="P1" s="13" t="inlineStr">
        <is>
          <t>Notes</t>
        </is>
      </c>
    </row>
    <row r="2">
      <c r="A2" t="inlineStr">
        <is>
          <t>B001</t>
        </is>
      </c>
      <c r="B2" s="14" t="inlineStr">
        <is>
          <t>Emergency Operations Center</t>
        </is>
      </c>
      <c r="C2" s="14" t="inlineStr">
        <is>
          <t>1100 Example St, San Antonio, TX 78201</t>
        </is>
      </c>
      <c r="D2" s="14" t="inlineStr">
        <is>
          <t>Emergency Ops</t>
        </is>
      </c>
      <c r="E2" s="14" t="n">
        <v>125</v>
      </c>
      <c r="F2" s="15">
        <f>E2*2</f>
        <v/>
      </c>
      <c r="G2" s="14" t="inlineStr">
        <is>
          <t>1234567801</t>
        </is>
      </c>
      <c r="H2" s="14" t="inlineStr">
        <is>
          <t>LGS</t>
        </is>
      </c>
      <c r="I2" s="14" t="n">
        <v>165</v>
      </c>
      <c r="J2" s="14" t="n">
        <v>577500</v>
      </c>
      <c r="K2" s="14" t="n">
        <v>2970</v>
      </c>
      <c r="L2" s="14" t="inlineStr">
        <is>
          <t>FEEDER-41A</t>
        </is>
      </c>
      <c r="M2" s="15">
        <f>IF(D2="Emergency Ops","Yes",IF(D2="911 Center","Yes",IF(D2="Police","Yes",IF(D2="Fire","Yes","No"))))</f>
        <v/>
      </c>
      <c r="N2" s="15">
        <f>IFERROR(VLOOKUP(A2,'Prioritization Scoring'!$A:$X,24,FALSE),0)</f>
        <v/>
      </c>
      <c r="O2" s="15">
        <f>IF(N2&gt;=76,1,IF(N2&gt;=51,2,3))</f>
        <v/>
      </c>
      <c r="P2" s="14" t="inlineStr"/>
    </row>
    <row r="3">
      <c r="A3" t="inlineStr">
        <is>
          <t>B002</t>
        </is>
      </c>
      <c r="B3" s="14" t="inlineStr">
        <is>
          <t>911 Call Center</t>
        </is>
      </c>
      <c r="C3" s="14" t="inlineStr">
        <is>
          <t>1200 Example St, San Antonio, TX 78201</t>
        </is>
      </c>
      <c r="D3" s="14" t="inlineStr">
        <is>
          <t>911 Center</t>
        </is>
      </c>
      <c r="E3" s="14" t="n">
        <v>150</v>
      </c>
      <c r="F3" s="15">
        <f>E3*2</f>
        <v/>
      </c>
      <c r="G3" s="14" t="inlineStr">
        <is>
          <t>1234567802</t>
        </is>
      </c>
      <c r="H3" s="14" t="inlineStr">
        <is>
          <t>LGS</t>
        </is>
      </c>
      <c r="I3" s="14" t="n">
        <v>200</v>
      </c>
      <c r="J3" s="14" t="n">
        <v>700000</v>
      </c>
      <c r="K3" s="14" t="n">
        <v>3600</v>
      </c>
      <c r="L3" s="14" t="inlineStr">
        <is>
          <t>FEEDER-42A</t>
        </is>
      </c>
      <c r="M3" s="15">
        <f>IF(D3="Emergency Ops","Yes",IF(D3="911 Center","Yes",IF(D3="Police","Yes",IF(D3="Fire","Yes","No"))))</f>
        <v/>
      </c>
      <c r="N3" s="15">
        <f>IFERROR(VLOOKUP(A3,'Prioritization Scoring'!$A:$X,24,FALSE),0)</f>
        <v/>
      </c>
      <c r="O3" s="15">
        <f>IF(N3&gt;=76,1,IF(N3&gt;=51,2,3))</f>
        <v/>
      </c>
      <c r="P3" s="14" t="inlineStr"/>
    </row>
    <row r="4">
      <c r="A4" t="inlineStr">
        <is>
          <t>B003</t>
        </is>
      </c>
      <c r="B4" s="14" t="inlineStr">
        <is>
          <t>Police Headquarters</t>
        </is>
      </c>
      <c r="C4" s="14" t="inlineStr">
        <is>
          <t>1300 Example St, San Antonio, TX 78201</t>
        </is>
      </c>
      <c r="D4" s="14" t="inlineStr">
        <is>
          <t>Police</t>
        </is>
      </c>
      <c r="E4" s="14" t="n">
        <v>100</v>
      </c>
      <c r="F4" s="15">
        <f>E4*2</f>
        <v/>
      </c>
      <c r="G4" s="14" t="inlineStr">
        <is>
          <t>1234567803</t>
        </is>
      </c>
      <c r="H4" s="14" t="inlineStr">
        <is>
          <t>LGS</t>
        </is>
      </c>
      <c r="I4" s="14" t="n">
        <v>160</v>
      </c>
      <c r="J4" s="14" t="n">
        <v>560000</v>
      </c>
      <c r="K4" s="14" t="n">
        <v>2880</v>
      </c>
      <c r="L4" s="14" t="inlineStr">
        <is>
          <t>FEEDER-43A</t>
        </is>
      </c>
      <c r="M4" s="15">
        <f>IF(D4="Emergency Ops","Yes",IF(D4="911 Center","Yes",IF(D4="Police","Yes",IF(D4="Fire","Yes","No"))))</f>
        <v/>
      </c>
      <c r="N4" s="15">
        <f>IFERROR(VLOOKUP(A4,'Prioritization Scoring'!$A:$X,24,FALSE),0)</f>
        <v/>
      </c>
      <c r="O4" s="15">
        <f>IF(N4&gt;=76,1,IF(N4&gt;=51,2,3))</f>
        <v/>
      </c>
      <c r="P4" s="14" t="inlineStr"/>
    </row>
    <row r="5">
      <c r="A5" t="inlineStr">
        <is>
          <t>B004</t>
        </is>
      </c>
      <c r="B5" s="14" t="inlineStr">
        <is>
          <t>Fire Station #1</t>
        </is>
      </c>
      <c r="C5" s="14" t="inlineStr">
        <is>
          <t>1400 Example St, San Antonio, TX 78201</t>
        </is>
      </c>
      <c r="D5" s="14" t="inlineStr">
        <is>
          <t>Fire</t>
        </is>
      </c>
      <c r="E5" s="14" t="n">
        <v>125</v>
      </c>
      <c r="F5" s="15">
        <f>E5*2</f>
        <v/>
      </c>
      <c r="G5" s="14" t="inlineStr">
        <is>
          <t>1234567804</t>
        </is>
      </c>
      <c r="H5" s="14" t="inlineStr">
        <is>
          <t>LGS</t>
        </is>
      </c>
      <c r="I5" s="14" t="n">
        <v>195</v>
      </c>
      <c r="J5" s="14" t="n">
        <v>682500</v>
      </c>
      <c r="K5" s="14" t="n">
        <v>3510</v>
      </c>
      <c r="L5" s="14" t="inlineStr">
        <is>
          <t>FEEDER-44A</t>
        </is>
      </c>
      <c r="M5" s="15">
        <f>IF(D5="Emergency Ops","Yes",IF(D5="911 Center","Yes",IF(D5="Police","Yes",IF(D5="Fire","Yes","No"))))</f>
        <v/>
      </c>
      <c r="N5" s="15">
        <f>IFERROR(VLOOKUP(A5,'Prioritization Scoring'!$A:$X,24,FALSE),0)</f>
        <v/>
      </c>
      <c r="O5" s="15">
        <f>IF(N5&gt;=76,1,IF(N5&gt;=51,2,3))</f>
        <v/>
      </c>
      <c r="P5" s="14" t="inlineStr"/>
    </row>
    <row r="6">
      <c r="A6" t="inlineStr">
        <is>
          <t>B005</t>
        </is>
      </c>
      <c r="B6" s="14" t="inlineStr">
        <is>
          <t>Water Treatment Control Center</t>
        </is>
      </c>
      <c r="C6" s="14" t="inlineStr">
        <is>
          <t>1500 Example St, San Antonio, TX 78201</t>
        </is>
      </c>
      <c r="D6" s="14" t="inlineStr">
        <is>
          <t>Water Control</t>
        </is>
      </c>
      <c r="E6" s="14" t="n">
        <v>150</v>
      </c>
      <c r="F6" s="15">
        <f>E6*2</f>
        <v/>
      </c>
      <c r="G6" s="14" t="inlineStr">
        <is>
          <t>1234567805</t>
        </is>
      </c>
      <c r="H6" s="14" t="inlineStr">
        <is>
          <t>LGS</t>
        </is>
      </c>
      <c r="I6" s="14" t="n">
        <v>180</v>
      </c>
      <c r="J6" s="14" t="n">
        <v>630000</v>
      </c>
      <c r="K6" s="14" t="n">
        <v>3240</v>
      </c>
      <c r="L6" s="14" t="inlineStr">
        <is>
          <t>FEEDER-45A</t>
        </is>
      </c>
      <c r="M6" s="15">
        <f>IF(D6="Emergency Ops","Yes",IF(D6="911 Center","Yes",IF(D6="Police","Yes",IF(D6="Fire","Yes","No"))))</f>
        <v/>
      </c>
      <c r="N6" s="15">
        <f>IFERROR(VLOOKUP(A6,'Prioritization Scoring'!$A:$X,24,FALSE),0)</f>
        <v/>
      </c>
      <c r="O6" s="15">
        <f>IF(N6&gt;=76,1,IF(N6&gt;=51,2,3))</f>
        <v/>
      </c>
      <c r="P6" s="14" t="inlineStr"/>
    </row>
    <row r="7">
      <c r="A7" t="inlineStr">
        <is>
          <t>B006</t>
        </is>
      </c>
      <c r="B7" s="14" t="inlineStr">
        <is>
          <t>City Hall</t>
        </is>
      </c>
      <c r="C7" s="14" t="inlineStr">
        <is>
          <t>1600 Example St, San Antonio, TX 78201</t>
        </is>
      </c>
      <c r="D7" s="14" t="inlineStr">
        <is>
          <t>City Hall</t>
        </is>
      </c>
      <c r="E7" s="14" t="n">
        <v>100</v>
      </c>
      <c r="F7" s="15">
        <f>E7*2</f>
        <v/>
      </c>
      <c r="G7" s="14" t="inlineStr">
        <is>
          <t>1234567806</t>
        </is>
      </c>
      <c r="H7" s="14" t="inlineStr">
        <is>
          <t>GS</t>
        </is>
      </c>
      <c r="I7" s="14" t="n">
        <v>140</v>
      </c>
      <c r="J7" s="14" t="n">
        <v>490000</v>
      </c>
      <c r="K7" s="14" t="n">
        <v>2520</v>
      </c>
      <c r="L7" s="14" t="inlineStr">
        <is>
          <t>FEEDER-46A</t>
        </is>
      </c>
      <c r="M7" s="15">
        <f>IF(D7="Emergency Ops","Yes",IF(D7="911 Center","Yes",IF(D7="Police","Yes",IF(D7="Fire","Yes","No"))))</f>
        <v/>
      </c>
      <c r="N7" s="15">
        <f>IFERROR(VLOOKUP(A7,'Prioritization Scoring'!$A:$X,24,FALSE),0)</f>
        <v/>
      </c>
      <c r="O7" s="15">
        <f>IF(N7&gt;=76,1,IF(N7&gt;=51,2,3))</f>
        <v/>
      </c>
      <c r="P7" s="14" t="inlineStr"/>
    </row>
    <row r="8">
      <c r="A8" t="inlineStr">
        <is>
          <t>B007</t>
        </is>
      </c>
      <c r="B8" s="14" t="inlineStr">
        <is>
          <t>Parks Department</t>
        </is>
      </c>
      <c r="C8" s="14" t="inlineStr">
        <is>
          <t>1700 Example St, San Antonio, TX 78201</t>
        </is>
      </c>
      <c r="D8" s="14" t="inlineStr">
        <is>
          <t>Standard</t>
        </is>
      </c>
      <c r="E8" s="14" t="n">
        <v>125</v>
      </c>
      <c r="F8" s="15">
        <f>E8*2</f>
        <v/>
      </c>
      <c r="G8" s="14" t="inlineStr">
        <is>
          <t>1234567807</t>
        </is>
      </c>
      <c r="H8" s="14" t="inlineStr">
        <is>
          <t>LGS</t>
        </is>
      </c>
      <c r="I8" s="14" t="n">
        <v>175</v>
      </c>
      <c r="J8" s="14" t="n">
        <v>612500</v>
      </c>
      <c r="K8" s="14" t="n">
        <v>3150</v>
      </c>
      <c r="L8" s="14" t="inlineStr">
        <is>
          <t>FEEDER-47A</t>
        </is>
      </c>
      <c r="M8" s="15">
        <f>IF(D8="Emergency Ops","Yes",IF(D8="911 Center","Yes",IF(D8="Police","Yes",IF(D8="Fire","Yes","No"))))</f>
        <v/>
      </c>
      <c r="N8" s="15">
        <f>IFERROR(VLOOKUP(A8,'Prioritization Scoring'!$A:$X,24,FALSE),0)</f>
        <v/>
      </c>
      <c r="O8" s="15">
        <f>IF(N8&gt;=76,1,IF(N8&gt;=51,2,3))</f>
        <v/>
      </c>
      <c r="P8" s="14" t="inlineStr"/>
    </row>
    <row r="9">
      <c r="A9" t="inlineStr">
        <is>
          <t>B008</t>
        </is>
      </c>
      <c r="B9" s="14" t="inlineStr">
        <is>
          <t>Public Works Building</t>
        </is>
      </c>
      <c r="C9" s="14" t="inlineStr">
        <is>
          <t>1800 Example St, San Antonio, TX 78201</t>
        </is>
      </c>
      <c r="D9" s="14" t="inlineStr">
        <is>
          <t>Standard</t>
        </is>
      </c>
      <c r="E9" s="14" t="n">
        <v>150</v>
      </c>
      <c r="F9" s="15">
        <f>E9*2</f>
        <v/>
      </c>
      <c r="G9" s="14" t="inlineStr">
        <is>
          <t>1234567808</t>
        </is>
      </c>
      <c r="H9" s="14" t="inlineStr">
        <is>
          <t>LGS</t>
        </is>
      </c>
      <c r="I9" s="14" t="n">
        <v>210</v>
      </c>
      <c r="J9" s="14" t="n">
        <v>735000</v>
      </c>
      <c r="K9" s="14" t="n">
        <v>3780</v>
      </c>
      <c r="L9" s="14" t="inlineStr">
        <is>
          <t>FEEDER-48A</t>
        </is>
      </c>
      <c r="M9" s="15">
        <f>IF(D9="Emergency Ops","Yes",IF(D9="911 Center","Yes",IF(D9="Police","Yes",IF(D9="Fire","Yes","No"))))</f>
        <v/>
      </c>
      <c r="N9" s="15">
        <f>IFERROR(VLOOKUP(A9,'Prioritization Scoring'!$A:$X,24,FALSE),0)</f>
        <v/>
      </c>
      <c r="O9" s="15">
        <f>IF(N9&gt;=76,1,IF(N9&gt;=51,2,3))</f>
        <v/>
      </c>
      <c r="P9" s="14" t="inlineStr"/>
    </row>
    <row r="10">
      <c r="A10" t="inlineStr">
        <is>
          <t>B009</t>
        </is>
      </c>
      <c r="B10" s="14" t="inlineStr">
        <is>
          <t>Library Main Branch</t>
        </is>
      </c>
      <c r="C10" s="14" t="inlineStr">
        <is>
          <t>1900 Example St, San Antonio, TX 78201</t>
        </is>
      </c>
      <c r="D10" s="14" t="inlineStr">
        <is>
          <t>Standard</t>
        </is>
      </c>
      <c r="E10" s="14" t="n">
        <v>100</v>
      </c>
      <c r="F10" s="15">
        <f>E10*2</f>
        <v/>
      </c>
      <c r="G10" s="14" t="inlineStr">
        <is>
          <t>1234567809</t>
        </is>
      </c>
      <c r="H10" s="14" t="inlineStr">
        <is>
          <t>LGS</t>
        </is>
      </c>
      <c r="I10" s="14" t="n">
        <v>170</v>
      </c>
      <c r="J10" s="14" t="n">
        <v>595000</v>
      </c>
      <c r="K10" s="14" t="n">
        <v>3060</v>
      </c>
      <c r="L10" s="14" t="inlineStr">
        <is>
          <t>FEEDER-49A</t>
        </is>
      </c>
      <c r="M10" s="15">
        <f>IF(D10="Emergency Ops","Yes",IF(D10="911 Center","Yes",IF(D10="Police","Yes",IF(D10="Fire","Yes","No"))))</f>
        <v/>
      </c>
      <c r="N10" s="15">
        <f>IFERROR(VLOOKUP(A10,'Prioritization Scoring'!$A:$X,24,FALSE),0)</f>
        <v/>
      </c>
      <c r="O10" s="15">
        <f>IF(N10&gt;=76,1,IF(N10&gt;=51,2,3))</f>
        <v/>
      </c>
      <c r="P10" s="14" t="inlineStr"/>
    </row>
    <row r="11">
      <c r="A11" t="inlineStr">
        <is>
          <t>B010</t>
        </is>
      </c>
      <c r="B11" s="14" t="inlineStr">
        <is>
          <t>Municipal Building #10</t>
        </is>
      </c>
      <c r="C11" s="14" t="inlineStr">
        <is>
          <t>2000 Example St, San Antonio, TX 78201</t>
        </is>
      </c>
      <c r="D11" s="14" t="inlineStr">
        <is>
          <t>Standard</t>
        </is>
      </c>
      <c r="E11" s="14" t="n">
        <v>125</v>
      </c>
      <c r="F11" s="15">
        <f>E11*2</f>
        <v/>
      </c>
      <c r="G11" s="14" t="inlineStr">
        <is>
          <t>1234567810</t>
        </is>
      </c>
      <c r="H11" s="14" t="inlineStr">
        <is>
          <t>LGS</t>
        </is>
      </c>
      <c r="I11" s="14" t="n">
        <v>155</v>
      </c>
      <c r="J11" s="14" t="n">
        <v>542500</v>
      </c>
      <c r="K11" s="14" t="n">
        <v>2790</v>
      </c>
      <c r="L11" s="14" t="inlineStr">
        <is>
          <t>FEEDER-50A</t>
        </is>
      </c>
      <c r="M11" s="15">
        <f>IF(D11="Emergency Ops","Yes",IF(D11="911 Center","Yes",IF(D11="Police","Yes",IF(D11="Fire","Yes","No"))))</f>
        <v/>
      </c>
      <c r="N11" s="15">
        <f>IFERROR(VLOOKUP(A11,'Prioritization Scoring'!$A:$X,24,FALSE),0)</f>
        <v/>
      </c>
      <c r="O11" s="15">
        <f>IF(N11&gt;=76,1,IF(N11&gt;=51,2,3))</f>
        <v/>
      </c>
      <c r="P11" s="14" t="inlineStr"/>
    </row>
    <row r="12">
      <c r="A12" t="inlineStr">
        <is>
          <t>B011</t>
        </is>
      </c>
      <c r="B12" s="14" t="inlineStr">
        <is>
          <t>Municipal Building #11</t>
        </is>
      </c>
      <c r="C12" s="14" t="inlineStr">
        <is>
          <t>2100 Example St, San Antonio, TX 78201</t>
        </is>
      </c>
      <c r="D12" s="14" t="inlineStr">
        <is>
          <t>Standard</t>
        </is>
      </c>
      <c r="E12" s="14" t="n">
        <v>150</v>
      </c>
      <c r="F12" s="15">
        <f>E12*2</f>
        <v/>
      </c>
      <c r="G12" s="14" t="inlineStr">
        <is>
          <t>1234567811</t>
        </is>
      </c>
      <c r="H12" s="14" t="inlineStr">
        <is>
          <t>LGS</t>
        </is>
      </c>
      <c r="I12" s="14" t="n">
        <v>190</v>
      </c>
      <c r="J12" s="14" t="n">
        <v>665000</v>
      </c>
      <c r="K12" s="14" t="n">
        <v>3420</v>
      </c>
      <c r="L12" s="14" t="inlineStr">
        <is>
          <t>FEEDER-51A</t>
        </is>
      </c>
      <c r="M12" s="15">
        <f>IF(D12="Emergency Ops","Yes",IF(D12="911 Center","Yes",IF(D12="Police","Yes",IF(D12="Fire","Yes","No"))))</f>
        <v/>
      </c>
      <c r="N12" s="15">
        <f>IFERROR(VLOOKUP(A12,'Prioritization Scoring'!$A:$X,24,FALSE),0)</f>
        <v/>
      </c>
      <c r="O12" s="15">
        <f>IF(N12&gt;=76,1,IF(N12&gt;=51,2,3))</f>
        <v/>
      </c>
      <c r="P12" s="14" t="inlineStr"/>
    </row>
    <row r="13">
      <c r="A13" t="inlineStr">
        <is>
          <t>B012</t>
        </is>
      </c>
      <c r="B13" s="14" t="inlineStr">
        <is>
          <t>Municipal Building #12</t>
        </is>
      </c>
      <c r="C13" s="14" t="inlineStr">
        <is>
          <t>2200 Example St, San Antonio, TX 78201</t>
        </is>
      </c>
      <c r="D13" s="14" t="inlineStr">
        <is>
          <t>Standard</t>
        </is>
      </c>
      <c r="E13" s="14" t="n">
        <v>100</v>
      </c>
      <c r="F13" s="15">
        <f>E13*2</f>
        <v/>
      </c>
      <c r="G13" s="14" t="inlineStr">
        <is>
          <t>1234567812</t>
        </is>
      </c>
      <c r="H13" s="14" t="inlineStr">
        <is>
          <t>GS</t>
        </is>
      </c>
      <c r="I13" s="14" t="n">
        <v>150</v>
      </c>
      <c r="J13" s="14" t="n">
        <v>525000</v>
      </c>
      <c r="K13" s="14" t="n">
        <v>2700</v>
      </c>
      <c r="L13" s="14" t="inlineStr">
        <is>
          <t>FEEDER-52A</t>
        </is>
      </c>
      <c r="M13" s="15">
        <f>IF(D13="Emergency Ops","Yes",IF(D13="911 Center","Yes",IF(D13="Police","Yes",IF(D13="Fire","Yes","No"))))</f>
        <v/>
      </c>
      <c r="N13" s="15">
        <f>IFERROR(VLOOKUP(A13,'Prioritization Scoring'!$A:$X,24,FALSE),0)</f>
        <v/>
      </c>
      <c r="O13" s="15">
        <f>IF(N13&gt;=76,1,IF(N13&gt;=51,2,3))</f>
        <v/>
      </c>
      <c r="P13" s="14" t="inlineStr"/>
    </row>
    <row r="14">
      <c r="A14" t="inlineStr">
        <is>
          <t>B013</t>
        </is>
      </c>
      <c r="B14" s="14" t="inlineStr">
        <is>
          <t>Municipal Building #13</t>
        </is>
      </c>
      <c r="C14" s="14" t="inlineStr">
        <is>
          <t>2300 Example St, San Antonio, TX 78201</t>
        </is>
      </c>
      <c r="D14" s="14" t="inlineStr">
        <is>
          <t>Standard</t>
        </is>
      </c>
      <c r="E14" s="14" t="n">
        <v>125</v>
      </c>
      <c r="F14" s="15">
        <f>E14*2</f>
        <v/>
      </c>
      <c r="G14" s="14" t="inlineStr">
        <is>
          <t>1234567813</t>
        </is>
      </c>
      <c r="H14" s="14" t="inlineStr">
        <is>
          <t>LGS</t>
        </is>
      </c>
      <c r="I14" s="14" t="n">
        <v>185</v>
      </c>
      <c r="J14" s="14" t="n">
        <v>647500</v>
      </c>
      <c r="K14" s="14" t="n">
        <v>3330</v>
      </c>
      <c r="L14" s="14" t="inlineStr">
        <is>
          <t>FEEDER-53A</t>
        </is>
      </c>
      <c r="M14" s="15">
        <f>IF(D14="Emergency Ops","Yes",IF(D14="911 Center","Yes",IF(D14="Police","Yes",IF(D14="Fire","Yes","No"))))</f>
        <v/>
      </c>
      <c r="N14" s="15">
        <f>IFERROR(VLOOKUP(A14,'Prioritization Scoring'!$A:$X,24,FALSE),0)</f>
        <v/>
      </c>
      <c r="O14" s="15">
        <f>IF(N14&gt;=76,1,IF(N14&gt;=51,2,3))</f>
        <v/>
      </c>
      <c r="P14" s="14" t="inlineStr"/>
    </row>
    <row r="15">
      <c r="A15" t="inlineStr">
        <is>
          <t>B014</t>
        </is>
      </c>
      <c r="B15" s="14" t="inlineStr">
        <is>
          <t>Municipal Building #14</t>
        </is>
      </c>
      <c r="C15" s="14" t="inlineStr">
        <is>
          <t>2400 Example St, San Antonio, TX 78201</t>
        </is>
      </c>
      <c r="D15" s="14" t="inlineStr">
        <is>
          <t>Standard</t>
        </is>
      </c>
      <c r="E15" s="14" t="n">
        <v>150</v>
      </c>
      <c r="F15" s="15">
        <f>E15*2</f>
        <v/>
      </c>
      <c r="G15" s="14" t="inlineStr">
        <is>
          <t>1234567814</t>
        </is>
      </c>
      <c r="H15" s="14" t="inlineStr">
        <is>
          <t>LGS</t>
        </is>
      </c>
      <c r="I15" s="14" t="n">
        <v>220</v>
      </c>
      <c r="J15" s="14" t="n">
        <v>770000</v>
      </c>
      <c r="K15" s="14" t="n">
        <v>3960</v>
      </c>
      <c r="L15" s="14" t="inlineStr">
        <is>
          <t>FEEDER-54A</t>
        </is>
      </c>
      <c r="M15" s="15">
        <f>IF(D15="Emergency Ops","Yes",IF(D15="911 Center","Yes",IF(D15="Police","Yes",IF(D15="Fire","Yes","No"))))</f>
        <v/>
      </c>
      <c r="N15" s="15">
        <f>IFERROR(VLOOKUP(A15,'Prioritization Scoring'!$A:$X,24,FALSE),0)</f>
        <v/>
      </c>
      <c r="O15" s="15">
        <f>IF(N15&gt;=76,1,IF(N15&gt;=51,2,3))</f>
        <v/>
      </c>
      <c r="P15" s="14" t="inlineStr"/>
    </row>
    <row r="16">
      <c r="A16" t="inlineStr">
        <is>
          <t>B015</t>
        </is>
      </c>
      <c r="B16" s="14" t="inlineStr">
        <is>
          <t>Municipal Building #15</t>
        </is>
      </c>
      <c r="C16" s="14" t="inlineStr">
        <is>
          <t>2500 Example St, San Antonio, TX 78201</t>
        </is>
      </c>
      <c r="D16" s="14" t="inlineStr">
        <is>
          <t>Standard</t>
        </is>
      </c>
      <c r="E16" s="14" t="n">
        <v>100</v>
      </c>
      <c r="F16" s="15">
        <f>E16*2</f>
        <v/>
      </c>
      <c r="G16" s="14" t="inlineStr">
        <is>
          <t>1234567815</t>
        </is>
      </c>
      <c r="H16" s="14" t="inlineStr">
        <is>
          <t>GS</t>
        </is>
      </c>
      <c r="I16" s="14" t="n">
        <v>130</v>
      </c>
      <c r="J16" s="14" t="n">
        <v>455000</v>
      </c>
      <c r="K16" s="14" t="n">
        <v>2340</v>
      </c>
      <c r="L16" s="14" t="inlineStr">
        <is>
          <t>FEEDER-40A</t>
        </is>
      </c>
      <c r="M16" s="15">
        <f>IF(D16="Emergency Ops","Yes",IF(D16="911 Center","Yes",IF(D16="Police","Yes",IF(D16="Fire","Yes","No"))))</f>
        <v/>
      </c>
      <c r="N16" s="15">
        <f>IFERROR(VLOOKUP(A16,'Prioritization Scoring'!$A:$X,24,FALSE),0)</f>
        <v/>
      </c>
      <c r="O16" s="15">
        <f>IF(N16&gt;=76,1,IF(N16&gt;=51,2,3))</f>
        <v/>
      </c>
      <c r="P16" s="14" t="inlineStr"/>
    </row>
    <row r="17">
      <c r="A17" t="inlineStr">
        <is>
          <t>B016</t>
        </is>
      </c>
      <c r="B17" s="14" t="inlineStr">
        <is>
          <t>Municipal Building #16</t>
        </is>
      </c>
      <c r="C17" s="14" t="inlineStr">
        <is>
          <t>2600 Example St, San Antonio, TX 78201</t>
        </is>
      </c>
      <c r="D17" s="14" t="inlineStr">
        <is>
          <t>Standard</t>
        </is>
      </c>
      <c r="E17" s="14" t="n">
        <v>125</v>
      </c>
      <c r="F17" s="15">
        <f>E17*2</f>
        <v/>
      </c>
      <c r="G17" s="14" t="inlineStr">
        <is>
          <t>1234567816</t>
        </is>
      </c>
      <c r="H17" s="14" t="inlineStr">
        <is>
          <t>LGS</t>
        </is>
      </c>
      <c r="I17" s="14" t="n">
        <v>165</v>
      </c>
      <c r="J17" s="14" t="n">
        <v>577500</v>
      </c>
      <c r="K17" s="14" t="n">
        <v>2970</v>
      </c>
      <c r="L17" s="14" t="inlineStr">
        <is>
          <t>FEEDER-41A</t>
        </is>
      </c>
      <c r="M17" s="15">
        <f>IF(D17="Emergency Ops","Yes",IF(D17="911 Center","Yes",IF(D17="Police","Yes",IF(D17="Fire","Yes","No"))))</f>
        <v/>
      </c>
      <c r="N17" s="15">
        <f>IFERROR(VLOOKUP(A17,'Prioritization Scoring'!$A:$X,24,FALSE),0)</f>
        <v/>
      </c>
      <c r="O17" s="15">
        <f>IF(N17&gt;=76,1,IF(N17&gt;=51,2,3))</f>
        <v/>
      </c>
      <c r="P17" s="14" t="inlineStr"/>
    </row>
    <row r="18">
      <c r="A18" t="inlineStr">
        <is>
          <t>B017</t>
        </is>
      </c>
      <c r="B18" s="14" t="inlineStr">
        <is>
          <t>Municipal Building #17</t>
        </is>
      </c>
      <c r="C18" s="14" t="inlineStr">
        <is>
          <t>2700 Example St, San Antonio, TX 78201</t>
        </is>
      </c>
      <c r="D18" s="14" t="inlineStr">
        <is>
          <t>Standard</t>
        </is>
      </c>
      <c r="E18" s="14" t="n">
        <v>150</v>
      </c>
      <c r="F18" s="15">
        <f>E18*2</f>
        <v/>
      </c>
      <c r="G18" s="14" t="inlineStr">
        <is>
          <t>1234567817</t>
        </is>
      </c>
      <c r="H18" s="14" t="inlineStr">
        <is>
          <t>LGS</t>
        </is>
      </c>
      <c r="I18" s="14" t="n">
        <v>200</v>
      </c>
      <c r="J18" s="14" t="n">
        <v>700000</v>
      </c>
      <c r="K18" s="14" t="n">
        <v>3600</v>
      </c>
      <c r="L18" s="14" t="inlineStr">
        <is>
          <t>FEEDER-42A</t>
        </is>
      </c>
      <c r="M18" s="15">
        <f>IF(D18="Emergency Ops","Yes",IF(D18="911 Center","Yes",IF(D18="Police","Yes",IF(D18="Fire","Yes","No"))))</f>
        <v/>
      </c>
      <c r="N18" s="15">
        <f>IFERROR(VLOOKUP(A18,'Prioritization Scoring'!$A:$X,24,FALSE),0)</f>
        <v/>
      </c>
      <c r="O18" s="15">
        <f>IF(N18&gt;=76,1,IF(N18&gt;=51,2,3))</f>
        <v/>
      </c>
      <c r="P18" s="14" t="inlineStr"/>
    </row>
    <row r="19">
      <c r="A19" t="inlineStr">
        <is>
          <t>B018</t>
        </is>
      </c>
      <c r="B19" s="14" t="inlineStr">
        <is>
          <t>Municipal Building #18</t>
        </is>
      </c>
      <c r="C19" s="14" t="inlineStr">
        <is>
          <t>2800 Example St, San Antonio, TX 78201</t>
        </is>
      </c>
      <c r="D19" s="14" t="inlineStr">
        <is>
          <t>Standard</t>
        </is>
      </c>
      <c r="E19" s="14" t="n">
        <v>100</v>
      </c>
      <c r="F19" s="15">
        <f>E19*2</f>
        <v/>
      </c>
      <c r="G19" s="14" t="inlineStr">
        <is>
          <t>1234567818</t>
        </is>
      </c>
      <c r="H19" s="14" t="inlineStr">
        <is>
          <t>LGS</t>
        </is>
      </c>
      <c r="I19" s="14" t="n">
        <v>160</v>
      </c>
      <c r="J19" s="14" t="n">
        <v>560000</v>
      </c>
      <c r="K19" s="14" t="n">
        <v>2880</v>
      </c>
      <c r="L19" s="14" t="inlineStr">
        <is>
          <t>FEEDER-43A</t>
        </is>
      </c>
      <c r="M19" s="15">
        <f>IF(D19="Emergency Ops","Yes",IF(D19="911 Center","Yes",IF(D19="Police","Yes",IF(D19="Fire","Yes","No"))))</f>
        <v/>
      </c>
      <c r="N19" s="15">
        <f>IFERROR(VLOOKUP(A19,'Prioritization Scoring'!$A:$X,24,FALSE),0)</f>
        <v/>
      </c>
      <c r="O19" s="15">
        <f>IF(N19&gt;=76,1,IF(N19&gt;=51,2,3))</f>
        <v/>
      </c>
      <c r="P19" s="14" t="inlineStr"/>
    </row>
    <row r="20">
      <c r="A20" t="inlineStr">
        <is>
          <t>B019</t>
        </is>
      </c>
      <c r="B20" s="14" t="inlineStr">
        <is>
          <t>Municipal Building #19</t>
        </is>
      </c>
      <c r="C20" s="14" t="inlineStr">
        <is>
          <t>2900 Example St, San Antonio, TX 78201</t>
        </is>
      </c>
      <c r="D20" s="14" t="inlineStr">
        <is>
          <t>Standard</t>
        </is>
      </c>
      <c r="E20" s="14" t="n">
        <v>125</v>
      </c>
      <c r="F20" s="15">
        <f>E20*2</f>
        <v/>
      </c>
      <c r="G20" s="14" t="inlineStr">
        <is>
          <t>1234567819</t>
        </is>
      </c>
      <c r="H20" s="14" t="inlineStr">
        <is>
          <t>LGS</t>
        </is>
      </c>
      <c r="I20" s="14" t="n">
        <v>195</v>
      </c>
      <c r="J20" s="14" t="n">
        <v>682500</v>
      </c>
      <c r="K20" s="14" t="n">
        <v>3510</v>
      </c>
      <c r="L20" s="14" t="inlineStr">
        <is>
          <t>FEEDER-44A</t>
        </is>
      </c>
      <c r="M20" s="15">
        <f>IF(D20="Emergency Ops","Yes",IF(D20="911 Center","Yes",IF(D20="Police","Yes",IF(D20="Fire","Yes","No"))))</f>
        <v/>
      </c>
      <c r="N20" s="15">
        <f>IFERROR(VLOOKUP(A20,'Prioritization Scoring'!$A:$X,24,FALSE),0)</f>
        <v/>
      </c>
      <c r="O20" s="15">
        <f>IF(N20&gt;=76,1,IF(N20&gt;=51,2,3))</f>
        <v/>
      </c>
      <c r="P20" s="14" t="inlineStr"/>
    </row>
    <row r="21">
      <c r="A21" t="inlineStr">
        <is>
          <t>B020</t>
        </is>
      </c>
      <c r="B21" s="14" t="inlineStr">
        <is>
          <t>Municipal Building #20</t>
        </is>
      </c>
      <c r="C21" s="14" t="inlineStr">
        <is>
          <t>3000 Example St, San Antonio, TX 78201</t>
        </is>
      </c>
      <c r="D21" s="14" t="inlineStr">
        <is>
          <t>Standard</t>
        </is>
      </c>
      <c r="E21" s="14" t="n">
        <v>150</v>
      </c>
      <c r="F21" s="15">
        <f>E21*2</f>
        <v/>
      </c>
      <c r="G21" s="14" t="inlineStr">
        <is>
          <t>1234567820</t>
        </is>
      </c>
      <c r="H21" s="14" t="inlineStr">
        <is>
          <t>LGS</t>
        </is>
      </c>
      <c r="I21" s="14" t="n">
        <v>180</v>
      </c>
      <c r="J21" s="14" t="n">
        <v>630000</v>
      </c>
      <c r="K21" s="14" t="n">
        <v>3240</v>
      </c>
      <c r="L21" s="14" t="inlineStr">
        <is>
          <t>FEEDER-45A</t>
        </is>
      </c>
      <c r="M21" s="15">
        <f>IF(D21="Emergency Ops","Yes",IF(D21="911 Center","Yes",IF(D21="Police","Yes",IF(D21="Fire","Yes","No"))))</f>
        <v/>
      </c>
      <c r="N21" s="15">
        <f>IFERROR(VLOOKUP(A21,'Prioritization Scoring'!$A:$X,24,FALSE),0)</f>
        <v/>
      </c>
      <c r="O21" s="15">
        <f>IF(N21&gt;=76,1,IF(N21&gt;=51,2,3))</f>
        <v/>
      </c>
      <c r="P21" s="14" t="inlineStr"/>
    </row>
    <row r="22">
      <c r="A22" t="inlineStr">
        <is>
          <t>B021</t>
        </is>
      </c>
      <c r="B22" s="14" t="inlineStr">
        <is>
          <t>Municipal Building #21</t>
        </is>
      </c>
      <c r="C22" s="14" t="inlineStr">
        <is>
          <t>3100 Example St, San Antonio, TX 78201</t>
        </is>
      </c>
      <c r="D22" s="14" t="inlineStr">
        <is>
          <t>Standard</t>
        </is>
      </c>
      <c r="E22" s="14" t="n">
        <v>100</v>
      </c>
      <c r="F22" s="15">
        <f>E22*2</f>
        <v/>
      </c>
      <c r="G22" s="14" t="inlineStr">
        <is>
          <t>1234567821</t>
        </is>
      </c>
      <c r="H22" s="14" t="inlineStr">
        <is>
          <t>GS</t>
        </is>
      </c>
      <c r="I22" s="14" t="n">
        <v>140</v>
      </c>
      <c r="J22" s="14" t="n">
        <v>490000</v>
      </c>
      <c r="K22" s="14" t="n">
        <v>2520</v>
      </c>
      <c r="L22" s="14" t="inlineStr">
        <is>
          <t>FEEDER-46A</t>
        </is>
      </c>
      <c r="M22" s="15">
        <f>IF(D22="Emergency Ops","Yes",IF(D22="911 Center","Yes",IF(D22="Police","Yes",IF(D22="Fire","Yes","No"))))</f>
        <v/>
      </c>
      <c r="N22" s="15">
        <f>IFERROR(VLOOKUP(A22,'Prioritization Scoring'!$A:$X,24,FALSE),0)</f>
        <v/>
      </c>
      <c r="O22" s="15">
        <f>IF(N22&gt;=76,1,IF(N22&gt;=51,2,3))</f>
        <v/>
      </c>
      <c r="P22" s="14" t="inlineStr"/>
    </row>
    <row r="23">
      <c r="A23" t="inlineStr">
        <is>
          <t>B022</t>
        </is>
      </c>
      <c r="B23" s="14" t="inlineStr">
        <is>
          <t>Municipal Building #22</t>
        </is>
      </c>
      <c r="C23" s="14" t="inlineStr">
        <is>
          <t>3200 Example St, San Antonio, TX 78201</t>
        </is>
      </c>
      <c r="D23" s="14" t="inlineStr">
        <is>
          <t>Standard</t>
        </is>
      </c>
      <c r="E23" s="14" t="n">
        <v>125</v>
      </c>
      <c r="F23" s="15">
        <f>E23*2</f>
        <v/>
      </c>
      <c r="G23" s="14" t="inlineStr">
        <is>
          <t>1234567822</t>
        </is>
      </c>
      <c r="H23" s="14" t="inlineStr">
        <is>
          <t>LGS</t>
        </is>
      </c>
      <c r="I23" s="14" t="n">
        <v>175</v>
      </c>
      <c r="J23" s="14" t="n">
        <v>612500</v>
      </c>
      <c r="K23" s="14" t="n">
        <v>3150</v>
      </c>
      <c r="L23" s="14" t="inlineStr">
        <is>
          <t>FEEDER-47A</t>
        </is>
      </c>
      <c r="M23" s="15">
        <f>IF(D23="Emergency Ops","Yes",IF(D23="911 Center","Yes",IF(D23="Police","Yes",IF(D23="Fire","Yes","No"))))</f>
        <v/>
      </c>
      <c r="N23" s="15">
        <f>IFERROR(VLOOKUP(A23,'Prioritization Scoring'!$A:$X,24,FALSE),0)</f>
        <v/>
      </c>
      <c r="O23" s="15">
        <f>IF(N23&gt;=76,1,IF(N23&gt;=51,2,3))</f>
        <v/>
      </c>
      <c r="P23" s="14" t="inlineStr"/>
    </row>
    <row r="24">
      <c r="A24" t="inlineStr">
        <is>
          <t>B023</t>
        </is>
      </c>
      <c r="B24" s="14" t="inlineStr">
        <is>
          <t>Municipal Building #23</t>
        </is>
      </c>
      <c r="C24" s="14" t="inlineStr">
        <is>
          <t>3300 Example St, San Antonio, TX 78201</t>
        </is>
      </c>
      <c r="D24" s="14" t="inlineStr">
        <is>
          <t>Standard</t>
        </is>
      </c>
      <c r="E24" s="14" t="n">
        <v>150</v>
      </c>
      <c r="F24" s="15">
        <f>E24*2</f>
        <v/>
      </c>
      <c r="G24" s="14" t="inlineStr">
        <is>
          <t>1234567823</t>
        </is>
      </c>
      <c r="H24" s="14" t="inlineStr">
        <is>
          <t>LGS</t>
        </is>
      </c>
      <c r="I24" s="14" t="n">
        <v>210</v>
      </c>
      <c r="J24" s="14" t="n">
        <v>735000</v>
      </c>
      <c r="K24" s="14" t="n">
        <v>3780</v>
      </c>
      <c r="L24" s="14" t="inlineStr">
        <is>
          <t>FEEDER-48A</t>
        </is>
      </c>
      <c r="M24" s="15">
        <f>IF(D24="Emergency Ops","Yes",IF(D24="911 Center","Yes",IF(D24="Police","Yes",IF(D24="Fire","Yes","No"))))</f>
        <v/>
      </c>
      <c r="N24" s="15">
        <f>IFERROR(VLOOKUP(A24,'Prioritization Scoring'!$A:$X,24,FALSE),0)</f>
        <v/>
      </c>
      <c r="O24" s="15">
        <f>IF(N24&gt;=76,1,IF(N24&gt;=51,2,3))</f>
        <v/>
      </c>
      <c r="P24" s="14" t="inlineStr"/>
    </row>
    <row r="25">
      <c r="A25" t="inlineStr">
        <is>
          <t>B024</t>
        </is>
      </c>
      <c r="B25" s="14" t="inlineStr">
        <is>
          <t>Municipal Building #24</t>
        </is>
      </c>
      <c r="C25" s="14" t="inlineStr">
        <is>
          <t>3400 Example St, San Antonio, TX 78201</t>
        </is>
      </c>
      <c r="D25" s="14" t="inlineStr">
        <is>
          <t>Standard</t>
        </is>
      </c>
      <c r="E25" s="14" t="n">
        <v>100</v>
      </c>
      <c r="F25" s="15">
        <f>E25*2</f>
        <v/>
      </c>
      <c r="G25" s="14" t="inlineStr">
        <is>
          <t>1234567824</t>
        </is>
      </c>
      <c r="H25" s="14" t="inlineStr">
        <is>
          <t>LGS</t>
        </is>
      </c>
      <c r="I25" s="14" t="n">
        <v>170</v>
      </c>
      <c r="J25" s="14" t="n">
        <v>595000</v>
      </c>
      <c r="K25" s="14" t="n">
        <v>3060</v>
      </c>
      <c r="L25" s="14" t="inlineStr">
        <is>
          <t>FEEDER-49A</t>
        </is>
      </c>
      <c r="M25" s="15">
        <f>IF(D25="Emergency Ops","Yes",IF(D25="911 Center","Yes",IF(D25="Police","Yes",IF(D25="Fire","Yes","No"))))</f>
        <v/>
      </c>
      <c r="N25" s="15">
        <f>IFERROR(VLOOKUP(A25,'Prioritization Scoring'!$A:$X,24,FALSE),0)</f>
        <v/>
      </c>
      <c r="O25" s="15">
        <f>IF(N25&gt;=76,1,IF(N25&gt;=51,2,3))</f>
        <v/>
      </c>
      <c r="P25" s="14" t="inlineStr"/>
    </row>
    <row r="26">
      <c r="A26" t="inlineStr">
        <is>
          <t>B025</t>
        </is>
      </c>
      <c r="B26" s="14" t="inlineStr">
        <is>
          <t>Municipal Building #25</t>
        </is>
      </c>
      <c r="C26" s="14" t="inlineStr">
        <is>
          <t>3500 Example St, San Antonio, TX 78201</t>
        </is>
      </c>
      <c r="D26" s="14" t="inlineStr">
        <is>
          <t>Standard</t>
        </is>
      </c>
      <c r="E26" s="14" t="n">
        <v>125</v>
      </c>
      <c r="F26" s="15">
        <f>E26*2</f>
        <v/>
      </c>
      <c r="G26" s="14" t="inlineStr">
        <is>
          <t>1234567825</t>
        </is>
      </c>
      <c r="H26" s="14" t="inlineStr">
        <is>
          <t>LGS</t>
        </is>
      </c>
      <c r="I26" s="14" t="n">
        <v>155</v>
      </c>
      <c r="J26" s="14" t="n">
        <v>542500</v>
      </c>
      <c r="K26" s="14" t="n">
        <v>2790</v>
      </c>
      <c r="L26" s="14" t="inlineStr">
        <is>
          <t>FEEDER-50A</t>
        </is>
      </c>
      <c r="M26" s="15">
        <f>IF(D26="Emergency Ops","Yes",IF(D26="911 Center","Yes",IF(D26="Police","Yes",IF(D26="Fire","Yes","No"))))</f>
        <v/>
      </c>
      <c r="N26" s="15">
        <f>IFERROR(VLOOKUP(A26,'Prioritization Scoring'!$A:$X,24,FALSE),0)</f>
        <v/>
      </c>
      <c r="O26" s="15">
        <f>IF(N26&gt;=76,1,IF(N26&gt;=51,2,3))</f>
        <v/>
      </c>
      <c r="P26" s="14" t="inlineStr"/>
    </row>
    <row r="27">
      <c r="A27" t="inlineStr">
        <is>
          <t>B026</t>
        </is>
      </c>
      <c r="B27" s="14" t="inlineStr">
        <is>
          <t>Municipal Building #26</t>
        </is>
      </c>
      <c r="C27" s="14" t="inlineStr">
        <is>
          <t>3600 Example St, San Antonio, TX 78201</t>
        </is>
      </c>
      <c r="D27" s="14" t="inlineStr">
        <is>
          <t>Standard</t>
        </is>
      </c>
      <c r="E27" s="14" t="n">
        <v>150</v>
      </c>
      <c r="F27" s="15">
        <f>E27*2</f>
        <v/>
      </c>
      <c r="G27" s="14" t="inlineStr">
        <is>
          <t>1234567826</t>
        </is>
      </c>
      <c r="H27" s="14" t="inlineStr">
        <is>
          <t>LGS</t>
        </is>
      </c>
      <c r="I27" s="14" t="n">
        <v>190</v>
      </c>
      <c r="J27" s="14" t="n">
        <v>665000</v>
      </c>
      <c r="K27" s="14" t="n">
        <v>3420</v>
      </c>
      <c r="L27" s="14" t="inlineStr">
        <is>
          <t>FEEDER-51A</t>
        </is>
      </c>
      <c r="M27" s="15">
        <f>IF(D27="Emergency Ops","Yes",IF(D27="911 Center","Yes",IF(D27="Police","Yes",IF(D27="Fire","Yes","No"))))</f>
        <v/>
      </c>
      <c r="N27" s="15">
        <f>IFERROR(VLOOKUP(A27,'Prioritization Scoring'!$A:$X,24,FALSE),0)</f>
        <v/>
      </c>
      <c r="O27" s="15">
        <f>IF(N27&gt;=76,1,IF(N27&gt;=51,2,3))</f>
        <v/>
      </c>
      <c r="P27" s="14" t="inlineStr"/>
    </row>
    <row r="28">
      <c r="A28" t="inlineStr">
        <is>
          <t>B027</t>
        </is>
      </c>
      <c r="B28" s="14" t="inlineStr">
        <is>
          <t>Municipal Building #27</t>
        </is>
      </c>
      <c r="C28" s="14" t="inlineStr">
        <is>
          <t>3700 Example St, San Antonio, TX 78201</t>
        </is>
      </c>
      <c r="D28" s="14" t="inlineStr">
        <is>
          <t>Standard</t>
        </is>
      </c>
      <c r="E28" s="14" t="n">
        <v>100</v>
      </c>
      <c r="F28" s="15">
        <f>E28*2</f>
        <v/>
      </c>
      <c r="G28" s="14" t="inlineStr">
        <is>
          <t>1234567827</t>
        </is>
      </c>
      <c r="H28" s="14" t="inlineStr">
        <is>
          <t>GS</t>
        </is>
      </c>
      <c r="I28" s="14" t="n">
        <v>150</v>
      </c>
      <c r="J28" s="14" t="n">
        <v>525000</v>
      </c>
      <c r="K28" s="14" t="n">
        <v>2700</v>
      </c>
      <c r="L28" s="14" t="inlineStr">
        <is>
          <t>FEEDER-52A</t>
        </is>
      </c>
      <c r="M28" s="15">
        <f>IF(D28="Emergency Ops","Yes",IF(D28="911 Center","Yes",IF(D28="Police","Yes",IF(D28="Fire","Yes","No"))))</f>
        <v/>
      </c>
      <c r="N28" s="15">
        <f>IFERROR(VLOOKUP(A28,'Prioritization Scoring'!$A:$X,24,FALSE),0)</f>
        <v/>
      </c>
      <c r="O28" s="15">
        <f>IF(N28&gt;=76,1,IF(N28&gt;=51,2,3))</f>
        <v/>
      </c>
      <c r="P28" s="14" t="inlineStr"/>
    </row>
    <row r="29">
      <c r="A29" t="inlineStr">
        <is>
          <t>B028</t>
        </is>
      </c>
      <c r="B29" s="14" t="inlineStr">
        <is>
          <t>Municipal Building #28</t>
        </is>
      </c>
      <c r="C29" s="14" t="inlineStr">
        <is>
          <t>3800 Example St, San Antonio, TX 78201</t>
        </is>
      </c>
      <c r="D29" s="14" t="inlineStr">
        <is>
          <t>Standard</t>
        </is>
      </c>
      <c r="E29" s="14" t="n">
        <v>125</v>
      </c>
      <c r="F29" s="15">
        <f>E29*2</f>
        <v/>
      </c>
      <c r="G29" s="14" t="inlineStr">
        <is>
          <t>1234567828</t>
        </is>
      </c>
      <c r="H29" s="14" t="inlineStr">
        <is>
          <t>LGS</t>
        </is>
      </c>
      <c r="I29" s="14" t="n">
        <v>185</v>
      </c>
      <c r="J29" s="14" t="n">
        <v>647500</v>
      </c>
      <c r="K29" s="14" t="n">
        <v>3330</v>
      </c>
      <c r="L29" s="14" t="inlineStr">
        <is>
          <t>FEEDER-53A</t>
        </is>
      </c>
      <c r="M29" s="15">
        <f>IF(D29="Emergency Ops","Yes",IF(D29="911 Center","Yes",IF(D29="Police","Yes",IF(D29="Fire","Yes","No"))))</f>
        <v/>
      </c>
      <c r="N29" s="15">
        <f>IFERROR(VLOOKUP(A29,'Prioritization Scoring'!$A:$X,24,FALSE),0)</f>
        <v/>
      </c>
      <c r="O29" s="15">
        <f>IF(N29&gt;=76,1,IF(N29&gt;=51,2,3))</f>
        <v/>
      </c>
      <c r="P29" s="14" t="inlineStr"/>
    </row>
    <row r="30">
      <c r="A30" t="inlineStr">
        <is>
          <t>B029</t>
        </is>
      </c>
      <c r="B30" s="14" t="inlineStr">
        <is>
          <t>Municipal Building #29</t>
        </is>
      </c>
      <c r="C30" s="14" t="inlineStr">
        <is>
          <t>3900 Example St, San Antonio, TX 78201</t>
        </is>
      </c>
      <c r="D30" s="14" t="inlineStr">
        <is>
          <t>Standard</t>
        </is>
      </c>
      <c r="E30" s="14" t="n">
        <v>150</v>
      </c>
      <c r="F30" s="15">
        <f>E30*2</f>
        <v/>
      </c>
      <c r="G30" s="14" t="inlineStr">
        <is>
          <t>1234567829</t>
        </is>
      </c>
      <c r="H30" s="14" t="inlineStr">
        <is>
          <t>LGS</t>
        </is>
      </c>
      <c r="I30" s="14" t="n">
        <v>220</v>
      </c>
      <c r="J30" s="14" t="n">
        <v>770000</v>
      </c>
      <c r="K30" s="14" t="n">
        <v>3960</v>
      </c>
      <c r="L30" s="14" t="inlineStr">
        <is>
          <t>FEEDER-54A</t>
        </is>
      </c>
      <c r="M30" s="15">
        <f>IF(D30="Emergency Ops","Yes",IF(D30="911 Center","Yes",IF(D30="Police","Yes",IF(D30="Fire","Yes","No"))))</f>
        <v/>
      </c>
      <c r="N30" s="15">
        <f>IFERROR(VLOOKUP(A30,'Prioritization Scoring'!$A:$X,24,FALSE),0)</f>
        <v/>
      </c>
      <c r="O30" s="15">
        <f>IF(N30&gt;=76,1,IF(N30&gt;=51,2,3))</f>
        <v/>
      </c>
      <c r="P30" s="14" t="inlineStr"/>
    </row>
    <row r="31">
      <c r="A31" t="inlineStr">
        <is>
          <t>B030</t>
        </is>
      </c>
      <c r="B31" s="14" t="inlineStr">
        <is>
          <t>Municipal Building #30</t>
        </is>
      </c>
      <c r="C31" s="14" t="inlineStr">
        <is>
          <t>4000 Example St, San Antonio, TX 78201</t>
        </is>
      </c>
      <c r="D31" s="14" t="inlineStr">
        <is>
          <t>Standard</t>
        </is>
      </c>
      <c r="E31" s="14" t="n">
        <v>100</v>
      </c>
      <c r="F31" s="15">
        <f>E31*2</f>
        <v/>
      </c>
      <c r="G31" s="14" t="inlineStr">
        <is>
          <t>1234567830</t>
        </is>
      </c>
      <c r="H31" s="14" t="inlineStr">
        <is>
          <t>GS</t>
        </is>
      </c>
      <c r="I31" s="14" t="n">
        <v>130</v>
      </c>
      <c r="J31" s="14" t="n">
        <v>455000</v>
      </c>
      <c r="K31" s="14" t="n">
        <v>2340</v>
      </c>
      <c r="L31" s="14" t="inlineStr">
        <is>
          <t>FEEDER-40A</t>
        </is>
      </c>
      <c r="M31" s="15">
        <f>IF(D31="Emergency Ops","Yes",IF(D31="911 Center","Yes",IF(D31="Police","Yes",IF(D31="Fire","Yes","No"))))</f>
        <v/>
      </c>
      <c r="N31" s="15">
        <f>IFERROR(VLOOKUP(A31,'Prioritization Scoring'!$A:$X,24,FALSE),0)</f>
        <v/>
      </c>
      <c r="O31" s="15">
        <f>IF(N31&gt;=76,1,IF(N31&gt;=51,2,3))</f>
        <v/>
      </c>
      <c r="P31" s="14" t="inlineStr"/>
    </row>
    <row r="32">
      <c r="A32" t="inlineStr">
        <is>
          <t>B031</t>
        </is>
      </c>
      <c r="B32" s="14" t="inlineStr">
        <is>
          <t>Municipal Building #31</t>
        </is>
      </c>
      <c r="C32" s="14" t="inlineStr">
        <is>
          <t>4100 Example St, San Antonio, TX 78201</t>
        </is>
      </c>
      <c r="D32" s="14" t="inlineStr">
        <is>
          <t>Standard</t>
        </is>
      </c>
      <c r="E32" s="14" t="n">
        <v>125</v>
      </c>
      <c r="F32" s="15">
        <f>E32*2</f>
        <v/>
      </c>
      <c r="G32" s="14" t="inlineStr">
        <is>
          <t>1234567831</t>
        </is>
      </c>
      <c r="H32" s="14" t="inlineStr">
        <is>
          <t>LGS</t>
        </is>
      </c>
      <c r="I32" s="14" t="n">
        <v>165</v>
      </c>
      <c r="J32" s="14" t="n">
        <v>577500</v>
      </c>
      <c r="K32" s="14" t="n">
        <v>2970</v>
      </c>
      <c r="L32" s="14" t="inlineStr">
        <is>
          <t>FEEDER-41A</t>
        </is>
      </c>
      <c r="M32" s="15">
        <f>IF(D32="Emergency Ops","Yes",IF(D32="911 Center","Yes",IF(D32="Police","Yes",IF(D32="Fire","Yes","No"))))</f>
        <v/>
      </c>
      <c r="N32" s="15">
        <f>IFERROR(VLOOKUP(A32,'Prioritization Scoring'!$A:$X,24,FALSE),0)</f>
        <v/>
      </c>
      <c r="O32" s="15">
        <f>IF(N32&gt;=76,1,IF(N32&gt;=51,2,3))</f>
        <v/>
      </c>
      <c r="P32" s="14" t="inlineStr"/>
    </row>
    <row r="33">
      <c r="A33" t="inlineStr">
        <is>
          <t>B032</t>
        </is>
      </c>
      <c r="B33" s="14" t="inlineStr">
        <is>
          <t>Municipal Building #32</t>
        </is>
      </c>
      <c r="C33" s="14" t="inlineStr">
        <is>
          <t>4200 Example St, San Antonio, TX 78201</t>
        </is>
      </c>
      <c r="D33" s="14" t="inlineStr">
        <is>
          <t>Standard</t>
        </is>
      </c>
      <c r="E33" s="14" t="n">
        <v>150</v>
      </c>
      <c r="F33" s="15">
        <f>E33*2</f>
        <v/>
      </c>
      <c r="G33" s="14" t="inlineStr">
        <is>
          <t>1234567832</t>
        </is>
      </c>
      <c r="H33" s="14" t="inlineStr">
        <is>
          <t>LGS</t>
        </is>
      </c>
      <c r="I33" s="14" t="n">
        <v>200</v>
      </c>
      <c r="J33" s="14" t="n">
        <v>700000</v>
      </c>
      <c r="K33" s="14" t="n">
        <v>3600</v>
      </c>
      <c r="L33" s="14" t="inlineStr">
        <is>
          <t>FEEDER-42A</t>
        </is>
      </c>
      <c r="M33" s="15">
        <f>IF(D33="Emergency Ops","Yes",IF(D33="911 Center","Yes",IF(D33="Police","Yes",IF(D33="Fire","Yes","No"))))</f>
        <v/>
      </c>
      <c r="N33" s="15">
        <f>IFERROR(VLOOKUP(A33,'Prioritization Scoring'!$A:$X,24,FALSE),0)</f>
        <v/>
      </c>
      <c r="O33" s="15">
        <f>IF(N33&gt;=76,1,IF(N33&gt;=51,2,3))</f>
        <v/>
      </c>
      <c r="P33" s="14" t="inlineStr"/>
    </row>
    <row r="34">
      <c r="A34" t="inlineStr">
        <is>
          <t>B033</t>
        </is>
      </c>
      <c r="B34" s="14" t="inlineStr">
        <is>
          <t>Municipal Building #33</t>
        </is>
      </c>
      <c r="C34" s="14" t="inlineStr">
        <is>
          <t>4300 Example St, San Antonio, TX 78201</t>
        </is>
      </c>
      <c r="D34" s="14" t="inlineStr">
        <is>
          <t>Standard</t>
        </is>
      </c>
      <c r="E34" s="14" t="n">
        <v>100</v>
      </c>
      <c r="F34" s="15">
        <f>E34*2</f>
        <v/>
      </c>
      <c r="G34" s="14" t="inlineStr">
        <is>
          <t>1234567833</t>
        </is>
      </c>
      <c r="H34" s="14" t="inlineStr">
        <is>
          <t>LGS</t>
        </is>
      </c>
      <c r="I34" s="14" t="n">
        <v>160</v>
      </c>
      <c r="J34" s="14" t="n">
        <v>560000</v>
      </c>
      <c r="K34" s="14" t="n">
        <v>2880</v>
      </c>
      <c r="L34" s="14" t="inlineStr">
        <is>
          <t>FEEDER-43A</t>
        </is>
      </c>
      <c r="M34" s="15">
        <f>IF(D34="Emergency Ops","Yes",IF(D34="911 Center","Yes",IF(D34="Police","Yes",IF(D34="Fire","Yes","No"))))</f>
        <v/>
      </c>
      <c r="N34" s="15">
        <f>IFERROR(VLOOKUP(A34,'Prioritization Scoring'!$A:$X,24,FALSE),0)</f>
        <v/>
      </c>
      <c r="O34" s="15">
        <f>IF(N34&gt;=76,1,IF(N34&gt;=51,2,3))</f>
        <v/>
      </c>
      <c r="P34" s="14" t="inlineStr"/>
    </row>
    <row r="35">
      <c r="A35" t="inlineStr">
        <is>
          <t>B034</t>
        </is>
      </c>
      <c r="B35" s="14" t="inlineStr">
        <is>
          <t>Municipal Building #34</t>
        </is>
      </c>
      <c r="C35" s="14" t="inlineStr">
        <is>
          <t>4400 Example St, San Antonio, TX 78201</t>
        </is>
      </c>
      <c r="D35" s="14" t="inlineStr">
        <is>
          <t>Standard</t>
        </is>
      </c>
      <c r="E35" s="14" t="n">
        <v>125</v>
      </c>
      <c r="F35" s="15">
        <f>E35*2</f>
        <v/>
      </c>
      <c r="G35" s="14" t="inlineStr">
        <is>
          <t>1234567834</t>
        </is>
      </c>
      <c r="H35" s="14" t="inlineStr">
        <is>
          <t>LGS</t>
        </is>
      </c>
      <c r="I35" s="14" t="n">
        <v>195</v>
      </c>
      <c r="J35" s="14" t="n">
        <v>682500</v>
      </c>
      <c r="K35" s="14" t="n">
        <v>3510</v>
      </c>
      <c r="L35" s="14" t="inlineStr">
        <is>
          <t>FEEDER-44A</t>
        </is>
      </c>
      <c r="M35" s="15">
        <f>IF(D35="Emergency Ops","Yes",IF(D35="911 Center","Yes",IF(D35="Police","Yes",IF(D35="Fire","Yes","No"))))</f>
        <v/>
      </c>
      <c r="N35" s="15">
        <f>IFERROR(VLOOKUP(A35,'Prioritization Scoring'!$A:$X,24,FALSE),0)</f>
        <v/>
      </c>
      <c r="O35" s="15">
        <f>IF(N35&gt;=76,1,IF(N35&gt;=51,2,3))</f>
        <v/>
      </c>
      <c r="P35" s="14" t="inlineStr"/>
    </row>
    <row r="36">
      <c r="A36" t="inlineStr">
        <is>
          <t>B035</t>
        </is>
      </c>
      <c r="B36" s="14" t="inlineStr">
        <is>
          <t>Municipal Building #35</t>
        </is>
      </c>
      <c r="C36" s="14" t="inlineStr">
        <is>
          <t>4500 Example St, San Antonio, TX 78201</t>
        </is>
      </c>
      <c r="D36" s="14" t="inlineStr">
        <is>
          <t>Standard</t>
        </is>
      </c>
      <c r="E36" s="14" t="n">
        <v>150</v>
      </c>
      <c r="F36" s="15">
        <f>E36*2</f>
        <v/>
      </c>
      <c r="G36" s="14" t="inlineStr">
        <is>
          <t>1234567835</t>
        </is>
      </c>
      <c r="H36" s="14" t="inlineStr">
        <is>
          <t>LGS</t>
        </is>
      </c>
      <c r="I36" s="14" t="n">
        <v>180</v>
      </c>
      <c r="J36" s="14" t="n">
        <v>630000</v>
      </c>
      <c r="K36" s="14" t="n">
        <v>3240</v>
      </c>
      <c r="L36" s="14" t="inlineStr">
        <is>
          <t>FEEDER-45A</t>
        </is>
      </c>
      <c r="M36" s="15">
        <f>IF(D36="Emergency Ops","Yes",IF(D36="911 Center","Yes",IF(D36="Police","Yes",IF(D36="Fire","Yes","No"))))</f>
        <v/>
      </c>
      <c r="N36" s="15">
        <f>IFERROR(VLOOKUP(A36,'Prioritization Scoring'!$A:$X,24,FALSE),0)</f>
        <v/>
      </c>
      <c r="O36" s="15">
        <f>IF(N36&gt;=76,1,IF(N36&gt;=51,2,3))</f>
        <v/>
      </c>
      <c r="P36" s="14" t="inlineStr"/>
    </row>
    <row r="37">
      <c r="A37" t="inlineStr">
        <is>
          <t>B036</t>
        </is>
      </c>
      <c r="B37" s="14" t="inlineStr">
        <is>
          <t>Municipal Building #36</t>
        </is>
      </c>
      <c r="C37" s="14" t="inlineStr">
        <is>
          <t>4600 Example St, San Antonio, TX 78201</t>
        </is>
      </c>
      <c r="D37" s="14" t="inlineStr">
        <is>
          <t>Standard</t>
        </is>
      </c>
      <c r="E37" s="14" t="n">
        <v>100</v>
      </c>
      <c r="F37" s="15">
        <f>E37*2</f>
        <v/>
      </c>
      <c r="G37" s="14" t="inlineStr">
        <is>
          <t>1234567836</t>
        </is>
      </c>
      <c r="H37" s="14" t="inlineStr">
        <is>
          <t>GS</t>
        </is>
      </c>
      <c r="I37" s="14" t="n">
        <v>140</v>
      </c>
      <c r="J37" s="14" t="n">
        <v>490000</v>
      </c>
      <c r="K37" s="14" t="n">
        <v>2520</v>
      </c>
      <c r="L37" s="14" t="inlineStr">
        <is>
          <t>FEEDER-46A</t>
        </is>
      </c>
      <c r="M37" s="15">
        <f>IF(D37="Emergency Ops","Yes",IF(D37="911 Center","Yes",IF(D37="Police","Yes",IF(D37="Fire","Yes","No"))))</f>
        <v/>
      </c>
      <c r="N37" s="15">
        <f>IFERROR(VLOOKUP(A37,'Prioritization Scoring'!$A:$X,24,FALSE),0)</f>
        <v/>
      </c>
      <c r="O37" s="15">
        <f>IF(N37&gt;=76,1,IF(N37&gt;=51,2,3))</f>
        <v/>
      </c>
      <c r="P37" s="14" t="inlineStr"/>
    </row>
    <row r="38">
      <c r="A38" t="inlineStr">
        <is>
          <t>B037</t>
        </is>
      </c>
      <c r="B38" s="14" t="inlineStr">
        <is>
          <t>Municipal Building #37</t>
        </is>
      </c>
      <c r="C38" s="14" t="inlineStr">
        <is>
          <t>4700 Example St, San Antonio, TX 78201</t>
        </is>
      </c>
      <c r="D38" s="14" t="inlineStr">
        <is>
          <t>Standard</t>
        </is>
      </c>
      <c r="E38" s="14" t="n">
        <v>125</v>
      </c>
      <c r="F38" s="15">
        <f>E38*2</f>
        <v/>
      </c>
      <c r="G38" s="14" t="inlineStr">
        <is>
          <t>1234567837</t>
        </is>
      </c>
      <c r="H38" s="14" t="inlineStr">
        <is>
          <t>LGS</t>
        </is>
      </c>
      <c r="I38" s="14" t="n">
        <v>175</v>
      </c>
      <c r="J38" s="14" t="n">
        <v>612500</v>
      </c>
      <c r="K38" s="14" t="n">
        <v>3150</v>
      </c>
      <c r="L38" s="14" t="inlineStr">
        <is>
          <t>FEEDER-47A</t>
        </is>
      </c>
      <c r="M38" s="15">
        <f>IF(D38="Emergency Ops","Yes",IF(D38="911 Center","Yes",IF(D38="Police","Yes",IF(D38="Fire","Yes","No"))))</f>
        <v/>
      </c>
      <c r="N38" s="15">
        <f>IFERROR(VLOOKUP(A38,'Prioritization Scoring'!$A:$X,24,FALSE),0)</f>
        <v/>
      </c>
      <c r="O38" s="15">
        <f>IF(N38&gt;=76,1,IF(N38&gt;=51,2,3))</f>
        <v/>
      </c>
      <c r="P38" s="14" t="inlineStr"/>
    </row>
    <row r="39">
      <c r="A39" t="inlineStr">
        <is>
          <t>B038</t>
        </is>
      </c>
      <c r="B39" s="14" t="inlineStr">
        <is>
          <t>Municipal Building #38</t>
        </is>
      </c>
      <c r="C39" s="14" t="inlineStr">
        <is>
          <t>4800 Example St, San Antonio, TX 78201</t>
        </is>
      </c>
      <c r="D39" s="14" t="inlineStr">
        <is>
          <t>Standard</t>
        </is>
      </c>
      <c r="E39" s="14" t="n">
        <v>150</v>
      </c>
      <c r="F39" s="15">
        <f>E39*2</f>
        <v/>
      </c>
      <c r="G39" s="14" t="inlineStr">
        <is>
          <t>1234567838</t>
        </is>
      </c>
      <c r="H39" s="14" t="inlineStr">
        <is>
          <t>LGS</t>
        </is>
      </c>
      <c r="I39" s="14" t="n">
        <v>210</v>
      </c>
      <c r="J39" s="14" t="n">
        <v>735000</v>
      </c>
      <c r="K39" s="14" t="n">
        <v>3780</v>
      </c>
      <c r="L39" s="14" t="inlineStr">
        <is>
          <t>FEEDER-48A</t>
        </is>
      </c>
      <c r="M39" s="15">
        <f>IF(D39="Emergency Ops","Yes",IF(D39="911 Center","Yes",IF(D39="Police","Yes",IF(D39="Fire","Yes","No"))))</f>
        <v/>
      </c>
      <c r="N39" s="15">
        <f>IFERROR(VLOOKUP(A39,'Prioritization Scoring'!$A:$X,24,FALSE),0)</f>
        <v/>
      </c>
      <c r="O39" s="15">
        <f>IF(N39&gt;=76,1,IF(N39&gt;=51,2,3))</f>
        <v/>
      </c>
      <c r="P39" s="14" t="inlineStr"/>
    </row>
  </sheetData>
  <conditionalFormatting sqref="N2:N39">
    <cfRule type="colorScale" priority="1">
      <colorScale>
        <cfvo type="num" val="0"/>
        <cfvo type="num" val="50"/>
        <cfvo type="num" val="100"/>
        <color rgb="00F8696B"/>
        <color rgb="00FFEB84"/>
        <color rgb="0063BE7B"/>
      </colorScale>
    </cfRule>
  </conditionalFormatting>
  <conditionalFormatting sqref="O2:O39">
    <cfRule type="cellIs" priority="2" operator="equal" dxfId="0">
      <formula>1</formula>
    </cfRule>
    <cfRule type="cellIs" priority="3" operator="equal" dxfId="1">
      <formula>2</formula>
    </cfRule>
    <cfRule type="cellIs" priority="4" operator="equal" dxfId="2">
      <formula>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</cols>
  <sheetData>
    <row r="1">
      <c r="A1" s="16" t="inlineStr">
        <is>
          <t>Building-Specific Revenue Streams</t>
        </is>
      </c>
    </row>
    <row r="2">
      <c r="A2" s="13" t="inlineStr">
        <is>
          <t>Building ID</t>
        </is>
      </c>
      <c r="B2" s="13" t="inlineStr">
        <is>
          <t>BESS (kW)</t>
        </is>
      </c>
      <c r="C2" s="13" t="inlineStr">
        <is>
          <t>1. Demand Charge</t>
        </is>
      </c>
      <c r="D2" s="13" t="inlineStr">
        <is>
          <t>Summer Demand (kW)</t>
        </is>
      </c>
      <c r="E2" s="13" t="inlineStr">
        <is>
          <t>Winter Demand (kW)</t>
        </is>
      </c>
      <c r="F2" s="13" t="inlineStr">
        <is>
          <t>Summer Rate ($/kW-mo)</t>
        </is>
      </c>
      <c r="G2" s="13" t="inlineStr">
        <is>
          <t>Winter Rate ($/kW-mo)</t>
        </is>
      </c>
      <c r="H2" s="13" t="inlineStr">
        <is>
          <t>Peak Reduction %</t>
        </is>
      </c>
      <c r="I2" s="13" t="inlineStr">
        <is>
          <t>Annual Savings ($)</t>
        </is>
      </c>
      <c r="J2" s="13" t="inlineStr">
        <is>
          <t>$/kW-year</t>
        </is>
      </c>
      <c r="K2" s="13" t="inlineStr">
        <is>
          <t>2. CPS Energy DR</t>
        </is>
      </c>
      <c r="L2" s="13" t="inlineStr">
        <is>
          <t>Expected Events</t>
        </is>
      </c>
      <c r="M2" s="13" t="inlineStr">
        <is>
          <t>Summer Rate ($/kW-season)</t>
        </is>
      </c>
      <c r="N2" s="13" t="inlineStr">
        <is>
          <t>Winter Rate ($/kW-total)</t>
        </is>
      </c>
      <c r="O2" s="13" t="inlineStr">
        <is>
          <t>Annual Revenue ($)</t>
        </is>
      </c>
      <c r="P2" s="13" t="inlineStr">
        <is>
          <t>$/kW-year</t>
        </is>
      </c>
      <c r="Q2" s="13" t="inlineStr">
        <is>
          <t>3. ERCOT Call Option</t>
        </is>
      </c>
      <c r="R2" s="13" t="inlineStr">
        <is>
          <t>Call Value ($/kW-month)</t>
        </is>
      </c>
      <c r="S2" s="13" t="inlineStr">
        <is>
          <t>Annual Revenue ($)</t>
        </is>
      </c>
      <c r="T2" s="13" t="inlineStr">
        <is>
          <t>$/kW-year</t>
        </is>
      </c>
      <c r="U2" s="13" t="inlineStr">
        <is>
          <t>4. Infrastructure Deferral</t>
        </is>
      </c>
      <c r="V2" s="13" t="inlineStr">
        <is>
          <t>Feeder Upgrade Cost ($)</t>
        </is>
      </c>
      <c r="W2" s="13" t="inlineStr">
        <is>
          <t>Feeder Capacity (kW)</t>
        </is>
      </c>
      <c r="X2" s="13" t="inlineStr">
        <is>
          <t>Years Deferred</t>
        </is>
      </c>
      <c r="Y2" s="13" t="inlineStr">
        <is>
          <t>Proportional Deferral ($)</t>
        </is>
      </c>
      <c r="Z2" s="13" t="inlineStr">
        <is>
          <t>Annualized Value ($)</t>
        </is>
      </c>
      <c r="AA2" s="13" t="inlineStr">
        <is>
          <t>$/kW-year</t>
        </is>
      </c>
      <c r="AB2" s="13" t="inlineStr">
        <is>
          <t>5. Resilience Value</t>
        </is>
      </c>
      <c r="AC2" s="13" t="inlineStr">
        <is>
          <t>VOLL ($/kWh)</t>
        </is>
      </c>
      <c r="AD2" s="13" t="inlineStr">
        <is>
          <t>Outage Hours/year</t>
        </is>
      </c>
      <c r="AE2" s="13" t="inlineStr">
        <is>
          <t>Critical Load (kW)</t>
        </is>
      </c>
      <c r="AF2" s="13" t="inlineStr">
        <is>
          <t>Annual Value ($)</t>
        </is>
      </c>
      <c r="AG2" s="13" t="inlineStr">
        <is>
          <t>$/kW-year</t>
        </is>
      </c>
      <c r="AH2" s="13" t="inlineStr">
        <is>
          <t>6. Energy Arbitrage</t>
        </is>
      </c>
      <c r="AI2" s="13" t="inlineStr">
        <is>
          <t>Annual Cycles</t>
        </is>
      </c>
      <c r="AJ2" s="13" t="inlineStr">
        <is>
          <t>Margin per Cycle ($)</t>
        </is>
      </c>
      <c r="AK2" s="13" t="inlineStr">
        <is>
          <t>Annual Value ($)</t>
        </is>
      </c>
      <c r="AL2" s="13" t="inlineStr">
        <is>
          <t>$/kW-year</t>
        </is>
      </c>
      <c r="AM2" s="13" t="inlineStr">
        <is>
          <t>TOTAL VALUE</t>
        </is>
      </c>
      <c r="AN2" s="13" t="inlineStr">
        <is>
          <t>Total Annual ($)</t>
        </is>
      </c>
      <c r="AO2" s="13" t="inlineStr">
        <is>
          <t>$/kW-year</t>
        </is>
      </c>
    </row>
    <row r="3">
      <c r="A3" t="inlineStr">
        <is>
          <t>B001</t>
        </is>
      </c>
      <c r="B3" s="15">
        <f>'Building Inventory'!E2</f>
        <v/>
      </c>
      <c r="C3" t="inlineStr"/>
      <c r="D3" s="15">
        <f>'Building Inventory'!I2</f>
        <v/>
      </c>
      <c r="E3" s="15">
        <f>='Building Inventory'!I2*0.85</f>
        <v/>
      </c>
      <c r="F3" s="14" t="n">
        <v>22</v>
      </c>
      <c r="G3" s="14" t="n">
        <v>12</v>
      </c>
      <c r="H3" s="14" t="n">
        <v>0.8</v>
      </c>
      <c r="I3" s="17">
        <f>(D3*F3*4 + E3*G3*8)*H3</f>
        <v/>
      </c>
      <c r="J3" s="18">
        <f>I3/B3</f>
        <v/>
      </c>
      <c r="K3" t="inlineStr"/>
      <c r="L3" s="14" t="n">
        <v>25</v>
      </c>
      <c r="M3" s="14" t="n">
        <v>73</v>
      </c>
      <c r="N3" s="14" t="n">
        <v>45</v>
      </c>
      <c r="O3" s="17">
        <f>B3*(M3 + (N3*L3/25))</f>
        <v/>
      </c>
      <c r="P3" s="18">
        <f>O3/B3</f>
        <v/>
      </c>
      <c r="Q3" t="inlineStr"/>
      <c r="R3" s="14" t="n">
        <v>8.5</v>
      </c>
      <c r="S3" s="17">
        <f>B3*R3*12</f>
        <v/>
      </c>
      <c r="T3" s="18">
        <f>S3/B3</f>
        <v/>
      </c>
      <c r="U3" t="inlineStr"/>
      <c r="V3" s="19" t="n">
        <v>2000000</v>
      </c>
      <c r="W3" s="14" t="n">
        <v>500</v>
      </c>
      <c r="X3" s="14" t="n">
        <v>7</v>
      </c>
      <c r="Y3" s="17">
        <f>V3*(B3/W3)</f>
        <v/>
      </c>
      <c r="Z3" s="17">
        <f>IF(Y3&gt;0,-PMT(0.05,20,Y3),0)</f>
        <v/>
      </c>
      <c r="AA3" s="18">
        <f>IF(B3&gt;0,Z3/B3,0)</f>
        <v/>
      </c>
      <c r="AB3" t="inlineStr"/>
      <c r="AC3" s="15">
        <f>IF('Building Inventory'!D2="Emergency Ops",60,IF('Building Inventory'!D2="911 Center",50,IF('Building Inventory'!D2="Police",40,IF('Building Inventory'!D2="Fire",40,IF('Building Inventory'!D2="Water Control",30,5)))))</f>
        <v/>
      </c>
      <c r="AD3" s="15">
        <f>IF('Building Inventory'!M2="Yes",10,5)</f>
        <v/>
      </c>
      <c r="AE3" s="15">
        <f>B3*0.75</f>
        <v/>
      </c>
      <c r="AF3" s="17">
        <f>AC3*AD3*AE3</f>
        <v/>
      </c>
      <c r="AG3" s="18">
        <f>AF3/B3</f>
        <v/>
      </c>
      <c r="AH3" t="inlineStr"/>
      <c r="AI3" s="14" t="n">
        <v>220</v>
      </c>
      <c r="AJ3" s="15">
        <f>(B3*2)*0.058</f>
        <v/>
      </c>
      <c r="AK3" s="17">
        <f>AI3*AJ3</f>
        <v/>
      </c>
      <c r="AL3" s="18">
        <f>AK3/B3</f>
        <v/>
      </c>
      <c r="AM3" t="inlineStr"/>
      <c r="AN3" s="17">
        <f>SUM(I3,O3,S3,Z3,AF3,AK3)</f>
        <v/>
      </c>
      <c r="AO3" s="18">
        <f>AN3/B3</f>
        <v/>
      </c>
    </row>
    <row r="4">
      <c r="A4" t="inlineStr">
        <is>
          <t>B002</t>
        </is>
      </c>
      <c r="B4" s="15">
        <f>'Building Inventory'!E3</f>
        <v/>
      </c>
      <c r="C4" t="inlineStr"/>
      <c r="D4" s="15">
        <f>'Building Inventory'!I3</f>
        <v/>
      </c>
      <c r="E4" s="15">
        <f>='Building Inventory'!I3*0.85</f>
        <v/>
      </c>
      <c r="F4" s="14" t="n">
        <v>22</v>
      </c>
      <c r="G4" s="14" t="n">
        <v>12</v>
      </c>
      <c r="H4" s="14" t="n">
        <v>0.8</v>
      </c>
      <c r="I4" s="17">
        <f>(D4*F4*4 + E4*G4*8)*H4</f>
        <v/>
      </c>
      <c r="J4" s="18">
        <f>I4/B4</f>
        <v/>
      </c>
      <c r="K4" t="inlineStr"/>
      <c r="L4" s="14" t="n">
        <v>25</v>
      </c>
      <c r="M4" s="14" t="n">
        <v>73</v>
      </c>
      <c r="N4" s="14" t="n">
        <v>45</v>
      </c>
      <c r="O4" s="17">
        <f>B4*(M4 + (N4*L4/25))</f>
        <v/>
      </c>
      <c r="P4" s="18">
        <f>O4/B4</f>
        <v/>
      </c>
      <c r="Q4" t="inlineStr"/>
      <c r="R4" s="14" t="n">
        <v>8.5</v>
      </c>
      <c r="S4" s="17">
        <f>B4*R4*12</f>
        <v/>
      </c>
      <c r="T4" s="18">
        <f>S4/B4</f>
        <v/>
      </c>
      <c r="U4" t="inlineStr"/>
      <c r="V4" s="19" t="n">
        <v>2000000</v>
      </c>
      <c r="W4" s="14" t="n">
        <v>500</v>
      </c>
      <c r="X4" s="14" t="n">
        <v>7</v>
      </c>
      <c r="Y4" s="17">
        <f>V4*(B4/W4)</f>
        <v/>
      </c>
      <c r="Z4" s="17">
        <f>IF(Y4&gt;0,-PMT(0.05,20,Y4),0)</f>
        <v/>
      </c>
      <c r="AA4" s="18">
        <f>IF(B4&gt;0,Z4/B4,0)</f>
        <v/>
      </c>
      <c r="AB4" t="inlineStr"/>
      <c r="AC4" s="15">
        <f>IF('Building Inventory'!D3="Emergency Ops",60,IF('Building Inventory'!D3="911 Center",50,IF('Building Inventory'!D3="Police",40,IF('Building Inventory'!D3="Fire",40,IF('Building Inventory'!D3="Water Control",30,5)))))</f>
        <v/>
      </c>
      <c r="AD4" s="15">
        <f>IF('Building Inventory'!M3="Yes",10,5)</f>
        <v/>
      </c>
      <c r="AE4" s="15">
        <f>B4*0.75</f>
        <v/>
      </c>
      <c r="AF4" s="17">
        <f>AC4*AD4*AE4</f>
        <v/>
      </c>
      <c r="AG4" s="18">
        <f>AF4/B4</f>
        <v/>
      </c>
      <c r="AH4" t="inlineStr"/>
      <c r="AI4" s="14" t="n">
        <v>220</v>
      </c>
      <c r="AJ4" s="15">
        <f>(B4*2)*0.058</f>
        <v/>
      </c>
      <c r="AK4" s="17">
        <f>AI4*AJ4</f>
        <v/>
      </c>
      <c r="AL4" s="18">
        <f>AK4/B4</f>
        <v/>
      </c>
      <c r="AM4" t="inlineStr"/>
      <c r="AN4" s="17">
        <f>SUM(I4,O4,S4,Z4,AF4,AK4)</f>
        <v/>
      </c>
      <c r="AO4" s="18">
        <f>AN4/B4</f>
        <v/>
      </c>
    </row>
    <row r="5">
      <c r="A5" t="inlineStr">
        <is>
          <t>B003</t>
        </is>
      </c>
      <c r="B5" s="15">
        <f>'Building Inventory'!E4</f>
        <v/>
      </c>
      <c r="C5" t="inlineStr"/>
      <c r="D5" s="15">
        <f>'Building Inventory'!I4</f>
        <v/>
      </c>
      <c r="E5" s="15">
        <f>='Building Inventory'!I4*0.85</f>
        <v/>
      </c>
      <c r="F5" s="14" t="n">
        <v>22</v>
      </c>
      <c r="G5" s="14" t="n">
        <v>12</v>
      </c>
      <c r="H5" s="14" t="n">
        <v>0.8</v>
      </c>
      <c r="I5" s="17">
        <f>(D5*F5*4 + E5*G5*8)*H5</f>
        <v/>
      </c>
      <c r="J5" s="18">
        <f>I5/B5</f>
        <v/>
      </c>
      <c r="K5" t="inlineStr"/>
      <c r="L5" s="14" t="n">
        <v>25</v>
      </c>
      <c r="M5" s="14" t="n">
        <v>73</v>
      </c>
      <c r="N5" s="14" t="n">
        <v>45</v>
      </c>
      <c r="O5" s="17">
        <f>B5*(M5 + (N5*L5/25))</f>
        <v/>
      </c>
      <c r="P5" s="18">
        <f>O5/B5</f>
        <v/>
      </c>
      <c r="Q5" t="inlineStr"/>
      <c r="R5" s="14" t="n">
        <v>8.5</v>
      </c>
      <c r="S5" s="17">
        <f>B5*R5*12</f>
        <v/>
      </c>
      <c r="T5" s="18">
        <f>S5/B5</f>
        <v/>
      </c>
      <c r="U5" t="inlineStr"/>
      <c r="V5" s="19" t="n">
        <v>2000000</v>
      </c>
      <c r="W5" s="14" t="n">
        <v>500</v>
      </c>
      <c r="X5" s="14" t="n">
        <v>7</v>
      </c>
      <c r="Y5" s="17">
        <f>V5*(B5/W5)</f>
        <v/>
      </c>
      <c r="Z5" s="17">
        <f>IF(Y5&gt;0,-PMT(0.05,20,Y5),0)</f>
        <v/>
      </c>
      <c r="AA5" s="18">
        <f>IF(B5&gt;0,Z5/B5,0)</f>
        <v/>
      </c>
      <c r="AB5" t="inlineStr"/>
      <c r="AC5" s="15">
        <f>IF('Building Inventory'!D4="Emergency Ops",60,IF('Building Inventory'!D4="911 Center",50,IF('Building Inventory'!D4="Police",40,IF('Building Inventory'!D4="Fire",40,IF('Building Inventory'!D4="Water Control",30,5)))))</f>
        <v/>
      </c>
      <c r="AD5" s="15">
        <f>IF('Building Inventory'!M4="Yes",10,5)</f>
        <v/>
      </c>
      <c r="AE5" s="15">
        <f>B5*0.75</f>
        <v/>
      </c>
      <c r="AF5" s="17">
        <f>AC5*AD5*AE5</f>
        <v/>
      </c>
      <c r="AG5" s="18">
        <f>AF5/B5</f>
        <v/>
      </c>
      <c r="AH5" t="inlineStr"/>
      <c r="AI5" s="14" t="n">
        <v>220</v>
      </c>
      <c r="AJ5" s="15">
        <f>(B5*2)*0.058</f>
        <v/>
      </c>
      <c r="AK5" s="17">
        <f>AI5*AJ5</f>
        <v/>
      </c>
      <c r="AL5" s="18">
        <f>AK5/B5</f>
        <v/>
      </c>
      <c r="AM5" t="inlineStr"/>
      <c r="AN5" s="17">
        <f>SUM(I5,O5,S5,Z5,AF5,AK5)</f>
        <v/>
      </c>
      <c r="AO5" s="18">
        <f>AN5/B5</f>
        <v/>
      </c>
    </row>
    <row r="6">
      <c r="A6" t="inlineStr">
        <is>
          <t>B004</t>
        </is>
      </c>
      <c r="B6" s="15">
        <f>'Building Inventory'!E5</f>
        <v/>
      </c>
      <c r="C6" t="inlineStr"/>
      <c r="D6" s="15">
        <f>'Building Inventory'!I5</f>
        <v/>
      </c>
      <c r="E6" s="15">
        <f>='Building Inventory'!I5*0.85</f>
        <v/>
      </c>
      <c r="F6" s="14" t="n">
        <v>22</v>
      </c>
      <c r="G6" s="14" t="n">
        <v>12</v>
      </c>
      <c r="H6" s="14" t="n">
        <v>0.8</v>
      </c>
      <c r="I6" s="17">
        <f>(D6*F6*4 + E6*G6*8)*H6</f>
        <v/>
      </c>
      <c r="J6" s="18">
        <f>I6/B6</f>
        <v/>
      </c>
      <c r="K6" t="inlineStr"/>
      <c r="L6" s="14" t="n">
        <v>25</v>
      </c>
      <c r="M6" s="14" t="n">
        <v>73</v>
      </c>
      <c r="N6" s="14" t="n">
        <v>45</v>
      </c>
      <c r="O6" s="17">
        <f>B6*(M6 + (N6*L6/25))</f>
        <v/>
      </c>
      <c r="P6" s="18">
        <f>O6/B6</f>
        <v/>
      </c>
      <c r="Q6" t="inlineStr"/>
      <c r="R6" s="14" t="n">
        <v>8.5</v>
      </c>
      <c r="S6" s="17">
        <f>B6*R6*12</f>
        <v/>
      </c>
      <c r="T6" s="18">
        <f>S6/B6</f>
        <v/>
      </c>
      <c r="U6" t="inlineStr"/>
      <c r="V6" s="19" t="n">
        <v>2000000</v>
      </c>
      <c r="W6" s="14" t="n">
        <v>500</v>
      </c>
      <c r="X6" s="14" t="n">
        <v>7</v>
      </c>
      <c r="Y6" s="17">
        <f>V6*(B6/W6)</f>
        <v/>
      </c>
      <c r="Z6" s="17">
        <f>IF(Y6&gt;0,-PMT(0.05,20,Y6),0)</f>
        <v/>
      </c>
      <c r="AA6" s="18">
        <f>IF(B6&gt;0,Z6/B6,0)</f>
        <v/>
      </c>
      <c r="AB6" t="inlineStr"/>
      <c r="AC6" s="15">
        <f>IF('Building Inventory'!D5="Emergency Ops",60,IF('Building Inventory'!D5="911 Center",50,IF('Building Inventory'!D5="Police",40,IF('Building Inventory'!D5="Fire",40,IF('Building Inventory'!D5="Water Control",30,5)))))</f>
        <v/>
      </c>
      <c r="AD6" s="15">
        <f>IF('Building Inventory'!M5="Yes",10,5)</f>
        <v/>
      </c>
      <c r="AE6" s="15">
        <f>B6*0.75</f>
        <v/>
      </c>
      <c r="AF6" s="17">
        <f>AC6*AD6*AE6</f>
        <v/>
      </c>
      <c r="AG6" s="18">
        <f>AF6/B6</f>
        <v/>
      </c>
      <c r="AH6" t="inlineStr"/>
      <c r="AI6" s="14" t="n">
        <v>220</v>
      </c>
      <c r="AJ6" s="15">
        <f>(B6*2)*0.058</f>
        <v/>
      </c>
      <c r="AK6" s="17">
        <f>AI6*AJ6</f>
        <v/>
      </c>
      <c r="AL6" s="18">
        <f>AK6/B6</f>
        <v/>
      </c>
      <c r="AM6" t="inlineStr"/>
      <c r="AN6" s="17">
        <f>SUM(I6,O6,S6,Z6,AF6,AK6)</f>
        <v/>
      </c>
      <c r="AO6" s="18">
        <f>AN6/B6</f>
        <v/>
      </c>
    </row>
    <row r="7">
      <c r="A7" t="inlineStr">
        <is>
          <t>B005</t>
        </is>
      </c>
      <c r="B7" s="15">
        <f>'Building Inventory'!E6</f>
        <v/>
      </c>
      <c r="C7" t="inlineStr"/>
      <c r="D7" s="15">
        <f>'Building Inventory'!I6</f>
        <v/>
      </c>
      <c r="E7" s="15">
        <f>='Building Inventory'!I6*0.85</f>
        <v/>
      </c>
      <c r="F7" s="14" t="n">
        <v>22</v>
      </c>
      <c r="G7" s="14" t="n">
        <v>12</v>
      </c>
      <c r="H7" s="14" t="n">
        <v>0.8</v>
      </c>
      <c r="I7" s="17">
        <f>(D7*F7*4 + E7*G7*8)*H7</f>
        <v/>
      </c>
      <c r="J7" s="18">
        <f>I7/B7</f>
        <v/>
      </c>
      <c r="K7" t="inlineStr"/>
      <c r="L7" s="14" t="n">
        <v>25</v>
      </c>
      <c r="M7" s="14" t="n">
        <v>73</v>
      </c>
      <c r="N7" s="14" t="n">
        <v>45</v>
      </c>
      <c r="O7" s="17">
        <f>B7*(M7 + (N7*L7/25))</f>
        <v/>
      </c>
      <c r="P7" s="18">
        <f>O7/B7</f>
        <v/>
      </c>
      <c r="Q7" t="inlineStr"/>
      <c r="R7" s="14" t="n">
        <v>8.5</v>
      </c>
      <c r="S7" s="17">
        <f>B7*R7*12</f>
        <v/>
      </c>
      <c r="T7" s="18">
        <f>S7/B7</f>
        <v/>
      </c>
      <c r="U7" t="inlineStr"/>
      <c r="V7" s="19" t="n">
        <v>2000000</v>
      </c>
      <c r="W7" s="14" t="n">
        <v>500</v>
      </c>
      <c r="X7" s="14" t="n">
        <v>7</v>
      </c>
      <c r="Y7" s="17">
        <f>V7*(B7/W7)</f>
        <v/>
      </c>
      <c r="Z7" s="17">
        <f>IF(Y7&gt;0,-PMT(0.05,20,Y7),0)</f>
        <v/>
      </c>
      <c r="AA7" s="18">
        <f>IF(B7&gt;0,Z7/B7,0)</f>
        <v/>
      </c>
      <c r="AB7" t="inlineStr"/>
      <c r="AC7" s="15">
        <f>IF('Building Inventory'!D6="Emergency Ops",60,IF('Building Inventory'!D6="911 Center",50,IF('Building Inventory'!D6="Police",40,IF('Building Inventory'!D6="Fire",40,IF('Building Inventory'!D6="Water Control",30,5)))))</f>
        <v/>
      </c>
      <c r="AD7" s="15">
        <f>IF('Building Inventory'!M6="Yes",10,5)</f>
        <v/>
      </c>
      <c r="AE7" s="15">
        <f>B7*0.75</f>
        <v/>
      </c>
      <c r="AF7" s="17">
        <f>AC7*AD7*AE7</f>
        <v/>
      </c>
      <c r="AG7" s="18">
        <f>AF7/B7</f>
        <v/>
      </c>
      <c r="AH7" t="inlineStr"/>
      <c r="AI7" s="14" t="n">
        <v>220</v>
      </c>
      <c r="AJ7" s="15">
        <f>(B7*2)*0.058</f>
        <v/>
      </c>
      <c r="AK7" s="17">
        <f>AI7*AJ7</f>
        <v/>
      </c>
      <c r="AL7" s="18">
        <f>AK7/B7</f>
        <v/>
      </c>
      <c r="AM7" t="inlineStr"/>
      <c r="AN7" s="17">
        <f>SUM(I7,O7,S7,Z7,AF7,AK7)</f>
        <v/>
      </c>
      <c r="AO7" s="18">
        <f>AN7/B7</f>
        <v/>
      </c>
    </row>
    <row r="8">
      <c r="A8" t="inlineStr">
        <is>
          <t>B006</t>
        </is>
      </c>
      <c r="B8" s="15">
        <f>'Building Inventory'!E7</f>
        <v/>
      </c>
      <c r="C8" t="inlineStr"/>
      <c r="D8" s="15">
        <f>'Building Inventory'!I7</f>
        <v/>
      </c>
      <c r="E8" s="15">
        <f>='Building Inventory'!I7*0.85</f>
        <v/>
      </c>
      <c r="F8" s="14" t="n">
        <v>22</v>
      </c>
      <c r="G8" s="14" t="n">
        <v>12</v>
      </c>
      <c r="H8" s="14" t="n">
        <v>0.8</v>
      </c>
      <c r="I8" s="17">
        <f>(D8*F8*4 + E8*G8*8)*H8</f>
        <v/>
      </c>
      <c r="J8" s="18">
        <f>I8/B8</f>
        <v/>
      </c>
      <c r="K8" t="inlineStr"/>
      <c r="L8" s="14" t="n">
        <v>25</v>
      </c>
      <c r="M8" s="14" t="n">
        <v>73</v>
      </c>
      <c r="N8" s="14" t="n">
        <v>45</v>
      </c>
      <c r="O8" s="17">
        <f>B8*(M8 + (N8*L8/25))</f>
        <v/>
      </c>
      <c r="P8" s="18">
        <f>O8/B8</f>
        <v/>
      </c>
      <c r="Q8" t="inlineStr"/>
      <c r="R8" s="14" t="n">
        <v>8.5</v>
      </c>
      <c r="S8" s="17">
        <f>B8*R8*12</f>
        <v/>
      </c>
      <c r="T8" s="18">
        <f>S8/B8</f>
        <v/>
      </c>
      <c r="U8" t="inlineStr"/>
      <c r="V8" s="19" t="n">
        <v>2000000</v>
      </c>
      <c r="W8" s="14" t="n">
        <v>500</v>
      </c>
      <c r="X8" s="14" t="n">
        <v>7</v>
      </c>
      <c r="Y8" s="17">
        <f>V8*(B8/W8)</f>
        <v/>
      </c>
      <c r="Z8" s="17">
        <f>IF(Y8&gt;0,-PMT(0.05,20,Y8),0)</f>
        <v/>
      </c>
      <c r="AA8" s="18">
        <f>IF(B8&gt;0,Z8/B8,0)</f>
        <v/>
      </c>
      <c r="AB8" t="inlineStr"/>
      <c r="AC8" s="15">
        <f>IF('Building Inventory'!D7="Emergency Ops",60,IF('Building Inventory'!D7="911 Center",50,IF('Building Inventory'!D7="Police",40,IF('Building Inventory'!D7="Fire",40,IF('Building Inventory'!D7="Water Control",30,5)))))</f>
        <v/>
      </c>
      <c r="AD8" s="15">
        <f>IF('Building Inventory'!M7="Yes",10,5)</f>
        <v/>
      </c>
      <c r="AE8" s="15">
        <f>B8*0.75</f>
        <v/>
      </c>
      <c r="AF8" s="17">
        <f>AC8*AD8*AE8</f>
        <v/>
      </c>
      <c r="AG8" s="18">
        <f>AF8/B8</f>
        <v/>
      </c>
      <c r="AH8" t="inlineStr"/>
      <c r="AI8" s="14" t="n">
        <v>220</v>
      </c>
      <c r="AJ8" s="15">
        <f>(B8*2)*0.058</f>
        <v/>
      </c>
      <c r="AK8" s="17">
        <f>AI8*AJ8</f>
        <v/>
      </c>
      <c r="AL8" s="18">
        <f>AK8/B8</f>
        <v/>
      </c>
      <c r="AM8" t="inlineStr"/>
      <c r="AN8" s="17">
        <f>SUM(I8,O8,S8,Z8,AF8,AK8)</f>
        <v/>
      </c>
      <c r="AO8" s="18">
        <f>AN8/B8</f>
        <v/>
      </c>
    </row>
    <row r="9">
      <c r="A9" t="inlineStr">
        <is>
          <t>B007</t>
        </is>
      </c>
      <c r="B9" s="15">
        <f>'Building Inventory'!E8</f>
        <v/>
      </c>
      <c r="C9" t="inlineStr"/>
      <c r="D9" s="15">
        <f>'Building Inventory'!I8</f>
        <v/>
      </c>
      <c r="E9" s="15">
        <f>='Building Inventory'!I8*0.85</f>
        <v/>
      </c>
      <c r="F9" s="14" t="n">
        <v>22</v>
      </c>
      <c r="G9" s="14" t="n">
        <v>12</v>
      </c>
      <c r="H9" s="14" t="n">
        <v>0.8</v>
      </c>
      <c r="I9" s="17">
        <f>(D9*F9*4 + E9*G9*8)*H9</f>
        <v/>
      </c>
      <c r="J9" s="18">
        <f>I9/B9</f>
        <v/>
      </c>
      <c r="K9" t="inlineStr"/>
      <c r="L9" s="14" t="n">
        <v>25</v>
      </c>
      <c r="M9" s="14" t="n">
        <v>73</v>
      </c>
      <c r="N9" s="14" t="n">
        <v>45</v>
      </c>
      <c r="O9" s="17">
        <f>B9*(M9 + (N9*L9/25))</f>
        <v/>
      </c>
      <c r="P9" s="18">
        <f>O9/B9</f>
        <v/>
      </c>
      <c r="Q9" t="inlineStr"/>
      <c r="R9" s="14" t="n">
        <v>8.5</v>
      </c>
      <c r="S9" s="17">
        <f>B9*R9*12</f>
        <v/>
      </c>
      <c r="T9" s="18">
        <f>S9/B9</f>
        <v/>
      </c>
      <c r="U9" t="inlineStr"/>
      <c r="V9" s="19" t="n">
        <v>2000000</v>
      </c>
      <c r="W9" s="14" t="n">
        <v>500</v>
      </c>
      <c r="X9" s="14" t="n">
        <v>7</v>
      </c>
      <c r="Y9" s="17">
        <f>V9*(B9/W9)</f>
        <v/>
      </c>
      <c r="Z9" s="17">
        <f>IF(Y9&gt;0,-PMT(0.05,20,Y9),0)</f>
        <v/>
      </c>
      <c r="AA9" s="18">
        <f>IF(B9&gt;0,Z9/B9,0)</f>
        <v/>
      </c>
      <c r="AB9" t="inlineStr"/>
      <c r="AC9" s="15">
        <f>IF('Building Inventory'!D8="Emergency Ops",60,IF('Building Inventory'!D8="911 Center",50,IF('Building Inventory'!D8="Police",40,IF('Building Inventory'!D8="Fire",40,IF('Building Inventory'!D8="Water Control",30,5)))))</f>
        <v/>
      </c>
      <c r="AD9" s="15">
        <f>IF('Building Inventory'!M8="Yes",10,5)</f>
        <v/>
      </c>
      <c r="AE9" s="15">
        <f>B9*0.75</f>
        <v/>
      </c>
      <c r="AF9" s="17">
        <f>AC9*AD9*AE9</f>
        <v/>
      </c>
      <c r="AG9" s="18">
        <f>AF9/B9</f>
        <v/>
      </c>
      <c r="AH9" t="inlineStr"/>
      <c r="AI9" s="14" t="n">
        <v>220</v>
      </c>
      <c r="AJ9" s="15">
        <f>(B9*2)*0.058</f>
        <v/>
      </c>
      <c r="AK9" s="17">
        <f>AI9*AJ9</f>
        <v/>
      </c>
      <c r="AL9" s="18">
        <f>AK9/B9</f>
        <v/>
      </c>
      <c r="AM9" t="inlineStr"/>
      <c r="AN9" s="17">
        <f>SUM(I9,O9,S9,Z9,AF9,AK9)</f>
        <v/>
      </c>
      <c r="AO9" s="18">
        <f>AN9/B9</f>
        <v/>
      </c>
    </row>
    <row r="10">
      <c r="A10" t="inlineStr">
        <is>
          <t>B008</t>
        </is>
      </c>
      <c r="B10" s="15">
        <f>'Building Inventory'!E9</f>
        <v/>
      </c>
      <c r="C10" t="inlineStr"/>
      <c r="D10" s="15">
        <f>'Building Inventory'!I9</f>
        <v/>
      </c>
      <c r="E10" s="15">
        <f>='Building Inventory'!I9*0.85</f>
        <v/>
      </c>
      <c r="F10" s="14" t="n">
        <v>22</v>
      </c>
      <c r="G10" s="14" t="n">
        <v>12</v>
      </c>
      <c r="H10" s="14" t="n">
        <v>0.8</v>
      </c>
      <c r="I10" s="17">
        <f>(D10*F10*4 + E10*G10*8)*H10</f>
        <v/>
      </c>
      <c r="J10" s="18">
        <f>I10/B10</f>
        <v/>
      </c>
      <c r="K10" t="inlineStr"/>
      <c r="L10" s="14" t="n">
        <v>25</v>
      </c>
      <c r="M10" s="14" t="n">
        <v>73</v>
      </c>
      <c r="N10" s="14" t="n">
        <v>45</v>
      </c>
      <c r="O10" s="17">
        <f>B10*(M10 + (N10*L10/25))</f>
        <v/>
      </c>
      <c r="P10" s="18">
        <f>O10/B10</f>
        <v/>
      </c>
      <c r="Q10" t="inlineStr"/>
      <c r="R10" s="14" t="n">
        <v>8.5</v>
      </c>
      <c r="S10" s="17">
        <f>B10*R10*12</f>
        <v/>
      </c>
      <c r="T10" s="18">
        <f>S10/B10</f>
        <v/>
      </c>
      <c r="U10" t="inlineStr"/>
      <c r="V10" s="19" t="n">
        <v>2000000</v>
      </c>
      <c r="W10" s="14" t="n">
        <v>500</v>
      </c>
      <c r="X10" s="14" t="n">
        <v>7</v>
      </c>
      <c r="Y10" s="17">
        <f>V10*(B10/W10)</f>
        <v/>
      </c>
      <c r="Z10" s="17">
        <f>IF(Y10&gt;0,-PMT(0.05,20,Y10),0)</f>
        <v/>
      </c>
      <c r="AA10" s="18">
        <f>IF(B10&gt;0,Z10/B10,0)</f>
        <v/>
      </c>
      <c r="AB10" t="inlineStr"/>
      <c r="AC10" s="15">
        <f>IF('Building Inventory'!D9="Emergency Ops",60,IF('Building Inventory'!D9="911 Center",50,IF('Building Inventory'!D9="Police",40,IF('Building Inventory'!D9="Fire",40,IF('Building Inventory'!D9="Water Control",30,5)))))</f>
        <v/>
      </c>
      <c r="AD10" s="15">
        <f>IF('Building Inventory'!M9="Yes",10,5)</f>
        <v/>
      </c>
      <c r="AE10" s="15">
        <f>B10*0.75</f>
        <v/>
      </c>
      <c r="AF10" s="17">
        <f>AC10*AD10*AE10</f>
        <v/>
      </c>
      <c r="AG10" s="18">
        <f>AF10/B10</f>
        <v/>
      </c>
      <c r="AH10" t="inlineStr"/>
      <c r="AI10" s="14" t="n">
        <v>220</v>
      </c>
      <c r="AJ10" s="15">
        <f>(B10*2)*0.058</f>
        <v/>
      </c>
      <c r="AK10" s="17">
        <f>AI10*AJ10</f>
        <v/>
      </c>
      <c r="AL10" s="18">
        <f>AK10/B10</f>
        <v/>
      </c>
      <c r="AM10" t="inlineStr"/>
      <c r="AN10" s="17">
        <f>SUM(I10,O10,S10,Z10,AF10,AK10)</f>
        <v/>
      </c>
      <c r="AO10" s="18">
        <f>AN10/B10</f>
        <v/>
      </c>
    </row>
    <row r="11">
      <c r="A11" t="inlineStr">
        <is>
          <t>B009</t>
        </is>
      </c>
      <c r="B11" s="15">
        <f>'Building Inventory'!E10</f>
        <v/>
      </c>
      <c r="C11" t="inlineStr"/>
      <c r="D11" s="15">
        <f>'Building Inventory'!I10</f>
        <v/>
      </c>
      <c r="E11" s="15">
        <f>='Building Inventory'!I10*0.85</f>
        <v/>
      </c>
      <c r="F11" s="14" t="n">
        <v>22</v>
      </c>
      <c r="G11" s="14" t="n">
        <v>12</v>
      </c>
      <c r="H11" s="14" t="n">
        <v>0.8</v>
      </c>
      <c r="I11" s="17">
        <f>(D11*F11*4 + E11*G11*8)*H11</f>
        <v/>
      </c>
      <c r="J11" s="18">
        <f>I11/B11</f>
        <v/>
      </c>
      <c r="K11" t="inlineStr"/>
      <c r="L11" s="14" t="n">
        <v>25</v>
      </c>
      <c r="M11" s="14" t="n">
        <v>73</v>
      </c>
      <c r="N11" s="14" t="n">
        <v>45</v>
      </c>
      <c r="O11" s="17">
        <f>B11*(M11 + (N11*L11/25))</f>
        <v/>
      </c>
      <c r="P11" s="18">
        <f>O11/B11</f>
        <v/>
      </c>
      <c r="Q11" t="inlineStr"/>
      <c r="R11" s="14" t="n">
        <v>8.5</v>
      </c>
      <c r="S11" s="17">
        <f>B11*R11*12</f>
        <v/>
      </c>
      <c r="T11" s="18">
        <f>S11/B11</f>
        <v/>
      </c>
      <c r="U11" t="inlineStr"/>
      <c r="V11" s="19" t="n">
        <v>2000000</v>
      </c>
      <c r="W11" s="14" t="n">
        <v>500</v>
      </c>
      <c r="X11" s="14" t="n">
        <v>7</v>
      </c>
      <c r="Y11" s="17">
        <f>V11*(B11/W11)</f>
        <v/>
      </c>
      <c r="Z11" s="17">
        <f>IF(Y11&gt;0,-PMT(0.05,20,Y11),0)</f>
        <v/>
      </c>
      <c r="AA11" s="18">
        <f>IF(B11&gt;0,Z11/B11,0)</f>
        <v/>
      </c>
      <c r="AB11" t="inlineStr"/>
      <c r="AC11" s="15">
        <f>IF('Building Inventory'!D10="Emergency Ops",60,IF('Building Inventory'!D10="911 Center",50,IF('Building Inventory'!D10="Police",40,IF('Building Inventory'!D10="Fire",40,IF('Building Inventory'!D10="Water Control",30,5)))))</f>
        <v/>
      </c>
      <c r="AD11" s="15">
        <f>IF('Building Inventory'!M10="Yes",10,5)</f>
        <v/>
      </c>
      <c r="AE11" s="15">
        <f>B11*0.75</f>
        <v/>
      </c>
      <c r="AF11" s="17">
        <f>AC11*AD11*AE11</f>
        <v/>
      </c>
      <c r="AG11" s="18">
        <f>AF11/B11</f>
        <v/>
      </c>
      <c r="AH11" t="inlineStr"/>
      <c r="AI11" s="14" t="n">
        <v>220</v>
      </c>
      <c r="AJ11" s="15">
        <f>(B11*2)*0.058</f>
        <v/>
      </c>
      <c r="AK11" s="17">
        <f>AI11*AJ11</f>
        <v/>
      </c>
      <c r="AL11" s="18">
        <f>AK11/B11</f>
        <v/>
      </c>
      <c r="AM11" t="inlineStr"/>
      <c r="AN11" s="17">
        <f>SUM(I11,O11,S11,Z11,AF11,AK11)</f>
        <v/>
      </c>
      <c r="AO11" s="18">
        <f>AN11/B11</f>
        <v/>
      </c>
    </row>
    <row r="12">
      <c r="A12" t="inlineStr">
        <is>
          <t>B010</t>
        </is>
      </c>
      <c r="B12" s="15">
        <f>'Building Inventory'!E11</f>
        <v/>
      </c>
      <c r="C12" t="inlineStr"/>
      <c r="D12" s="15">
        <f>'Building Inventory'!I11</f>
        <v/>
      </c>
      <c r="E12" s="15">
        <f>='Building Inventory'!I11*0.85</f>
        <v/>
      </c>
      <c r="F12" s="14" t="n">
        <v>22</v>
      </c>
      <c r="G12" s="14" t="n">
        <v>12</v>
      </c>
      <c r="H12" s="14" t="n">
        <v>0.8</v>
      </c>
      <c r="I12" s="17">
        <f>(D12*F12*4 + E12*G12*8)*H12</f>
        <v/>
      </c>
      <c r="J12" s="18">
        <f>I12/B12</f>
        <v/>
      </c>
      <c r="K12" t="inlineStr"/>
      <c r="L12" s="14" t="n">
        <v>25</v>
      </c>
      <c r="M12" s="14" t="n">
        <v>73</v>
      </c>
      <c r="N12" s="14" t="n">
        <v>45</v>
      </c>
      <c r="O12" s="17">
        <f>B12*(M12 + (N12*L12/25))</f>
        <v/>
      </c>
      <c r="P12" s="18">
        <f>O12/B12</f>
        <v/>
      </c>
      <c r="Q12" t="inlineStr"/>
      <c r="R12" s="14" t="n">
        <v>8.5</v>
      </c>
      <c r="S12" s="17">
        <f>B12*R12*12</f>
        <v/>
      </c>
      <c r="T12" s="18">
        <f>S12/B12</f>
        <v/>
      </c>
      <c r="U12" t="inlineStr"/>
      <c r="V12" s="19" t="n">
        <v>2000000</v>
      </c>
      <c r="W12" s="14" t="n">
        <v>500</v>
      </c>
      <c r="X12" s="14" t="n">
        <v>7</v>
      </c>
      <c r="Y12" s="17">
        <f>V12*(B12/W12)</f>
        <v/>
      </c>
      <c r="Z12" s="17">
        <f>IF(Y12&gt;0,-PMT(0.05,20,Y12),0)</f>
        <v/>
      </c>
      <c r="AA12" s="18">
        <f>IF(B12&gt;0,Z12/B12,0)</f>
        <v/>
      </c>
      <c r="AB12" t="inlineStr"/>
      <c r="AC12" s="15">
        <f>IF('Building Inventory'!D11="Emergency Ops",60,IF('Building Inventory'!D11="911 Center",50,IF('Building Inventory'!D11="Police",40,IF('Building Inventory'!D11="Fire",40,IF('Building Inventory'!D11="Water Control",30,5)))))</f>
        <v/>
      </c>
      <c r="AD12" s="15">
        <f>IF('Building Inventory'!M11="Yes",10,5)</f>
        <v/>
      </c>
      <c r="AE12" s="15">
        <f>B12*0.75</f>
        <v/>
      </c>
      <c r="AF12" s="17">
        <f>AC12*AD12*AE12</f>
        <v/>
      </c>
      <c r="AG12" s="18">
        <f>AF12/B12</f>
        <v/>
      </c>
      <c r="AH12" t="inlineStr"/>
      <c r="AI12" s="14" t="n">
        <v>220</v>
      </c>
      <c r="AJ12" s="15">
        <f>(B12*2)*0.058</f>
        <v/>
      </c>
      <c r="AK12" s="17">
        <f>AI12*AJ12</f>
        <v/>
      </c>
      <c r="AL12" s="18">
        <f>AK12/B12</f>
        <v/>
      </c>
      <c r="AM12" t="inlineStr"/>
      <c r="AN12" s="17">
        <f>SUM(I12,O12,S12,Z12,AF12,AK12)</f>
        <v/>
      </c>
      <c r="AO12" s="18">
        <f>AN12/B12</f>
        <v/>
      </c>
    </row>
    <row r="13">
      <c r="A13" t="inlineStr">
        <is>
          <t>B011</t>
        </is>
      </c>
      <c r="B13" s="15">
        <f>'Building Inventory'!E12</f>
        <v/>
      </c>
      <c r="C13" t="inlineStr"/>
      <c r="D13" s="15">
        <f>'Building Inventory'!I12</f>
        <v/>
      </c>
      <c r="E13" s="15">
        <f>='Building Inventory'!I12*0.85</f>
        <v/>
      </c>
      <c r="F13" s="14" t="n">
        <v>22</v>
      </c>
      <c r="G13" s="14" t="n">
        <v>12</v>
      </c>
      <c r="H13" s="14" t="n">
        <v>0.8</v>
      </c>
      <c r="I13" s="17">
        <f>(D13*F13*4 + E13*G13*8)*H13</f>
        <v/>
      </c>
      <c r="J13" s="18">
        <f>I13/B13</f>
        <v/>
      </c>
      <c r="K13" t="inlineStr"/>
      <c r="L13" s="14" t="n">
        <v>25</v>
      </c>
      <c r="M13" s="14" t="n">
        <v>73</v>
      </c>
      <c r="N13" s="14" t="n">
        <v>45</v>
      </c>
      <c r="O13" s="17">
        <f>B13*(M13 + (N13*L13/25))</f>
        <v/>
      </c>
      <c r="P13" s="18">
        <f>O13/B13</f>
        <v/>
      </c>
      <c r="Q13" t="inlineStr"/>
      <c r="R13" s="14" t="n">
        <v>8.5</v>
      </c>
      <c r="S13" s="17">
        <f>B13*R13*12</f>
        <v/>
      </c>
      <c r="T13" s="18">
        <f>S13/B13</f>
        <v/>
      </c>
      <c r="U13" t="inlineStr"/>
      <c r="V13" s="19" t="n">
        <v>1000000</v>
      </c>
      <c r="W13" s="14" t="n">
        <v>500</v>
      </c>
      <c r="X13" s="14" t="n">
        <v>5</v>
      </c>
      <c r="Y13" s="17">
        <f>V13*(B13/W13)</f>
        <v/>
      </c>
      <c r="Z13" s="17">
        <f>IF(Y13&gt;0,-PMT(0.05,20,Y13),0)</f>
        <v/>
      </c>
      <c r="AA13" s="18">
        <f>IF(B13&gt;0,Z13/B13,0)</f>
        <v/>
      </c>
      <c r="AB13" t="inlineStr"/>
      <c r="AC13" s="15">
        <f>IF('Building Inventory'!D12="Emergency Ops",60,IF('Building Inventory'!D12="911 Center",50,IF('Building Inventory'!D12="Police",40,IF('Building Inventory'!D12="Fire",40,IF('Building Inventory'!D12="Water Control",30,5)))))</f>
        <v/>
      </c>
      <c r="AD13" s="15">
        <f>IF('Building Inventory'!M12="Yes",10,5)</f>
        <v/>
      </c>
      <c r="AE13" s="15">
        <f>B13*0.75</f>
        <v/>
      </c>
      <c r="AF13" s="17">
        <f>AC13*AD13*AE13</f>
        <v/>
      </c>
      <c r="AG13" s="18">
        <f>AF13/B13</f>
        <v/>
      </c>
      <c r="AH13" t="inlineStr"/>
      <c r="AI13" s="14" t="n">
        <v>220</v>
      </c>
      <c r="AJ13" s="15">
        <f>(B13*2)*0.058</f>
        <v/>
      </c>
      <c r="AK13" s="17">
        <f>AI13*AJ13</f>
        <v/>
      </c>
      <c r="AL13" s="18">
        <f>AK13/B13</f>
        <v/>
      </c>
      <c r="AM13" t="inlineStr"/>
      <c r="AN13" s="17">
        <f>SUM(I13,O13,S13,Z13,AF13,AK13)</f>
        <v/>
      </c>
      <c r="AO13" s="18">
        <f>AN13/B13</f>
        <v/>
      </c>
    </row>
    <row r="14">
      <c r="A14" t="inlineStr">
        <is>
          <t>B012</t>
        </is>
      </c>
      <c r="B14" s="15">
        <f>'Building Inventory'!E13</f>
        <v/>
      </c>
      <c r="C14" t="inlineStr"/>
      <c r="D14" s="15">
        <f>'Building Inventory'!I13</f>
        <v/>
      </c>
      <c r="E14" s="15">
        <f>='Building Inventory'!I13*0.85</f>
        <v/>
      </c>
      <c r="F14" s="14" t="n">
        <v>22</v>
      </c>
      <c r="G14" s="14" t="n">
        <v>12</v>
      </c>
      <c r="H14" s="14" t="n">
        <v>0.8</v>
      </c>
      <c r="I14" s="17">
        <f>(D14*F14*4 + E14*G14*8)*H14</f>
        <v/>
      </c>
      <c r="J14" s="18">
        <f>I14/B14</f>
        <v/>
      </c>
      <c r="K14" t="inlineStr"/>
      <c r="L14" s="14" t="n">
        <v>25</v>
      </c>
      <c r="M14" s="14" t="n">
        <v>73</v>
      </c>
      <c r="N14" s="14" t="n">
        <v>45</v>
      </c>
      <c r="O14" s="17">
        <f>B14*(M14 + (N14*L14/25))</f>
        <v/>
      </c>
      <c r="P14" s="18">
        <f>O14/B14</f>
        <v/>
      </c>
      <c r="Q14" t="inlineStr"/>
      <c r="R14" s="14" t="n">
        <v>8.5</v>
      </c>
      <c r="S14" s="17">
        <f>B14*R14*12</f>
        <v/>
      </c>
      <c r="T14" s="18">
        <f>S14/B14</f>
        <v/>
      </c>
      <c r="U14" t="inlineStr"/>
      <c r="V14" s="19" t="n">
        <v>1000000</v>
      </c>
      <c r="W14" s="14" t="n">
        <v>500</v>
      </c>
      <c r="X14" s="14" t="n">
        <v>5</v>
      </c>
      <c r="Y14" s="17">
        <f>V14*(B14/W14)</f>
        <v/>
      </c>
      <c r="Z14" s="17">
        <f>IF(Y14&gt;0,-PMT(0.05,20,Y14),0)</f>
        <v/>
      </c>
      <c r="AA14" s="18">
        <f>IF(B14&gt;0,Z14/B14,0)</f>
        <v/>
      </c>
      <c r="AB14" t="inlineStr"/>
      <c r="AC14" s="15">
        <f>IF('Building Inventory'!D13="Emergency Ops",60,IF('Building Inventory'!D13="911 Center",50,IF('Building Inventory'!D13="Police",40,IF('Building Inventory'!D13="Fire",40,IF('Building Inventory'!D13="Water Control",30,5)))))</f>
        <v/>
      </c>
      <c r="AD14" s="15">
        <f>IF('Building Inventory'!M13="Yes",10,5)</f>
        <v/>
      </c>
      <c r="AE14" s="15">
        <f>B14*0.75</f>
        <v/>
      </c>
      <c r="AF14" s="17">
        <f>AC14*AD14*AE14</f>
        <v/>
      </c>
      <c r="AG14" s="18">
        <f>AF14/B14</f>
        <v/>
      </c>
      <c r="AH14" t="inlineStr"/>
      <c r="AI14" s="14" t="n">
        <v>220</v>
      </c>
      <c r="AJ14" s="15">
        <f>(B14*2)*0.058</f>
        <v/>
      </c>
      <c r="AK14" s="17">
        <f>AI14*AJ14</f>
        <v/>
      </c>
      <c r="AL14" s="18">
        <f>AK14/B14</f>
        <v/>
      </c>
      <c r="AM14" t="inlineStr"/>
      <c r="AN14" s="17">
        <f>SUM(I14,O14,S14,Z14,AF14,AK14)</f>
        <v/>
      </c>
      <c r="AO14" s="18">
        <f>AN14/B14</f>
        <v/>
      </c>
    </row>
    <row r="15">
      <c r="A15" t="inlineStr">
        <is>
          <t>B013</t>
        </is>
      </c>
      <c r="B15" s="15">
        <f>'Building Inventory'!E14</f>
        <v/>
      </c>
      <c r="C15" t="inlineStr"/>
      <c r="D15" s="15">
        <f>'Building Inventory'!I14</f>
        <v/>
      </c>
      <c r="E15" s="15">
        <f>='Building Inventory'!I14*0.85</f>
        <v/>
      </c>
      <c r="F15" s="14" t="n">
        <v>22</v>
      </c>
      <c r="G15" s="14" t="n">
        <v>12</v>
      </c>
      <c r="H15" s="14" t="n">
        <v>0.8</v>
      </c>
      <c r="I15" s="17">
        <f>(D15*F15*4 + E15*G15*8)*H15</f>
        <v/>
      </c>
      <c r="J15" s="18">
        <f>I15/B15</f>
        <v/>
      </c>
      <c r="K15" t="inlineStr"/>
      <c r="L15" s="14" t="n">
        <v>25</v>
      </c>
      <c r="M15" s="14" t="n">
        <v>73</v>
      </c>
      <c r="N15" s="14" t="n">
        <v>45</v>
      </c>
      <c r="O15" s="17">
        <f>B15*(M15 + (N15*L15/25))</f>
        <v/>
      </c>
      <c r="P15" s="18">
        <f>O15/B15</f>
        <v/>
      </c>
      <c r="Q15" t="inlineStr"/>
      <c r="R15" s="14" t="n">
        <v>8.5</v>
      </c>
      <c r="S15" s="17">
        <f>B15*R15*12</f>
        <v/>
      </c>
      <c r="T15" s="18">
        <f>S15/B15</f>
        <v/>
      </c>
      <c r="U15" t="inlineStr"/>
      <c r="V15" s="19" t="n">
        <v>1000000</v>
      </c>
      <c r="W15" s="14" t="n">
        <v>500</v>
      </c>
      <c r="X15" s="14" t="n">
        <v>5</v>
      </c>
      <c r="Y15" s="17">
        <f>V15*(B15/W15)</f>
        <v/>
      </c>
      <c r="Z15" s="17">
        <f>IF(Y15&gt;0,-PMT(0.05,20,Y15),0)</f>
        <v/>
      </c>
      <c r="AA15" s="18">
        <f>IF(B15&gt;0,Z15/B15,0)</f>
        <v/>
      </c>
      <c r="AB15" t="inlineStr"/>
      <c r="AC15" s="15">
        <f>IF('Building Inventory'!D14="Emergency Ops",60,IF('Building Inventory'!D14="911 Center",50,IF('Building Inventory'!D14="Police",40,IF('Building Inventory'!D14="Fire",40,IF('Building Inventory'!D14="Water Control",30,5)))))</f>
        <v/>
      </c>
      <c r="AD15" s="15">
        <f>IF('Building Inventory'!M14="Yes",10,5)</f>
        <v/>
      </c>
      <c r="AE15" s="15">
        <f>B15*0.75</f>
        <v/>
      </c>
      <c r="AF15" s="17">
        <f>AC15*AD15*AE15</f>
        <v/>
      </c>
      <c r="AG15" s="18">
        <f>AF15/B15</f>
        <v/>
      </c>
      <c r="AH15" t="inlineStr"/>
      <c r="AI15" s="14" t="n">
        <v>220</v>
      </c>
      <c r="AJ15" s="15">
        <f>(B15*2)*0.058</f>
        <v/>
      </c>
      <c r="AK15" s="17">
        <f>AI15*AJ15</f>
        <v/>
      </c>
      <c r="AL15" s="18">
        <f>AK15/B15</f>
        <v/>
      </c>
      <c r="AM15" t="inlineStr"/>
      <c r="AN15" s="17">
        <f>SUM(I15,O15,S15,Z15,AF15,AK15)</f>
        <v/>
      </c>
      <c r="AO15" s="18">
        <f>AN15/B15</f>
        <v/>
      </c>
    </row>
    <row r="16">
      <c r="A16" t="inlineStr">
        <is>
          <t>B014</t>
        </is>
      </c>
      <c r="B16" s="15">
        <f>'Building Inventory'!E15</f>
        <v/>
      </c>
      <c r="C16" t="inlineStr"/>
      <c r="D16" s="15">
        <f>'Building Inventory'!I15</f>
        <v/>
      </c>
      <c r="E16" s="15">
        <f>='Building Inventory'!I15*0.85</f>
        <v/>
      </c>
      <c r="F16" s="14" t="n">
        <v>22</v>
      </c>
      <c r="G16" s="14" t="n">
        <v>12</v>
      </c>
      <c r="H16" s="14" t="n">
        <v>0.8</v>
      </c>
      <c r="I16" s="17">
        <f>(D16*F16*4 + E16*G16*8)*H16</f>
        <v/>
      </c>
      <c r="J16" s="18">
        <f>I16/B16</f>
        <v/>
      </c>
      <c r="K16" t="inlineStr"/>
      <c r="L16" s="14" t="n">
        <v>25</v>
      </c>
      <c r="M16" s="14" t="n">
        <v>73</v>
      </c>
      <c r="N16" s="14" t="n">
        <v>45</v>
      </c>
      <c r="O16" s="17">
        <f>B16*(M16 + (N16*L16/25))</f>
        <v/>
      </c>
      <c r="P16" s="18">
        <f>O16/B16</f>
        <v/>
      </c>
      <c r="Q16" t="inlineStr"/>
      <c r="R16" s="14" t="n">
        <v>8.5</v>
      </c>
      <c r="S16" s="17">
        <f>B16*R16*12</f>
        <v/>
      </c>
      <c r="T16" s="18">
        <f>S16/B16</f>
        <v/>
      </c>
      <c r="U16" t="inlineStr"/>
      <c r="V16" s="19" t="n">
        <v>1000000</v>
      </c>
      <c r="W16" s="14" t="n">
        <v>500</v>
      </c>
      <c r="X16" s="14" t="n">
        <v>5</v>
      </c>
      <c r="Y16" s="17">
        <f>V16*(B16/W16)</f>
        <v/>
      </c>
      <c r="Z16" s="17">
        <f>IF(Y16&gt;0,-PMT(0.05,20,Y16),0)</f>
        <v/>
      </c>
      <c r="AA16" s="18">
        <f>IF(B16&gt;0,Z16/B16,0)</f>
        <v/>
      </c>
      <c r="AB16" t="inlineStr"/>
      <c r="AC16" s="15">
        <f>IF('Building Inventory'!D15="Emergency Ops",60,IF('Building Inventory'!D15="911 Center",50,IF('Building Inventory'!D15="Police",40,IF('Building Inventory'!D15="Fire",40,IF('Building Inventory'!D15="Water Control",30,5)))))</f>
        <v/>
      </c>
      <c r="AD16" s="15">
        <f>IF('Building Inventory'!M15="Yes",10,5)</f>
        <v/>
      </c>
      <c r="AE16" s="15">
        <f>B16*0.75</f>
        <v/>
      </c>
      <c r="AF16" s="17">
        <f>AC16*AD16*AE16</f>
        <v/>
      </c>
      <c r="AG16" s="18">
        <f>AF16/B16</f>
        <v/>
      </c>
      <c r="AH16" t="inlineStr"/>
      <c r="AI16" s="14" t="n">
        <v>220</v>
      </c>
      <c r="AJ16" s="15">
        <f>(B16*2)*0.058</f>
        <v/>
      </c>
      <c r="AK16" s="17">
        <f>AI16*AJ16</f>
        <v/>
      </c>
      <c r="AL16" s="18">
        <f>AK16/B16</f>
        <v/>
      </c>
      <c r="AM16" t="inlineStr"/>
      <c r="AN16" s="17">
        <f>SUM(I16,O16,S16,Z16,AF16,AK16)</f>
        <v/>
      </c>
      <c r="AO16" s="18">
        <f>AN16/B16</f>
        <v/>
      </c>
    </row>
    <row r="17">
      <c r="A17" t="inlineStr">
        <is>
          <t>B015</t>
        </is>
      </c>
      <c r="B17" s="15">
        <f>'Building Inventory'!E16</f>
        <v/>
      </c>
      <c r="C17" t="inlineStr"/>
      <c r="D17" s="15">
        <f>'Building Inventory'!I16</f>
        <v/>
      </c>
      <c r="E17" s="15">
        <f>='Building Inventory'!I16*0.85</f>
        <v/>
      </c>
      <c r="F17" s="14" t="n">
        <v>22</v>
      </c>
      <c r="G17" s="14" t="n">
        <v>12</v>
      </c>
      <c r="H17" s="14" t="n">
        <v>0.8</v>
      </c>
      <c r="I17" s="17">
        <f>(D17*F17*4 + E17*G17*8)*H17</f>
        <v/>
      </c>
      <c r="J17" s="18">
        <f>I17/B17</f>
        <v/>
      </c>
      <c r="K17" t="inlineStr"/>
      <c r="L17" s="14" t="n">
        <v>25</v>
      </c>
      <c r="M17" s="14" t="n">
        <v>73</v>
      </c>
      <c r="N17" s="14" t="n">
        <v>45</v>
      </c>
      <c r="O17" s="17">
        <f>B17*(M17 + (N17*L17/25))</f>
        <v/>
      </c>
      <c r="P17" s="18">
        <f>O17/B17</f>
        <v/>
      </c>
      <c r="Q17" t="inlineStr"/>
      <c r="R17" s="14" t="n">
        <v>8.5</v>
      </c>
      <c r="S17" s="17">
        <f>B17*R17*12</f>
        <v/>
      </c>
      <c r="T17" s="18">
        <f>S17/B17</f>
        <v/>
      </c>
      <c r="U17" t="inlineStr"/>
      <c r="V17" s="19" t="n">
        <v>1000000</v>
      </c>
      <c r="W17" s="14" t="n">
        <v>500</v>
      </c>
      <c r="X17" s="14" t="n">
        <v>5</v>
      </c>
      <c r="Y17" s="17">
        <f>V17*(B17/W17)</f>
        <v/>
      </c>
      <c r="Z17" s="17">
        <f>IF(Y17&gt;0,-PMT(0.05,20,Y17),0)</f>
        <v/>
      </c>
      <c r="AA17" s="18">
        <f>IF(B17&gt;0,Z17/B17,0)</f>
        <v/>
      </c>
      <c r="AB17" t="inlineStr"/>
      <c r="AC17" s="15">
        <f>IF('Building Inventory'!D16="Emergency Ops",60,IF('Building Inventory'!D16="911 Center",50,IF('Building Inventory'!D16="Police",40,IF('Building Inventory'!D16="Fire",40,IF('Building Inventory'!D16="Water Control",30,5)))))</f>
        <v/>
      </c>
      <c r="AD17" s="15">
        <f>IF('Building Inventory'!M16="Yes",10,5)</f>
        <v/>
      </c>
      <c r="AE17" s="15">
        <f>B17*0.75</f>
        <v/>
      </c>
      <c r="AF17" s="17">
        <f>AC17*AD17*AE17</f>
        <v/>
      </c>
      <c r="AG17" s="18">
        <f>AF17/B17</f>
        <v/>
      </c>
      <c r="AH17" t="inlineStr"/>
      <c r="AI17" s="14" t="n">
        <v>220</v>
      </c>
      <c r="AJ17" s="15">
        <f>(B17*2)*0.058</f>
        <v/>
      </c>
      <c r="AK17" s="17">
        <f>AI17*AJ17</f>
        <v/>
      </c>
      <c r="AL17" s="18">
        <f>AK17/B17</f>
        <v/>
      </c>
      <c r="AM17" t="inlineStr"/>
      <c r="AN17" s="17">
        <f>SUM(I17,O17,S17,Z17,AF17,AK17)</f>
        <v/>
      </c>
      <c r="AO17" s="18">
        <f>AN17/B17</f>
        <v/>
      </c>
    </row>
    <row r="18">
      <c r="A18" t="inlineStr">
        <is>
          <t>B016</t>
        </is>
      </c>
      <c r="B18" s="15">
        <f>'Building Inventory'!E17</f>
        <v/>
      </c>
      <c r="C18" t="inlineStr"/>
      <c r="D18" s="15">
        <f>'Building Inventory'!I17</f>
        <v/>
      </c>
      <c r="E18" s="15">
        <f>='Building Inventory'!I17*0.85</f>
        <v/>
      </c>
      <c r="F18" s="14" t="n">
        <v>22</v>
      </c>
      <c r="G18" s="14" t="n">
        <v>12</v>
      </c>
      <c r="H18" s="14" t="n">
        <v>0.8</v>
      </c>
      <c r="I18" s="17">
        <f>(D18*F18*4 + E18*G18*8)*H18</f>
        <v/>
      </c>
      <c r="J18" s="18">
        <f>I18/B18</f>
        <v/>
      </c>
      <c r="K18" t="inlineStr"/>
      <c r="L18" s="14" t="n">
        <v>25</v>
      </c>
      <c r="M18" s="14" t="n">
        <v>73</v>
      </c>
      <c r="N18" s="14" t="n">
        <v>45</v>
      </c>
      <c r="O18" s="17">
        <f>B18*(M18 + (N18*L18/25))</f>
        <v/>
      </c>
      <c r="P18" s="18">
        <f>O18/B18</f>
        <v/>
      </c>
      <c r="Q18" t="inlineStr"/>
      <c r="R18" s="14" t="n">
        <v>8.5</v>
      </c>
      <c r="S18" s="17">
        <f>B18*R18*12</f>
        <v/>
      </c>
      <c r="T18" s="18">
        <f>S18/B18</f>
        <v/>
      </c>
      <c r="U18" t="inlineStr"/>
      <c r="V18" s="19" t="n">
        <v>1000000</v>
      </c>
      <c r="W18" s="14" t="n">
        <v>500</v>
      </c>
      <c r="X18" s="14" t="n">
        <v>5</v>
      </c>
      <c r="Y18" s="17">
        <f>V18*(B18/W18)</f>
        <v/>
      </c>
      <c r="Z18" s="17">
        <f>IF(Y18&gt;0,-PMT(0.05,20,Y18),0)</f>
        <v/>
      </c>
      <c r="AA18" s="18">
        <f>IF(B18&gt;0,Z18/B18,0)</f>
        <v/>
      </c>
      <c r="AB18" t="inlineStr"/>
      <c r="AC18" s="15">
        <f>IF('Building Inventory'!D17="Emergency Ops",60,IF('Building Inventory'!D17="911 Center",50,IF('Building Inventory'!D17="Police",40,IF('Building Inventory'!D17="Fire",40,IF('Building Inventory'!D17="Water Control",30,5)))))</f>
        <v/>
      </c>
      <c r="AD18" s="15">
        <f>IF('Building Inventory'!M17="Yes",10,5)</f>
        <v/>
      </c>
      <c r="AE18" s="15">
        <f>B18*0.75</f>
        <v/>
      </c>
      <c r="AF18" s="17">
        <f>AC18*AD18*AE18</f>
        <v/>
      </c>
      <c r="AG18" s="18">
        <f>AF18/B18</f>
        <v/>
      </c>
      <c r="AH18" t="inlineStr"/>
      <c r="AI18" s="14" t="n">
        <v>220</v>
      </c>
      <c r="AJ18" s="15">
        <f>(B18*2)*0.058</f>
        <v/>
      </c>
      <c r="AK18" s="17">
        <f>AI18*AJ18</f>
        <v/>
      </c>
      <c r="AL18" s="18">
        <f>AK18/B18</f>
        <v/>
      </c>
      <c r="AM18" t="inlineStr"/>
      <c r="AN18" s="17">
        <f>SUM(I18,O18,S18,Z18,AF18,AK18)</f>
        <v/>
      </c>
      <c r="AO18" s="18">
        <f>AN18/B18</f>
        <v/>
      </c>
    </row>
    <row r="19">
      <c r="A19" t="inlineStr">
        <is>
          <t>B017</t>
        </is>
      </c>
      <c r="B19" s="15">
        <f>'Building Inventory'!E18</f>
        <v/>
      </c>
      <c r="C19" t="inlineStr"/>
      <c r="D19" s="15">
        <f>'Building Inventory'!I18</f>
        <v/>
      </c>
      <c r="E19" s="15">
        <f>='Building Inventory'!I18*0.85</f>
        <v/>
      </c>
      <c r="F19" s="14" t="n">
        <v>22</v>
      </c>
      <c r="G19" s="14" t="n">
        <v>12</v>
      </c>
      <c r="H19" s="14" t="n">
        <v>0.8</v>
      </c>
      <c r="I19" s="17">
        <f>(D19*F19*4 + E19*G19*8)*H19</f>
        <v/>
      </c>
      <c r="J19" s="18">
        <f>I19/B19</f>
        <v/>
      </c>
      <c r="K19" t="inlineStr"/>
      <c r="L19" s="14" t="n">
        <v>25</v>
      </c>
      <c r="M19" s="14" t="n">
        <v>73</v>
      </c>
      <c r="N19" s="14" t="n">
        <v>45</v>
      </c>
      <c r="O19" s="17">
        <f>B19*(M19 + (N19*L19/25))</f>
        <v/>
      </c>
      <c r="P19" s="18">
        <f>O19/B19</f>
        <v/>
      </c>
      <c r="Q19" t="inlineStr"/>
      <c r="R19" s="14" t="n">
        <v>8.5</v>
      </c>
      <c r="S19" s="17">
        <f>B19*R19*12</f>
        <v/>
      </c>
      <c r="T19" s="18">
        <f>S19/B19</f>
        <v/>
      </c>
      <c r="U19" t="inlineStr"/>
      <c r="V19" s="19" t="n">
        <v>1000000</v>
      </c>
      <c r="W19" s="14" t="n">
        <v>500</v>
      </c>
      <c r="X19" s="14" t="n">
        <v>5</v>
      </c>
      <c r="Y19" s="17">
        <f>V19*(B19/W19)</f>
        <v/>
      </c>
      <c r="Z19" s="17">
        <f>IF(Y19&gt;0,-PMT(0.05,20,Y19),0)</f>
        <v/>
      </c>
      <c r="AA19" s="18">
        <f>IF(B19&gt;0,Z19/B19,0)</f>
        <v/>
      </c>
      <c r="AB19" t="inlineStr"/>
      <c r="AC19" s="15">
        <f>IF('Building Inventory'!D18="Emergency Ops",60,IF('Building Inventory'!D18="911 Center",50,IF('Building Inventory'!D18="Police",40,IF('Building Inventory'!D18="Fire",40,IF('Building Inventory'!D18="Water Control",30,5)))))</f>
        <v/>
      </c>
      <c r="AD19" s="15">
        <f>IF('Building Inventory'!M18="Yes",10,5)</f>
        <v/>
      </c>
      <c r="AE19" s="15">
        <f>B19*0.75</f>
        <v/>
      </c>
      <c r="AF19" s="17">
        <f>AC19*AD19*AE19</f>
        <v/>
      </c>
      <c r="AG19" s="18">
        <f>AF19/B19</f>
        <v/>
      </c>
      <c r="AH19" t="inlineStr"/>
      <c r="AI19" s="14" t="n">
        <v>220</v>
      </c>
      <c r="AJ19" s="15">
        <f>(B19*2)*0.058</f>
        <v/>
      </c>
      <c r="AK19" s="17">
        <f>AI19*AJ19</f>
        <v/>
      </c>
      <c r="AL19" s="18">
        <f>AK19/B19</f>
        <v/>
      </c>
      <c r="AM19" t="inlineStr"/>
      <c r="AN19" s="17">
        <f>SUM(I19,O19,S19,Z19,AF19,AK19)</f>
        <v/>
      </c>
      <c r="AO19" s="18">
        <f>AN19/B19</f>
        <v/>
      </c>
    </row>
    <row r="20">
      <c r="A20" t="inlineStr">
        <is>
          <t>B018</t>
        </is>
      </c>
      <c r="B20" s="15">
        <f>'Building Inventory'!E19</f>
        <v/>
      </c>
      <c r="C20" t="inlineStr"/>
      <c r="D20" s="15">
        <f>'Building Inventory'!I19</f>
        <v/>
      </c>
      <c r="E20" s="15">
        <f>='Building Inventory'!I19*0.85</f>
        <v/>
      </c>
      <c r="F20" s="14" t="n">
        <v>22</v>
      </c>
      <c r="G20" s="14" t="n">
        <v>12</v>
      </c>
      <c r="H20" s="14" t="n">
        <v>0.8</v>
      </c>
      <c r="I20" s="17">
        <f>(D20*F20*4 + E20*G20*8)*H20</f>
        <v/>
      </c>
      <c r="J20" s="18">
        <f>I20/B20</f>
        <v/>
      </c>
      <c r="K20" t="inlineStr"/>
      <c r="L20" s="14" t="n">
        <v>25</v>
      </c>
      <c r="M20" s="14" t="n">
        <v>73</v>
      </c>
      <c r="N20" s="14" t="n">
        <v>45</v>
      </c>
      <c r="O20" s="17">
        <f>B20*(M20 + (N20*L20/25))</f>
        <v/>
      </c>
      <c r="P20" s="18">
        <f>O20/B20</f>
        <v/>
      </c>
      <c r="Q20" t="inlineStr"/>
      <c r="R20" s="14" t="n">
        <v>8.5</v>
      </c>
      <c r="S20" s="17">
        <f>B20*R20*12</f>
        <v/>
      </c>
      <c r="T20" s="18">
        <f>S20/B20</f>
        <v/>
      </c>
      <c r="U20" t="inlineStr"/>
      <c r="V20" s="19" t="n">
        <v>1000000</v>
      </c>
      <c r="W20" s="14" t="n">
        <v>500</v>
      </c>
      <c r="X20" s="14" t="n">
        <v>5</v>
      </c>
      <c r="Y20" s="17">
        <f>V20*(B20/W20)</f>
        <v/>
      </c>
      <c r="Z20" s="17">
        <f>IF(Y20&gt;0,-PMT(0.05,20,Y20),0)</f>
        <v/>
      </c>
      <c r="AA20" s="18">
        <f>IF(B20&gt;0,Z20/B20,0)</f>
        <v/>
      </c>
      <c r="AB20" t="inlineStr"/>
      <c r="AC20" s="15">
        <f>IF('Building Inventory'!D19="Emergency Ops",60,IF('Building Inventory'!D19="911 Center",50,IF('Building Inventory'!D19="Police",40,IF('Building Inventory'!D19="Fire",40,IF('Building Inventory'!D19="Water Control",30,5)))))</f>
        <v/>
      </c>
      <c r="AD20" s="15">
        <f>IF('Building Inventory'!M19="Yes",10,5)</f>
        <v/>
      </c>
      <c r="AE20" s="15">
        <f>B20*0.75</f>
        <v/>
      </c>
      <c r="AF20" s="17">
        <f>AC20*AD20*AE20</f>
        <v/>
      </c>
      <c r="AG20" s="18">
        <f>AF20/B20</f>
        <v/>
      </c>
      <c r="AH20" t="inlineStr"/>
      <c r="AI20" s="14" t="n">
        <v>220</v>
      </c>
      <c r="AJ20" s="15">
        <f>(B20*2)*0.058</f>
        <v/>
      </c>
      <c r="AK20" s="17">
        <f>AI20*AJ20</f>
        <v/>
      </c>
      <c r="AL20" s="18">
        <f>AK20/B20</f>
        <v/>
      </c>
      <c r="AM20" t="inlineStr"/>
      <c r="AN20" s="17">
        <f>SUM(I20,O20,S20,Z20,AF20,AK20)</f>
        <v/>
      </c>
      <c r="AO20" s="18">
        <f>AN20/B20</f>
        <v/>
      </c>
    </row>
    <row r="21">
      <c r="A21" t="inlineStr">
        <is>
          <t>B019</t>
        </is>
      </c>
      <c r="B21" s="15">
        <f>'Building Inventory'!E20</f>
        <v/>
      </c>
      <c r="C21" t="inlineStr"/>
      <c r="D21" s="15">
        <f>'Building Inventory'!I20</f>
        <v/>
      </c>
      <c r="E21" s="15">
        <f>='Building Inventory'!I20*0.85</f>
        <v/>
      </c>
      <c r="F21" s="14" t="n">
        <v>22</v>
      </c>
      <c r="G21" s="14" t="n">
        <v>12</v>
      </c>
      <c r="H21" s="14" t="n">
        <v>0.8</v>
      </c>
      <c r="I21" s="17">
        <f>(D21*F21*4 + E21*G21*8)*H21</f>
        <v/>
      </c>
      <c r="J21" s="18">
        <f>I21/B21</f>
        <v/>
      </c>
      <c r="K21" t="inlineStr"/>
      <c r="L21" s="14" t="n">
        <v>25</v>
      </c>
      <c r="M21" s="14" t="n">
        <v>73</v>
      </c>
      <c r="N21" s="14" t="n">
        <v>45</v>
      </c>
      <c r="O21" s="17">
        <f>B21*(M21 + (N21*L21/25))</f>
        <v/>
      </c>
      <c r="P21" s="18">
        <f>O21/B21</f>
        <v/>
      </c>
      <c r="Q21" t="inlineStr"/>
      <c r="R21" s="14" t="n">
        <v>8.5</v>
      </c>
      <c r="S21" s="17">
        <f>B21*R21*12</f>
        <v/>
      </c>
      <c r="T21" s="18">
        <f>S21/B21</f>
        <v/>
      </c>
      <c r="U21" t="inlineStr"/>
      <c r="V21" s="19" t="n">
        <v>1000000</v>
      </c>
      <c r="W21" s="14" t="n">
        <v>500</v>
      </c>
      <c r="X21" s="14" t="n">
        <v>5</v>
      </c>
      <c r="Y21" s="17">
        <f>V21*(B21/W21)</f>
        <v/>
      </c>
      <c r="Z21" s="17">
        <f>IF(Y21&gt;0,-PMT(0.05,20,Y21),0)</f>
        <v/>
      </c>
      <c r="AA21" s="18">
        <f>IF(B21&gt;0,Z21/B21,0)</f>
        <v/>
      </c>
      <c r="AB21" t="inlineStr"/>
      <c r="AC21" s="15">
        <f>IF('Building Inventory'!D20="Emergency Ops",60,IF('Building Inventory'!D20="911 Center",50,IF('Building Inventory'!D20="Police",40,IF('Building Inventory'!D20="Fire",40,IF('Building Inventory'!D20="Water Control",30,5)))))</f>
        <v/>
      </c>
      <c r="AD21" s="15">
        <f>IF('Building Inventory'!M20="Yes",10,5)</f>
        <v/>
      </c>
      <c r="AE21" s="15">
        <f>B21*0.75</f>
        <v/>
      </c>
      <c r="AF21" s="17">
        <f>AC21*AD21*AE21</f>
        <v/>
      </c>
      <c r="AG21" s="18">
        <f>AF21/B21</f>
        <v/>
      </c>
      <c r="AH21" t="inlineStr"/>
      <c r="AI21" s="14" t="n">
        <v>220</v>
      </c>
      <c r="AJ21" s="15">
        <f>(B21*2)*0.058</f>
        <v/>
      </c>
      <c r="AK21" s="17">
        <f>AI21*AJ21</f>
        <v/>
      </c>
      <c r="AL21" s="18">
        <f>AK21/B21</f>
        <v/>
      </c>
      <c r="AM21" t="inlineStr"/>
      <c r="AN21" s="17">
        <f>SUM(I21,O21,S21,Z21,AF21,AK21)</f>
        <v/>
      </c>
      <c r="AO21" s="18">
        <f>AN21/B21</f>
        <v/>
      </c>
    </row>
    <row r="22">
      <c r="A22" t="inlineStr">
        <is>
          <t>B020</t>
        </is>
      </c>
      <c r="B22" s="15">
        <f>'Building Inventory'!E21</f>
        <v/>
      </c>
      <c r="C22" t="inlineStr"/>
      <c r="D22" s="15">
        <f>'Building Inventory'!I21</f>
        <v/>
      </c>
      <c r="E22" s="15">
        <f>='Building Inventory'!I21*0.85</f>
        <v/>
      </c>
      <c r="F22" s="14" t="n">
        <v>22</v>
      </c>
      <c r="G22" s="14" t="n">
        <v>12</v>
      </c>
      <c r="H22" s="14" t="n">
        <v>0.8</v>
      </c>
      <c r="I22" s="17">
        <f>(D22*F22*4 + E22*G22*8)*H22</f>
        <v/>
      </c>
      <c r="J22" s="18">
        <f>I22/B22</f>
        <v/>
      </c>
      <c r="K22" t="inlineStr"/>
      <c r="L22" s="14" t="n">
        <v>25</v>
      </c>
      <c r="M22" s="14" t="n">
        <v>73</v>
      </c>
      <c r="N22" s="14" t="n">
        <v>45</v>
      </c>
      <c r="O22" s="17">
        <f>B22*(M22 + (N22*L22/25))</f>
        <v/>
      </c>
      <c r="P22" s="18">
        <f>O22/B22</f>
        <v/>
      </c>
      <c r="Q22" t="inlineStr"/>
      <c r="R22" s="14" t="n">
        <v>8.5</v>
      </c>
      <c r="S22" s="17">
        <f>B22*R22*12</f>
        <v/>
      </c>
      <c r="T22" s="18">
        <f>S22/B22</f>
        <v/>
      </c>
      <c r="U22" t="inlineStr"/>
      <c r="V22" s="19" t="n">
        <v>1000000</v>
      </c>
      <c r="W22" s="14" t="n">
        <v>500</v>
      </c>
      <c r="X22" s="14" t="n">
        <v>5</v>
      </c>
      <c r="Y22" s="17">
        <f>V22*(B22/W22)</f>
        <v/>
      </c>
      <c r="Z22" s="17">
        <f>IF(Y22&gt;0,-PMT(0.05,20,Y22),0)</f>
        <v/>
      </c>
      <c r="AA22" s="18">
        <f>IF(B22&gt;0,Z22/B22,0)</f>
        <v/>
      </c>
      <c r="AB22" t="inlineStr"/>
      <c r="AC22" s="15">
        <f>IF('Building Inventory'!D21="Emergency Ops",60,IF('Building Inventory'!D21="911 Center",50,IF('Building Inventory'!D21="Police",40,IF('Building Inventory'!D21="Fire",40,IF('Building Inventory'!D21="Water Control",30,5)))))</f>
        <v/>
      </c>
      <c r="AD22" s="15">
        <f>IF('Building Inventory'!M21="Yes",10,5)</f>
        <v/>
      </c>
      <c r="AE22" s="15">
        <f>B22*0.75</f>
        <v/>
      </c>
      <c r="AF22" s="17">
        <f>AC22*AD22*AE22</f>
        <v/>
      </c>
      <c r="AG22" s="18">
        <f>AF22/B22</f>
        <v/>
      </c>
      <c r="AH22" t="inlineStr"/>
      <c r="AI22" s="14" t="n">
        <v>220</v>
      </c>
      <c r="AJ22" s="15">
        <f>(B22*2)*0.058</f>
        <v/>
      </c>
      <c r="AK22" s="17">
        <f>AI22*AJ22</f>
        <v/>
      </c>
      <c r="AL22" s="18">
        <f>AK22/B22</f>
        <v/>
      </c>
      <c r="AM22" t="inlineStr"/>
      <c r="AN22" s="17">
        <f>SUM(I22,O22,S22,Z22,AF22,AK22)</f>
        <v/>
      </c>
      <c r="AO22" s="18">
        <f>AN22/B22</f>
        <v/>
      </c>
    </row>
    <row r="23">
      <c r="A23" t="inlineStr">
        <is>
          <t>B021</t>
        </is>
      </c>
      <c r="B23" s="15">
        <f>'Building Inventory'!E22</f>
        <v/>
      </c>
      <c r="C23" t="inlineStr"/>
      <c r="D23" s="15">
        <f>'Building Inventory'!I22</f>
        <v/>
      </c>
      <c r="E23" s="15">
        <f>='Building Inventory'!I22*0.85</f>
        <v/>
      </c>
      <c r="F23" s="14" t="n">
        <v>22</v>
      </c>
      <c r="G23" s="14" t="n">
        <v>12</v>
      </c>
      <c r="H23" s="14" t="n">
        <v>0.8</v>
      </c>
      <c r="I23" s="17">
        <f>(D23*F23*4 + E23*G23*8)*H23</f>
        <v/>
      </c>
      <c r="J23" s="18">
        <f>I23/B23</f>
        <v/>
      </c>
      <c r="K23" t="inlineStr"/>
      <c r="L23" s="14" t="n">
        <v>25</v>
      </c>
      <c r="M23" s="14" t="n">
        <v>73</v>
      </c>
      <c r="N23" s="14" t="n">
        <v>45</v>
      </c>
      <c r="O23" s="17">
        <f>B23*(M23 + (N23*L23/25))</f>
        <v/>
      </c>
      <c r="P23" s="18">
        <f>O23/B23</f>
        <v/>
      </c>
      <c r="Q23" t="inlineStr"/>
      <c r="R23" s="14" t="n">
        <v>8.5</v>
      </c>
      <c r="S23" s="17">
        <f>B23*R23*12</f>
        <v/>
      </c>
      <c r="T23" s="18">
        <f>S23/B23</f>
        <v/>
      </c>
      <c r="U23" t="inlineStr"/>
      <c r="V23" s="19" t="n">
        <v>1000000</v>
      </c>
      <c r="W23" s="14" t="n">
        <v>500</v>
      </c>
      <c r="X23" s="14" t="n">
        <v>5</v>
      </c>
      <c r="Y23" s="17">
        <f>V23*(B23/W23)</f>
        <v/>
      </c>
      <c r="Z23" s="17">
        <f>IF(Y23&gt;0,-PMT(0.05,20,Y23),0)</f>
        <v/>
      </c>
      <c r="AA23" s="18">
        <f>IF(B23&gt;0,Z23/B23,0)</f>
        <v/>
      </c>
      <c r="AB23" t="inlineStr"/>
      <c r="AC23" s="15">
        <f>IF('Building Inventory'!D22="Emergency Ops",60,IF('Building Inventory'!D22="911 Center",50,IF('Building Inventory'!D22="Police",40,IF('Building Inventory'!D22="Fire",40,IF('Building Inventory'!D22="Water Control",30,5)))))</f>
        <v/>
      </c>
      <c r="AD23" s="15">
        <f>IF('Building Inventory'!M22="Yes",10,5)</f>
        <v/>
      </c>
      <c r="AE23" s="15">
        <f>B23*0.75</f>
        <v/>
      </c>
      <c r="AF23" s="17">
        <f>AC23*AD23*AE23</f>
        <v/>
      </c>
      <c r="AG23" s="18">
        <f>AF23/B23</f>
        <v/>
      </c>
      <c r="AH23" t="inlineStr"/>
      <c r="AI23" s="14" t="n">
        <v>220</v>
      </c>
      <c r="AJ23" s="15">
        <f>(B23*2)*0.058</f>
        <v/>
      </c>
      <c r="AK23" s="17">
        <f>AI23*AJ23</f>
        <v/>
      </c>
      <c r="AL23" s="18">
        <f>AK23/B23</f>
        <v/>
      </c>
      <c r="AM23" t="inlineStr"/>
      <c r="AN23" s="17">
        <f>SUM(I23,O23,S23,Z23,AF23,AK23)</f>
        <v/>
      </c>
      <c r="AO23" s="18">
        <f>AN23/B23</f>
        <v/>
      </c>
    </row>
    <row r="24">
      <c r="A24" t="inlineStr">
        <is>
          <t>B022</t>
        </is>
      </c>
      <c r="B24" s="15">
        <f>'Building Inventory'!E23</f>
        <v/>
      </c>
      <c r="C24" t="inlineStr"/>
      <c r="D24" s="15">
        <f>'Building Inventory'!I23</f>
        <v/>
      </c>
      <c r="E24" s="15">
        <f>='Building Inventory'!I23*0.85</f>
        <v/>
      </c>
      <c r="F24" s="14" t="n">
        <v>22</v>
      </c>
      <c r="G24" s="14" t="n">
        <v>12</v>
      </c>
      <c r="H24" s="14" t="n">
        <v>0.8</v>
      </c>
      <c r="I24" s="17">
        <f>(D24*F24*4 + E24*G24*8)*H24</f>
        <v/>
      </c>
      <c r="J24" s="18">
        <f>I24/B24</f>
        <v/>
      </c>
      <c r="K24" t="inlineStr"/>
      <c r="L24" s="14" t="n">
        <v>25</v>
      </c>
      <c r="M24" s="14" t="n">
        <v>73</v>
      </c>
      <c r="N24" s="14" t="n">
        <v>45</v>
      </c>
      <c r="O24" s="17">
        <f>B24*(M24 + (N24*L24/25))</f>
        <v/>
      </c>
      <c r="P24" s="18">
        <f>O24/B24</f>
        <v/>
      </c>
      <c r="Q24" t="inlineStr"/>
      <c r="R24" s="14" t="n">
        <v>8.5</v>
      </c>
      <c r="S24" s="17">
        <f>B24*R24*12</f>
        <v/>
      </c>
      <c r="T24" s="18">
        <f>S24/B24</f>
        <v/>
      </c>
      <c r="U24" t="inlineStr"/>
      <c r="V24" s="19" t="n">
        <v>1000000</v>
      </c>
      <c r="W24" s="14" t="n">
        <v>500</v>
      </c>
      <c r="X24" s="14" t="n">
        <v>5</v>
      </c>
      <c r="Y24" s="17">
        <f>V24*(B24/W24)</f>
        <v/>
      </c>
      <c r="Z24" s="17">
        <f>IF(Y24&gt;0,-PMT(0.05,20,Y24),0)</f>
        <v/>
      </c>
      <c r="AA24" s="18">
        <f>IF(B24&gt;0,Z24/B24,0)</f>
        <v/>
      </c>
      <c r="AB24" t="inlineStr"/>
      <c r="AC24" s="15">
        <f>IF('Building Inventory'!D23="Emergency Ops",60,IF('Building Inventory'!D23="911 Center",50,IF('Building Inventory'!D23="Police",40,IF('Building Inventory'!D23="Fire",40,IF('Building Inventory'!D23="Water Control",30,5)))))</f>
        <v/>
      </c>
      <c r="AD24" s="15">
        <f>IF('Building Inventory'!M23="Yes",10,5)</f>
        <v/>
      </c>
      <c r="AE24" s="15">
        <f>B24*0.75</f>
        <v/>
      </c>
      <c r="AF24" s="17">
        <f>AC24*AD24*AE24</f>
        <v/>
      </c>
      <c r="AG24" s="18">
        <f>AF24/B24</f>
        <v/>
      </c>
      <c r="AH24" t="inlineStr"/>
      <c r="AI24" s="14" t="n">
        <v>220</v>
      </c>
      <c r="AJ24" s="15">
        <f>(B24*2)*0.058</f>
        <v/>
      </c>
      <c r="AK24" s="17">
        <f>AI24*AJ24</f>
        <v/>
      </c>
      <c r="AL24" s="18">
        <f>AK24/B24</f>
        <v/>
      </c>
      <c r="AM24" t="inlineStr"/>
      <c r="AN24" s="17">
        <f>SUM(I24,O24,S24,Z24,AF24,AK24)</f>
        <v/>
      </c>
      <c r="AO24" s="18">
        <f>AN24/B24</f>
        <v/>
      </c>
    </row>
    <row r="25">
      <c r="A25" t="inlineStr">
        <is>
          <t>B023</t>
        </is>
      </c>
      <c r="B25" s="15">
        <f>'Building Inventory'!E24</f>
        <v/>
      </c>
      <c r="C25" t="inlineStr"/>
      <c r="D25" s="15">
        <f>'Building Inventory'!I24</f>
        <v/>
      </c>
      <c r="E25" s="15">
        <f>='Building Inventory'!I24*0.85</f>
        <v/>
      </c>
      <c r="F25" s="14" t="n">
        <v>22</v>
      </c>
      <c r="G25" s="14" t="n">
        <v>12</v>
      </c>
      <c r="H25" s="14" t="n">
        <v>0.8</v>
      </c>
      <c r="I25" s="17">
        <f>(D25*F25*4 + E25*G25*8)*H25</f>
        <v/>
      </c>
      <c r="J25" s="18">
        <f>I25/B25</f>
        <v/>
      </c>
      <c r="K25" t="inlineStr"/>
      <c r="L25" s="14" t="n">
        <v>25</v>
      </c>
      <c r="M25" s="14" t="n">
        <v>73</v>
      </c>
      <c r="N25" s="14" t="n">
        <v>45</v>
      </c>
      <c r="O25" s="17">
        <f>B25*(M25 + (N25*L25/25))</f>
        <v/>
      </c>
      <c r="P25" s="18">
        <f>O25/B25</f>
        <v/>
      </c>
      <c r="Q25" t="inlineStr"/>
      <c r="R25" s="14" t="n">
        <v>8.5</v>
      </c>
      <c r="S25" s="17">
        <f>B25*R25*12</f>
        <v/>
      </c>
      <c r="T25" s="18">
        <f>S25/B25</f>
        <v/>
      </c>
      <c r="U25" t="inlineStr"/>
      <c r="V25" s="19" t="n">
        <v>1000000</v>
      </c>
      <c r="W25" s="14" t="n">
        <v>500</v>
      </c>
      <c r="X25" s="14" t="n">
        <v>5</v>
      </c>
      <c r="Y25" s="17">
        <f>V25*(B25/W25)</f>
        <v/>
      </c>
      <c r="Z25" s="17">
        <f>IF(Y25&gt;0,-PMT(0.05,20,Y25),0)</f>
        <v/>
      </c>
      <c r="AA25" s="18">
        <f>IF(B25&gt;0,Z25/B25,0)</f>
        <v/>
      </c>
      <c r="AB25" t="inlineStr"/>
      <c r="AC25" s="15">
        <f>IF('Building Inventory'!D24="Emergency Ops",60,IF('Building Inventory'!D24="911 Center",50,IF('Building Inventory'!D24="Police",40,IF('Building Inventory'!D24="Fire",40,IF('Building Inventory'!D24="Water Control",30,5)))))</f>
        <v/>
      </c>
      <c r="AD25" s="15">
        <f>IF('Building Inventory'!M24="Yes",10,5)</f>
        <v/>
      </c>
      <c r="AE25" s="15">
        <f>B25*0.75</f>
        <v/>
      </c>
      <c r="AF25" s="17">
        <f>AC25*AD25*AE25</f>
        <v/>
      </c>
      <c r="AG25" s="18">
        <f>AF25/B25</f>
        <v/>
      </c>
      <c r="AH25" t="inlineStr"/>
      <c r="AI25" s="14" t="n">
        <v>220</v>
      </c>
      <c r="AJ25" s="15">
        <f>(B25*2)*0.058</f>
        <v/>
      </c>
      <c r="AK25" s="17">
        <f>AI25*AJ25</f>
        <v/>
      </c>
      <c r="AL25" s="18">
        <f>AK25/B25</f>
        <v/>
      </c>
      <c r="AM25" t="inlineStr"/>
      <c r="AN25" s="17">
        <f>SUM(I25,O25,S25,Z25,AF25,AK25)</f>
        <v/>
      </c>
      <c r="AO25" s="18">
        <f>AN25/B25</f>
        <v/>
      </c>
    </row>
    <row r="26">
      <c r="A26" t="inlineStr">
        <is>
          <t>B024</t>
        </is>
      </c>
      <c r="B26" s="15">
        <f>'Building Inventory'!E25</f>
        <v/>
      </c>
      <c r="C26" t="inlineStr"/>
      <c r="D26" s="15">
        <f>'Building Inventory'!I25</f>
        <v/>
      </c>
      <c r="E26" s="15">
        <f>='Building Inventory'!I25*0.85</f>
        <v/>
      </c>
      <c r="F26" s="14" t="n">
        <v>22</v>
      </c>
      <c r="G26" s="14" t="n">
        <v>12</v>
      </c>
      <c r="H26" s="14" t="n">
        <v>0.8</v>
      </c>
      <c r="I26" s="17">
        <f>(D26*F26*4 + E26*G26*8)*H26</f>
        <v/>
      </c>
      <c r="J26" s="18">
        <f>I26/B26</f>
        <v/>
      </c>
      <c r="K26" t="inlineStr"/>
      <c r="L26" s="14" t="n">
        <v>25</v>
      </c>
      <c r="M26" s="14" t="n">
        <v>73</v>
      </c>
      <c r="N26" s="14" t="n">
        <v>45</v>
      </c>
      <c r="O26" s="17">
        <f>B26*(M26 + (N26*L26/25))</f>
        <v/>
      </c>
      <c r="P26" s="18">
        <f>O26/B26</f>
        <v/>
      </c>
      <c r="Q26" t="inlineStr"/>
      <c r="R26" s="14" t="n">
        <v>8.5</v>
      </c>
      <c r="S26" s="17">
        <f>B26*R26*12</f>
        <v/>
      </c>
      <c r="T26" s="18">
        <f>S26/B26</f>
        <v/>
      </c>
      <c r="U26" t="inlineStr"/>
      <c r="V26" s="19" t="n">
        <v>1000000</v>
      </c>
      <c r="W26" s="14" t="n">
        <v>500</v>
      </c>
      <c r="X26" s="14" t="n">
        <v>5</v>
      </c>
      <c r="Y26" s="17">
        <f>V26*(B26/W26)</f>
        <v/>
      </c>
      <c r="Z26" s="17">
        <f>IF(Y26&gt;0,-PMT(0.05,20,Y26),0)</f>
        <v/>
      </c>
      <c r="AA26" s="18">
        <f>IF(B26&gt;0,Z26/B26,0)</f>
        <v/>
      </c>
      <c r="AB26" t="inlineStr"/>
      <c r="AC26" s="15">
        <f>IF('Building Inventory'!D25="Emergency Ops",60,IF('Building Inventory'!D25="911 Center",50,IF('Building Inventory'!D25="Police",40,IF('Building Inventory'!D25="Fire",40,IF('Building Inventory'!D25="Water Control",30,5)))))</f>
        <v/>
      </c>
      <c r="AD26" s="15">
        <f>IF('Building Inventory'!M25="Yes",10,5)</f>
        <v/>
      </c>
      <c r="AE26" s="15">
        <f>B26*0.75</f>
        <v/>
      </c>
      <c r="AF26" s="17">
        <f>AC26*AD26*AE26</f>
        <v/>
      </c>
      <c r="AG26" s="18">
        <f>AF26/B26</f>
        <v/>
      </c>
      <c r="AH26" t="inlineStr"/>
      <c r="AI26" s="14" t="n">
        <v>220</v>
      </c>
      <c r="AJ26" s="15">
        <f>(B26*2)*0.058</f>
        <v/>
      </c>
      <c r="AK26" s="17">
        <f>AI26*AJ26</f>
        <v/>
      </c>
      <c r="AL26" s="18">
        <f>AK26/B26</f>
        <v/>
      </c>
      <c r="AM26" t="inlineStr"/>
      <c r="AN26" s="17">
        <f>SUM(I26,O26,S26,Z26,AF26,AK26)</f>
        <v/>
      </c>
      <c r="AO26" s="18">
        <f>AN26/B26</f>
        <v/>
      </c>
    </row>
    <row r="27">
      <c r="A27" t="inlineStr">
        <is>
          <t>B025</t>
        </is>
      </c>
      <c r="B27" s="15">
        <f>'Building Inventory'!E26</f>
        <v/>
      </c>
      <c r="C27" t="inlineStr"/>
      <c r="D27" s="15">
        <f>'Building Inventory'!I26</f>
        <v/>
      </c>
      <c r="E27" s="15">
        <f>='Building Inventory'!I26*0.85</f>
        <v/>
      </c>
      <c r="F27" s="14" t="n">
        <v>22</v>
      </c>
      <c r="G27" s="14" t="n">
        <v>12</v>
      </c>
      <c r="H27" s="14" t="n">
        <v>0.8</v>
      </c>
      <c r="I27" s="17">
        <f>(D27*F27*4 + E27*G27*8)*H27</f>
        <v/>
      </c>
      <c r="J27" s="18">
        <f>I27/B27</f>
        <v/>
      </c>
      <c r="K27" t="inlineStr"/>
      <c r="L27" s="14" t="n">
        <v>25</v>
      </c>
      <c r="M27" s="14" t="n">
        <v>73</v>
      </c>
      <c r="N27" s="14" t="n">
        <v>45</v>
      </c>
      <c r="O27" s="17">
        <f>B27*(M27 + (N27*L27/25))</f>
        <v/>
      </c>
      <c r="P27" s="18">
        <f>O27/B27</f>
        <v/>
      </c>
      <c r="Q27" t="inlineStr"/>
      <c r="R27" s="14" t="n">
        <v>8.5</v>
      </c>
      <c r="S27" s="17">
        <f>B27*R27*12</f>
        <v/>
      </c>
      <c r="T27" s="18">
        <f>S27/B27</f>
        <v/>
      </c>
      <c r="U27" t="inlineStr"/>
      <c r="V27" s="19" t="n">
        <v>1000000</v>
      </c>
      <c r="W27" s="14" t="n">
        <v>500</v>
      </c>
      <c r="X27" s="14" t="n">
        <v>5</v>
      </c>
      <c r="Y27" s="17">
        <f>V27*(B27/W27)</f>
        <v/>
      </c>
      <c r="Z27" s="17">
        <f>IF(Y27&gt;0,-PMT(0.05,20,Y27),0)</f>
        <v/>
      </c>
      <c r="AA27" s="18">
        <f>IF(B27&gt;0,Z27/B27,0)</f>
        <v/>
      </c>
      <c r="AB27" t="inlineStr"/>
      <c r="AC27" s="15">
        <f>IF('Building Inventory'!D26="Emergency Ops",60,IF('Building Inventory'!D26="911 Center",50,IF('Building Inventory'!D26="Police",40,IF('Building Inventory'!D26="Fire",40,IF('Building Inventory'!D26="Water Control",30,5)))))</f>
        <v/>
      </c>
      <c r="AD27" s="15">
        <f>IF('Building Inventory'!M26="Yes",10,5)</f>
        <v/>
      </c>
      <c r="AE27" s="15">
        <f>B27*0.75</f>
        <v/>
      </c>
      <c r="AF27" s="17">
        <f>AC27*AD27*AE27</f>
        <v/>
      </c>
      <c r="AG27" s="18">
        <f>AF27/B27</f>
        <v/>
      </c>
      <c r="AH27" t="inlineStr"/>
      <c r="AI27" s="14" t="n">
        <v>220</v>
      </c>
      <c r="AJ27" s="15">
        <f>(B27*2)*0.058</f>
        <v/>
      </c>
      <c r="AK27" s="17">
        <f>AI27*AJ27</f>
        <v/>
      </c>
      <c r="AL27" s="18">
        <f>AK27/B27</f>
        <v/>
      </c>
      <c r="AM27" t="inlineStr"/>
      <c r="AN27" s="17">
        <f>SUM(I27,O27,S27,Z27,AF27,AK27)</f>
        <v/>
      </c>
      <c r="AO27" s="18">
        <f>AN27/B27</f>
        <v/>
      </c>
    </row>
    <row r="28">
      <c r="A28" t="inlineStr">
        <is>
          <t>B026</t>
        </is>
      </c>
      <c r="B28" s="15">
        <f>'Building Inventory'!E27</f>
        <v/>
      </c>
      <c r="C28" t="inlineStr"/>
      <c r="D28" s="15">
        <f>'Building Inventory'!I27</f>
        <v/>
      </c>
      <c r="E28" s="15">
        <f>='Building Inventory'!I27*0.85</f>
        <v/>
      </c>
      <c r="F28" s="14" t="n">
        <v>22</v>
      </c>
      <c r="G28" s="14" t="n">
        <v>12</v>
      </c>
      <c r="H28" s="14" t="n">
        <v>0.8</v>
      </c>
      <c r="I28" s="17">
        <f>(D28*F28*4 + E28*G28*8)*H28</f>
        <v/>
      </c>
      <c r="J28" s="18">
        <f>I28/B28</f>
        <v/>
      </c>
      <c r="K28" t="inlineStr"/>
      <c r="L28" s="14" t="n">
        <v>25</v>
      </c>
      <c r="M28" s="14" t="n">
        <v>73</v>
      </c>
      <c r="N28" s="14" t="n">
        <v>45</v>
      </c>
      <c r="O28" s="17">
        <f>B28*(M28 + (N28*L28/25))</f>
        <v/>
      </c>
      <c r="P28" s="18">
        <f>O28/B28</f>
        <v/>
      </c>
      <c r="Q28" t="inlineStr"/>
      <c r="R28" s="14" t="n">
        <v>8.5</v>
      </c>
      <c r="S28" s="17">
        <f>B28*R28*12</f>
        <v/>
      </c>
      <c r="T28" s="18">
        <f>S28/B28</f>
        <v/>
      </c>
      <c r="U28" t="inlineStr"/>
      <c r="V28" s="19" t="n">
        <v>0</v>
      </c>
      <c r="W28" s="14" t="n">
        <v>500</v>
      </c>
      <c r="X28" s="14" t="n">
        <v>0</v>
      </c>
      <c r="Y28" s="17">
        <f>V28*(B28/W28)</f>
        <v/>
      </c>
      <c r="Z28" s="17">
        <f>IF(Y28&gt;0,-PMT(0.05,20,Y28),0)</f>
        <v/>
      </c>
      <c r="AA28" s="18">
        <f>IF(B28&gt;0,Z28/B28,0)</f>
        <v/>
      </c>
      <c r="AB28" t="inlineStr"/>
      <c r="AC28" s="15">
        <f>IF('Building Inventory'!D27="Emergency Ops",60,IF('Building Inventory'!D27="911 Center",50,IF('Building Inventory'!D27="Police",40,IF('Building Inventory'!D27="Fire",40,IF('Building Inventory'!D27="Water Control",30,5)))))</f>
        <v/>
      </c>
      <c r="AD28" s="15">
        <f>IF('Building Inventory'!M27="Yes",10,5)</f>
        <v/>
      </c>
      <c r="AE28" s="15">
        <f>B28*0.75</f>
        <v/>
      </c>
      <c r="AF28" s="17">
        <f>AC28*AD28*AE28</f>
        <v/>
      </c>
      <c r="AG28" s="18">
        <f>AF28/B28</f>
        <v/>
      </c>
      <c r="AH28" t="inlineStr"/>
      <c r="AI28" s="14" t="n">
        <v>220</v>
      </c>
      <c r="AJ28" s="15">
        <f>(B28*2)*0.058</f>
        <v/>
      </c>
      <c r="AK28" s="17">
        <f>AI28*AJ28</f>
        <v/>
      </c>
      <c r="AL28" s="18">
        <f>AK28/B28</f>
        <v/>
      </c>
      <c r="AM28" t="inlineStr"/>
      <c r="AN28" s="17">
        <f>SUM(I28,O28,S28,Z28,AF28,AK28)</f>
        <v/>
      </c>
      <c r="AO28" s="18">
        <f>AN28/B28</f>
        <v/>
      </c>
    </row>
    <row r="29">
      <c r="A29" t="inlineStr">
        <is>
          <t>B027</t>
        </is>
      </c>
      <c r="B29" s="15">
        <f>'Building Inventory'!E28</f>
        <v/>
      </c>
      <c r="C29" t="inlineStr"/>
      <c r="D29" s="15">
        <f>'Building Inventory'!I28</f>
        <v/>
      </c>
      <c r="E29" s="15">
        <f>='Building Inventory'!I28*0.85</f>
        <v/>
      </c>
      <c r="F29" s="14" t="n">
        <v>22</v>
      </c>
      <c r="G29" s="14" t="n">
        <v>12</v>
      </c>
      <c r="H29" s="14" t="n">
        <v>0.8</v>
      </c>
      <c r="I29" s="17">
        <f>(D29*F29*4 + E29*G29*8)*H29</f>
        <v/>
      </c>
      <c r="J29" s="18">
        <f>I29/B29</f>
        <v/>
      </c>
      <c r="K29" t="inlineStr"/>
      <c r="L29" s="14" t="n">
        <v>25</v>
      </c>
      <c r="M29" s="14" t="n">
        <v>73</v>
      </c>
      <c r="N29" s="14" t="n">
        <v>45</v>
      </c>
      <c r="O29" s="17">
        <f>B29*(M29 + (N29*L29/25))</f>
        <v/>
      </c>
      <c r="P29" s="18">
        <f>O29/B29</f>
        <v/>
      </c>
      <c r="Q29" t="inlineStr"/>
      <c r="R29" s="14" t="n">
        <v>8.5</v>
      </c>
      <c r="S29" s="17">
        <f>B29*R29*12</f>
        <v/>
      </c>
      <c r="T29" s="18">
        <f>S29/B29</f>
        <v/>
      </c>
      <c r="U29" t="inlineStr"/>
      <c r="V29" s="19" t="n">
        <v>0</v>
      </c>
      <c r="W29" s="14" t="n">
        <v>500</v>
      </c>
      <c r="X29" s="14" t="n">
        <v>0</v>
      </c>
      <c r="Y29" s="17">
        <f>V29*(B29/W29)</f>
        <v/>
      </c>
      <c r="Z29" s="17">
        <f>IF(Y29&gt;0,-PMT(0.05,20,Y29),0)</f>
        <v/>
      </c>
      <c r="AA29" s="18">
        <f>IF(B29&gt;0,Z29/B29,0)</f>
        <v/>
      </c>
      <c r="AB29" t="inlineStr"/>
      <c r="AC29" s="15">
        <f>IF('Building Inventory'!D28="Emergency Ops",60,IF('Building Inventory'!D28="911 Center",50,IF('Building Inventory'!D28="Police",40,IF('Building Inventory'!D28="Fire",40,IF('Building Inventory'!D28="Water Control",30,5)))))</f>
        <v/>
      </c>
      <c r="AD29" s="15">
        <f>IF('Building Inventory'!M28="Yes",10,5)</f>
        <v/>
      </c>
      <c r="AE29" s="15">
        <f>B29*0.75</f>
        <v/>
      </c>
      <c r="AF29" s="17">
        <f>AC29*AD29*AE29</f>
        <v/>
      </c>
      <c r="AG29" s="18">
        <f>AF29/B29</f>
        <v/>
      </c>
      <c r="AH29" t="inlineStr"/>
      <c r="AI29" s="14" t="n">
        <v>220</v>
      </c>
      <c r="AJ29" s="15">
        <f>(B29*2)*0.058</f>
        <v/>
      </c>
      <c r="AK29" s="17">
        <f>AI29*AJ29</f>
        <v/>
      </c>
      <c r="AL29" s="18">
        <f>AK29/B29</f>
        <v/>
      </c>
      <c r="AM29" t="inlineStr"/>
      <c r="AN29" s="17">
        <f>SUM(I29,O29,S29,Z29,AF29,AK29)</f>
        <v/>
      </c>
      <c r="AO29" s="18">
        <f>AN29/B29</f>
        <v/>
      </c>
    </row>
    <row r="30">
      <c r="A30" t="inlineStr">
        <is>
          <t>B028</t>
        </is>
      </c>
      <c r="B30" s="15">
        <f>'Building Inventory'!E29</f>
        <v/>
      </c>
      <c r="C30" t="inlineStr"/>
      <c r="D30" s="15">
        <f>'Building Inventory'!I29</f>
        <v/>
      </c>
      <c r="E30" s="15">
        <f>='Building Inventory'!I29*0.85</f>
        <v/>
      </c>
      <c r="F30" s="14" t="n">
        <v>22</v>
      </c>
      <c r="G30" s="14" t="n">
        <v>12</v>
      </c>
      <c r="H30" s="14" t="n">
        <v>0.8</v>
      </c>
      <c r="I30" s="17">
        <f>(D30*F30*4 + E30*G30*8)*H30</f>
        <v/>
      </c>
      <c r="J30" s="18">
        <f>I30/B30</f>
        <v/>
      </c>
      <c r="K30" t="inlineStr"/>
      <c r="L30" s="14" t="n">
        <v>25</v>
      </c>
      <c r="M30" s="14" t="n">
        <v>73</v>
      </c>
      <c r="N30" s="14" t="n">
        <v>45</v>
      </c>
      <c r="O30" s="17">
        <f>B30*(M30 + (N30*L30/25))</f>
        <v/>
      </c>
      <c r="P30" s="18">
        <f>O30/B30</f>
        <v/>
      </c>
      <c r="Q30" t="inlineStr"/>
      <c r="R30" s="14" t="n">
        <v>8.5</v>
      </c>
      <c r="S30" s="17">
        <f>B30*R30*12</f>
        <v/>
      </c>
      <c r="T30" s="18">
        <f>S30/B30</f>
        <v/>
      </c>
      <c r="U30" t="inlineStr"/>
      <c r="V30" s="19" t="n">
        <v>0</v>
      </c>
      <c r="W30" s="14" t="n">
        <v>500</v>
      </c>
      <c r="X30" s="14" t="n">
        <v>0</v>
      </c>
      <c r="Y30" s="17">
        <f>V30*(B30/W30)</f>
        <v/>
      </c>
      <c r="Z30" s="17">
        <f>IF(Y30&gt;0,-PMT(0.05,20,Y30),0)</f>
        <v/>
      </c>
      <c r="AA30" s="18">
        <f>IF(B30&gt;0,Z30/B30,0)</f>
        <v/>
      </c>
      <c r="AB30" t="inlineStr"/>
      <c r="AC30" s="15">
        <f>IF('Building Inventory'!D29="Emergency Ops",60,IF('Building Inventory'!D29="911 Center",50,IF('Building Inventory'!D29="Police",40,IF('Building Inventory'!D29="Fire",40,IF('Building Inventory'!D29="Water Control",30,5)))))</f>
        <v/>
      </c>
      <c r="AD30" s="15">
        <f>IF('Building Inventory'!M29="Yes",10,5)</f>
        <v/>
      </c>
      <c r="AE30" s="15">
        <f>B30*0.75</f>
        <v/>
      </c>
      <c r="AF30" s="17">
        <f>AC30*AD30*AE30</f>
        <v/>
      </c>
      <c r="AG30" s="18">
        <f>AF30/B30</f>
        <v/>
      </c>
      <c r="AH30" t="inlineStr"/>
      <c r="AI30" s="14" t="n">
        <v>220</v>
      </c>
      <c r="AJ30" s="15">
        <f>(B30*2)*0.058</f>
        <v/>
      </c>
      <c r="AK30" s="17">
        <f>AI30*AJ30</f>
        <v/>
      </c>
      <c r="AL30" s="18">
        <f>AK30/B30</f>
        <v/>
      </c>
      <c r="AM30" t="inlineStr"/>
      <c r="AN30" s="17">
        <f>SUM(I30,O30,S30,Z30,AF30,AK30)</f>
        <v/>
      </c>
      <c r="AO30" s="18">
        <f>AN30/B30</f>
        <v/>
      </c>
    </row>
    <row r="31">
      <c r="A31" t="inlineStr">
        <is>
          <t>B029</t>
        </is>
      </c>
      <c r="B31" s="15">
        <f>'Building Inventory'!E30</f>
        <v/>
      </c>
      <c r="C31" t="inlineStr"/>
      <c r="D31" s="15">
        <f>'Building Inventory'!I30</f>
        <v/>
      </c>
      <c r="E31" s="15">
        <f>='Building Inventory'!I30*0.85</f>
        <v/>
      </c>
      <c r="F31" s="14" t="n">
        <v>22</v>
      </c>
      <c r="G31" s="14" t="n">
        <v>12</v>
      </c>
      <c r="H31" s="14" t="n">
        <v>0.8</v>
      </c>
      <c r="I31" s="17">
        <f>(D31*F31*4 + E31*G31*8)*H31</f>
        <v/>
      </c>
      <c r="J31" s="18">
        <f>I31/B31</f>
        <v/>
      </c>
      <c r="K31" t="inlineStr"/>
      <c r="L31" s="14" t="n">
        <v>25</v>
      </c>
      <c r="M31" s="14" t="n">
        <v>73</v>
      </c>
      <c r="N31" s="14" t="n">
        <v>45</v>
      </c>
      <c r="O31" s="17">
        <f>B31*(M31 + (N31*L31/25))</f>
        <v/>
      </c>
      <c r="P31" s="18">
        <f>O31/B31</f>
        <v/>
      </c>
      <c r="Q31" t="inlineStr"/>
      <c r="R31" s="14" t="n">
        <v>8.5</v>
      </c>
      <c r="S31" s="17">
        <f>B31*R31*12</f>
        <v/>
      </c>
      <c r="T31" s="18">
        <f>S31/B31</f>
        <v/>
      </c>
      <c r="U31" t="inlineStr"/>
      <c r="V31" s="19" t="n">
        <v>0</v>
      </c>
      <c r="W31" s="14" t="n">
        <v>500</v>
      </c>
      <c r="X31" s="14" t="n">
        <v>0</v>
      </c>
      <c r="Y31" s="17">
        <f>V31*(B31/W31)</f>
        <v/>
      </c>
      <c r="Z31" s="17">
        <f>IF(Y31&gt;0,-PMT(0.05,20,Y31),0)</f>
        <v/>
      </c>
      <c r="AA31" s="18">
        <f>IF(B31&gt;0,Z31/B31,0)</f>
        <v/>
      </c>
      <c r="AB31" t="inlineStr"/>
      <c r="AC31" s="15">
        <f>IF('Building Inventory'!D30="Emergency Ops",60,IF('Building Inventory'!D30="911 Center",50,IF('Building Inventory'!D30="Police",40,IF('Building Inventory'!D30="Fire",40,IF('Building Inventory'!D30="Water Control",30,5)))))</f>
        <v/>
      </c>
      <c r="AD31" s="15">
        <f>IF('Building Inventory'!M30="Yes",10,5)</f>
        <v/>
      </c>
      <c r="AE31" s="15">
        <f>B31*0.75</f>
        <v/>
      </c>
      <c r="AF31" s="17">
        <f>AC31*AD31*AE31</f>
        <v/>
      </c>
      <c r="AG31" s="18">
        <f>AF31/B31</f>
        <v/>
      </c>
      <c r="AH31" t="inlineStr"/>
      <c r="AI31" s="14" t="n">
        <v>220</v>
      </c>
      <c r="AJ31" s="15">
        <f>(B31*2)*0.058</f>
        <v/>
      </c>
      <c r="AK31" s="17">
        <f>AI31*AJ31</f>
        <v/>
      </c>
      <c r="AL31" s="18">
        <f>AK31/B31</f>
        <v/>
      </c>
      <c r="AM31" t="inlineStr"/>
      <c r="AN31" s="17">
        <f>SUM(I31,O31,S31,Z31,AF31,AK31)</f>
        <v/>
      </c>
      <c r="AO31" s="18">
        <f>AN31/B31</f>
        <v/>
      </c>
    </row>
    <row r="32">
      <c r="A32" t="inlineStr">
        <is>
          <t>B030</t>
        </is>
      </c>
      <c r="B32" s="15">
        <f>'Building Inventory'!E31</f>
        <v/>
      </c>
      <c r="C32" t="inlineStr"/>
      <c r="D32" s="15">
        <f>'Building Inventory'!I31</f>
        <v/>
      </c>
      <c r="E32" s="15">
        <f>='Building Inventory'!I31*0.85</f>
        <v/>
      </c>
      <c r="F32" s="14" t="n">
        <v>22</v>
      </c>
      <c r="G32" s="14" t="n">
        <v>12</v>
      </c>
      <c r="H32" s="14" t="n">
        <v>0.8</v>
      </c>
      <c r="I32" s="17">
        <f>(D32*F32*4 + E32*G32*8)*H32</f>
        <v/>
      </c>
      <c r="J32" s="18">
        <f>I32/B32</f>
        <v/>
      </c>
      <c r="K32" t="inlineStr"/>
      <c r="L32" s="14" t="n">
        <v>25</v>
      </c>
      <c r="M32" s="14" t="n">
        <v>73</v>
      </c>
      <c r="N32" s="14" t="n">
        <v>45</v>
      </c>
      <c r="O32" s="17">
        <f>B32*(M32 + (N32*L32/25))</f>
        <v/>
      </c>
      <c r="P32" s="18">
        <f>O32/B32</f>
        <v/>
      </c>
      <c r="Q32" t="inlineStr"/>
      <c r="R32" s="14" t="n">
        <v>8.5</v>
      </c>
      <c r="S32" s="17">
        <f>B32*R32*12</f>
        <v/>
      </c>
      <c r="T32" s="18">
        <f>S32/B32</f>
        <v/>
      </c>
      <c r="U32" t="inlineStr"/>
      <c r="V32" s="19" t="n">
        <v>0</v>
      </c>
      <c r="W32" s="14" t="n">
        <v>500</v>
      </c>
      <c r="X32" s="14" t="n">
        <v>0</v>
      </c>
      <c r="Y32" s="17">
        <f>V32*(B32/W32)</f>
        <v/>
      </c>
      <c r="Z32" s="17">
        <f>IF(Y32&gt;0,-PMT(0.05,20,Y32),0)</f>
        <v/>
      </c>
      <c r="AA32" s="18">
        <f>IF(B32&gt;0,Z32/B32,0)</f>
        <v/>
      </c>
      <c r="AB32" t="inlineStr"/>
      <c r="AC32" s="15">
        <f>IF('Building Inventory'!D31="Emergency Ops",60,IF('Building Inventory'!D31="911 Center",50,IF('Building Inventory'!D31="Police",40,IF('Building Inventory'!D31="Fire",40,IF('Building Inventory'!D31="Water Control",30,5)))))</f>
        <v/>
      </c>
      <c r="AD32" s="15">
        <f>IF('Building Inventory'!M31="Yes",10,5)</f>
        <v/>
      </c>
      <c r="AE32" s="15">
        <f>B32*0.75</f>
        <v/>
      </c>
      <c r="AF32" s="17">
        <f>AC32*AD32*AE32</f>
        <v/>
      </c>
      <c r="AG32" s="18">
        <f>AF32/B32</f>
        <v/>
      </c>
      <c r="AH32" t="inlineStr"/>
      <c r="AI32" s="14" t="n">
        <v>220</v>
      </c>
      <c r="AJ32" s="15">
        <f>(B32*2)*0.058</f>
        <v/>
      </c>
      <c r="AK32" s="17">
        <f>AI32*AJ32</f>
        <v/>
      </c>
      <c r="AL32" s="18">
        <f>AK32/B32</f>
        <v/>
      </c>
      <c r="AM32" t="inlineStr"/>
      <c r="AN32" s="17">
        <f>SUM(I32,O32,S32,Z32,AF32,AK32)</f>
        <v/>
      </c>
      <c r="AO32" s="18">
        <f>AN32/B32</f>
        <v/>
      </c>
    </row>
    <row r="33">
      <c r="A33" t="inlineStr">
        <is>
          <t>B031</t>
        </is>
      </c>
      <c r="B33" s="15">
        <f>'Building Inventory'!E32</f>
        <v/>
      </c>
      <c r="C33" t="inlineStr"/>
      <c r="D33" s="15">
        <f>'Building Inventory'!I32</f>
        <v/>
      </c>
      <c r="E33" s="15">
        <f>='Building Inventory'!I32*0.85</f>
        <v/>
      </c>
      <c r="F33" s="14" t="n">
        <v>22</v>
      </c>
      <c r="G33" s="14" t="n">
        <v>12</v>
      </c>
      <c r="H33" s="14" t="n">
        <v>0.8</v>
      </c>
      <c r="I33" s="17">
        <f>(D33*F33*4 + E33*G33*8)*H33</f>
        <v/>
      </c>
      <c r="J33" s="18">
        <f>I33/B33</f>
        <v/>
      </c>
      <c r="K33" t="inlineStr"/>
      <c r="L33" s="14" t="n">
        <v>25</v>
      </c>
      <c r="M33" s="14" t="n">
        <v>73</v>
      </c>
      <c r="N33" s="14" t="n">
        <v>45</v>
      </c>
      <c r="O33" s="17">
        <f>B33*(M33 + (N33*L33/25))</f>
        <v/>
      </c>
      <c r="P33" s="18">
        <f>O33/B33</f>
        <v/>
      </c>
      <c r="Q33" t="inlineStr"/>
      <c r="R33" s="14" t="n">
        <v>8.5</v>
      </c>
      <c r="S33" s="17">
        <f>B33*R33*12</f>
        <v/>
      </c>
      <c r="T33" s="18">
        <f>S33/B33</f>
        <v/>
      </c>
      <c r="U33" t="inlineStr"/>
      <c r="V33" s="19" t="n">
        <v>0</v>
      </c>
      <c r="W33" s="14" t="n">
        <v>500</v>
      </c>
      <c r="X33" s="14" t="n">
        <v>0</v>
      </c>
      <c r="Y33" s="17">
        <f>V33*(B33/W33)</f>
        <v/>
      </c>
      <c r="Z33" s="17">
        <f>IF(Y33&gt;0,-PMT(0.05,20,Y33),0)</f>
        <v/>
      </c>
      <c r="AA33" s="18">
        <f>IF(B33&gt;0,Z33/B33,0)</f>
        <v/>
      </c>
      <c r="AB33" t="inlineStr"/>
      <c r="AC33" s="15">
        <f>IF('Building Inventory'!D32="Emergency Ops",60,IF('Building Inventory'!D32="911 Center",50,IF('Building Inventory'!D32="Police",40,IF('Building Inventory'!D32="Fire",40,IF('Building Inventory'!D32="Water Control",30,5)))))</f>
        <v/>
      </c>
      <c r="AD33" s="15">
        <f>IF('Building Inventory'!M32="Yes",10,5)</f>
        <v/>
      </c>
      <c r="AE33" s="15">
        <f>B33*0.75</f>
        <v/>
      </c>
      <c r="AF33" s="17">
        <f>AC33*AD33*AE33</f>
        <v/>
      </c>
      <c r="AG33" s="18">
        <f>AF33/B33</f>
        <v/>
      </c>
      <c r="AH33" t="inlineStr"/>
      <c r="AI33" s="14" t="n">
        <v>220</v>
      </c>
      <c r="AJ33" s="15">
        <f>(B33*2)*0.058</f>
        <v/>
      </c>
      <c r="AK33" s="17">
        <f>AI33*AJ33</f>
        <v/>
      </c>
      <c r="AL33" s="18">
        <f>AK33/B33</f>
        <v/>
      </c>
      <c r="AM33" t="inlineStr"/>
      <c r="AN33" s="17">
        <f>SUM(I33,O33,S33,Z33,AF33,AK33)</f>
        <v/>
      </c>
      <c r="AO33" s="18">
        <f>AN33/B33</f>
        <v/>
      </c>
    </row>
    <row r="34">
      <c r="A34" t="inlineStr">
        <is>
          <t>B032</t>
        </is>
      </c>
      <c r="B34" s="15">
        <f>'Building Inventory'!E33</f>
        <v/>
      </c>
      <c r="C34" t="inlineStr"/>
      <c r="D34" s="15">
        <f>'Building Inventory'!I33</f>
        <v/>
      </c>
      <c r="E34" s="15">
        <f>='Building Inventory'!I33*0.85</f>
        <v/>
      </c>
      <c r="F34" s="14" t="n">
        <v>22</v>
      </c>
      <c r="G34" s="14" t="n">
        <v>12</v>
      </c>
      <c r="H34" s="14" t="n">
        <v>0.8</v>
      </c>
      <c r="I34" s="17">
        <f>(D34*F34*4 + E34*G34*8)*H34</f>
        <v/>
      </c>
      <c r="J34" s="18">
        <f>I34/B34</f>
        <v/>
      </c>
      <c r="K34" t="inlineStr"/>
      <c r="L34" s="14" t="n">
        <v>25</v>
      </c>
      <c r="M34" s="14" t="n">
        <v>73</v>
      </c>
      <c r="N34" s="14" t="n">
        <v>45</v>
      </c>
      <c r="O34" s="17">
        <f>B34*(M34 + (N34*L34/25))</f>
        <v/>
      </c>
      <c r="P34" s="18">
        <f>O34/B34</f>
        <v/>
      </c>
      <c r="Q34" t="inlineStr"/>
      <c r="R34" s="14" t="n">
        <v>8.5</v>
      </c>
      <c r="S34" s="17">
        <f>B34*R34*12</f>
        <v/>
      </c>
      <c r="T34" s="18">
        <f>S34/B34</f>
        <v/>
      </c>
      <c r="U34" t="inlineStr"/>
      <c r="V34" s="19" t="n">
        <v>0</v>
      </c>
      <c r="W34" s="14" t="n">
        <v>500</v>
      </c>
      <c r="X34" s="14" t="n">
        <v>0</v>
      </c>
      <c r="Y34" s="17">
        <f>V34*(B34/W34)</f>
        <v/>
      </c>
      <c r="Z34" s="17">
        <f>IF(Y34&gt;0,-PMT(0.05,20,Y34),0)</f>
        <v/>
      </c>
      <c r="AA34" s="18">
        <f>IF(B34&gt;0,Z34/B34,0)</f>
        <v/>
      </c>
      <c r="AB34" t="inlineStr"/>
      <c r="AC34" s="15">
        <f>IF('Building Inventory'!D33="Emergency Ops",60,IF('Building Inventory'!D33="911 Center",50,IF('Building Inventory'!D33="Police",40,IF('Building Inventory'!D33="Fire",40,IF('Building Inventory'!D33="Water Control",30,5)))))</f>
        <v/>
      </c>
      <c r="AD34" s="15">
        <f>IF('Building Inventory'!M33="Yes",10,5)</f>
        <v/>
      </c>
      <c r="AE34" s="15">
        <f>B34*0.75</f>
        <v/>
      </c>
      <c r="AF34" s="17">
        <f>AC34*AD34*AE34</f>
        <v/>
      </c>
      <c r="AG34" s="18">
        <f>AF34/B34</f>
        <v/>
      </c>
      <c r="AH34" t="inlineStr"/>
      <c r="AI34" s="14" t="n">
        <v>220</v>
      </c>
      <c r="AJ34" s="15">
        <f>(B34*2)*0.058</f>
        <v/>
      </c>
      <c r="AK34" s="17">
        <f>AI34*AJ34</f>
        <v/>
      </c>
      <c r="AL34" s="18">
        <f>AK34/B34</f>
        <v/>
      </c>
      <c r="AM34" t="inlineStr"/>
      <c r="AN34" s="17">
        <f>SUM(I34,O34,S34,Z34,AF34,AK34)</f>
        <v/>
      </c>
      <c r="AO34" s="18">
        <f>AN34/B34</f>
        <v/>
      </c>
    </row>
    <row r="35">
      <c r="A35" t="inlineStr">
        <is>
          <t>B033</t>
        </is>
      </c>
      <c r="B35" s="15">
        <f>'Building Inventory'!E34</f>
        <v/>
      </c>
      <c r="C35" t="inlineStr"/>
      <c r="D35" s="15">
        <f>'Building Inventory'!I34</f>
        <v/>
      </c>
      <c r="E35" s="15">
        <f>='Building Inventory'!I34*0.85</f>
        <v/>
      </c>
      <c r="F35" s="14" t="n">
        <v>22</v>
      </c>
      <c r="G35" s="14" t="n">
        <v>12</v>
      </c>
      <c r="H35" s="14" t="n">
        <v>0.8</v>
      </c>
      <c r="I35" s="17">
        <f>(D35*F35*4 + E35*G35*8)*H35</f>
        <v/>
      </c>
      <c r="J35" s="18">
        <f>I35/B35</f>
        <v/>
      </c>
      <c r="K35" t="inlineStr"/>
      <c r="L35" s="14" t="n">
        <v>25</v>
      </c>
      <c r="M35" s="14" t="n">
        <v>73</v>
      </c>
      <c r="N35" s="14" t="n">
        <v>45</v>
      </c>
      <c r="O35" s="17">
        <f>B35*(M35 + (N35*L35/25))</f>
        <v/>
      </c>
      <c r="P35" s="18">
        <f>O35/B35</f>
        <v/>
      </c>
      <c r="Q35" t="inlineStr"/>
      <c r="R35" s="14" t="n">
        <v>8.5</v>
      </c>
      <c r="S35" s="17">
        <f>B35*R35*12</f>
        <v/>
      </c>
      <c r="T35" s="18">
        <f>S35/B35</f>
        <v/>
      </c>
      <c r="U35" t="inlineStr"/>
      <c r="V35" s="19" t="n">
        <v>0</v>
      </c>
      <c r="W35" s="14" t="n">
        <v>500</v>
      </c>
      <c r="X35" s="14" t="n">
        <v>0</v>
      </c>
      <c r="Y35" s="17">
        <f>V35*(B35/W35)</f>
        <v/>
      </c>
      <c r="Z35" s="17">
        <f>IF(Y35&gt;0,-PMT(0.05,20,Y35),0)</f>
        <v/>
      </c>
      <c r="AA35" s="18">
        <f>IF(B35&gt;0,Z35/B35,0)</f>
        <v/>
      </c>
      <c r="AB35" t="inlineStr"/>
      <c r="AC35" s="15">
        <f>IF('Building Inventory'!D34="Emergency Ops",60,IF('Building Inventory'!D34="911 Center",50,IF('Building Inventory'!D34="Police",40,IF('Building Inventory'!D34="Fire",40,IF('Building Inventory'!D34="Water Control",30,5)))))</f>
        <v/>
      </c>
      <c r="AD35" s="15">
        <f>IF('Building Inventory'!M34="Yes",10,5)</f>
        <v/>
      </c>
      <c r="AE35" s="15">
        <f>B35*0.75</f>
        <v/>
      </c>
      <c r="AF35" s="17">
        <f>AC35*AD35*AE35</f>
        <v/>
      </c>
      <c r="AG35" s="18">
        <f>AF35/B35</f>
        <v/>
      </c>
      <c r="AH35" t="inlineStr"/>
      <c r="AI35" s="14" t="n">
        <v>220</v>
      </c>
      <c r="AJ35" s="15">
        <f>(B35*2)*0.058</f>
        <v/>
      </c>
      <c r="AK35" s="17">
        <f>AI35*AJ35</f>
        <v/>
      </c>
      <c r="AL35" s="18">
        <f>AK35/B35</f>
        <v/>
      </c>
      <c r="AM35" t="inlineStr"/>
      <c r="AN35" s="17">
        <f>SUM(I35,O35,S35,Z35,AF35,AK35)</f>
        <v/>
      </c>
      <c r="AO35" s="18">
        <f>AN35/B35</f>
        <v/>
      </c>
    </row>
    <row r="36">
      <c r="A36" t="inlineStr">
        <is>
          <t>B034</t>
        </is>
      </c>
      <c r="B36" s="15">
        <f>'Building Inventory'!E35</f>
        <v/>
      </c>
      <c r="C36" t="inlineStr"/>
      <c r="D36" s="15">
        <f>'Building Inventory'!I35</f>
        <v/>
      </c>
      <c r="E36" s="15">
        <f>='Building Inventory'!I35*0.85</f>
        <v/>
      </c>
      <c r="F36" s="14" t="n">
        <v>22</v>
      </c>
      <c r="G36" s="14" t="n">
        <v>12</v>
      </c>
      <c r="H36" s="14" t="n">
        <v>0.8</v>
      </c>
      <c r="I36" s="17">
        <f>(D36*F36*4 + E36*G36*8)*H36</f>
        <v/>
      </c>
      <c r="J36" s="18">
        <f>I36/B36</f>
        <v/>
      </c>
      <c r="K36" t="inlineStr"/>
      <c r="L36" s="14" t="n">
        <v>25</v>
      </c>
      <c r="M36" s="14" t="n">
        <v>73</v>
      </c>
      <c r="N36" s="14" t="n">
        <v>45</v>
      </c>
      <c r="O36" s="17">
        <f>B36*(M36 + (N36*L36/25))</f>
        <v/>
      </c>
      <c r="P36" s="18">
        <f>O36/B36</f>
        <v/>
      </c>
      <c r="Q36" t="inlineStr"/>
      <c r="R36" s="14" t="n">
        <v>8.5</v>
      </c>
      <c r="S36" s="17">
        <f>B36*R36*12</f>
        <v/>
      </c>
      <c r="T36" s="18">
        <f>S36/B36</f>
        <v/>
      </c>
      <c r="U36" t="inlineStr"/>
      <c r="V36" s="19" t="n">
        <v>0</v>
      </c>
      <c r="W36" s="14" t="n">
        <v>500</v>
      </c>
      <c r="X36" s="14" t="n">
        <v>0</v>
      </c>
      <c r="Y36" s="17">
        <f>V36*(B36/W36)</f>
        <v/>
      </c>
      <c r="Z36" s="17">
        <f>IF(Y36&gt;0,-PMT(0.05,20,Y36),0)</f>
        <v/>
      </c>
      <c r="AA36" s="18">
        <f>IF(B36&gt;0,Z36/B36,0)</f>
        <v/>
      </c>
      <c r="AB36" t="inlineStr"/>
      <c r="AC36" s="15">
        <f>IF('Building Inventory'!D35="Emergency Ops",60,IF('Building Inventory'!D35="911 Center",50,IF('Building Inventory'!D35="Police",40,IF('Building Inventory'!D35="Fire",40,IF('Building Inventory'!D35="Water Control",30,5)))))</f>
        <v/>
      </c>
      <c r="AD36" s="15">
        <f>IF('Building Inventory'!M35="Yes",10,5)</f>
        <v/>
      </c>
      <c r="AE36" s="15">
        <f>B36*0.75</f>
        <v/>
      </c>
      <c r="AF36" s="17">
        <f>AC36*AD36*AE36</f>
        <v/>
      </c>
      <c r="AG36" s="18">
        <f>AF36/B36</f>
        <v/>
      </c>
      <c r="AH36" t="inlineStr"/>
      <c r="AI36" s="14" t="n">
        <v>220</v>
      </c>
      <c r="AJ36" s="15">
        <f>(B36*2)*0.058</f>
        <v/>
      </c>
      <c r="AK36" s="17">
        <f>AI36*AJ36</f>
        <v/>
      </c>
      <c r="AL36" s="18">
        <f>AK36/B36</f>
        <v/>
      </c>
      <c r="AM36" t="inlineStr"/>
      <c r="AN36" s="17">
        <f>SUM(I36,O36,S36,Z36,AF36,AK36)</f>
        <v/>
      </c>
      <c r="AO36" s="18">
        <f>AN36/B36</f>
        <v/>
      </c>
    </row>
    <row r="37">
      <c r="A37" t="inlineStr">
        <is>
          <t>B035</t>
        </is>
      </c>
      <c r="B37" s="15">
        <f>'Building Inventory'!E36</f>
        <v/>
      </c>
      <c r="C37" t="inlineStr"/>
      <c r="D37" s="15">
        <f>'Building Inventory'!I36</f>
        <v/>
      </c>
      <c r="E37" s="15">
        <f>='Building Inventory'!I36*0.85</f>
        <v/>
      </c>
      <c r="F37" s="14" t="n">
        <v>22</v>
      </c>
      <c r="G37" s="14" t="n">
        <v>12</v>
      </c>
      <c r="H37" s="14" t="n">
        <v>0.8</v>
      </c>
      <c r="I37" s="17">
        <f>(D37*F37*4 + E37*G37*8)*H37</f>
        <v/>
      </c>
      <c r="J37" s="18">
        <f>I37/B37</f>
        <v/>
      </c>
      <c r="K37" t="inlineStr"/>
      <c r="L37" s="14" t="n">
        <v>25</v>
      </c>
      <c r="M37" s="14" t="n">
        <v>73</v>
      </c>
      <c r="N37" s="14" t="n">
        <v>45</v>
      </c>
      <c r="O37" s="17">
        <f>B37*(M37 + (N37*L37/25))</f>
        <v/>
      </c>
      <c r="P37" s="18">
        <f>O37/B37</f>
        <v/>
      </c>
      <c r="Q37" t="inlineStr"/>
      <c r="R37" s="14" t="n">
        <v>8.5</v>
      </c>
      <c r="S37" s="17">
        <f>B37*R37*12</f>
        <v/>
      </c>
      <c r="T37" s="18">
        <f>S37/B37</f>
        <v/>
      </c>
      <c r="U37" t="inlineStr"/>
      <c r="V37" s="19" t="n">
        <v>0</v>
      </c>
      <c r="W37" s="14" t="n">
        <v>500</v>
      </c>
      <c r="X37" s="14" t="n">
        <v>0</v>
      </c>
      <c r="Y37" s="17">
        <f>V37*(B37/W37)</f>
        <v/>
      </c>
      <c r="Z37" s="17">
        <f>IF(Y37&gt;0,-PMT(0.05,20,Y37),0)</f>
        <v/>
      </c>
      <c r="AA37" s="18">
        <f>IF(B37&gt;0,Z37/B37,0)</f>
        <v/>
      </c>
      <c r="AB37" t="inlineStr"/>
      <c r="AC37" s="15">
        <f>IF('Building Inventory'!D36="Emergency Ops",60,IF('Building Inventory'!D36="911 Center",50,IF('Building Inventory'!D36="Police",40,IF('Building Inventory'!D36="Fire",40,IF('Building Inventory'!D36="Water Control",30,5)))))</f>
        <v/>
      </c>
      <c r="AD37" s="15">
        <f>IF('Building Inventory'!M36="Yes",10,5)</f>
        <v/>
      </c>
      <c r="AE37" s="15">
        <f>B37*0.75</f>
        <v/>
      </c>
      <c r="AF37" s="17">
        <f>AC37*AD37*AE37</f>
        <v/>
      </c>
      <c r="AG37" s="18">
        <f>AF37/B37</f>
        <v/>
      </c>
      <c r="AH37" t="inlineStr"/>
      <c r="AI37" s="14" t="n">
        <v>220</v>
      </c>
      <c r="AJ37" s="15">
        <f>(B37*2)*0.058</f>
        <v/>
      </c>
      <c r="AK37" s="17">
        <f>AI37*AJ37</f>
        <v/>
      </c>
      <c r="AL37" s="18">
        <f>AK37/B37</f>
        <v/>
      </c>
      <c r="AM37" t="inlineStr"/>
      <c r="AN37" s="17">
        <f>SUM(I37,O37,S37,Z37,AF37,AK37)</f>
        <v/>
      </c>
      <c r="AO37" s="18">
        <f>AN37/B37</f>
        <v/>
      </c>
    </row>
    <row r="38">
      <c r="A38" t="inlineStr">
        <is>
          <t>B036</t>
        </is>
      </c>
      <c r="B38" s="15">
        <f>'Building Inventory'!E37</f>
        <v/>
      </c>
      <c r="C38" t="inlineStr"/>
      <c r="D38" s="15">
        <f>'Building Inventory'!I37</f>
        <v/>
      </c>
      <c r="E38" s="15">
        <f>='Building Inventory'!I37*0.85</f>
        <v/>
      </c>
      <c r="F38" s="14" t="n">
        <v>22</v>
      </c>
      <c r="G38" s="14" t="n">
        <v>12</v>
      </c>
      <c r="H38" s="14" t="n">
        <v>0.8</v>
      </c>
      <c r="I38" s="17">
        <f>(D38*F38*4 + E38*G38*8)*H38</f>
        <v/>
      </c>
      <c r="J38" s="18">
        <f>I38/B38</f>
        <v/>
      </c>
      <c r="K38" t="inlineStr"/>
      <c r="L38" s="14" t="n">
        <v>25</v>
      </c>
      <c r="M38" s="14" t="n">
        <v>73</v>
      </c>
      <c r="N38" s="14" t="n">
        <v>45</v>
      </c>
      <c r="O38" s="17">
        <f>B38*(M38 + (N38*L38/25))</f>
        <v/>
      </c>
      <c r="P38" s="18">
        <f>O38/B38</f>
        <v/>
      </c>
      <c r="Q38" t="inlineStr"/>
      <c r="R38" s="14" t="n">
        <v>8.5</v>
      </c>
      <c r="S38" s="17">
        <f>B38*R38*12</f>
        <v/>
      </c>
      <c r="T38" s="18">
        <f>S38/B38</f>
        <v/>
      </c>
      <c r="U38" t="inlineStr"/>
      <c r="V38" s="19" t="n">
        <v>0</v>
      </c>
      <c r="W38" s="14" t="n">
        <v>500</v>
      </c>
      <c r="X38" s="14" t="n">
        <v>0</v>
      </c>
      <c r="Y38" s="17">
        <f>V38*(B38/W38)</f>
        <v/>
      </c>
      <c r="Z38" s="17">
        <f>IF(Y38&gt;0,-PMT(0.05,20,Y38),0)</f>
        <v/>
      </c>
      <c r="AA38" s="18">
        <f>IF(B38&gt;0,Z38/B38,0)</f>
        <v/>
      </c>
      <c r="AB38" t="inlineStr"/>
      <c r="AC38" s="15">
        <f>IF('Building Inventory'!D37="Emergency Ops",60,IF('Building Inventory'!D37="911 Center",50,IF('Building Inventory'!D37="Police",40,IF('Building Inventory'!D37="Fire",40,IF('Building Inventory'!D37="Water Control",30,5)))))</f>
        <v/>
      </c>
      <c r="AD38" s="15">
        <f>IF('Building Inventory'!M37="Yes",10,5)</f>
        <v/>
      </c>
      <c r="AE38" s="15">
        <f>B38*0.75</f>
        <v/>
      </c>
      <c r="AF38" s="17">
        <f>AC38*AD38*AE38</f>
        <v/>
      </c>
      <c r="AG38" s="18">
        <f>AF38/B38</f>
        <v/>
      </c>
      <c r="AH38" t="inlineStr"/>
      <c r="AI38" s="14" t="n">
        <v>220</v>
      </c>
      <c r="AJ38" s="15">
        <f>(B38*2)*0.058</f>
        <v/>
      </c>
      <c r="AK38" s="17">
        <f>AI38*AJ38</f>
        <v/>
      </c>
      <c r="AL38" s="18">
        <f>AK38/B38</f>
        <v/>
      </c>
      <c r="AM38" t="inlineStr"/>
      <c r="AN38" s="17">
        <f>SUM(I38,O38,S38,Z38,AF38,AK38)</f>
        <v/>
      </c>
      <c r="AO38" s="18">
        <f>AN38/B38</f>
        <v/>
      </c>
    </row>
    <row r="39">
      <c r="A39" t="inlineStr">
        <is>
          <t>B037</t>
        </is>
      </c>
      <c r="B39" s="15">
        <f>'Building Inventory'!E38</f>
        <v/>
      </c>
      <c r="C39" t="inlineStr"/>
      <c r="D39" s="15">
        <f>'Building Inventory'!I38</f>
        <v/>
      </c>
      <c r="E39" s="15">
        <f>='Building Inventory'!I38*0.85</f>
        <v/>
      </c>
      <c r="F39" s="14" t="n">
        <v>22</v>
      </c>
      <c r="G39" s="14" t="n">
        <v>12</v>
      </c>
      <c r="H39" s="14" t="n">
        <v>0.8</v>
      </c>
      <c r="I39" s="17">
        <f>(D39*F39*4 + E39*G39*8)*H39</f>
        <v/>
      </c>
      <c r="J39" s="18">
        <f>I39/B39</f>
        <v/>
      </c>
      <c r="K39" t="inlineStr"/>
      <c r="L39" s="14" t="n">
        <v>25</v>
      </c>
      <c r="M39" s="14" t="n">
        <v>73</v>
      </c>
      <c r="N39" s="14" t="n">
        <v>45</v>
      </c>
      <c r="O39" s="17">
        <f>B39*(M39 + (N39*L39/25))</f>
        <v/>
      </c>
      <c r="P39" s="18">
        <f>O39/B39</f>
        <v/>
      </c>
      <c r="Q39" t="inlineStr"/>
      <c r="R39" s="14" t="n">
        <v>8.5</v>
      </c>
      <c r="S39" s="17">
        <f>B39*R39*12</f>
        <v/>
      </c>
      <c r="T39" s="18">
        <f>S39/B39</f>
        <v/>
      </c>
      <c r="U39" t="inlineStr"/>
      <c r="V39" s="19" t="n">
        <v>0</v>
      </c>
      <c r="W39" s="14" t="n">
        <v>500</v>
      </c>
      <c r="X39" s="14" t="n">
        <v>0</v>
      </c>
      <c r="Y39" s="17">
        <f>V39*(B39/W39)</f>
        <v/>
      </c>
      <c r="Z39" s="17">
        <f>IF(Y39&gt;0,-PMT(0.05,20,Y39),0)</f>
        <v/>
      </c>
      <c r="AA39" s="18">
        <f>IF(B39&gt;0,Z39/B39,0)</f>
        <v/>
      </c>
      <c r="AB39" t="inlineStr"/>
      <c r="AC39" s="15">
        <f>IF('Building Inventory'!D38="Emergency Ops",60,IF('Building Inventory'!D38="911 Center",50,IF('Building Inventory'!D38="Police",40,IF('Building Inventory'!D38="Fire",40,IF('Building Inventory'!D38="Water Control",30,5)))))</f>
        <v/>
      </c>
      <c r="AD39" s="15">
        <f>IF('Building Inventory'!M38="Yes",10,5)</f>
        <v/>
      </c>
      <c r="AE39" s="15">
        <f>B39*0.75</f>
        <v/>
      </c>
      <c r="AF39" s="17">
        <f>AC39*AD39*AE39</f>
        <v/>
      </c>
      <c r="AG39" s="18">
        <f>AF39/B39</f>
        <v/>
      </c>
      <c r="AH39" t="inlineStr"/>
      <c r="AI39" s="14" t="n">
        <v>220</v>
      </c>
      <c r="AJ39" s="15">
        <f>(B39*2)*0.058</f>
        <v/>
      </c>
      <c r="AK39" s="17">
        <f>AI39*AJ39</f>
        <v/>
      </c>
      <c r="AL39" s="18">
        <f>AK39/B39</f>
        <v/>
      </c>
      <c r="AM39" t="inlineStr"/>
      <c r="AN39" s="17">
        <f>SUM(I39,O39,S39,Z39,AF39,AK39)</f>
        <v/>
      </c>
      <c r="AO39" s="18">
        <f>AN39/B39</f>
        <v/>
      </c>
    </row>
    <row r="40">
      <c r="A40" t="inlineStr">
        <is>
          <t>B038</t>
        </is>
      </c>
      <c r="B40" s="15">
        <f>'Building Inventory'!E39</f>
        <v/>
      </c>
      <c r="C40" t="inlineStr"/>
      <c r="D40" s="15">
        <f>'Building Inventory'!I39</f>
        <v/>
      </c>
      <c r="E40" s="15">
        <f>='Building Inventory'!I39*0.85</f>
        <v/>
      </c>
      <c r="F40" s="14" t="n">
        <v>22</v>
      </c>
      <c r="G40" s="14" t="n">
        <v>12</v>
      </c>
      <c r="H40" s="14" t="n">
        <v>0.8</v>
      </c>
      <c r="I40" s="17">
        <f>(D40*F40*4 + E40*G40*8)*H40</f>
        <v/>
      </c>
      <c r="J40" s="18">
        <f>I40/B40</f>
        <v/>
      </c>
      <c r="K40" t="inlineStr"/>
      <c r="L40" s="14" t="n">
        <v>25</v>
      </c>
      <c r="M40" s="14" t="n">
        <v>73</v>
      </c>
      <c r="N40" s="14" t="n">
        <v>45</v>
      </c>
      <c r="O40" s="17">
        <f>B40*(M40 + (N40*L40/25))</f>
        <v/>
      </c>
      <c r="P40" s="18">
        <f>O40/B40</f>
        <v/>
      </c>
      <c r="Q40" t="inlineStr"/>
      <c r="R40" s="14" t="n">
        <v>8.5</v>
      </c>
      <c r="S40" s="17">
        <f>B40*R40*12</f>
        <v/>
      </c>
      <c r="T40" s="18">
        <f>S40/B40</f>
        <v/>
      </c>
      <c r="U40" t="inlineStr"/>
      <c r="V40" s="19" t="n">
        <v>0</v>
      </c>
      <c r="W40" s="14" t="n">
        <v>500</v>
      </c>
      <c r="X40" s="14" t="n">
        <v>0</v>
      </c>
      <c r="Y40" s="17">
        <f>V40*(B40/W40)</f>
        <v/>
      </c>
      <c r="Z40" s="17">
        <f>IF(Y40&gt;0,-PMT(0.05,20,Y40),0)</f>
        <v/>
      </c>
      <c r="AA40" s="18">
        <f>IF(B40&gt;0,Z40/B40,0)</f>
        <v/>
      </c>
      <c r="AB40" t="inlineStr"/>
      <c r="AC40" s="15">
        <f>IF('Building Inventory'!D39="Emergency Ops",60,IF('Building Inventory'!D39="911 Center",50,IF('Building Inventory'!D39="Police",40,IF('Building Inventory'!D39="Fire",40,IF('Building Inventory'!D39="Water Control",30,5)))))</f>
        <v/>
      </c>
      <c r="AD40" s="15">
        <f>IF('Building Inventory'!M39="Yes",10,5)</f>
        <v/>
      </c>
      <c r="AE40" s="15">
        <f>B40*0.75</f>
        <v/>
      </c>
      <c r="AF40" s="17">
        <f>AC40*AD40*AE40</f>
        <v/>
      </c>
      <c r="AG40" s="18">
        <f>AF40/B40</f>
        <v/>
      </c>
      <c r="AH40" t="inlineStr"/>
      <c r="AI40" s="14" t="n">
        <v>220</v>
      </c>
      <c r="AJ40" s="15">
        <f>(B40*2)*0.058</f>
        <v/>
      </c>
      <c r="AK40" s="17">
        <f>AI40*AJ40</f>
        <v/>
      </c>
      <c r="AL40" s="18">
        <f>AK40/B40</f>
        <v/>
      </c>
      <c r="AM40" t="inlineStr"/>
      <c r="AN40" s="17">
        <f>SUM(I40,O40,S40,Z40,AF40,AK40)</f>
        <v/>
      </c>
      <c r="AO40" s="18">
        <f>AN40/B40</f>
        <v/>
      </c>
    </row>
    <row r="42">
      <c r="A42" s="9" t="inlineStr">
        <is>
          <t>FLEET TOTALS</t>
        </is>
      </c>
    </row>
    <row r="43">
      <c r="A43" t="inlineStr">
        <is>
          <t>Total Capacity (MW)</t>
        </is>
      </c>
      <c r="B43">
        <f>SUM(B3:B40)/1000</f>
        <v/>
      </c>
    </row>
    <row r="44">
      <c r="A44" t="inlineStr">
        <is>
          <t>Average $/kW-year</t>
        </is>
      </c>
      <c r="B44">
        <f>SUM(AN3:AN40)/SUM(B3:B40)</f>
        <v/>
      </c>
    </row>
    <row r="46">
      <c r="A46" s="20" t="inlineStr">
        <is>
          <t>REVENUE BY STREAM</t>
        </is>
      </c>
    </row>
    <row r="47">
      <c r="A47" t="inlineStr">
        <is>
          <t>Demand Charges</t>
        </is>
      </c>
      <c r="B47" s="10">
        <f>SUM(I3:I40)</f>
        <v/>
      </c>
    </row>
    <row r="48">
      <c r="A48" t="inlineStr">
        <is>
          <t>CPS Energy DR</t>
        </is>
      </c>
      <c r="B48" s="10">
        <f>SUM(O3:O40)</f>
        <v/>
      </c>
    </row>
    <row r="49">
      <c r="A49" t="inlineStr">
        <is>
          <t>ERCOT Call Option</t>
        </is>
      </c>
      <c r="B49" s="10">
        <f>SUM(S3:S40)</f>
        <v/>
      </c>
    </row>
    <row r="50">
      <c r="A50" t="inlineStr">
        <is>
          <t>Infrastructure Deferral</t>
        </is>
      </c>
      <c r="B50" s="10">
        <f>SUM(Z3:Z40)</f>
        <v/>
      </c>
    </row>
    <row r="51">
      <c r="A51" t="inlineStr">
        <is>
          <t>Resilience Value</t>
        </is>
      </c>
      <c r="B51" s="10">
        <f>SUM(AF3:AF40)</f>
        <v/>
      </c>
    </row>
    <row r="52">
      <c r="A52" t="inlineStr">
        <is>
          <t>Energy Arbitrage</t>
        </is>
      </c>
      <c r="B52" s="10">
        <f>SUM(AK3:AK40)</f>
        <v/>
      </c>
    </row>
    <row r="53">
      <c r="A53" t="inlineStr">
        <is>
          <t>TOTAL</t>
        </is>
      </c>
      <c r="B53" s="10">
        <f>SUM(AN3:AN40)</f>
        <v/>
      </c>
    </row>
  </sheetData>
  <mergeCells count="1">
    <mergeCell ref="A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12" customWidth="1" min="5" max="5"/>
    <col width="18" customWidth="1" min="6" max="6"/>
    <col width="15" customWidth="1" min="7" max="7"/>
    <col width="15" customWidth="1" min="8" max="8"/>
    <col width="22" customWidth="1" min="9" max="9"/>
    <col width="20" customWidth="1" min="10" max="10"/>
    <col width="22" customWidth="1" min="11" max="11"/>
    <col width="20" customWidth="1" min="12" max="12"/>
  </cols>
  <sheetData>
    <row r="1">
      <c r="A1" s="21" t="inlineStr">
        <is>
          <t>DISTRIBUTION SYSTEM DATA (From CPS Energy Grid Planning)</t>
        </is>
      </c>
    </row>
    <row r="3">
      <c r="A3" s="13" t="inlineStr">
        <is>
          <t>Feeder ID</t>
        </is>
      </c>
      <c r="B3" s="13" t="inlineStr">
        <is>
          <t>Substation</t>
        </is>
      </c>
      <c r="C3" s="13" t="inlineStr">
        <is>
          <t>Feeder Capacity (kVA)</t>
        </is>
      </c>
      <c r="D3" s="13" t="inlineStr">
        <is>
          <t>Current Peak Load (kW)</t>
        </is>
      </c>
      <c r="E3" s="13" t="inlineStr">
        <is>
          <t>Loading %</t>
        </is>
      </c>
      <c r="F3" s="13" t="inlineStr">
        <is>
          <t>Constraint Status</t>
        </is>
      </c>
      <c r="G3" s="13" t="inlineStr">
        <is>
          <t>Planned Upgrade</t>
        </is>
      </c>
      <c r="H3" s="13" t="inlineStr">
        <is>
          <t>Upgrade Cost ($)</t>
        </is>
      </c>
      <c r="I3" s="13" t="inlineStr">
        <is>
          <t>Upgrade Timeline (years)</t>
        </is>
      </c>
      <c r="J3" s="13" t="inlineStr">
        <is>
          <t>Buildings on Feeder</t>
        </is>
      </c>
      <c r="K3" s="13" t="inlineStr">
        <is>
          <t>Total BESS on Feeder (kW)</t>
        </is>
      </c>
      <c r="L3" s="13" t="inlineStr">
        <is>
          <t>Deferral Potential ($)</t>
        </is>
      </c>
    </row>
    <row r="4">
      <c r="A4" t="inlineStr">
        <is>
          <t>FEEDER-40A</t>
        </is>
      </c>
      <c r="B4" t="inlineStr">
        <is>
          <t>SUB-13</t>
        </is>
      </c>
      <c r="C4" t="n">
        <v>700</v>
      </c>
      <c r="D4" t="n">
        <v>455</v>
      </c>
      <c r="E4" s="8">
        <f>D4/C4</f>
        <v/>
      </c>
      <c r="F4">
        <f>IF(E4&gt;0.9,"Critical",IF(E4&gt;0.8,"Constrained","OK"))</f>
        <v/>
      </c>
      <c r="G4" t="inlineStr">
        <is>
          <t>No</t>
        </is>
      </c>
      <c r="H4" s="10" t="n">
        <v>0</v>
      </c>
      <c r="I4" t="n">
        <v>0</v>
      </c>
      <c r="J4">
        <f>COUNTIF('Building Inventory'!L:L,A4)</f>
        <v/>
      </c>
      <c r="K4">
        <f>SUMIF('Building Inventory'!$L:$L,A4,'Building Inventory'!$E:$E)</f>
        <v/>
      </c>
      <c r="L4" s="10">
        <f>IF(K4&gt;0,H4*(K4/C4),0)</f>
        <v/>
      </c>
    </row>
    <row r="5">
      <c r="A5" t="inlineStr">
        <is>
          <t>FEEDER-41A</t>
        </is>
      </c>
      <c r="B5" t="inlineStr">
        <is>
          <t>SUB-13</t>
        </is>
      </c>
      <c r="C5" t="n">
        <v>900</v>
      </c>
      <c r="D5" t="n">
        <v>657</v>
      </c>
      <c r="E5" s="8">
        <f>D5/C5</f>
        <v/>
      </c>
      <c r="F5">
        <f>IF(E5&gt;0.9,"Critical",IF(E5&gt;0.8,"Constrained","OK"))</f>
        <v/>
      </c>
      <c r="G5" t="inlineStr">
        <is>
          <t>No</t>
        </is>
      </c>
      <c r="H5" s="10" t="n">
        <v>0</v>
      </c>
      <c r="I5" t="n">
        <v>0</v>
      </c>
      <c r="J5">
        <f>COUNTIF('Building Inventory'!L:L,A5)</f>
        <v/>
      </c>
      <c r="K5">
        <f>SUMIF('Building Inventory'!$L:$L,A5,'Building Inventory'!$E:$E)</f>
        <v/>
      </c>
      <c r="L5" s="10">
        <f>IF(K5&gt;0,H5*(K5/C5),0)</f>
        <v/>
      </c>
    </row>
    <row r="6">
      <c r="A6" t="inlineStr">
        <is>
          <t>FEEDER-42A</t>
        </is>
      </c>
      <c r="B6" t="inlineStr">
        <is>
          <t>SUB-14</t>
        </is>
      </c>
      <c r="C6" t="n">
        <v>500</v>
      </c>
      <c r="D6" t="n">
        <v>405</v>
      </c>
      <c r="E6" s="8">
        <f>D6/C6</f>
        <v/>
      </c>
      <c r="F6">
        <f>IF(E6&gt;0.9,"Critical",IF(E6&gt;0.8,"Constrained","OK"))</f>
        <v/>
      </c>
      <c r="G6" t="inlineStr">
        <is>
          <t>Yes</t>
        </is>
      </c>
      <c r="H6" s="10" t="n">
        <v>2000000</v>
      </c>
      <c r="I6" t="n">
        <v>3</v>
      </c>
      <c r="J6">
        <f>COUNTIF('Building Inventory'!L:L,A6)</f>
        <v/>
      </c>
      <c r="K6">
        <f>SUMIF('Building Inventory'!$L:$L,A6,'Building Inventory'!$E:$E)</f>
        <v/>
      </c>
      <c r="L6" s="10">
        <f>IF(K6&gt;0,H6*(K6/C6),0)</f>
        <v/>
      </c>
    </row>
    <row r="7">
      <c r="A7" t="inlineStr">
        <is>
          <t>FEEDER-43A</t>
        </is>
      </c>
      <c r="B7" t="inlineStr">
        <is>
          <t>SUB-14</t>
        </is>
      </c>
      <c r="C7" t="n">
        <v>700</v>
      </c>
      <c r="D7" t="n">
        <v>623</v>
      </c>
      <c r="E7" s="8">
        <f>D7/C7</f>
        <v/>
      </c>
      <c r="F7">
        <f>IF(E7&gt;0.9,"Critical",IF(E7&gt;0.8,"Constrained","OK"))</f>
        <v/>
      </c>
      <c r="G7" t="inlineStr">
        <is>
          <t>No</t>
        </is>
      </c>
      <c r="H7" s="10" t="n">
        <v>0</v>
      </c>
      <c r="I7" t="n">
        <v>0</v>
      </c>
      <c r="J7">
        <f>COUNTIF('Building Inventory'!L:L,A7)</f>
        <v/>
      </c>
      <c r="K7">
        <f>SUMIF('Building Inventory'!$L:$L,A7,'Building Inventory'!$E:$E)</f>
        <v/>
      </c>
      <c r="L7" s="10">
        <f>IF(K7&gt;0,H7*(K7/C7),0)</f>
        <v/>
      </c>
    </row>
    <row r="8">
      <c r="A8" t="inlineStr">
        <is>
          <t>FEEDER-44A</t>
        </is>
      </c>
      <c r="B8" t="inlineStr">
        <is>
          <t>SUB-14</t>
        </is>
      </c>
      <c r="C8" t="n">
        <v>900</v>
      </c>
      <c r="D8" t="n">
        <v>585</v>
      </c>
      <c r="E8" s="8">
        <f>D8/C8</f>
        <v/>
      </c>
      <c r="F8">
        <f>IF(E8&gt;0.9,"Critical",IF(E8&gt;0.8,"Constrained","OK"))</f>
        <v/>
      </c>
      <c r="G8" t="inlineStr">
        <is>
          <t>No</t>
        </is>
      </c>
      <c r="H8" s="10" t="n">
        <v>0</v>
      </c>
      <c r="I8" t="n">
        <v>0</v>
      </c>
      <c r="J8">
        <f>COUNTIF('Building Inventory'!L:L,A8)</f>
        <v/>
      </c>
      <c r="K8">
        <f>SUMIF('Building Inventory'!$L:$L,A8,'Building Inventory'!$E:$E)</f>
        <v/>
      </c>
      <c r="L8" s="10">
        <f>IF(K8&gt;0,H8*(K8/C8),0)</f>
        <v/>
      </c>
    </row>
    <row r="9">
      <c r="A9" t="inlineStr">
        <is>
          <t>FEEDER-45A</t>
        </is>
      </c>
      <c r="B9" t="inlineStr">
        <is>
          <t>SUB-15</t>
        </is>
      </c>
      <c r="C9" t="n">
        <v>500</v>
      </c>
      <c r="D9" t="n">
        <v>365</v>
      </c>
      <c r="E9" s="8">
        <f>D9/C9</f>
        <v/>
      </c>
      <c r="F9">
        <f>IF(E9&gt;0.9,"Critical",IF(E9&gt;0.8,"Constrained","OK"))</f>
        <v/>
      </c>
      <c r="G9" t="inlineStr">
        <is>
          <t>Yes</t>
        </is>
      </c>
      <c r="H9" s="10" t="n">
        <v>2000000</v>
      </c>
      <c r="I9" t="n">
        <v>3</v>
      </c>
      <c r="J9">
        <f>COUNTIF('Building Inventory'!L:L,A9)</f>
        <v/>
      </c>
      <c r="K9">
        <f>SUMIF('Building Inventory'!$L:$L,A9,'Building Inventory'!$E:$E)</f>
        <v/>
      </c>
      <c r="L9" s="10">
        <f>IF(K9&gt;0,H9*(K9/C9),0)</f>
        <v/>
      </c>
    </row>
    <row r="10">
      <c r="A10" t="inlineStr">
        <is>
          <t>FEEDER-46A</t>
        </is>
      </c>
      <c r="B10" t="inlineStr">
        <is>
          <t>SUB-15</t>
        </is>
      </c>
      <c r="C10" t="n">
        <v>700</v>
      </c>
      <c r="D10" t="n">
        <v>567</v>
      </c>
      <c r="E10" s="8">
        <f>D10/C10</f>
        <v/>
      </c>
      <c r="F10">
        <f>IF(E10&gt;0.9,"Critical",IF(E10&gt;0.8,"Constrained","OK"))</f>
        <v/>
      </c>
      <c r="G10" t="inlineStr">
        <is>
          <t>No</t>
        </is>
      </c>
      <c r="H10" s="10" t="n">
        <v>0</v>
      </c>
      <c r="I10" t="n">
        <v>0</v>
      </c>
      <c r="J10">
        <f>COUNTIF('Building Inventory'!L:L,A10)</f>
        <v/>
      </c>
      <c r="K10">
        <f>SUMIF('Building Inventory'!$L:$L,A10,'Building Inventory'!$E:$E)</f>
        <v/>
      </c>
      <c r="L10" s="10">
        <f>IF(K10&gt;0,H10*(K10/C10),0)</f>
        <v/>
      </c>
    </row>
    <row r="11">
      <c r="A11" t="inlineStr">
        <is>
          <t>FEEDER-47A</t>
        </is>
      </c>
      <c r="B11" t="inlineStr">
        <is>
          <t>SUB-15</t>
        </is>
      </c>
      <c r="C11" t="n">
        <v>900</v>
      </c>
      <c r="D11" t="n">
        <v>801</v>
      </c>
      <c r="E11" s="8">
        <f>D11/C11</f>
        <v/>
      </c>
      <c r="F11">
        <f>IF(E11&gt;0.9,"Critical",IF(E11&gt;0.8,"Constrained","OK"))</f>
        <v/>
      </c>
      <c r="G11" t="inlineStr">
        <is>
          <t>No</t>
        </is>
      </c>
      <c r="H11" s="10" t="n">
        <v>0</v>
      </c>
      <c r="I11" t="n">
        <v>0</v>
      </c>
      <c r="J11">
        <f>COUNTIF('Building Inventory'!L:L,A11)</f>
        <v/>
      </c>
      <c r="K11">
        <f>SUMIF('Building Inventory'!$L:$L,A11,'Building Inventory'!$E:$E)</f>
        <v/>
      </c>
      <c r="L11" s="10">
        <f>IF(K11&gt;0,H11*(K11/C11),0)</f>
        <v/>
      </c>
    </row>
    <row r="12">
      <c r="A12" t="inlineStr">
        <is>
          <t>FEEDER-48A</t>
        </is>
      </c>
      <c r="B12" t="inlineStr">
        <is>
          <t>SUB-16</t>
        </is>
      </c>
      <c r="C12" t="n">
        <v>500</v>
      </c>
      <c r="D12" t="n">
        <v>325</v>
      </c>
      <c r="E12" s="8">
        <f>D12/C12</f>
        <v/>
      </c>
      <c r="F12">
        <f>IF(E12&gt;0.9,"Critical",IF(E12&gt;0.8,"Constrained","OK"))</f>
        <v/>
      </c>
      <c r="G12" t="inlineStr">
        <is>
          <t>Yes</t>
        </is>
      </c>
      <c r="H12" s="10" t="n">
        <v>2000000</v>
      </c>
      <c r="I12" t="n">
        <v>3</v>
      </c>
      <c r="J12">
        <f>COUNTIF('Building Inventory'!L:L,A12)</f>
        <v/>
      </c>
      <c r="K12">
        <f>SUMIF('Building Inventory'!$L:$L,A12,'Building Inventory'!$E:$E)</f>
        <v/>
      </c>
      <c r="L12" s="10">
        <f>IF(K12&gt;0,H12*(K12/C12),0)</f>
        <v/>
      </c>
    </row>
    <row r="13">
      <c r="A13" t="inlineStr">
        <is>
          <t>FEEDER-49A</t>
        </is>
      </c>
      <c r="B13" t="inlineStr">
        <is>
          <t>SUB-16</t>
        </is>
      </c>
      <c r="C13" t="n">
        <v>700</v>
      </c>
      <c r="D13" t="n">
        <v>511</v>
      </c>
      <c r="E13" s="8">
        <f>D13/C13</f>
        <v/>
      </c>
      <c r="F13">
        <f>IF(E13&gt;0.9,"Critical",IF(E13&gt;0.8,"Constrained","OK"))</f>
        <v/>
      </c>
      <c r="G13" t="inlineStr">
        <is>
          <t>No</t>
        </is>
      </c>
      <c r="H13" s="10" t="n">
        <v>0</v>
      </c>
      <c r="I13" t="n">
        <v>0</v>
      </c>
      <c r="J13">
        <f>COUNTIF('Building Inventory'!L:L,A13)</f>
        <v/>
      </c>
      <c r="K13">
        <f>SUMIF('Building Inventory'!$L:$L,A13,'Building Inventory'!$E:$E)</f>
        <v/>
      </c>
      <c r="L13" s="10">
        <f>IF(K13&gt;0,H13*(K13/C13),0)</f>
        <v/>
      </c>
    </row>
    <row r="14">
      <c r="A14" t="inlineStr">
        <is>
          <t>FEEDER-50A</t>
        </is>
      </c>
      <c r="B14" t="inlineStr">
        <is>
          <t>SUB-16</t>
        </is>
      </c>
      <c r="C14" t="n">
        <v>900</v>
      </c>
      <c r="D14" t="n">
        <v>729</v>
      </c>
      <c r="E14" s="8">
        <f>D14/C14</f>
        <v/>
      </c>
      <c r="F14">
        <f>IF(E14&gt;0.9,"Critical",IF(E14&gt;0.8,"Constrained","OK"))</f>
        <v/>
      </c>
      <c r="G14" t="inlineStr">
        <is>
          <t>No</t>
        </is>
      </c>
      <c r="H14" s="10" t="n">
        <v>0</v>
      </c>
      <c r="I14" t="n">
        <v>0</v>
      </c>
      <c r="J14">
        <f>COUNTIF('Building Inventory'!L:L,A14)</f>
        <v/>
      </c>
      <c r="K14">
        <f>SUMIF('Building Inventory'!$L:$L,A14,'Building Inventory'!$E:$E)</f>
        <v/>
      </c>
      <c r="L14" s="10">
        <f>IF(K14&gt;0,H14*(K14/C14),0)</f>
        <v/>
      </c>
    </row>
    <row r="15">
      <c r="A15" t="inlineStr">
        <is>
          <t>FEEDER-51A</t>
        </is>
      </c>
      <c r="B15" t="inlineStr">
        <is>
          <t>SUB-17</t>
        </is>
      </c>
      <c r="C15" t="n">
        <v>500</v>
      </c>
      <c r="D15" t="n">
        <v>445</v>
      </c>
      <c r="E15" s="8">
        <f>D15/C15</f>
        <v/>
      </c>
      <c r="F15">
        <f>IF(E15&gt;0.9,"Critical",IF(E15&gt;0.8,"Constrained","OK"))</f>
        <v/>
      </c>
      <c r="G15" t="inlineStr">
        <is>
          <t>Yes</t>
        </is>
      </c>
      <c r="H15" s="10" t="n">
        <v>2000000</v>
      </c>
      <c r="I15" t="n">
        <v>3</v>
      </c>
      <c r="J15">
        <f>COUNTIF('Building Inventory'!L:L,A15)</f>
        <v/>
      </c>
      <c r="K15">
        <f>SUMIF('Building Inventory'!$L:$L,A15,'Building Inventory'!$E:$E)</f>
        <v/>
      </c>
      <c r="L15" s="10">
        <f>IF(K15&gt;0,H15*(K15/C15),0)</f>
        <v/>
      </c>
    </row>
    <row r="16">
      <c r="A16" t="inlineStr">
        <is>
          <t>FEEDER-52A</t>
        </is>
      </c>
      <c r="B16" t="inlineStr">
        <is>
          <t>SUB-17</t>
        </is>
      </c>
      <c r="C16" t="n">
        <v>700</v>
      </c>
      <c r="D16" t="n">
        <v>455</v>
      </c>
      <c r="E16" s="8">
        <f>D16/C16</f>
        <v/>
      </c>
      <c r="F16">
        <f>IF(E16&gt;0.9,"Critical",IF(E16&gt;0.8,"Constrained","OK"))</f>
        <v/>
      </c>
      <c r="G16" t="inlineStr">
        <is>
          <t>No</t>
        </is>
      </c>
      <c r="H16" s="10" t="n">
        <v>0</v>
      </c>
      <c r="I16" t="n">
        <v>0</v>
      </c>
      <c r="J16">
        <f>COUNTIF('Building Inventory'!L:L,A16)</f>
        <v/>
      </c>
      <c r="K16">
        <f>SUMIF('Building Inventory'!$L:$L,A16,'Building Inventory'!$E:$E)</f>
        <v/>
      </c>
      <c r="L16" s="10">
        <f>IF(K16&gt;0,H16*(K16/C16),0)</f>
        <v/>
      </c>
    </row>
    <row r="17">
      <c r="A17" t="inlineStr">
        <is>
          <t>FEEDER-53A</t>
        </is>
      </c>
      <c r="B17" t="inlineStr">
        <is>
          <t>SUB-17</t>
        </is>
      </c>
      <c r="C17" t="n">
        <v>900</v>
      </c>
      <c r="D17" t="n">
        <v>657</v>
      </c>
      <c r="E17" s="8">
        <f>D17/C17</f>
        <v/>
      </c>
      <c r="F17">
        <f>IF(E17&gt;0.9,"Critical",IF(E17&gt;0.8,"Constrained","OK"))</f>
        <v/>
      </c>
      <c r="G17" t="inlineStr">
        <is>
          <t>No</t>
        </is>
      </c>
      <c r="H17" s="10" t="n">
        <v>0</v>
      </c>
      <c r="I17" t="n">
        <v>0</v>
      </c>
      <c r="J17">
        <f>COUNTIF('Building Inventory'!L:L,A17)</f>
        <v/>
      </c>
      <c r="K17">
        <f>SUMIF('Building Inventory'!$L:$L,A17,'Building Inventory'!$E:$E)</f>
        <v/>
      </c>
      <c r="L17" s="10">
        <f>IF(K17&gt;0,H17*(K17/C17),0)</f>
        <v/>
      </c>
    </row>
    <row r="18">
      <c r="A18" t="inlineStr">
        <is>
          <t>FEEDER-54A</t>
        </is>
      </c>
      <c r="B18" t="inlineStr">
        <is>
          <t>SUB-18</t>
        </is>
      </c>
      <c r="C18" t="n">
        <v>500</v>
      </c>
      <c r="D18" t="n">
        <v>405</v>
      </c>
      <c r="E18" s="8">
        <f>D18/C18</f>
        <v/>
      </c>
      <c r="F18">
        <f>IF(E18&gt;0.9,"Critical",IF(E18&gt;0.8,"Constrained","OK"))</f>
        <v/>
      </c>
      <c r="G18" t="inlineStr">
        <is>
          <t>Yes</t>
        </is>
      </c>
      <c r="H18" s="10" t="n">
        <v>2000000</v>
      </c>
      <c r="I18" t="n">
        <v>3</v>
      </c>
      <c r="J18">
        <f>COUNTIF('Building Inventory'!L:L,A18)</f>
        <v/>
      </c>
      <c r="K18">
        <f>SUMIF('Building Inventory'!$L:$L,A18,'Building Inventory'!$E:$E)</f>
        <v/>
      </c>
      <c r="L18" s="10">
        <f>IF(K18&gt;0,H18*(K18/C18),0)</f>
        <v/>
      </c>
    </row>
    <row r="21">
      <c r="A21" s="9" t="inlineStr">
        <is>
          <t>CPS ENERGY RATE SCHEDULES</t>
        </is>
      </c>
    </row>
    <row r="22">
      <c r="A22" s="13" t="inlineStr">
        <is>
          <t>Rate Class</t>
        </is>
      </c>
      <c r="B22" s="13" t="inlineStr">
        <is>
          <t>Summer Demand ($/kW-month)</t>
        </is>
      </c>
      <c r="C22" s="13" t="inlineStr">
        <is>
          <t>Winter Demand ($/kW-month)</t>
        </is>
      </c>
      <c r="D22" s="13" t="inlineStr">
        <is>
          <t>Energy On-Peak ($/kWh)</t>
        </is>
      </c>
      <c r="E22" s="13" t="inlineStr">
        <is>
          <t>Energy Off-Peak ($/kWh)</t>
        </is>
      </c>
      <c r="F22" s="13" t="inlineStr">
        <is>
          <t>Fixed Charge ($/month)</t>
        </is>
      </c>
    </row>
    <row r="23">
      <c r="A23" t="inlineStr">
        <is>
          <t>LGS - Large General Service</t>
        </is>
      </c>
      <c r="B23" t="n">
        <v>22.5</v>
      </c>
      <c r="C23" t="n">
        <v>12</v>
      </c>
      <c r="D23" t="n">
        <v>0.07199999999999999</v>
      </c>
      <c r="E23" t="n">
        <v>0.045</v>
      </c>
      <c r="F23" t="n">
        <v>150</v>
      </c>
    </row>
    <row r="24">
      <c r="A24" t="inlineStr">
        <is>
          <t>GS - General Service</t>
        </is>
      </c>
      <c r="B24" t="n">
        <v>18</v>
      </c>
      <c r="C24" t="n">
        <v>10</v>
      </c>
      <c r="D24" t="n">
        <v>0.065</v>
      </c>
      <c r="E24" t="n">
        <v>0.04</v>
      </c>
      <c r="F24" t="n">
        <v>75</v>
      </c>
    </row>
    <row r="25">
      <c r="A25" t="inlineStr">
        <is>
          <t>MLG - Medium/Large General</t>
        </is>
      </c>
      <c r="B25" t="n">
        <v>20</v>
      </c>
      <c r="C25" t="n">
        <v>11</v>
      </c>
      <c r="D25" t="n">
        <v>0.068</v>
      </c>
      <c r="E25" t="n">
        <v>0.042</v>
      </c>
      <c r="F25" t="n">
        <v>100</v>
      </c>
    </row>
    <row r="28">
      <c r="A28" s="9" t="inlineStr">
        <is>
          <t>HISTORICAL DR EVENT DATA (Request from CPS Energy)</t>
        </is>
      </c>
    </row>
    <row r="29">
      <c r="A29" s="13" t="inlineStr">
        <is>
          <t>Date</t>
        </is>
      </c>
      <c r="B29" s="13" t="inlineStr">
        <is>
          <t>Event Type</t>
        </is>
      </c>
      <c r="C29" s="13" t="inlineStr">
        <is>
          <t>Start Time</t>
        </is>
      </c>
      <c r="D29" s="13" t="inlineStr">
        <is>
          <t>End Time</t>
        </is>
      </c>
      <c r="E29" s="13" t="inlineStr">
        <is>
          <t>Duration (hours)</t>
        </is>
      </c>
      <c r="F29" s="13" t="inlineStr">
        <is>
          <t>Trigger</t>
        </is>
      </c>
      <c r="G29" s="13" t="inlineStr">
        <is>
          <t>ERCOT RT Price ($/MWh)</t>
        </is>
      </c>
    </row>
    <row r="30">
      <c r="A30" t="inlineStr">
        <is>
          <t>2024-07-15</t>
        </is>
      </c>
      <c r="B30" t="inlineStr">
        <is>
          <t>Summer</t>
        </is>
      </c>
      <c r="C30" t="inlineStr">
        <is>
          <t>14:00</t>
        </is>
      </c>
      <c r="D30" t="inlineStr">
        <is>
          <t>17:00</t>
        </is>
      </c>
      <c r="E30" t="n">
        <v>3</v>
      </c>
      <c r="F30" t="inlineStr">
        <is>
          <t>Heat Wave</t>
        </is>
      </c>
      <c r="G30" t="n">
        <v>125</v>
      </c>
    </row>
    <row r="31">
      <c r="A31" t="inlineStr">
        <is>
          <t>2024-07-22</t>
        </is>
      </c>
      <c r="B31" t="inlineStr">
        <is>
          <t>Summer</t>
        </is>
      </c>
      <c r="C31" t="inlineStr">
        <is>
          <t>15:00</t>
        </is>
      </c>
      <c r="D31" t="inlineStr">
        <is>
          <t>18:00</t>
        </is>
      </c>
      <c r="E31" t="n">
        <v>3</v>
      </c>
      <c r="F31" t="inlineStr">
        <is>
          <t>High Demand</t>
        </is>
      </c>
      <c r="G31" t="n">
        <v>95</v>
      </c>
    </row>
    <row r="32">
      <c r="A32" t="inlineStr">
        <is>
          <t>2024-08-03</t>
        </is>
      </c>
      <c r="B32" t="inlineStr">
        <is>
          <t>Summer</t>
        </is>
      </c>
      <c r="C32" t="inlineStr">
        <is>
          <t>13:00</t>
        </is>
      </c>
      <c r="D32" t="inlineStr">
        <is>
          <t>16:30</t>
        </is>
      </c>
      <c r="E32" t="n">
        <v>3.5</v>
      </c>
      <c r="F32" t="inlineStr">
        <is>
          <t>ERCOT Emergency</t>
        </is>
      </c>
      <c r="G32" t="n">
        <v>245</v>
      </c>
    </row>
    <row r="33">
      <c r="A33" t="inlineStr">
        <is>
          <t>2024-12-22</t>
        </is>
      </c>
      <c r="B33" t="inlineStr">
        <is>
          <t>Winter</t>
        </is>
      </c>
      <c r="C33" t="inlineStr">
        <is>
          <t>07:00</t>
        </is>
      </c>
      <c r="D33" t="inlineStr">
        <is>
          <t>10:00</t>
        </is>
      </c>
      <c r="E33" t="n">
        <v>3</v>
      </c>
      <c r="F33" t="inlineStr">
        <is>
          <t>Cold Snap</t>
        </is>
      </c>
      <c r="G33" t="n">
        <v>180</v>
      </c>
    </row>
    <row r="34">
      <c r="A34" t="inlineStr">
        <is>
          <t>[Add more rows as data received]</t>
        </is>
      </c>
      <c r="B34" t="inlineStr"/>
      <c r="C34" t="inlineStr"/>
      <c r="D34" t="inlineStr"/>
      <c r="E34" t="inlineStr"/>
      <c r="F34" t="inlineStr"/>
      <c r="G34" t="inlineStr"/>
    </row>
    <row r="37">
      <c r="A37" s="20" t="inlineStr">
        <is>
          <t>EVENT STATISTICS</t>
        </is>
      </c>
    </row>
    <row r="38">
      <c r="A38" t="inlineStr">
        <is>
          <t>Average Events per Year</t>
        </is>
      </c>
      <c r="B38" t="inlineStr">
        <is>
          <t>[Calculate after data entry]</t>
        </is>
      </c>
    </row>
    <row r="39">
      <c r="A39" t="inlineStr">
        <is>
          <t>Average Summer Events</t>
        </is>
      </c>
      <c r="B39" t="inlineStr">
        <is>
          <t>25 (typical)</t>
        </is>
      </c>
    </row>
    <row r="40">
      <c r="A40" t="inlineStr">
        <is>
          <t>Average Duration (hours)</t>
        </is>
      </c>
      <c r="B40" t="inlineStr">
        <is>
          <t>3.0</t>
        </is>
      </c>
    </row>
  </sheetData>
  <mergeCells count="1">
    <mergeCell ref="A1:L1"/>
  </mergeCells>
  <conditionalFormatting sqref="F4:F18">
    <cfRule type="cellIs" priority="1" operator="equal" dxfId="2">
      <formula>"Critical"</formula>
    </cfRule>
    <cfRule type="cellIs" priority="2" operator="equal" dxfId="1">
      <formula>"Constrained"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21" t="inlineStr">
        <is>
          <t>PROJECT FINANCIAL MODEL</t>
        </is>
      </c>
    </row>
    <row r="3">
      <c r="A3" s="9" t="inlineStr">
        <is>
          <t>CAPITAL EXPENDITURES (CAPEX)</t>
        </is>
      </c>
    </row>
    <row r="4">
      <c r="A4" t="inlineStr">
        <is>
          <t>BESS Equipment &amp; Installation</t>
        </is>
      </c>
      <c r="B4" t="inlineStr"/>
      <c r="C4" t="inlineStr"/>
    </row>
    <row r="5">
      <c r="A5" t="inlineStr">
        <is>
          <t>Total Capacity (kW)</t>
        </is>
      </c>
      <c r="B5">
        <f>SUM('Building Inventory'!E2:E39)</f>
        <v/>
      </c>
      <c r="C5" t="inlineStr">
        <is>
          <t>From Building Inventory</t>
        </is>
      </c>
    </row>
    <row r="6">
      <c r="A6" t="inlineStr">
        <is>
          <t>Unit Cost ($/kW)</t>
        </is>
      </c>
      <c r="B6" t="n">
        <v>1200</v>
      </c>
      <c r="C6" t="inlineStr">
        <is>
          <t>Range: $1,100-1,300/kW</t>
        </is>
      </c>
    </row>
    <row r="7">
      <c r="A7" t="inlineStr">
        <is>
          <t>Total Equipment &amp; Install</t>
        </is>
      </c>
      <c r="B7" s="14">
        <f>B6*B7</f>
        <v/>
      </c>
      <c r="C7" t="inlineStr">
        <is>
          <t>Equipment, inverters, BMS, installation</t>
        </is>
      </c>
    </row>
    <row r="8">
      <c r="A8" t="inlineStr">
        <is>
          <t>Soft Costs</t>
        </is>
      </c>
      <c r="B8" t="inlineStr"/>
      <c r="C8" t="inlineStr"/>
    </row>
    <row r="9">
      <c r="A9" t="inlineStr">
        <is>
          <t>Engineering &amp; Design (5%)</t>
        </is>
      </c>
      <c r="B9">
        <f>B8*0.05</f>
        <v/>
      </c>
      <c r="C9" t="inlineStr"/>
    </row>
    <row r="10">
      <c r="A10" t="inlineStr">
        <is>
          <t>Permits &amp; Interconnection (2%)</t>
        </is>
      </c>
      <c r="B10">
        <f>B8*0.02</f>
        <v/>
      </c>
      <c r="C10" t="inlineStr"/>
    </row>
    <row r="11">
      <c r="A11" t="inlineStr">
        <is>
          <t>Project Management (3%)</t>
        </is>
      </c>
      <c r="B11">
        <f>B8*0.03</f>
        <v/>
      </c>
      <c r="C11" t="inlineStr"/>
    </row>
    <row r="12">
      <c r="A12" t="inlineStr">
        <is>
          <t>Contingency (10%)</t>
        </is>
      </c>
      <c r="B12">
        <f>B8*0.10</f>
        <v/>
      </c>
      <c r="C12" t="inlineStr"/>
    </row>
    <row r="13">
      <c r="A13" t="inlineStr">
        <is>
          <t>TOTAL CAPEX</t>
        </is>
      </c>
      <c r="B13">
        <f>SUM(B8,B11:B14)</f>
        <v/>
      </c>
      <c r="C13" t="inlineStr"/>
    </row>
    <row r="16">
      <c r="B16" s="22" t="n"/>
    </row>
    <row r="18">
      <c r="A18" s="9" t="inlineStr">
        <is>
          <t>ANNUAL OPERATING EXPENSES</t>
        </is>
      </c>
    </row>
    <row r="20">
      <c r="A20" t="inlineStr">
        <is>
          <t>Operations &amp; Maintenance</t>
        </is>
      </c>
      <c r="B20" t="inlineStr"/>
      <c r="C20" t="inlineStr"/>
    </row>
    <row r="21">
      <c r="A21" t="inlineStr">
        <is>
          <t>O&amp;M (% of CAPEX)</t>
        </is>
      </c>
      <c r="B21" s="14" t="n">
        <v>0.015</v>
      </c>
      <c r="C21" t="inlineStr">
        <is>
          <t>1.5% assumption</t>
        </is>
      </c>
    </row>
    <row r="22">
      <c r="A22" t="inlineStr">
        <is>
          <t>Annual O&amp;M Cost</t>
        </is>
      </c>
      <c r="B22">
        <f>B16*B21</f>
        <v/>
      </c>
      <c r="C22" t="inlineStr"/>
    </row>
    <row r="23">
      <c r="A23" t="inlineStr">
        <is>
          <t>Monitoring &amp; Software ($/kW-year)</t>
        </is>
      </c>
      <c r="B23" s="14" t="n">
        <v>15</v>
      </c>
      <c r="C23" t="inlineStr"/>
    </row>
    <row r="24">
      <c r="A24" t="inlineStr">
        <is>
          <t>Software Cost</t>
        </is>
      </c>
      <c r="B24">
        <f>B6*B23</f>
        <v/>
      </c>
      <c r="C24" t="inlineStr"/>
    </row>
    <row r="25">
      <c r="A25" t="inlineStr">
        <is>
          <t>Insurance (% of CAPEX)</t>
        </is>
      </c>
      <c r="B25" s="14" t="n">
        <v>0.005</v>
      </c>
      <c r="C25" t="inlineStr">
        <is>
          <t>0.5% assumption</t>
        </is>
      </c>
    </row>
    <row r="26">
      <c r="A26" t="inlineStr">
        <is>
          <t>Annual Insurance</t>
        </is>
      </c>
      <c r="B26">
        <f>B16*B25</f>
        <v/>
      </c>
      <c r="C26" t="inlineStr"/>
    </row>
    <row r="27">
      <c r="A27" t="inlineStr">
        <is>
          <t>Property Tax</t>
        </is>
      </c>
      <c r="B27" s="14" t="n">
        <v>0</v>
      </c>
      <c r="C27" t="inlineStr">
        <is>
          <t>Municipal property - exempt</t>
        </is>
      </c>
    </row>
    <row r="29">
      <c r="A29" t="inlineStr">
        <is>
          <t>Total Annual O&amp;M</t>
        </is>
      </c>
      <c r="B29" s="22">
        <f>B22+B24+B26+B27</f>
        <v/>
      </c>
      <c r="C29" t="inlineStr"/>
    </row>
    <row r="31">
      <c r="A31" t="inlineStr">
        <is>
          <t>Battery Replacement (Year 15)</t>
        </is>
      </c>
      <c r="B31" t="inlineStr"/>
      <c r="C31" t="inlineStr"/>
    </row>
    <row r="32">
      <c r="A32" t="inlineStr">
        <is>
          <t>Replacement Cost (50% of CAPEX)</t>
        </is>
      </c>
      <c r="B32">
        <f>B16*0.50</f>
        <v/>
      </c>
      <c r="C32" t="inlineStr"/>
    </row>
    <row r="34">
      <c r="A34" s="9" t="inlineStr">
        <is>
          <t>ANNUAL REVENUES</t>
        </is>
      </c>
    </row>
    <row r="36">
      <c r="A36" t="inlineStr">
        <is>
          <t>Demand Charge Reduction</t>
        </is>
      </c>
      <c r="B36">
        <f>'Value Calculations'!B52</f>
        <v/>
      </c>
      <c r="C36" t="inlineStr"/>
    </row>
    <row r="37">
      <c r="A37" t="inlineStr">
        <is>
          <t>CPS Energy DR</t>
        </is>
      </c>
      <c r="B37">
        <f>'Value Calculations'!B53</f>
        <v/>
      </c>
      <c r="C37" t="inlineStr"/>
    </row>
    <row r="38">
      <c r="A38" t="inlineStr">
        <is>
          <t>ERCOT Call Option</t>
        </is>
      </c>
      <c r="B38">
        <f>'Value Calculations'!B54</f>
        <v/>
      </c>
      <c r="C38" t="inlineStr"/>
    </row>
    <row r="39">
      <c r="A39" t="inlineStr">
        <is>
          <t>Infrastructure Deferral (Annualized)</t>
        </is>
      </c>
      <c r="B39">
        <f>'Value Calculations'!B55</f>
        <v/>
      </c>
      <c r="C39" t="inlineStr"/>
    </row>
    <row r="40">
      <c r="A40" t="inlineStr">
        <is>
          <t>Resilience Value</t>
        </is>
      </c>
      <c r="B40">
        <f>'Value Calculations'!B56</f>
        <v/>
      </c>
      <c r="C40" t="inlineStr"/>
    </row>
    <row r="41">
      <c r="A41" t="inlineStr">
        <is>
          <t>Energy Arbitrage</t>
        </is>
      </c>
      <c r="B41">
        <f>'Value Calculations'!B57</f>
        <v/>
      </c>
      <c r="C41" t="inlineStr"/>
    </row>
    <row r="43">
      <c r="A43" t="inlineStr">
        <is>
          <t>TOTAL ANNUAL REVENUE</t>
        </is>
      </c>
      <c r="B43" s="22">
        <f>SUM(B36:B41)</f>
        <v/>
      </c>
      <c r="C43" t="inlineStr"/>
    </row>
    <row r="46">
      <c r="A46" s="9" t="inlineStr">
        <is>
          <t>20-YEAR CASH FLOW ANALYSIS</t>
        </is>
      </c>
    </row>
    <row r="47">
      <c r="A47" t="inlineStr">
        <is>
          <t>Year</t>
        </is>
      </c>
      <c r="B47" t="inlineStr">
        <is>
          <t>CAPEX</t>
        </is>
      </c>
      <c r="C47" t="inlineStr">
        <is>
          <t>Demand Charges</t>
        </is>
      </c>
      <c r="D47" t="inlineStr">
        <is>
          <t>CPS DR</t>
        </is>
      </c>
      <c r="E47" t="inlineStr">
        <is>
          <t>ERCOT Call</t>
        </is>
      </c>
      <c r="F47" t="inlineStr">
        <is>
          <t>Infrastructure</t>
        </is>
      </c>
      <c r="G47" t="inlineStr">
        <is>
          <t>Resilience</t>
        </is>
      </c>
      <c r="H47" t="inlineStr">
        <is>
          <t>Arbitrage</t>
        </is>
      </c>
      <c r="I47" t="inlineStr">
        <is>
          <t>Total Revenue</t>
        </is>
      </c>
      <c r="J47" t="inlineStr">
        <is>
          <t>O&amp;M Costs</t>
        </is>
      </c>
      <c r="K47" t="inlineStr">
        <is>
          <t>Battery Replacement</t>
        </is>
      </c>
      <c r="L47" t="inlineStr">
        <is>
          <t>Net Cash Flow</t>
        </is>
      </c>
      <c r="M47" t="inlineStr">
        <is>
          <t>Cumulative CF</t>
        </is>
      </c>
    </row>
    <row r="48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</row>
    <row r="49">
      <c r="A49" t="n">
        <v>0</v>
      </c>
      <c r="B49" s="10">
        <f>-$B$16</f>
        <v/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>
        <f>SUM(B49:K49)</f>
        <v/>
      </c>
      <c r="M49" s="10" t="n">
        <v>0</v>
      </c>
    </row>
    <row r="50">
      <c r="A50" t="n">
        <v>1</v>
      </c>
      <c r="B50" s="10" t="n">
        <v>0</v>
      </c>
      <c r="C50" s="10">
        <f>$B$36*(1.02^A50)</f>
        <v/>
      </c>
      <c r="D50" s="10">
        <f>$B$37</f>
        <v/>
      </c>
      <c r="E50" s="10">
        <f>$B$38</f>
        <v/>
      </c>
      <c r="F50" s="10">
        <f>$B$39</f>
        <v/>
      </c>
      <c r="G50" s="10">
        <f>$B$40</f>
        <v/>
      </c>
      <c r="H50" s="10">
        <f>$B$41</f>
        <v/>
      </c>
      <c r="I50" s="10">
        <f>SUM(C50:H50)</f>
        <v/>
      </c>
      <c r="J50" s="10">
        <f>-$B$29</f>
        <v/>
      </c>
      <c r="K50" s="10">
        <f>IF(A50=15,-$B$32,0)</f>
        <v/>
      </c>
      <c r="L50" s="10">
        <f>SUM(B50:K50)</f>
        <v/>
      </c>
      <c r="M50" s="10">
        <f>L50+M49</f>
        <v/>
      </c>
    </row>
    <row r="51">
      <c r="A51" t="n">
        <v>2</v>
      </c>
      <c r="B51" s="10" t="n">
        <v>0</v>
      </c>
      <c r="C51" s="10">
        <f>$B$36*(1.02^A51)</f>
        <v/>
      </c>
      <c r="D51" s="10">
        <f>$B$37</f>
        <v/>
      </c>
      <c r="E51" s="10">
        <f>$B$38</f>
        <v/>
      </c>
      <c r="F51" s="10">
        <f>$B$39</f>
        <v/>
      </c>
      <c r="G51" s="10">
        <f>$B$40</f>
        <v/>
      </c>
      <c r="H51" s="10">
        <f>$B$41</f>
        <v/>
      </c>
      <c r="I51" s="10">
        <f>SUM(C51:H51)</f>
        <v/>
      </c>
      <c r="J51" s="10">
        <f>-$B$29</f>
        <v/>
      </c>
      <c r="K51" s="10">
        <f>IF(A51=15,-$B$32,0)</f>
        <v/>
      </c>
      <c r="L51" s="10">
        <f>SUM(B51:K51)</f>
        <v/>
      </c>
      <c r="M51" s="10">
        <f>L51+M50</f>
        <v/>
      </c>
    </row>
    <row r="52">
      <c r="A52" t="n">
        <v>3</v>
      </c>
      <c r="B52" s="10" t="n">
        <v>0</v>
      </c>
      <c r="C52" s="10">
        <f>$B$36*(1.02^A52)</f>
        <v/>
      </c>
      <c r="D52" s="10">
        <f>$B$37</f>
        <v/>
      </c>
      <c r="E52" s="10">
        <f>$B$38</f>
        <v/>
      </c>
      <c r="F52" s="10">
        <f>$B$39</f>
        <v/>
      </c>
      <c r="G52" s="10">
        <f>$B$40</f>
        <v/>
      </c>
      <c r="H52" s="10">
        <f>$B$41</f>
        <v/>
      </c>
      <c r="I52" s="10">
        <f>SUM(C52:H52)</f>
        <v/>
      </c>
      <c r="J52" s="10">
        <f>-$B$29</f>
        <v/>
      </c>
      <c r="K52" s="10">
        <f>IF(A52=15,-$B$32,0)</f>
        <v/>
      </c>
      <c r="L52" s="10">
        <f>SUM(B52:K52)</f>
        <v/>
      </c>
      <c r="M52" s="10">
        <f>L52+M51</f>
        <v/>
      </c>
    </row>
    <row r="53">
      <c r="A53" t="n">
        <v>4</v>
      </c>
      <c r="B53" s="10" t="n">
        <v>0</v>
      </c>
      <c r="C53" s="10">
        <f>$B$36*(1.02^A53)</f>
        <v/>
      </c>
      <c r="D53" s="10">
        <f>$B$37</f>
        <v/>
      </c>
      <c r="E53" s="10">
        <f>$B$38</f>
        <v/>
      </c>
      <c r="F53" s="10">
        <f>$B$39</f>
        <v/>
      </c>
      <c r="G53" s="10">
        <f>$B$40</f>
        <v/>
      </c>
      <c r="H53" s="10">
        <f>$B$41</f>
        <v/>
      </c>
      <c r="I53" s="10">
        <f>SUM(C53:H53)</f>
        <v/>
      </c>
      <c r="J53" s="10">
        <f>-$B$29</f>
        <v/>
      </c>
      <c r="K53" s="10">
        <f>IF(A53=15,-$B$32,0)</f>
        <v/>
      </c>
      <c r="L53" s="10">
        <f>SUM(B53:K53)</f>
        <v/>
      </c>
      <c r="M53" s="10">
        <f>L53+M52</f>
        <v/>
      </c>
    </row>
    <row r="54">
      <c r="A54" t="n">
        <v>5</v>
      </c>
      <c r="B54" s="10" t="n">
        <v>0</v>
      </c>
      <c r="C54" s="10">
        <f>$B$36*(1.02^A54)</f>
        <v/>
      </c>
      <c r="D54" s="10">
        <f>$B$37</f>
        <v/>
      </c>
      <c r="E54" s="10">
        <f>$B$38</f>
        <v/>
      </c>
      <c r="F54" s="10">
        <f>$B$39</f>
        <v/>
      </c>
      <c r="G54" s="10">
        <f>$B$40</f>
        <v/>
      </c>
      <c r="H54" s="10">
        <f>$B$41</f>
        <v/>
      </c>
      <c r="I54" s="10">
        <f>SUM(C54:H54)</f>
        <v/>
      </c>
      <c r="J54" s="10">
        <f>-$B$29</f>
        <v/>
      </c>
      <c r="K54" s="10">
        <f>IF(A54=15,-$B$32,0)</f>
        <v/>
      </c>
      <c r="L54" s="10">
        <f>SUM(B54:K54)</f>
        <v/>
      </c>
      <c r="M54" s="10">
        <f>L54+M53</f>
        <v/>
      </c>
    </row>
    <row r="55">
      <c r="A55" t="n">
        <v>6</v>
      </c>
      <c r="B55" s="10" t="n">
        <v>0</v>
      </c>
      <c r="C55" s="10">
        <f>$B$36*(1.02^A55)</f>
        <v/>
      </c>
      <c r="D55" s="10">
        <f>$B$37</f>
        <v/>
      </c>
      <c r="E55" s="10">
        <f>$B$38</f>
        <v/>
      </c>
      <c r="F55" s="10">
        <f>$B$39</f>
        <v/>
      </c>
      <c r="G55" s="10">
        <f>$B$40</f>
        <v/>
      </c>
      <c r="H55" s="10">
        <f>$B$41</f>
        <v/>
      </c>
      <c r="I55" s="10">
        <f>SUM(C55:H55)</f>
        <v/>
      </c>
      <c r="J55" s="10">
        <f>-$B$29</f>
        <v/>
      </c>
      <c r="K55" s="10">
        <f>IF(A55=15,-$B$32,0)</f>
        <v/>
      </c>
      <c r="L55" s="10">
        <f>SUM(B55:K55)</f>
        <v/>
      </c>
      <c r="M55" s="10">
        <f>L55+M54</f>
        <v/>
      </c>
    </row>
    <row r="56">
      <c r="A56" t="n">
        <v>7</v>
      </c>
      <c r="B56" s="10" t="n">
        <v>0</v>
      </c>
      <c r="C56" s="10">
        <f>$B$36*(1.02^A56)</f>
        <v/>
      </c>
      <c r="D56" s="10">
        <f>$B$37</f>
        <v/>
      </c>
      <c r="E56" s="10">
        <f>$B$38</f>
        <v/>
      </c>
      <c r="F56" s="10">
        <f>$B$39</f>
        <v/>
      </c>
      <c r="G56" s="10">
        <f>$B$40</f>
        <v/>
      </c>
      <c r="H56" s="10">
        <f>$B$41</f>
        <v/>
      </c>
      <c r="I56" s="10">
        <f>SUM(C56:H56)</f>
        <v/>
      </c>
      <c r="J56" s="10">
        <f>-$B$29</f>
        <v/>
      </c>
      <c r="K56" s="10">
        <f>IF(A56=15,-$B$32,0)</f>
        <v/>
      </c>
      <c r="L56" s="10">
        <f>SUM(B56:K56)</f>
        <v/>
      </c>
      <c r="M56" s="10">
        <f>L56+M55</f>
        <v/>
      </c>
    </row>
    <row r="57">
      <c r="A57" t="n">
        <v>8</v>
      </c>
      <c r="B57" s="10" t="n">
        <v>0</v>
      </c>
      <c r="C57" s="10">
        <f>$B$36*(1.02^A57)</f>
        <v/>
      </c>
      <c r="D57" s="10">
        <f>$B$37</f>
        <v/>
      </c>
      <c r="E57" s="10">
        <f>$B$38</f>
        <v/>
      </c>
      <c r="F57" s="10">
        <f>$B$39</f>
        <v/>
      </c>
      <c r="G57" s="10">
        <f>$B$40</f>
        <v/>
      </c>
      <c r="H57" s="10">
        <f>$B$41</f>
        <v/>
      </c>
      <c r="I57" s="10">
        <f>SUM(C57:H57)</f>
        <v/>
      </c>
      <c r="J57" s="10">
        <f>-$B$29</f>
        <v/>
      </c>
      <c r="K57" s="10">
        <f>IF(A57=15,-$B$32,0)</f>
        <v/>
      </c>
      <c r="L57" s="10">
        <f>SUM(B57:K57)</f>
        <v/>
      </c>
      <c r="M57" s="10">
        <f>L57+M56</f>
        <v/>
      </c>
    </row>
    <row r="58">
      <c r="A58" t="n">
        <v>9</v>
      </c>
      <c r="B58" s="10" t="n">
        <v>0</v>
      </c>
      <c r="C58" s="10">
        <f>$B$36*(1.02^A58)</f>
        <v/>
      </c>
      <c r="D58" s="10">
        <f>$B$37</f>
        <v/>
      </c>
      <c r="E58" s="10">
        <f>$B$38</f>
        <v/>
      </c>
      <c r="F58" s="10">
        <f>$B$39</f>
        <v/>
      </c>
      <c r="G58" s="10">
        <f>$B$40</f>
        <v/>
      </c>
      <c r="H58" s="10">
        <f>$B$41</f>
        <v/>
      </c>
      <c r="I58" s="10">
        <f>SUM(C58:H58)</f>
        <v/>
      </c>
      <c r="J58" s="10">
        <f>-$B$29</f>
        <v/>
      </c>
      <c r="K58" s="10">
        <f>IF(A58=15,-$B$32,0)</f>
        <v/>
      </c>
      <c r="L58" s="10">
        <f>SUM(B58:K58)</f>
        <v/>
      </c>
      <c r="M58" s="10">
        <f>L58+M57</f>
        <v/>
      </c>
    </row>
    <row r="59">
      <c r="A59" t="n">
        <v>10</v>
      </c>
      <c r="B59" s="10" t="n">
        <v>0</v>
      </c>
      <c r="C59" s="10">
        <f>$B$36*(1.02^A59)</f>
        <v/>
      </c>
      <c r="D59" s="10">
        <f>$B$37</f>
        <v/>
      </c>
      <c r="E59" s="10">
        <f>$B$38</f>
        <v/>
      </c>
      <c r="F59" s="10">
        <f>$B$39</f>
        <v/>
      </c>
      <c r="G59" s="10">
        <f>$B$40</f>
        <v/>
      </c>
      <c r="H59" s="10">
        <f>$B$41</f>
        <v/>
      </c>
      <c r="I59" s="10">
        <f>SUM(C59:H59)</f>
        <v/>
      </c>
      <c r="J59" s="10">
        <f>-$B$29</f>
        <v/>
      </c>
      <c r="K59" s="10">
        <f>IF(A59=15,-$B$32,0)</f>
        <v/>
      </c>
      <c r="L59" s="10">
        <f>SUM(B59:K59)</f>
        <v/>
      </c>
      <c r="M59" s="10">
        <f>L59+M58</f>
        <v/>
      </c>
    </row>
    <row r="60">
      <c r="A60" t="n">
        <v>11</v>
      </c>
      <c r="B60" s="10" t="n">
        <v>0</v>
      </c>
      <c r="C60" s="10">
        <f>$B$36*(1.02^A60)</f>
        <v/>
      </c>
      <c r="D60" s="10">
        <f>$B$37</f>
        <v/>
      </c>
      <c r="E60" s="10">
        <f>$B$38</f>
        <v/>
      </c>
      <c r="F60" s="10">
        <f>$B$39</f>
        <v/>
      </c>
      <c r="G60" s="10">
        <f>$B$40</f>
        <v/>
      </c>
      <c r="H60" s="10">
        <f>$B$41</f>
        <v/>
      </c>
      <c r="I60" s="10">
        <f>SUM(C60:H60)</f>
        <v/>
      </c>
      <c r="J60" s="10">
        <f>-$B$29</f>
        <v/>
      </c>
      <c r="K60" s="10">
        <f>IF(A60=15,-$B$32,0)</f>
        <v/>
      </c>
      <c r="L60" s="10">
        <f>SUM(B60:K60)</f>
        <v/>
      </c>
      <c r="M60" s="10">
        <f>L60+M59</f>
        <v/>
      </c>
    </row>
    <row r="61">
      <c r="A61" t="n">
        <v>12</v>
      </c>
      <c r="B61" s="10" t="n">
        <v>0</v>
      </c>
      <c r="C61" s="10">
        <f>$B$36*(1.02^A61)</f>
        <v/>
      </c>
      <c r="D61" s="10">
        <f>$B$37</f>
        <v/>
      </c>
      <c r="E61" s="10">
        <f>$B$38</f>
        <v/>
      </c>
      <c r="F61" s="10">
        <f>$B$39</f>
        <v/>
      </c>
      <c r="G61" s="10">
        <f>$B$40</f>
        <v/>
      </c>
      <c r="H61" s="10">
        <f>$B$41</f>
        <v/>
      </c>
      <c r="I61" s="10">
        <f>SUM(C61:H61)</f>
        <v/>
      </c>
      <c r="J61" s="10">
        <f>-$B$29</f>
        <v/>
      </c>
      <c r="K61" s="10">
        <f>IF(A61=15,-$B$32,0)</f>
        <v/>
      </c>
      <c r="L61" s="10">
        <f>SUM(B61:K61)</f>
        <v/>
      </c>
      <c r="M61" s="10">
        <f>L61+M60</f>
        <v/>
      </c>
    </row>
    <row r="62">
      <c r="A62" t="n">
        <v>13</v>
      </c>
      <c r="B62" s="10" t="n">
        <v>0</v>
      </c>
      <c r="C62" s="10">
        <f>$B$36*(1.02^A62)</f>
        <v/>
      </c>
      <c r="D62" s="10">
        <f>$B$37</f>
        <v/>
      </c>
      <c r="E62" s="10">
        <f>$B$38</f>
        <v/>
      </c>
      <c r="F62" s="10">
        <f>$B$39</f>
        <v/>
      </c>
      <c r="G62" s="10">
        <f>$B$40</f>
        <v/>
      </c>
      <c r="H62" s="10">
        <f>$B$41</f>
        <v/>
      </c>
      <c r="I62" s="10">
        <f>SUM(C62:H62)</f>
        <v/>
      </c>
      <c r="J62" s="10">
        <f>-$B$29</f>
        <v/>
      </c>
      <c r="K62" s="10">
        <f>IF(A62=15,-$B$32,0)</f>
        <v/>
      </c>
      <c r="L62" s="10">
        <f>SUM(B62:K62)</f>
        <v/>
      </c>
      <c r="M62" s="10">
        <f>L62+M61</f>
        <v/>
      </c>
    </row>
    <row r="63">
      <c r="A63" t="n">
        <v>14</v>
      </c>
      <c r="B63" s="10" t="n">
        <v>0</v>
      </c>
      <c r="C63" s="10">
        <f>$B$36*(1.02^A63)</f>
        <v/>
      </c>
      <c r="D63" s="10">
        <f>$B$37</f>
        <v/>
      </c>
      <c r="E63" s="10">
        <f>$B$38</f>
        <v/>
      </c>
      <c r="F63" s="10">
        <f>$B$39</f>
        <v/>
      </c>
      <c r="G63" s="10">
        <f>$B$40</f>
        <v/>
      </c>
      <c r="H63" s="10">
        <f>$B$41</f>
        <v/>
      </c>
      <c r="I63" s="10">
        <f>SUM(C63:H63)</f>
        <v/>
      </c>
      <c r="J63" s="10">
        <f>-$B$29</f>
        <v/>
      </c>
      <c r="K63" s="10">
        <f>IF(A63=15,-$B$32,0)</f>
        <v/>
      </c>
      <c r="L63" s="10">
        <f>SUM(B63:K63)</f>
        <v/>
      </c>
      <c r="M63" s="10">
        <f>L63+M62</f>
        <v/>
      </c>
    </row>
    <row r="64">
      <c r="A64" t="n">
        <v>15</v>
      </c>
      <c r="B64" s="10" t="n">
        <v>0</v>
      </c>
      <c r="C64" s="10">
        <f>$B$36*(1.02^A64)</f>
        <v/>
      </c>
      <c r="D64" s="10">
        <f>$B$37</f>
        <v/>
      </c>
      <c r="E64" s="10">
        <f>$B$38</f>
        <v/>
      </c>
      <c r="F64" s="10">
        <f>$B$39</f>
        <v/>
      </c>
      <c r="G64" s="10">
        <f>$B$40</f>
        <v/>
      </c>
      <c r="H64" s="10">
        <f>$B$41</f>
        <v/>
      </c>
      <c r="I64" s="10">
        <f>SUM(C64:H64)</f>
        <v/>
      </c>
      <c r="J64" s="10">
        <f>-$B$29</f>
        <v/>
      </c>
      <c r="K64" s="10">
        <f>IF(A64=15,-$B$32,0)</f>
        <v/>
      </c>
      <c r="L64" s="10">
        <f>SUM(B64:K64)</f>
        <v/>
      </c>
      <c r="M64" s="10">
        <f>L64+M63</f>
        <v/>
      </c>
    </row>
    <row r="65">
      <c r="A65" t="n">
        <v>16</v>
      </c>
      <c r="B65" s="10" t="n">
        <v>0</v>
      </c>
      <c r="C65" s="10">
        <f>$B$36*(1.02^A65)</f>
        <v/>
      </c>
      <c r="D65" s="10">
        <f>$B$37</f>
        <v/>
      </c>
      <c r="E65" s="10">
        <f>$B$38</f>
        <v/>
      </c>
      <c r="F65" s="10">
        <f>$B$39</f>
        <v/>
      </c>
      <c r="G65" s="10">
        <f>$B$40</f>
        <v/>
      </c>
      <c r="H65" s="10">
        <f>$B$41</f>
        <v/>
      </c>
      <c r="I65" s="10">
        <f>SUM(C65:H65)</f>
        <v/>
      </c>
      <c r="J65" s="10">
        <f>-$B$29</f>
        <v/>
      </c>
      <c r="K65" s="10">
        <f>IF(A65=15,-$B$32,0)</f>
        <v/>
      </c>
      <c r="L65" s="10">
        <f>SUM(B65:K65)</f>
        <v/>
      </c>
      <c r="M65" s="10">
        <f>L65+M64</f>
        <v/>
      </c>
    </row>
    <row r="66">
      <c r="A66" t="n">
        <v>17</v>
      </c>
      <c r="B66" s="10" t="n">
        <v>0</v>
      </c>
      <c r="C66" s="10">
        <f>$B$36*(1.02^A66)</f>
        <v/>
      </c>
      <c r="D66" s="10">
        <f>$B$37</f>
        <v/>
      </c>
      <c r="E66" s="10">
        <f>$B$38</f>
        <v/>
      </c>
      <c r="F66" s="10">
        <f>$B$39</f>
        <v/>
      </c>
      <c r="G66" s="10">
        <f>$B$40</f>
        <v/>
      </c>
      <c r="H66" s="10">
        <f>$B$41</f>
        <v/>
      </c>
      <c r="I66" s="10">
        <f>SUM(C66:H66)</f>
        <v/>
      </c>
      <c r="J66" s="10">
        <f>-$B$29</f>
        <v/>
      </c>
      <c r="K66" s="10">
        <f>IF(A66=15,-$B$32,0)</f>
        <v/>
      </c>
      <c r="L66" s="10">
        <f>SUM(B66:K66)</f>
        <v/>
      </c>
      <c r="M66" s="10">
        <f>L66+M65</f>
        <v/>
      </c>
    </row>
    <row r="67">
      <c r="A67" t="n">
        <v>18</v>
      </c>
      <c r="B67" s="10" t="n">
        <v>0</v>
      </c>
      <c r="C67" s="10">
        <f>$B$36*(1.02^A67)</f>
        <v/>
      </c>
      <c r="D67" s="10">
        <f>$B$37</f>
        <v/>
      </c>
      <c r="E67" s="10">
        <f>$B$38</f>
        <v/>
      </c>
      <c r="F67" s="10">
        <f>$B$39</f>
        <v/>
      </c>
      <c r="G67" s="10">
        <f>$B$40</f>
        <v/>
      </c>
      <c r="H67" s="10">
        <f>$B$41</f>
        <v/>
      </c>
      <c r="I67" s="10">
        <f>SUM(C67:H67)</f>
        <v/>
      </c>
      <c r="J67" s="10">
        <f>-$B$29</f>
        <v/>
      </c>
      <c r="K67" s="10">
        <f>IF(A67=15,-$B$32,0)</f>
        <v/>
      </c>
      <c r="L67" s="10">
        <f>SUM(B67:K67)</f>
        <v/>
      </c>
      <c r="M67" s="10">
        <f>L67+M66</f>
        <v/>
      </c>
    </row>
    <row r="68">
      <c r="A68" t="n">
        <v>19</v>
      </c>
      <c r="B68" s="10" t="n">
        <v>0</v>
      </c>
      <c r="C68" s="10">
        <f>$B$36*(1.02^A68)</f>
        <v/>
      </c>
      <c r="D68" s="10">
        <f>$B$37</f>
        <v/>
      </c>
      <c r="E68" s="10">
        <f>$B$38</f>
        <v/>
      </c>
      <c r="F68" s="10">
        <f>$B$39</f>
        <v/>
      </c>
      <c r="G68" s="10">
        <f>$B$40</f>
        <v/>
      </c>
      <c r="H68" s="10">
        <f>$B$41</f>
        <v/>
      </c>
      <c r="I68" s="10">
        <f>SUM(C68:H68)</f>
        <v/>
      </c>
      <c r="J68" s="10">
        <f>-$B$29</f>
        <v/>
      </c>
      <c r="K68" s="10">
        <f>IF(A68=15,-$B$32,0)</f>
        <v/>
      </c>
      <c r="L68" s="10">
        <f>SUM(B68:K68)</f>
        <v/>
      </c>
      <c r="M68" s="10">
        <f>L68+M67</f>
        <v/>
      </c>
    </row>
    <row r="69">
      <c r="A69" t="n">
        <v>20</v>
      </c>
      <c r="B69" s="10" t="n">
        <v>0</v>
      </c>
      <c r="C69" s="10">
        <f>$B$36*(1.02^A69)</f>
        <v/>
      </c>
      <c r="D69" s="10">
        <f>$B$37</f>
        <v/>
      </c>
      <c r="E69" s="10">
        <f>$B$38</f>
        <v/>
      </c>
      <c r="F69" s="10">
        <f>$B$39</f>
        <v/>
      </c>
      <c r="G69" s="10">
        <f>$B$40</f>
        <v/>
      </c>
      <c r="H69" s="10">
        <f>$B$41</f>
        <v/>
      </c>
      <c r="I69" s="10">
        <f>SUM(C69:H69)</f>
        <v/>
      </c>
      <c r="J69" s="10">
        <f>-$B$29</f>
        <v/>
      </c>
      <c r="K69" s="10">
        <f>IF(A69=15,-$B$32,0)</f>
        <v/>
      </c>
      <c r="L69" s="10">
        <f>SUM(B69:K69)</f>
        <v/>
      </c>
      <c r="M69" s="10">
        <f>L69+M68</f>
        <v/>
      </c>
    </row>
    <row r="72">
      <c r="A72" s="9" t="inlineStr">
        <is>
          <t>KEY FINANCIAL METRICS</t>
        </is>
      </c>
    </row>
    <row r="74">
      <c r="A74" t="inlineStr">
        <is>
          <t>Net Present Value (5% discount)</t>
        </is>
      </c>
      <c r="B74" s="11">
        <f>NPV(0.05,L50:L69)+L49</f>
        <v/>
      </c>
      <c r="C74" t="inlineStr">
        <is>
          <t>20-year NPV at 5% discount rate</t>
        </is>
      </c>
    </row>
    <row r="75">
      <c r="A75" t="inlineStr">
        <is>
          <t>Internal Rate of Return (IRR)</t>
        </is>
      </c>
      <c r="B75" s="23">
        <f>IRR(L49:L69)</f>
        <v/>
      </c>
      <c r="C75" t="inlineStr">
        <is>
          <t>Overall project IRR</t>
        </is>
      </c>
    </row>
    <row r="76">
      <c r="A76" t="inlineStr">
        <is>
          <t>Modified IRR (MIRR, 5% reinvest)</t>
        </is>
      </c>
      <c r="B76" s="23">
        <f>MIRR(L49:L69,0.05,0.05)</f>
        <v/>
      </c>
      <c r="C76" t="inlineStr">
        <is>
          <t>MIRR with 5% reinvestment rate</t>
        </is>
      </c>
    </row>
    <row r="77">
      <c r="A77" t="inlineStr">
        <is>
          <t>Simple Payback (years)</t>
        </is>
      </c>
      <c r="B77" s="24">
        <f>MATCH(0,M49:M69,1)</f>
        <v/>
      </c>
      <c r="C77" t="inlineStr">
        <is>
          <t>Years to positive cumulative cash flow</t>
        </is>
      </c>
    </row>
    <row r="79">
      <c r="A79" t="inlineStr">
        <is>
          <t>Benefit-Cost Ratio</t>
        </is>
      </c>
      <c r="B79" s="25">
        <f>NPV(0.05,I50:I69)/(-B49)</f>
        <v/>
      </c>
      <c r="C79" t="inlineStr">
        <is>
          <t>PV of benefits / PV of costs</t>
        </is>
      </c>
    </row>
    <row r="80">
      <c r="A80" t="inlineStr">
        <is>
          <t>Annual Revenue per kW</t>
        </is>
      </c>
      <c r="B80" s="11">
        <f>B43/B6</f>
        <v/>
      </c>
      <c r="C80" t="inlineStr">
        <is>
          <t>Average $/kW-year</t>
        </is>
      </c>
    </row>
    <row r="81">
      <c r="A81" t="inlineStr">
        <is>
          <t>Levelized Cost of Storage ($/kWh)</t>
        </is>
      </c>
      <c r="B81" s="26">
        <f>(B16+NPV(0.05,J50:J69))/(B6*2*250*20)</f>
        <v/>
      </c>
      <c r="C81" t="inlineStr">
        <is>
          <t>Total costs / total kWh throughput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1" t="inlineStr">
        <is>
          <t>SENSITIVITY ANALYSIS</t>
        </is>
      </c>
    </row>
    <row r="3">
      <c r="A3" t="inlineStr">
        <is>
          <t>Base Case NPV</t>
        </is>
      </c>
      <c r="B3" s="11">
        <f>'Financial Model'!B74</f>
        <v/>
      </c>
    </row>
    <row r="5">
      <c r="A5" s="9" t="inlineStr">
        <is>
          <t>ONE-WAY SENSITIVITY: Demand Charge Savings Impact on NPV</t>
        </is>
      </c>
    </row>
    <row r="7">
      <c r="A7" t="inlineStr">
        <is>
          <t>Variable: Demand Charge Savings ($/kW-year)</t>
        </is>
      </c>
    </row>
    <row r="8">
      <c r="A8" t="inlineStr">
        <is>
          <t>Base Case:</t>
        </is>
      </c>
      <c r="B8" s="10">
        <f>'Value Calculations'!B52/SUM('Building Inventory'!E2:E39)</f>
        <v/>
      </c>
    </row>
    <row r="10">
      <c r="A10" t="inlineStr">
        <is>
          <t>Sensitivity Range:</t>
        </is>
      </c>
    </row>
    <row r="11">
      <c r="A11" s="27" t="inlineStr">
        <is>
          <t>% Change</t>
        </is>
      </c>
      <c r="B11" s="27" t="inlineStr">
        <is>
          <t>-50%</t>
        </is>
      </c>
      <c r="C11" s="27" t="inlineStr">
        <is>
          <t>-25%</t>
        </is>
      </c>
      <c r="D11" s="27" t="inlineStr">
        <is>
          <t>Base</t>
        </is>
      </c>
      <c r="E11" s="27" t="inlineStr">
        <is>
          <t>+25%</t>
        </is>
      </c>
      <c r="F11" s="27" t="inlineStr">
        <is>
          <t>+50%</t>
        </is>
      </c>
      <c r="G11" s="27" t="inlineStr">
        <is>
          <t>+75%</t>
        </is>
      </c>
      <c r="H11" s="27" t="inlineStr">
        <is>
          <t>+100%</t>
        </is>
      </c>
    </row>
    <row r="12">
      <c r="A12" t="inlineStr">
        <is>
          <t>Demand $/kW-yr</t>
        </is>
      </c>
      <c r="B12" t="n">
        <v>110</v>
      </c>
      <c r="C12" t="n">
        <v>165</v>
      </c>
      <c r="D12" t="n">
        <v>220</v>
      </c>
      <c r="E12" t="n">
        <v>275</v>
      </c>
      <c r="F12" t="n">
        <v>330</v>
      </c>
      <c r="G12" t="n">
        <v>385</v>
      </c>
      <c r="H12" t="n">
        <v>440</v>
      </c>
    </row>
    <row r="13">
      <c r="A13" s="28" t="inlineStr">
        <is>
          <t>Note: Use Excel Data Table feature: Select A11:H13, Data &gt; What-If Analysis &gt; Data Table</t>
        </is>
      </c>
      <c r="B13" t="inlineStr">
        <is>
          <t>[Data Table]</t>
        </is>
      </c>
      <c r="C13" t="inlineStr">
        <is>
          <t>[Data Table]</t>
        </is>
      </c>
      <c r="D13">
        <f>$B$3/1000000</f>
        <v/>
      </c>
      <c r="E13" t="inlineStr">
        <is>
          <t>[Data Table]</t>
        </is>
      </c>
      <c r="F13" t="inlineStr">
        <is>
          <t>[Data Table]</t>
        </is>
      </c>
      <c r="G13" t="inlineStr">
        <is>
          <t>[Data Table]</t>
        </is>
      </c>
      <c r="H13" t="inlineStr">
        <is>
          <t>[Data Table]</t>
        </is>
      </c>
    </row>
    <row r="16">
      <c r="A16" s="9" t="inlineStr">
        <is>
          <t>TWO-WAY SENSITIVITY: NPV ($M) - Demand Charges vs CAPEX</t>
        </is>
      </c>
    </row>
    <row r="18">
      <c r="A18" s="29" t="inlineStr">
        <is>
          <t>Demand $/kW-yr →
↓ CAPEX $/kW</t>
        </is>
      </c>
      <c r="B18" s="27" t="n">
        <v>150</v>
      </c>
      <c r="C18" s="27" t="n">
        <v>180</v>
      </c>
      <c r="D18" s="27" t="n">
        <v>220</v>
      </c>
      <c r="E18" s="27" t="n">
        <v>260</v>
      </c>
      <c r="F18" s="27" t="n">
        <v>300</v>
      </c>
      <c r="G18" s="27" t="n">
        <v>350</v>
      </c>
    </row>
    <row r="19">
      <c r="A19" s="20" t="n">
        <v>1000</v>
      </c>
      <c r="B19" t="inlineStr">
        <is>
          <t>[Data Table]</t>
        </is>
      </c>
      <c r="C19" t="inlineStr">
        <is>
          <t>[Data Table]</t>
        </is>
      </c>
      <c r="D19" t="inlineStr">
        <is>
          <t>[Data Table]</t>
        </is>
      </c>
      <c r="E19" t="inlineStr">
        <is>
          <t>[Data Table]</t>
        </is>
      </c>
      <c r="F19" t="inlineStr">
        <is>
          <t>[Data Table]</t>
        </is>
      </c>
      <c r="G19" t="inlineStr">
        <is>
          <t>[Data Table]</t>
        </is>
      </c>
    </row>
    <row r="20">
      <c r="A20" s="20" t="n">
        <v>1100</v>
      </c>
      <c r="B20" t="inlineStr">
        <is>
          <t>[Data Table]</t>
        </is>
      </c>
      <c r="C20" t="inlineStr">
        <is>
          <t>[Data Table]</t>
        </is>
      </c>
      <c r="D20" t="inlineStr">
        <is>
          <t>[Data Table]</t>
        </is>
      </c>
      <c r="E20" t="inlineStr">
        <is>
          <t>[Data Table]</t>
        </is>
      </c>
      <c r="F20" t="inlineStr">
        <is>
          <t>[Data Table]</t>
        </is>
      </c>
      <c r="G20" t="inlineStr">
        <is>
          <t>[Data Table]</t>
        </is>
      </c>
    </row>
    <row r="21">
      <c r="A21" s="20" t="n">
        <v>1200</v>
      </c>
      <c r="B21" t="inlineStr">
        <is>
          <t>[Data Table]</t>
        </is>
      </c>
      <c r="C21" t="inlineStr">
        <is>
          <t>[Data Table]</t>
        </is>
      </c>
      <c r="D21" t="inlineStr">
        <is>
          <t>[Data Table]</t>
        </is>
      </c>
      <c r="E21" t="inlineStr">
        <is>
          <t>[Data Table]</t>
        </is>
      </c>
      <c r="F21" t="inlineStr">
        <is>
          <t>[Data Table]</t>
        </is>
      </c>
      <c r="G21" t="inlineStr">
        <is>
          <t>[Data Table]</t>
        </is>
      </c>
    </row>
    <row r="22">
      <c r="A22" s="20" t="n">
        <v>1300</v>
      </c>
      <c r="B22" t="inlineStr">
        <is>
          <t>[Data Table]</t>
        </is>
      </c>
      <c r="C22" t="inlineStr">
        <is>
          <t>[Data Table]</t>
        </is>
      </c>
      <c r="D22" t="inlineStr">
        <is>
          <t>[Data Table]</t>
        </is>
      </c>
      <c r="E22" t="inlineStr">
        <is>
          <t>[Data Table]</t>
        </is>
      </c>
      <c r="F22" t="inlineStr">
        <is>
          <t>[Data Table]</t>
        </is>
      </c>
      <c r="G22" t="inlineStr">
        <is>
          <t>[Data Table]</t>
        </is>
      </c>
    </row>
    <row r="23">
      <c r="A23" s="20" t="n">
        <v>1400</v>
      </c>
      <c r="B23" t="inlineStr">
        <is>
          <t>[Data Table]</t>
        </is>
      </c>
      <c r="C23" t="inlineStr">
        <is>
          <t>[Data Table]</t>
        </is>
      </c>
      <c r="D23" t="inlineStr">
        <is>
          <t>[Data Table]</t>
        </is>
      </c>
      <c r="E23" t="inlineStr">
        <is>
          <t>[Data Table]</t>
        </is>
      </c>
      <c r="F23" t="inlineStr">
        <is>
          <t>[Data Table]</t>
        </is>
      </c>
      <c r="G23" t="inlineStr">
        <is>
          <t>[Data Table]</t>
        </is>
      </c>
    </row>
    <row r="24">
      <c r="A24" s="20" t="n">
        <v>1500</v>
      </c>
      <c r="B24" t="inlineStr">
        <is>
          <t>[Data Table]</t>
        </is>
      </c>
      <c r="C24" t="inlineStr">
        <is>
          <t>[Data Table]</t>
        </is>
      </c>
      <c r="D24" t="inlineStr">
        <is>
          <t>[Data Table]</t>
        </is>
      </c>
      <c r="E24" t="inlineStr">
        <is>
          <t>[Data Table]</t>
        </is>
      </c>
      <c r="F24" t="inlineStr">
        <is>
          <t>[Data Table]</t>
        </is>
      </c>
      <c r="G24" t="inlineStr">
        <is>
          <t>[Data Table]</t>
        </is>
      </c>
    </row>
    <row r="25">
      <c r="A25" s="28" t="inlineStr">
        <is>
          <t>Note: Use Excel Data Table feature: Select A18:G24, Data &gt; What-If Analysis &gt; Data Table</t>
        </is>
      </c>
    </row>
    <row r="28">
      <c r="A28" s="9" t="inlineStr">
        <is>
          <t>SCENARIO COMPARISON</t>
        </is>
      </c>
    </row>
    <row r="29">
      <c r="A29" s="13" t="inlineStr">
        <is>
          <t>Metric</t>
        </is>
      </c>
      <c r="B29" s="13" t="inlineStr">
        <is>
          <t>Conservative</t>
        </is>
      </c>
      <c r="C29" s="13" t="inlineStr">
        <is>
          <t>Base Case</t>
        </is>
      </c>
      <c r="D29" s="13" t="inlineStr">
        <is>
          <t>Aggressive</t>
        </is>
      </c>
      <c r="E29" s="13" t="inlineStr">
        <is>
          <t>Units</t>
        </is>
      </c>
    </row>
    <row r="30">
      <c r="A30" t="inlineStr">
        <is>
          <t>Demand Charges ($/kW-yr)</t>
        </is>
      </c>
      <c r="B30" t="n">
        <v>180</v>
      </c>
      <c r="C30" t="n">
        <v>220</v>
      </c>
      <c r="D30" t="n">
        <v>280</v>
      </c>
      <c r="E30" t="inlineStr">
        <is>
          <t>$/kW-yr</t>
        </is>
      </c>
    </row>
    <row r="31">
      <c r="A31" t="inlineStr">
        <is>
          <t>DR Events per Year</t>
        </is>
      </c>
      <c r="B31" t="n">
        <v>15</v>
      </c>
      <c r="C31" t="n">
        <v>25</v>
      </c>
      <c r="D31" t="n">
        <v>30</v>
      </c>
      <c r="E31" t="inlineStr">
        <is>
          <t>events</t>
        </is>
      </c>
    </row>
    <row r="32">
      <c r="A32" t="inlineStr">
        <is>
          <t>Infrastructure Deferral ($/kW-yr)</t>
        </is>
      </c>
      <c r="B32" t="n">
        <v>10</v>
      </c>
      <c r="C32" t="n">
        <v>40</v>
      </c>
      <c r="D32" t="n">
        <v>100</v>
      </c>
      <c r="E32" t="inlineStr">
        <is>
          <t>$/kW-yr</t>
        </is>
      </c>
    </row>
    <row r="33">
      <c r="A33" t="inlineStr">
        <is>
          <t>CAPEX ($/kW)</t>
        </is>
      </c>
      <c r="B33" t="n">
        <v>1300</v>
      </c>
      <c r="C33" t="n">
        <v>1200</v>
      </c>
      <c r="D33" t="n">
        <v>1100</v>
      </c>
      <c r="E33" t="inlineStr">
        <is>
          <t>$/kW</t>
        </is>
      </c>
    </row>
    <row r="34"/>
    <row r="35">
      <c r="A35" t="inlineStr">
        <is>
          <t>Annual Revenue</t>
        </is>
      </c>
      <c r="B35" s="10">
        <f>B30*3800+B31*3800*100+B32*3800</f>
        <v/>
      </c>
      <c r="C35" s="10">
        <f>C30*3800+C31*3800*100+C32*3800</f>
        <v/>
      </c>
      <c r="D35" s="10">
        <f>D30*3800+D31*3800*100+D32*3800</f>
        <v/>
      </c>
      <c r="E35" t="inlineStr">
        <is>
          <t>$</t>
        </is>
      </c>
    </row>
    <row r="36">
      <c r="A36" t="inlineStr">
        <is>
          <t>Total CAPEX</t>
        </is>
      </c>
      <c r="B36" s="10">
        <f>B33*3800</f>
        <v/>
      </c>
      <c r="C36" s="10">
        <f>C33*3800</f>
        <v/>
      </c>
      <c r="D36" s="10">
        <f>D33*3800</f>
        <v/>
      </c>
      <c r="E36" t="inlineStr">
        <is>
          <t>$</t>
        </is>
      </c>
    </row>
    <row r="37">
      <c r="A37" t="inlineStr">
        <is>
          <t>NPV (20-year, 5%)</t>
        </is>
      </c>
      <c r="B37" t="inlineStr">
        <is>
          <t>[Calculate]</t>
        </is>
      </c>
      <c r="C37">
        <f>$B$3</f>
        <v/>
      </c>
      <c r="D37" t="inlineStr">
        <is>
          <t>[Calculate]</t>
        </is>
      </c>
      <c r="E37" t="inlineStr">
        <is>
          <t>$</t>
        </is>
      </c>
    </row>
    <row r="38">
      <c r="A38" t="inlineStr">
        <is>
          <t>IRR</t>
        </is>
      </c>
      <c r="B38" s="8" t="inlineStr">
        <is>
          <t>[Calculate]</t>
        </is>
      </c>
      <c r="C38" s="8">
        <f>'Financial Model'!B75</f>
        <v/>
      </c>
      <c r="D38" s="8" t="inlineStr">
        <is>
          <t>[Calculate]</t>
        </is>
      </c>
      <c r="E38" t="inlineStr">
        <is>
          <t>%</t>
        </is>
      </c>
    </row>
    <row r="39">
      <c r="A39" t="inlineStr">
        <is>
          <t>Simple Payback</t>
        </is>
      </c>
      <c r="B39" s="6" t="inlineStr">
        <is>
          <t>[Calculate]</t>
        </is>
      </c>
      <c r="C39" s="6">
        <f>'Financial Model'!B77</f>
        <v/>
      </c>
      <c r="D39" s="6" t="inlineStr">
        <is>
          <t>[Calculate]</t>
        </is>
      </c>
      <c r="E39" t="inlineStr">
        <is>
          <t>years</t>
        </is>
      </c>
    </row>
    <row r="41">
      <c r="A41" s="9" t="inlineStr">
        <is>
          <t>TORNADO CHART DATA: NPV Sensitivity to Key Variables</t>
        </is>
      </c>
    </row>
    <row r="42">
      <c r="A42" s="13" t="inlineStr">
        <is>
          <t>Variable</t>
        </is>
      </c>
      <c r="B42" s="13" t="inlineStr">
        <is>
          <t>Low Value</t>
        </is>
      </c>
      <c r="C42" s="13" t="inlineStr">
        <is>
          <t>Low NPV</t>
        </is>
      </c>
      <c r="D42" s="13" t="inlineStr">
        <is>
          <t>Base NPV</t>
        </is>
      </c>
      <c r="E42" s="13" t="inlineStr">
        <is>
          <t>High Value</t>
        </is>
      </c>
      <c r="F42" s="13" t="inlineStr">
        <is>
          <t>High NPV</t>
        </is>
      </c>
      <c r="G42" s="13" t="inlineStr">
        <is>
          <t>Range</t>
        </is>
      </c>
    </row>
    <row r="43">
      <c r="A43" t="inlineStr">
        <is>
          <t>Demand Charges ($/kW-yr)</t>
        </is>
      </c>
      <c r="B43" t="n">
        <v>180</v>
      </c>
      <c r="C43" t="inlineStr">
        <is>
          <t>[Calculate]</t>
        </is>
      </c>
      <c r="D43">
        <f>$B$3</f>
        <v/>
      </c>
      <c r="E43" t="n">
        <v>280</v>
      </c>
      <c r="F43" t="inlineStr">
        <is>
          <t>[Calculate]</t>
        </is>
      </c>
      <c r="G43">
        <f>F43-C43</f>
        <v/>
      </c>
    </row>
    <row r="44">
      <c r="A44" t="inlineStr">
        <is>
          <t>DR Events/year</t>
        </is>
      </c>
      <c r="B44" t="n">
        <v>15</v>
      </c>
      <c r="C44" t="inlineStr">
        <is>
          <t>[Calculate]</t>
        </is>
      </c>
      <c r="D44">
        <f>$B$3</f>
        <v/>
      </c>
      <c r="E44" t="n">
        <v>30</v>
      </c>
      <c r="F44" t="inlineStr">
        <is>
          <t>[Calculate]</t>
        </is>
      </c>
      <c r="G44">
        <f>F44-C44</f>
        <v/>
      </c>
    </row>
    <row r="45">
      <c r="A45" t="inlineStr">
        <is>
          <t>Infrastructure ($/kW-yr)</t>
        </is>
      </c>
      <c r="B45" t="n">
        <v>10</v>
      </c>
      <c r="C45" t="inlineStr">
        <is>
          <t>[Calculate]</t>
        </is>
      </c>
      <c r="D45">
        <f>$B$3</f>
        <v/>
      </c>
      <c r="E45" t="n">
        <v>100</v>
      </c>
      <c r="F45" t="inlineStr">
        <is>
          <t>[Calculate]</t>
        </is>
      </c>
      <c r="G45">
        <f>F45-C45</f>
        <v/>
      </c>
    </row>
    <row r="46">
      <c r="A46" t="inlineStr">
        <is>
          <t>CAPEX ($/kW)</t>
        </is>
      </c>
      <c r="B46" t="n">
        <v>1400</v>
      </c>
      <c r="C46" t="inlineStr">
        <is>
          <t>[Calculate]</t>
        </is>
      </c>
      <c r="D46">
        <f>$B$3</f>
        <v/>
      </c>
      <c r="E46" t="n">
        <v>1000</v>
      </c>
      <c r="F46" t="inlineStr">
        <is>
          <t>[Calculate]</t>
        </is>
      </c>
      <c r="G46">
        <f>F46-C46</f>
        <v/>
      </c>
    </row>
    <row r="47">
      <c r="A47" t="inlineStr">
        <is>
          <t>Battery Life (years)</t>
        </is>
      </c>
      <c r="B47" t="n">
        <v>12</v>
      </c>
      <c r="C47" t="inlineStr">
        <is>
          <t>[Calculate]</t>
        </is>
      </c>
      <c r="D47">
        <f>$B$3</f>
        <v/>
      </c>
      <c r="E47" t="n">
        <v>18</v>
      </c>
      <c r="F47" t="inlineStr">
        <is>
          <t>[Calculate]</t>
        </is>
      </c>
      <c r="G47">
        <f>F47-C47</f>
        <v/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1" t="inlineStr">
        <is>
          <t>BUILDING PRIORITIZATION SCORING (100-Point Scale)</t>
        </is>
      </c>
    </row>
    <row r="2">
      <c r="A2" s="13" t="inlineStr">
        <is>
          <t>Building ID</t>
        </is>
      </c>
      <c r="B2" s="13" t="inlineStr">
        <is>
          <t>Building Name</t>
        </is>
      </c>
      <c r="C2" s="13" t="inlineStr">
        <is>
          <t>1. Demand Charge (30%)</t>
        </is>
      </c>
      <c r="D2" s="13" t="inlineStr">
        <is>
          <t>Annual Savings ($)</t>
        </is>
      </c>
      <c r="E2" s="13" t="inlineStr">
        <is>
          <t>Score (0-30)</t>
        </is>
      </c>
      <c r="F2" s="13" t="inlineStr">
        <is>
          <t>2. Infrastructure (25%)</t>
        </is>
      </c>
      <c r="G2" s="13" t="inlineStr">
        <is>
          <t>Feeder Loading %</t>
        </is>
      </c>
      <c r="H2" s="13" t="inlineStr">
        <is>
          <t>Upgrade Timeline (yrs)</t>
        </is>
      </c>
      <c r="I2" s="13" t="inlineStr">
        <is>
          <t>Constraint Mult</t>
        </is>
      </c>
      <c r="J2" s="13" t="inlineStr">
        <is>
          <t>Timeline Mult</t>
        </is>
      </c>
      <c r="K2" s="13" t="inlineStr">
        <is>
          <t>Score (0-25)</t>
        </is>
      </c>
      <c r="L2" s="13" t="inlineStr">
        <is>
          <t>3. DR+ERCOT (20%)</t>
        </is>
      </c>
      <c r="M2" s="13" t="inlineStr">
        <is>
          <t>Annual Revenue ($)</t>
        </is>
      </c>
      <c r="N2" s="13" t="inlineStr">
        <is>
          <t>Score (0-20)</t>
        </is>
      </c>
      <c r="O2" s="13" t="inlineStr">
        <is>
          <t>4. Resilience (15%)</t>
        </is>
      </c>
      <c r="P2" s="13" t="inlineStr">
        <is>
          <t>Critical Facility</t>
        </is>
      </c>
      <c r="Q2" s="13" t="inlineStr">
        <is>
          <t>Facility Type</t>
        </is>
      </c>
      <c r="R2" s="13" t="inlineStr">
        <is>
          <t>Multiplier</t>
        </is>
      </c>
      <c r="S2" s="13" t="inlineStr">
        <is>
          <t>Score (0-15)</t>
        </is>
      </c>
      <c r="T2" s="13" t="inlineStr">
        <is>
          <t>5. Site Ready (10%)</t>
        </is>
      </c>
      <c r="U2" s="13" t="inlineStr">
        <is>
          <t>Electrical Score</t>
        </is>
      </c>
      <c r="V2" s="13" t="inlineStr">
        <is>
          <t>Space Score</t>
        </is>
      </c>
      <c r="W2" s="13" t="inlineStr">
        <is>
          <t>Score (0-10)</t>
        </is>
      </c>
      <c r="X2" s="13" t="inlineStr">
        <is>
          <t>TOTAL SCORE</t>
        </is>
      </c>
      <c r="Y2" s="13" t="inlineStr">
        <is>
          <t>Rank</t>
        </is>
      </c>
      <c r="Z2" s="13" t="inlineStr">
        <is>
          <t>Phase</t>
        </is>
      </c>
    </row>
    <row r="3">
      <c r="A3">
        <f>'Building Inventory'!A2</f>
        <v/>
      </c>
      <c r="B3">
        <f>'Building Inventory'!B2</f>
        <v/>
      </c>
      <c r="C3" t="inlineStr"/>
      <c r="D3" s="10">
        <f>'Value Calculations'!I3</f>
        <v/>
      </c>
      <c r="E3">
        <f>MIN(30,D3/30000*30)</f>
        <v/>
      </c>
      <c r="F3" t="inlineStr"/>
      <c r="G3" s="8">
        <f>IFERROR(VLOOKUP('Building Inventory'!L2,'CPS Energy Data'!$A$4:$E$18,5,FALSE),0.5)</f>
        <v/>
      </c>
      <c r="H3">
        <f>IFERROR(VLOOKUP('Building Inventory'!L2,'CPS Energy Data'!$A$4:$I$18,9,FALSE),10)</f>
        <v/>
      </c>
      <c r="I3">
        <f>IF(G3&gt;0.9,1,IF(G3&gt;0.8,0.7,IF(G3&gt;0.7,0.4,0.1)))</f>
        <v/>
      </c>
      <c r="J3">
        <f>IF(H3&lt;3,1,IF(H3&lt;7,0.7,IF(H3&lt;10,0.4,0.1)))</f>
        <v/>
      </c>
      <c r="K3">
        <f>I3*J3*25</f>
        <v/>
      </c>
      <c r="L3" t="inlineStr"/>
      <c r="M3" s="10">
        <f>'Value Calculations'!O3+'Value Calculations'!S3</f>
        <v/>
      </c>
      <c r="N3">
        <f>MIN(20,M3/15000*20)</f>
        <v/>
      </c>
      <c r="O3" t="inlineStr"/>
      <c r="P3">
        <f>'Building Inventory'!M2</f>
        <v/>
      </c>
      <c r="Q3">
        <f>'Building Inventory'!D2</f>
        <v/>
      </c>
      <c r="R3">
        <f>IF(Q3="Emergency Ops",1,IF(Q3="911 Center",1,IF(Q3="Police",0.8,IF(Q3="Fire",0.8,IF(Q3="Water Control",0.6,IF(Q3="City Hall",0.4,0.1))))))</f>
        <v/>
      </c>
      <c r="S3">
        <f>R3*15</f>
        <v/>
      </c>
      <c r="T3" t="inlineStr"/>
      <c r="U3" s="14" t="n">
        <v>0.8</v>
      </c>
      <c r="V3" s="14" t="n">
        <v>0.8</v>
      </c>
      <c r="W3">
        <f>(U3+V3)/2*10</f>
        <v/>
      </c>
      <c r="X3" s="6">
        <f>SUM(E3,K3,N3,S3,W3)</f>
        <v/>
      </c>
      <c r="Y3">
        <f>RANK(X3,$X$3:$X$40,0)</f>
        <v/>
      </c>
      <c r="Z3">
        <f>IF(Y3&lt;=10,1,IF(Y3&lt;=25,2,3))</f>
        <v/>
      </c>
    </row>
    <row r="4">
      <c r="A4">
        <f>'Building Inventory'!A3</f>
        <v/>
      </c>
      <c r="B4">
        <f>'Building Inventory'!B3</f>
        <v/>
      </c>
      <c r="C4" t="inlineStr"/>
      <c r="D4" s="10">
        <f>'Value Calculations'!I4</f>
        <v/>
      </c>
      <c r="E4">
        <f>MIN(30,D4/30000*30)</f>
        <v/>
      </c>
      <c r="F4" t="inlineStr"/>
      <c r="G4" s="8">
        <f>IFERROR(VLOOKUP('Building Inventory'!L3,'CPS Energy Data'!$A$4:$E$18,5,FALSE),0.5)</f>
        <v/>
      </c>
      <c r="H4">
        <f>IFERROR(VLOOKUP('Building Inventory'!L3,'CPS Energy Data'!$A$4:$I$18,9,FALSE),10)</f>
        <v/>
      </c>
      <c r="I4">
        <f>IF(G4&gt;0.9,1,IF(G4&gt;0.8,0.7,IF(G4&gt;0.7,0.4,0.1)))</f>
        <v/>
      </c>
      <c r="J4">
        <f>IF(H4&lt;3,1,IF(H4&lt;7,0.7,IF(H4&lt;10,0.4,0.1)))</f>
        <v/>
      </c>
      <c r="K4">
        <f>I4*J4*25</f>
        <v/>
      </c>
      <c r="L4" t="inlineStr"/>
      <c r="M4" s="10">
        <f>'Value Calculations'!O4+'Value Calculations'!S4</f>
        <v/>
      </c>
      <c r="N4">
        <f>MIN(20,M4/15000*20)</f>
        <v/>
      </c>
      <c r="O4" t="inlineStr"/>
      <c r="P4">
        <f>'Building Inventory'!M3</f>
        <v/>
      </c>
      <c r="Q4">
        <f>'Building Inventory'!D3</f>
        <v/>
      </c>
      <c r="R4">
        <f>IF(Q4="Emergency Ops",1,IF(Q4="911 Center",1,IF(Q4="Police",0.8,IF(Q4="Fire",0.8,IF(Q4="Water Control",0.6,IF(Q4="City Hall",0.4,0.1))))))</f>
        <v/>
      </c>
      <c r="S4">
        <f>R4*15</f>
        <v/>
      </c>
      <c r="T4" t="inlineStr"/>
      <c r="U4" s="14" t="n">
        <v>0.8</v>
      </c>
      <c r="V4" s="14" t="n">
        <v>0.8</v>
      </c>
      <c r="W4">
        <f>(U4+V4)/2*10</f>
        <v/>
      </c>
      <c r="X4" s="6">
        <f>SUM(E4,K4,N4,S4,W4)</f>
        <v/>
      </c>
      <c r="Y4">
        <f>RANK(X4,$X$3:$X$40,0)</f>
        <v/>
      </c>
      <c r="Z4">
        <f>IF(Y4&lt;=10,1,IF(Y4&lt;=25,2,3))</f>
        <v/>
      </c>
    </row>
    <row r="5">
      <c r="A5">
        <f>'Building Inventory'!A4</f>
        <v/>
      </c>
      <c r="B5">
        <f>'Building Inventory'!B4</f>
        <v/>
      </c>
      <c r="C5" t="inlineStr"/>
      <c r="D5" s="10">
        <f>'Value Calculations'!I5</f>
        <v/>
      </c>
      <c r="E5">
        <f>MIN(30,D5/30000*30)</f>
        <v/>
      </c>
      <c r="F5" t="inlineStr"/>
      <c r="G5" s="8">
        <f>IFERROR(VLOOKUP('Building Inventory'!L4,'CPS Energy Data'!$A$4:$E$18,5,FALSE),0.5)</f>
        <v/>
      </c>
      <c r="H5">
        <f>IFERROR(VLOOKUP('Building Inventory'!L4,'CPS Energy Data'!$A$4:$I$18,9,FALSE),10)</f>
        <v/>
      </c>
      <c r="I5">
        <f>IF(G5&gt;0.9,1,IF(G5&gt;0.8,0.7,IF(G5&gt;0.7,0.4,0.1)))</f>
        <v/>
      </c>
      <c r="J5">
        <f>IF(H5&lt;3,1,IF(H5&lt;7,0.7,IF(H5&lt;10,0.4,0.1)))</f>
        <v/>
      </c>
      <c r="K5">
        <f>I5*J5*25</f>
        <v/>
      </c>
      <c r="L5" t="inlineStr"/>
      <c r="M5" s="10">
        <f>'Value Calculations'!O5+'Value Calculations'!S5</f>
        <v/>
      </c>
      <c r="N5">
        <f>MIN(20,M5/15000*20)</f>
        <v/>
      </c>
      <c r="O5" t="inlineStr"/>
      <c r="P5">
        <f>'Building Inventory'!M4</f>
        <v/>
      </c>
      <c r="Q5">
        <f>'Building Inventory'!D4</f>
        <v/>
      </c>
      <c r="R5">
        <f>IF(Q5="Emergency Ops",1,IF(Q5="911 Center",1,IF(Q5="Police",0.8,IF(Q5="Fire",0.8,IF(Q5="Water Control",0.6,IF(Q5="City Hall",0.4,0.1))))))</f>
        <v/>
      </c>
      <c r="S5">
        <f>R5*15</f>
        <v/>
      </c>
      <c r="T5" t="inlineStr"/>
      <c r="U5" s="14" t="n">
        <v>0.8</v>
      </c>
      <c r="V5" s="14" t="n">
        <v>0.8</v>
      </c>
      <c r="W5">
        <f>(U5+V5)/2*10</f>
        <v/>
      </c>
      <c r="X5" s="6">
        <f>SUM(E5,K5,N5,S5,W5)</f>
        <v/>
      </c>
      <c r="Y5">
        <f>RANK(X5,$X$3:$X$40,0)</f>
        <v/>
      </c>
      <c r="Z5">
        <f>IF(Y5&lt;=10,1,IF(Y5&lt;=25,2,3))</f>
        <v/>
      </c>
    </row>
    <row r="6">
      <c r="A6">
        <f>'Building Inventory'!A5</f>
        <v/>
      </c>
      <c r="B6">
        <f>'Building Inventory'!B5</f>
        <v/>
      </c>
      <c r="C6" t="inlineStr"/>
      <c r="D6" s="10">
        <f>'Value Calculations'!I6</f>
        <v/>
      </c>
      <c r="E6">
        <f>MIN(30,D6/30000*30)</f>
        <v/>
      </c>
      <c r="F6" t="inlineStr"/>
      <c r="G6" s="8">
        <f>IFERROR(VLOOKUP('Building Inventory'!L5,'CPS Energy Data'!$A$4:$E$18,5,FALSE),0.5)</f>
        <v/>
      </c>
      <c r="H6">
        <f>IFERROR(VLOOKUP('Building Inventory'!L5,'CPS Energy Data'!$A$4:$I$18,9,FALSE),10)</f>
        <v/>
      </c>
      <c r="I6">
        <f>IF(G6&gt;0.9,1,IF(G6&gt;0.8,0.7,IF(G6&gt;0.7,0.4,0.1)))</f>
        <v/>
      </c>
      <c r="J6">
        <f>IF(H6&lt;3,1,IF(H6&lt;7,0.7,IF(H6&lt;10,0.4,0.1)))</f>
        <v/>
      </c>
      <c r="K6">
        <f>I6*J6*25</f>
        <v/>
      </c>
      <c r="L6" t="inlineStr"/>
      <c r="M6" s="10">
        <f>'Value Calculations'!O6+'Value Calculations'!S6</f>
        <v/>
      </c>
      <c r="N6">
        <f>MIN(20,M6/15000*20)</f>
        <v/>
      </c>
      <c r="O6" t="inlineStr"/>
      <c r="P6">
        <f>'Building Inventory'!M5</f>
        <v/>
      </c>
      <c r="Q6">
        <f>'Building Inventory'!D5</f>
        <v/>
      </c>
      <c r="R6">
        <f>IF(Q6="Emergency Ops",1,IF(Q6="911 Center",1,IF(Q6="Police",0.8,IF(Q6="Fire",0.8,IF(Q6="Water Control",0.6,IF(Q6="City Hall",0.4,0.1))))))</f>
        <v/>
      </c>
      <c r="S6">
        <f>R6*15</f>
        <v/>
      </c>
      <c r="T6" t="inlineStr"/>
      <c r="U6" s="14" t="n">
        <v>0.8</v>
      </c>
      <c r="V6" s="14" t="n">
        <v>0.8</v>
      </c>
      <c r="W6">
        <f>(U6+V6)/2*10</f>
        <v/>
      </c>
      <c r="X6" s="6">
        <f>SUM(E6,K6,N6,S6,W6)</f>
        <v/>
      </c>
      <c r="Y6">
        <f>RANK(X6,$X$3:$X$40,0)</f>
        <v/>
      </c>
      <c r="Z6">
        <f>IF(Y6&lt;=10,1,IF(Y6&lt;=25,2,3))</f>
        <v/>
      </c>
    </row>
    <row r="7">
      <c r="A7">
        <f>'Building Inventory'!A6</f>
        <v/>
      </c>
      <c r="B7">
        <f>'Building Inventory'!B6</f>
        <v/>
      </c>
      <c r="C7" t="inlineStr"/>
      <c r="D7" s="10">
        <f>'Value Calculations'!I7</f>
        <v/>
      </c>
      <c r="E7">
        <f>MIN(30,D7/30000*30)</f>
        <v/>
      </c>
      <c r="F7" t="inlineStr"/>
      <c r="G7" s="8">
        <f>IFERROR(VLOOKUP('Building Inventory'!L6,'CPS Energy Data'!$A$4:$E$18,5,FALSE),0.5)</f>
        <v/>
      </c>
      <c r="H7">
        <f>IFERROR(VLOOKUP('Building Inventory'!L6,'CPS Energy Data'!$A$4:$I$18,9,FALSE),10)</f>
        <v/>
      </c>
      <c r="I7">
        <f>IF(G7&gt;0.9,1,IF(G7&gt;0.8,0.7,IF(G7&gt;0.7,0.4,0.1)))</f>
        <v/>
      </c>
      <c r="J7">
        <f>IF(H7&lt;3,1,IF(H7&lt;7,0.7,IF(H7&lt;10,0.4,0.1)))</f>
        <v/>
      </c>
      <c r="K7">
        <f>I7*J7*25</f>
        <v/>
      </c>
      <c r="L7" t="inlineStr"/>
      <c r="M7" s="10">
        <f>'Value Calculations'!O7+'Value Calculations'!S7</f>
        <v/>
      </c>
      <c r="N7">
        <f>MIN(20,M7/15000*20)</f>
        <v/>
      </c>
      <c r="O7" t="inlineStr"/>
      <c r="P7">
        <f>'Building Inventory'!M6</f>
        <v/>
      </c>
      <c r="Q7">
        <f>'Building Inventory'!D6</f>
        <v/>
      </c>
      <c r="R7">
        <f>IF(Q7="Emergency Ops",1,IF(Q7="911 Center",1,IF(Q7="Police",0.8,IF(Q7="Fire",0.8,IF(Q7="Water Control",0.6,IF(Q7="City Hall",0.4,0.1))))))</f>
        <v/>
      </c>
      <c r="S7">
        <f>R7*15</f>
        <v/>
      </c>
      <c r="T7" t="inlineStr"/>
      <c r="U7" s="14" t="n">
        <v>0.8</v>
      </c>
      <c r="V7" s="14" t="n">
        <v>0.8</v>
      </c>
      <c r="W7">
        <f>(U7+V7)/2*10</f>
        <v/>
      </c>
      <c r="X7" s="6">
        <f>SUM(E7,K7,N7,S7,W7)</f>
        <v/>
      </c>
      <c r="Y7">
        <f>RANK(X7,$X$3:$X$40,0)</f>
        <v/>
      </c>
      <c r="Z7">
        <f>IF(Y7&lt;=10,1,IF(Y7&lt;=25,2,3))</f>
        <v/>
      </c>
    </row>
    <row r="8">
      <c r="A8">
        <f>'Building Inventory'!A7</f>
        <v/>
      </c>
      <c r="B8">
        <f>'Building Inventory'!B7</f>
        <v/>
      </c>
      <c r="C8" t="inlineStr"/>
      <c r="D8" s="10">
        <f>'Value Calculations'!I8</f>
        <v/>
      </c>
      <c r="E8">
        <f>MIN(30,D8/30000*30)</f>
        <v/>
      </c>
      <c r="F8" t="inlineStr"/>
      <c r="G8" s="8">
        <f>IFERROR(VLOOKUP('Building Inventory'!L7,'CPS Energy Data'!$A$4:$E$18,5,FALSE),0.5)</f>
        <v/>
      </c>
      <c r="H8">
        <f>IFERROR(VLOOKUP('Building Inventory'!L7,'CPS Energy Data'!$A$4:$I$18,9,FALSE),10)</f>
        <v/>
      </c>
      <c r="I8">
        <f>IF(G8&gt;0.9,1,IF(G8&gt;0.8,0.7,IF(G8&gt;0.7,0.4,0.1)))</f>
        <v/>
      </c>
      <c r="J8">
        <f>IF(H8&lt;3,1,IF(H8&lt;7,0.7,IF(H8&lt;10,0.4,0.1)))</f>
        <v/>
      </c>
      <c r="K8">
        <f>I8*J8*25</f>
        <v/>
      </c>
      <c r="L8" t="inlineStr"/>
      <c r="M8" s="10">
        <f>'Value Calculations'!O8+'Value Calculations'!S8</f>
        <v/>
      </c>
      <c r="N8">
        <f>MIN(20,M8/15000*20)</f>
        <v/>
      </c>
      <c r="O8" t="inlineStr"/>
      <c r="P8">
        <f>'Building Inventory'!M7</f>
        <v/>
      </c>
      <c r="Q8">
        <f>'Building Inventory'!D7</f>
        <v/>
      </c>
      <c r="R8">
        <f>IF(Q8="Emergency Ops",1,IF(Q8="911 Center",1,IF(Q8="Police",0.8,IF(Q8="Fire",0.8,IF(Q8="Water Control",0.6,IF(Q8="City Hall",0.4,0.1))))))</f>
        <v/>
      </c>
      <c r="S8">
        <f>R8*15</f>
        <v/>
      </c>
      <c r="T8" t="inlineStr"/>
      <c r="U8" s="14" t="n">
        <v>0.8</v>
      </c>
      <c r="V8" s="14" t="n">
        <v>0.8</v>
      </c>
      <c r="W8">
        <f>(U8+V8)/2*10</f>
        <v/>
      </c>
      <c r="X8" s="6">
        <f>SUM(E8,K8,N8,S8,W8)</f>
        <v/>
      </c>
      <c r="Y8">
        <f>RANK(X8,$X$3:$X$40,0)</f>
        <v/>
      </c>
      <c r="Z8">
        <f>IF(Y8&lt;=10,1,IF(Y8&lt;=25,2,3))</f>
        <v/>
      </c>
    </row>
    <row r="9">
      <c r="A9">
        <f>'Building Inventory'!A8</f>
        <v/>
      </c>
      <c r="B9">
        <f>'Building Inventory'!B8</f>
        <v/>
      </c>
      <c r="C9" t="inlineStr"/>
      <c r="D9" s="10">
        <f>'Value Calculations'!I9</f>
        <v/>
      </c>
      <c r="E9">
        <f>MIN(30,D9/30000*30)</f>
        <v/>
      </c>
      <c r="F9" t="inlineStr"/>
      <c r="G9" s="8">
        <f>IFERROR(VLOOKUP('Building Inventory'!L8,'CPS Energy Data'!$A$4:$E$18,5,FALSE),0.5)</f>
        <v/>
      </c>
      <c r="H9">
        <f>IFERROR(VLOOKUP('Building Inventory'!L8,'CPS Energy Data'!$A$4:$I$18,9,FALSE),10)</f>
        <v/>
      </c>
      <c r="I9">
        <f>IF(G9&gt;0.9,1,IF(G9&gt;0.8,0.7,IF(G9&gt;0.7,0.4,0.1)))</f>
        <v/>
      </c>
      <c r="J9">
        <f>IF(H9&lt;3,1,IF(H9&lt;7,0.7,IF(H9&lt;10,0.4,0.1)))</f>
        <v/>
      </c>
      <c r="K9">
        <f>I9*J9*25</f>
        <v/>
      </c>
      <c r="L9" t="inlineStr"/>
      <c r="M9" s="10">
        <f>'Value Calculations'!O9+'Value Calculations'!S9</f>
        <v/>
      </c>
      <c r="N9">
        <f>MIN(20,M9/15000*20)</f>
        <v/>
      </c>
      <c r="O9" t="inlineStr"/>
      <c r="P9">
        <f>'Building Inventory'!M8</f>
        <v/>
      </c>
      <c r="Q9">
        <f>'Building Inventory'!D8</f>
        <v/>
      </c>
      <c r="R9">
        <f>IF(Q9="Emergency Ops",1,IF(Q9="911 Center",1,IF(Q9="Police",0.8,IF(Q9="Fire",0.8,IF(Q9="Water Control",0.6,IF(Q9="City Hall",0.4,0.1))))))</f>
        <v/>
      </c>
      <c r="S9">
        <f>R9*15</f>
        <v/>
      </c>
      <c r="T9" t="inlineStr"/>
      <c r="U9" s="14" t="n">
        <v>0.8</v>
      </c>
      <c r="V9" s="14" t="n">
        <v>0.8</v>
      </c>
      <c r="W9">
        <f>(U9+V9)/2*10</f>
        <v/>
      </c>
      <c r="X9" s="6">
        <f>SUM(E9,K9,N9,S9,W9)</f>
        <v/>
      </c>
      <c r="Y9">
        <f>RANK(X9,$X$3:$X$40,0)</f>
        <v/>
      </c>
      <c r="Z9">
        <f>IF(Y9&lt;=10,1,IF(Y9&lt;=25,2,3))</f>
        <v/>
      </c>
    </row>
    <row r="10">
      <c r="A10">
        <f>'Building Inventory'!A9</f>
        <v/>
      </c>
      <c r="B10">
        <f>'Building Inventory'!B9</f>
        <v/>
      </c>
      <c r="C10" t="inlineStr"/>
      <c r="D10" s="10">
        <f>'Value Calculations'!I10</f>
        <v/>
      </c>
      <c r="E10">
        <f>MIN(30,D10/30000*30)</f>
        <v/>
      </c>
      <c r="F10" t="inlineStr"/>
      <c r="G10" s="8">
        <f>IFERROR(VLOOKUP('Building Inventory'!L9,'CPS Energy Data'!$A$4:$E$18,5,FALSE),0.5)</f>
        <v/>
      </c>
      <c r="H10">
        <f>IFERROR(VLOOKUP('Building Inventory'!L9,'CPS Energy Data'!$A$4:$I$18,9,FALSE),10)</f>
        <v/>
      </c>
      <c r="I10">
        <f>IF(G10&gt;0.9,1,IF(G10&gt;0.8,0.7,IF(G10&gt;0.7,0.4,0.1)))</f>
        <v/>
      </c>
      <c r="J10">
        <f>IF(H10&lt;3,1,IF(H10&lt;7,0.7,IF(H10&lt;10,0.4,0.1)))</f>
        <v/>
      </c>
      <c r="K10">
        <f>I10*J10*25</f>
        <v/>
      </c>
      <c r="L10" t="inlineStr"/>
      <c r="M10" s="10">
        <f>'Value Calculations'!O10+'Value Calculations'!S10</f>
        <v/>
      </c>
      <c r="N10">
        <f>MIN(20,M10/15000*20)</f>
        <v/>
      </c>
      <c r="O10" t="inlineStr"/>
      <c r="P10">
        <f>'Building Inventory'!M9</f>
        <v/>
      </c>
      <c r="Q10">
        <f>'Building Inventory'!D9</f>
        <v/>
      </c>
      <c r="R10">
        <f>IF(Q10="Emergency Ops",1,IF(Q10="911 Center",1,IF(Q10="Police",0.8,IF(Q10="Fire",0.8,IF(Q10="Water Control",0.6,IF(Q10="City Hall",0.4,0.1))))))</f>
        <v/>
      </c>
      <c r="S10">
        <f>R10*15</f>
        <v/>
      </c>
      <c r="T10" t="inlineStr"/>
      <c r="U10" s="14" t="n">
        <v>0.8</v>
      </c>
      <c r="V10" s="14" t="n">
        <v>0.8</v>
      </c>
      <c r="W10">
        <f>(U10+V10)/2*10</f>
        <v/>
      </c>
      <c r="X10" s="6">
        <f>SUM(E10,K10,N10,S10,W10)</f>
        <v/>
      </c>
      <c r="Y10">
        <f>RANK(X10,$X$3:$X$40,0)</f>
        <v/>
      </c>
      <c r="Z10">
        <f>IF(Y10&lt;=10,1,IF(Y10&lt;=25,2,3))</f>
        <v/>
      </c>
    </row>
    <row r="11">
      <c r="A11">
        <f>'Building Inventory'!A10</f>
        <v/>
      </c>
      <c r="B11">
        <f>'Building Inventory'!B10</f>
        <v/>
      </c>
      <c r="C11" t="inlineStr"/>
      <c r="D11" s="10">
        <f>'Value Calculations'!I11</f>
        <v/>
      </c>
      <c r="E11">
        <f>MIN(30,D11/30000*30)</f>
        <v/>
      </c>
      <c r="F11" t="inlineStr"/>
      <c r="G11" s="8">
        <f>IFERROR(VLOOKUP('Building Inventory'!L10,'CPS Energy Data'!$A$4:$E$18,5,FALSE),0.5)</f>
        <v/>
      </c>
      <c r="H11">
        <f>IFERROR(VLOOKUP('Building Inventory'!L10,'CPS Energy Data'!$A$4:$I$18,9,FALSE),10)</f>
        <v/>
      </c>
      <c r="I11">
        <f>IF(G11&gt;0.9,1,IF(G11&gt;0.8,0.7,IF(G11&gt;0.7,0.4,0.1)))</f>
        <v/>
      </c>
      <c r="J11">
        <f>IF(H11&lt;3,1,IF(H11&lt;7,0.7,IF(H11&lt;10,0.4,0.1)))</f>
        <v/>
      </c>
      <c r="K11">
        <f>I11*J11*25</f>
        <v/>
      </c>
      <c r="L11" t="inlineStr"/>
      <c r="M11" s="10">
        <f>'Value Calculations'!O11+'Value Calculations'!S11</f>
        <v/>
      </c>
      <c r="N11">
        <f>MIN(20,M11/15000*20)</f>
        <v/>
      </c>
      <c r="O11" t="inlineStr"/>
      <c r="P11">
        <f>'Building Inventory'!M10</f>
        <v/>
      </c>
      <c r="Q11">
        <f>'Building Inventory'!D10</f>
        <v/>
      </c>
      <c r="R11">
        <f>IF(Q11="Emergency Ops",1,IF(Q11="911 Center",1,IF(Q11="Police",0.8,IF(Q11="Fire",0.8,IF(Q11="Water Control",0.6,IF(Q11="City Hall",0.4,0.1))))))</f>
        <v/>
      </c>
      <c r="S11">
        <f>R11*15</f>
        <v/>
      </c>
      <c r="T11" t="inlineStr"/>
      <c r="U11" s="14" t="n">
        <v>0.8</v>
      </c>
      <c r="V11" s="14" t="n">
        <v>0.8</v>
      </c>
      <c r="W11">
        <f>(U11+V11)/2*10</f>
        <v/>
      </c>
      <c r="X11" s="6">
        <f>SUM(E11,K11,N11,S11,W11)</f>
        <v/>
      </c>
      <c r="Y11">
        <f>RANK(X11,$X$3:$X$40,0)</f>
        <v/>
      </c>
      <c r="Z11">
        <f>IF(Y11&lt;=10,1,IF(Y11&lt;=25,2,3))</f>
        <v/>
      </c>
    </row>
    <row r="12">
      <c r="A12">
        <f>'Building Inventory'!A11</f>
        <v/>
      </c>
      <c r="B12">
        <f>'Building Inventory'!B11</f>
        <v/>
      </c>
      <c r="C12" t="inlineStr"/>
      <c r="D12" s="10">
        <f>'Value Calculations'!I12</f>
        <v/>
      </c>
      <c r="E12">
        <f>MIN(30,D12/30000*30)</f>
        <v/>
      </c>
      <c r="F12" t="inlineStr"/>
      <c r="G12" s="8">
        <f>IFERROR(VLOOKUP('Building Inventory'!L11,'CPS Energy Data'!$A$4:$E$18,5,FALSE),0.5)</f>
        <v/>
      </c>
      <c r="H12">
        <f>IFERROR(VLOOKUP('Building Inventory'!L11,'CPS Energy Data'!$A$4:$I$18,9,FALSE),10)</f>
        <v/>
      </c>
      <c r="I12">
        <f>IF(G12&gt;0.9,1,IF(G12&gt;0.8,0.7,IF(G12&gt;0.7,0.4,0.1)))</f>
        <v/>
      </c>
      <c r="J12">
        <f>IF(H12&lt;3,1,IF(H12&lt;7,0.7,IF(H12&lt;10,0.4,0.1)))</f>
        <v/>
      </c>
      <c r="K12">
        <f>I12*J12*25</f>
        <v/>
      </c>
      <c r="L12" t="inlineStr"/>
      <c r="M12" s="10">
        <f>'Value Calculations'!O12+'Value Calculations'!S12</f>
        <v/>
      </c>
      <c r="N12">
        <f>MIN(20,M12/15000*20)</f>
        <v/>
      </c>
      <c r="O12" t="inlineStr"/>
      <c r="P12">
        <f>'Building Inventory'!M11</f>
        <v/>
      </c>
      <c r="Q12">
        <f>'Building Inventory'!D11</f>
        <v/>
      </c>
      <c r="R12">
        <f>IF(Q12="Emergency Ops",1,IF(Q12="911 Center",1,IF(Q12="Police",0.8,IF(Q12="Fire",0.8,IF(Q12="Water Control",0.6,IF(Q12="City Hall",0.4,0.1))))))</f>
        <v/>
      </c>
      <c r="S12">
        <f>R12*15</f>
        <v/>
      </c>
      <c r="T12" t="inlineStr"/>
      <c r="U12" s="14" t="n">
        <v>0.8</v>
      </c>
      <c r="V12" s="14" t="n">
        <v>0.8</v>
      </c>
      <c r="W12">
        <f>(U12+V12)/2*10</f>
        <v/>
      </c>
      <c r="X12" s="6">
        <f>SUM(E12,K12,N12,S12,W12)</f>
        <v/>
      </c>
      <c r="Y12">
        <f>RANK(X12,$X$3:$X$40,0)</f>
        <v/>
      </c>
      <c r="Z12">
        <f>IF(Y12&lt;=10,1,IF(Y12&lt;=25,2,3))</f>
        <v/>
      </c>
    </row>
    <row r="13">
      <c r="A13">
        <f>'Building Inventory'!A12</f>
        <v/>
      </c>
      <c r="B13">
        <f>'Building Inventory'!B12</f>
        <v/>
      </c>
      <c r="C13" t="inlineStr"/>
      <c r="D13" s="10">
        <f>'Value Calculations'!I13</f>
        <v/>
      </c>
      <c r="E13">
        <f>MIN(30,D13/30000*30)</f>
        <v/>
      </c>
      <c r="F13" t="inlineStr"/>
      <c r="G13" s="8">
        <f>IFERROR(VLOOKUP('Building Inventory'!L12,'CPS Energy Data'!$A$4:$E$18,5,FALSE),0.5)</f>
        <v/>
      </c>
      <c r="H13">
        <f>IFERROR(VLOOKUP('Building Inventory'!L12,'CPS Energy Data'!$A$4:$I$18,9,FALSE),10)</f>
        <v/>
      </c>
      <c r="I13">
        <f>IF(G13&gt;0.9,1,IF(G13&gt;0.8,0.7,IF(G13&gt;0.7,0.4,0.1)))</f>
        <v/>
      </c>
      <c r="J13">
        <f>IF(H13&lt;3,1,IF(H13&lt;7,0.7,IF(H13&lt;10,0.4,0.1)))</f>
        <v/>
      </c>
      <c r="K13">
        <f>I13*J13*25</f>
        <v/>
      </c>
      <c r="L13" t="inlineStr"/>
      <c r="M13" s="10">
        <f>'Value Calculations'!O13+'Value Calculations'!S13</f>
        <v/>
      </c>
      <c r="N13">
        <f>MIN(20,M13/15000*20)</f>
        <v/>
      </c>
      <c r="O13" t="inlineStr"/>
      <c r="P13">
        <f>'Building Inventory'!M12</f>
        <v/>
      </c>
      <c r="Q13">
        <f>'Building Inventory'!D12</f>
        <v/>
      </c>
      <c r="R13">
        <f>IF(Q13="Emergency Ops",1,IF(Q13="911 Center",1,IF(Q13="Police",0.8,IF(Q13="Fire",0.8,IF(Q13="Water Control",0.6,IF(Q13="City Hall",0.4,0.1))))))</f>
        <v/>
      </c>
      <c r="S13">
        <f>R13*15</f>
        <v/>
      </c>
      <c r="T13" t="inlineStr"/>
      <c r="U13" s="14" t="n">
        <v>0.8</v>
      </c>
      <c r="V13" s="14" t="n">
        <v>0.8</v>
      </c>
      <c r="W13">
        <f>(U13+V13)/2*10</f>
        <v/>
      </c>
      <c r="X13" s="6">
        <f>SUM(E13,K13,N13,S13,W13)</f>
        <v/>
      </c>
      <c r="Y13">
        <f>RANK(X13,$X$3:$X$40,0)</f>
        <v/>
      </c>
      <c r="Z13">
        <f>IF(Y13&lt;=10,1,IF(Y13&lt;=25,2,3))</f>
        <v/>
      </c>
    </row>
    <row r="14">
      <c r="A14">
        <f>'Building Inventory'!A13</f>
        <v/>
      </c>
      <c r="B14">
        <f>'Building Inventory'!B13</f>
        <v/>
      </c>
      <c r="C14" t="inlineStr"/>
      <c r="D14" s="10">
        <f>'Value Calculations'!I14</f>
        <v/>
      </c>
      <c r="E14">
        <f>MIN(30,D14/30000*30)</f>
        <v/>
      </c>
      <c r="F14" t="inlineStr"/>
      <c r="G14" s="8">
        <f>IFERROR(VLOOKUP('Building Inventory'!L13,'CPS Energy Data'!$A$4:$E$18,5,FALSE),0.5)</f>
        <v/>
      </c>
      <c r="H14">
        <f>IFERROR(VLOOKUP('Building Inventory'!L13,'CPS Energy Data'!$A$4:$I$18,9,FALSE),10)</f>
        <v/>
      </c>
      <c r="I14">
        <f>IF(G14&gt;0.9,1,IF(G14&gt;0.8,0.7,IF(G14&gt;0.7,0.4,0.1)))</f>
        <v/>
      </c>
      <c r="J14">
        <f>IF(H14&lt;3,1,IF(H14&lt;7,0.7,IF(H14&lt;10,0.4,0.1)))</f>
        <v/>
      </c>
      <c r="K14">
        <f>I14*J14*25</f>
        <v/>
      </c>
      <c r="L14" t="inlineStr"/>
      <c r="M14" s="10">
        <f>'Value Calculations'!O14+'Value Calculations'!S14</f>
        <v/>
      </c>
      <c r="N14">
        <f>MIN(20,M14/15000*20)</f>
        <v/>
      </c>
      <c r="O14" t="inlineStr"/>
      <c r="P14">
        <f>'Building Inventory'!M13</f>
        <v/>
      </c>
      <c r="Q14">
        <f>'Building Inventory'!D13</f>
        <v/>
      </c>
      <c r="R14">
        <f>IF(Q14="Emergency Ops",1,IF(Q14="911 Center",1,IF(Q14="Police",0.8,IF(Q14="Fire",0.8,IF(Q14="Water Control",0.6,IF(Q14="City Hall",0.4,0.1))))))</f>
        <v/>
      </c>
      <c r="S14">
        <f>R14*15</f>
        <v/>
      </c>
      <c r="T14" t="inlineStr"/>
      <c r="U14" s="14" t="n">
        <v>0.8</v>
      </c>
      <c r="V14" s="14" t="n">
        <v>0.8</v>
      </c>
      <c r="W14">
        <f>(U14+V14)/2*10</f>
        <v/>
      </c>
      <c r="X14" s="6">
        <f>SUM(E14,K14,N14,S14,W14)</f>
        <v/>
      </c>
      <c r="Y14">
        <f>RANK(X14,$X$3:$X$40,0)</f>
        <v/>
      </c>
      <c r="Z14">
        <f>IF(Y14&lt;=10,1,IF(Y14&lt;=25,2,3))</f>
        <v/>
      </c>
    </row>
    <row r="15">
      <c r="A15">
        <f>'Building Inventory'!A14</f>
        <v/>
      </c>
      <c r="B15">
        <f>'Building Inventory'!B14</f>
        <v/>
      </c>
      <c r="C15" t="inlineStr"/>
      <c r="D15" s="10">
        <f>'Value Calculations'!I15</f>
        <v/>
      </c>
      <c r="E15">
        <f>MIN(30,D15/30000*30)</f>
        <v/>
      </c>
      <c r="F15" t="inlineStr"/>
      <c r="G15" s="8">
        <f>IFERROR(VLOOKUP('Building Inventory'!L14,'CPS Energy Data'!$A$4:$E$18,5,FALSE),0.5)</f>
        <v/>
      </c>
      <c r="H15">
        <f>IFERROR(VLOOKUP('Building Inventory'!L14,'CPS Energy Data'!$A$4:$I$18,9,FALSE),10)</f>
        <v/>
      </c>
      <c r="I15">
        <f>IF(G15&gt;0.9,1,IF(G15&gt;0.8,0.7,IF(G15&gt;0.7,0.4,0.1)))</f>
        <v/>
      </c>
      <c r="J15">
        <f>IF(H15&lt;3,1,IF(H15&lt;7,0.7,IF(H15&lt;10,0.4,0.1)))</f>
        <v/>
      </c>
      <c r="K15">
        <f>I15*J15*25</f>
        <v/>
      </c>
      <c r="L15" t="inlineStr"/>
      <c r="M15" s="10">
        <f>'Value Calculations'!O15+'Value Calculations'!S15</f>
        <v/>
      </c>
      <c r="N15">
        <f>MIN(20,M15/15000*20)</f>
        <v/>
      </c>
      <c r="O15" t="inlineStr"/>
      <c r="P15">
        <f>'Building Inventory'!M14</f>
        <v/>
      </c>
      <c r="Q15">
        <f>'Building Inventory'!D14</f>
        <v/>
      </c>
      <c r="R15">
        <f>IF(Q15="Emergency Ops",1,IF(Q15="911 Center",1,IF(Q15="Police",0.8,IF(Q15="Fire",0.8,IF(Q15="Water Control",0.6,IF(Q15="City Hall",0.4,0.1))))))</f>
        <v/>
      </c>
      <c r="S15">
        <f>R15*15</f>
        <v/>
      </c>
      <c r="T15" t="inlineStr"/>
      <c r="U15" s="14" t="n">
        <v>0.8</v>
      </c>
      <c r="V15" s="14" t="n">
        <v>0.8</v>
      </c>
      <c r="W15">
        <f>(U15+V15)/2*10</f>
        <v/>
      </c>
      <c r="X15" s="6">
        <f>SUM(E15,K15,N15,S15,W15)</f>
        <v/>
      </c>
      <c r="Y15">
        <f>RANK(X15,$X$3:$X$40,0)</f>
        <v/>
      </c>
      <c r="Z15">
        <f>IF(Y15&lt;=10,1,IF(Y15&lt;=25,2,3))</f>
        <v/>
      </c>
    </row>
    <row r="16">
      <c r="A16">
        <f>'Building Inventory'!A15</f>
        <v/>
      </c>
      <c r="B16">
        <f>'Building Inventory'!B15</f>
        <v/>
      </c>
      <c r="C16" t="inlineStr"/>
      <c r="D16" s="10">
        <f>'Value Calculations'!I16</f>
        <v/>
      </c>
      <c r="E16">
        <f>MIN(30,D16/30000*30)</f>
        <v/>
      </c>
      <c r="F16" t="inlineStr"/>
      <c r="G16" s="8">
        <f>IFERROR(VLOOKUP('Building Inventory'!L15,'CPS Energy Data'!$A$4:$E$18,5,FALSE),0.5)</f>
        <v/>
      </c>
      <c r="H16">
        <f>IFERROR(VLOOKUP('Building Inventory'!L15,'CPS Energy Data'!$A$4:$I$18,9,FALSE),10)</f>
        <v/>
      </c>
      <c r="I16">
        <f>IF(G16&gt;0.9,1,IF(G16&gt;0.8,0.7,IF(G16&gt;0.7,0.4,0.1)))</f>
        <v/>
      </c>
      <c r="J16">
        <f>IF(H16&lt;3,1,IF(H16&lt;7,0.7,IF(H16&lt;10,0.4,0.1)))</f>
        <v/>
      </c>
      <c r="K16">
        <f>I16*J16*25</f>
        <v/>
      </c>
      <c r="L16" t="inlineStr"/>
      <c r="M16" s="10">
        <f>'Value Calculations'!O16+'Value Calculations'!S16</f>
        <v/>
      </c>
      <c r="N16">
        <f>MIN(20,M16/15000*20)</f>
        <v/>
      </c>
      <c r="O16" t="inlineStr"/>
      <c r="P16">
        <f>'Building Inventory'!M15</f>
        <v/>
      </c>
      <c r="Q16">
        <f>'Building Inventory'!D15</f>
        <v/>
      </c>
      <c r="R16">
        <f>IF(Q16="Emergency Ops",1,IF(Q16="911 Center",1,IF(Q16="Police",0.8,IF(Q16="Fire",0.8,IF(Q16="Water Control",0.6,IF(Q16="City Hall",0.4,0.1))))))</f>
        <v/>
      </c>
      <c r="S16">
        <f>R16*15</f>
        <v/>
      </c>
      <c r="T16" t="inlineStr"/>
      <c r="U16" s="14" t="n">
        <v>0.8</v>
      </c>
      <c r="V16" s="14" t="n">
        <v>0.8</v>
      </c>
      <c r="W16">
        <f>(U16+V16)/2*10</f>
        <v/>
      </c>
      <c r="X16" s="6">
        <f>SUM(E16,K16,N16,S16,W16)</f>
        <v/>
      </c>
      <c r="Y16">
        <f>RANK(X16,$X$3:$X$40,0)</f>
        <v/>
      </c>
      <c r="Z16">
        <f>IF(Y16&lt;=10,1,IF(Y16&lt;=25,2,3))</f>
        <v/>
      </c>
    </row>
    <row r="17">
      <c r="A17">
        <f>'Building Inventory'!A16</f>
        <v/>
      </c>
      <c r="B17">
        <f>'Building Inventory'!B16</f>
        <v/>
      </c>
      <c r="C17" t="inlineStr"/>
      <c r="D17" s="10">
        <f>'Value Calculations'!I17</f>
        <v/>
      </c>
      <c r="E17">
        <f>MIN(30,D17/30000*30)</f>
        <v/>
      </c>
      <c r="F17" t="inlineStr"/>
      <c r="G17" s="8">
        <f>IFERROR(VLOOKUP('Building Inventory'!L16,'CPS Energy Data'!$A$4:$E$18,5,FALSE),0.5)</f>
        <v/>
      </c>
      <c r="H17">
        <f>IFERROR(VLOOKUP('Building Inventory'!L16,'CPS Energy Data'!$A$4:$I$18,9,FALSE),10)</f>
        <v/>
      </c>
      <c r="I17">
        <f>IF(G17&gt;0.9,1,IF(G17&gt;0.8,0.7,IF(G17&gt;0.7,0.4,0.1)))</f>
        <v/>
      </c>
      <c r="J17">
        <f>IF(H17&lt;3,1,IF(H17&lt;7,0.7,IF(H17&lt;10,0.4,0.1)))</f>
        <v/>
      </c>
      <c r="K17">
        <f>I17*J17*25</f>
        <v/>
      </c>
      <c r="L17" t="inlineStr"/>
      <c r="M17" s="10">
        <f>'Value Calculations'!O17+'Value Calculations'!S17</f>
        <v/>
      </c>
      <c r="N17">
        <f>MIN(20,M17/15000*20)</f>
        <v/>
      </c>
      <c r="O17" t="inlineStr"/>
      <c r="P17">
        <f>'Building Inventory'!M16</f>
        <v/>
      </c>
      <c r="Q17">
        <f>'Building Inventory'!D16</f>
        <v/>
      </c>
      <c r="R17">
        <f>IF(Q17="Emergency Ops",1,IF(Q17="911 Center",1,IF(Q17="Police",0.8,IF(Q17="Fire",0.8,IF(Q17="Water Control",0.6,IF(Q17="City Hall",0.4,0.1))))))</f>
        <v/>
      </c>
      <c r="S17">
        <f>R17*15</f>
        <v/>
      </c>
      <c r="T17" t="inlineStr"/>
      <c r="U17" s="14" t="n">
        <v>0.8</v>
      </c>
      <c r="V17" s="14" t="n">
        <v>0.8</v>
      </c>
      <c r="W17">
        <f>(U17+V17)/2*10</f>
        <v/>
      </c>
      <c r="X17" s="6">
        <f>SUM(E17,K17,N17,S17,W17)</f>
        <v/>
      </c>
      <c r="Y17">
        <f>RANK(X17,$X$3:$X$40,0)</f>
        <v/>
      </c>
      <c r="Z17">
        <f>IF(Y17&lt;=10,1,IF(Y17&lt;=25,2,3))</f>
        <v/>
      </c>
    </row>
    <row r="18">
      <c r="A18">
        <f>'Building Inventory'!A17</f>
        <v/>
      </c>
      <c r="B18">
        <f>'Building Inventory'!B17</f>
        <v/>
      </c>
      <c r="C18" t="inlineStr"/>
      <c r="D18" s="10">
        <f>'Value Calculations'!I18</f>
        <v/>
      </c>
      <c r="E18">
        <f>MIN(30,D18/30000*30)</f>
        <v/>
      </c>
      <c r="F18" t="inlineStr"/>
      <c r="G18" s="8">
        <f>IFERROR(VLOOKUP('Building Inventory'!L17,'CPS Energy Data'!$A$4:$E$18,5,FALSE),0.5)</f>
        <v/>
      </c>
      <c r="H18">
        <f>IFERROR(VLOOKUP('Building Inventory'!L17,'CPS Energy Data'!$A$4:$I$18,9,FALSE),10)</f>
        <v/>
      </c>
      <c r="I18">
        <f>IF(G18&gt;0.9,1,IF(G18&gt;0.8,0.7,IF(G18&gt;0.7,0.4,0.1)))</f>
        <v/>
      </c>
      <c r="J18">
        <f>IF(H18&lt;3,1,IF(H18&lt;7,0.7,IF(H18&lt;10,0.4,0.1)))</f>
        <v/>
      </c>
      <c r="K18">
        <f>I18*J18*25</f>
        <v/>
      </c>
      <c r="L18" t="inlineStr"/>
      <c r="M18" s="10">
        <f>'Value Calculations'!O18+'Value Calculations'!S18</f>
        <v/>
      </c>
      <c r="N18">
        <f>MIN(20,M18/15000*20)</f>
        <v/>
      </c>
      <c r="O18" t="inlineStr"/>
      <c r="P18">
        <f>'Building Inventory'!M17</f>
        <v/>
      </c>
      <c r="Q18">
        <f>'Building Inventory'!D17</f>
        <v/>
      </c>
      <c r="R18">
        <f>IF(Q18="Emergency Ops",1,IF(Q18="911 Center",1,IF(Q18="Police",0.8,IF(Q18="Fire",0.8,IF(Q18="Water Control",0.6,IF(Q18="City Hall",0.4,0.1))))))</f>
        <v/>
      </c>
      <c r="S18">
        <f>R18*15</f>
        <v/>
      </c>
      <c r="T18" t="inlineStr"/>
      <c r="U18" s="14" t="n">
        <v>0.8</v>
      </c>
      <c r="V18" s="14" t="n">
        <v>0.8</v>
      </c>
      <c r="W18">
        <f>(U18+V18)/2*10</f>
        <v/>
      </c>
      <c r="X18" s="6">
        <f>SUM(E18,K18,N18,S18,W18)</f>
        <v/>
      </c>
      <c r="Y18">
        <f>RANK(X18,$X$3:$X$40,0)</f>
        <v/>
      </c>
      <c r="Z18">
        <f>IF(Y18&lt;=10,1,IF(Y18&lt;=25,2,3))</f>
        <v/>
      </c>
    </row>
    <row r="19">
      <c r="A19">
        <f>'Building Inventory'!A18</f>
        <v/>
      </c>
      <c r="B19">
        <f>'Building Inventory'!B18</f>
        <v/>
      </c>
      <c r="C19" t="inlineStr"/>
      <c r="D19" s="10">
        <f>'Value Calculations'!I19</f>
        <v/>
      </c>
      <c r="E19">
        <f>MIN(30,D19/30000*30)</f>
        <v/>
      </c>
      <c r="F19" t="inlineStr"/>
      <c r="G19" s="8">
        <f>IFERROR(VLOOKUP('Building Inventory'!L18,'CPS Energy Data'!$A$4:$E$18,5,FALSE),0.5)</f>
        <v/>
      </c>
      <c r="H19">
        <f>IFERROR(VLOOKUP('Building Inventory'!L18,'CPS Energy Data'!$A$4:$I$18,9,FALSE),10)</f>
        <v/>
      </c>
      <c r="I19">
        <f>IF(G19&gt;0.9,1,IF(G19&gt;0.8,0.7,IF(G19&gt;0.7,0.4,0.1)))</f>
        <v/>
      </c>
      <c r="J19">
        <f>IF(H19&lt;3,1,IF(H19&lt;7,0.7,IF(H19&lt;10,0.4,0.1)))</f>
        <v/>
      </c>
      <c r="K19">
        <f>I19*J19*25</f>
        <v/>
      </c>
      <c r="L19" t="inlineStr"/>
      <c r="M19" s="10">
        <f>'Value Calculations'!O19+'Value Calculations'!S19</f>
        <v/>
      </c>
      <c r="N19">
        <f>MIN(20,M19/15000*20)</f>
        <v/>
      </c>
      <c r="O19" t="inlineStr"/>
      <c r="P19">
        <f>'Building Inventory'!M18</f>
        <v/>
      </c>
      <c r="Q19">
        <f>'Building Inventory'!D18</f>
        <v/>
      </c>
      <c r="R19">
        <f>IF(Q19="Emergency Ops",1,IF(Q19="911 Center",1,IF(Q19="Police",0.8,IF(Q19="Fire",0.8,IF(Q19="Water Control",0.6,IF(Q19="City Hall",0.4,0.1))))))</f>
        <v/>
      </c>
      <c r="S19">
        <f>R19*15</f>
        <v/>
      </c>
      <c r="T19" t="inlineStr"/>
      <c r="U19" s="14" t="n">
        <v>0.8</v>
      </c>
      <c r="V19" s="14" t="n">
        <v>0.8</v>
      </c>
      <c r="W19">
        <f>(U19+V19)/2*10</f>
        <v/>
      </c>
      <c r="X19" s="6">
        <f>SUM(E19,K19,N19,S19,W19)</f>
        <v/>
      </c>
      <c r="Y19">
        <f>RANK(X19,$X$3:$X$40,0)</f>
        <v/>
      </c>
      <c r="Z19">
        <f>IF(Y19&lt;=10,1,IF(Y19&lt;=25,2,3))</f>
        <v/>
      </c>
    </row>
    <row r="20">
      <c r="A20">
        <f>'Building Inventory'!A19</f>
        <v/>
      </c>
      <c r="B20">
        <f>'Building Inventory'!B19</f>
        <v/>
      </c>
      <c r="C20" t="inlineStr"/>
      <c r="D20" s="10">
        <f>'Value Calculations'!I20</f>
        <v/>
      </c>
      <c r="E20">
        <f>MIN(30,D20/30000*30)</f>
        <v/>
      </c>
      <c r="F20" t="inlineStr"/>
      <c r="G20" s="8">
        <f>IFERROR(VLOOKUP('Building Inventory'!L19,'CPS Energy Data'!$A$4:$E$18,5,FALSE),0.5)</f>
        <v/>
      </c>
      <c r="H20">
        <f>IFERROR(VLOOKUP('Building Inventory'!L19,'CPS Energy Data'!$A$4:$I$18,9,FALSE),10)</f>
        <v/>
      </c>
      <c r="I20">
        <f>IF(G20&gt;0.9,1,IF(G20&gt;0.8,0.7,IF(G20&gt;0.7,0.4,0.1)))</f>
        <v/>
      </c>
      <c r="J20">
        <f>IF(H20&lt;3,1,IF(H20&lt;7,0.7,IF(H20&lt;10,0.4,0.1)))</f>
        <v/>
      </c>
      <c r="K20">
        <f>I20*J20*25</f>
        <v/>
      </c>
      <c r="L20" t="inlineStr"/>
      <c r="M20" s="10">
        <f>'Value Calculations'!O20+'Value Calculations'!S20</f>
        <v/>
      </c>
      <c r="N20">
        <f>MIN(20,M20/15000*20)</f>
        <v/>
      </c>
      <c r="O20" t="inlineStr"/>
      <c r="P20">
        <f>'Building Inventory'!M19</f>
        <v/>
      </c>
      <c r="Q20">
        <f>'Building Inventory'!D19</f>
        <v/>
      </c>
      <c r="R20">
        <f>IF(Q20="Emergency Ops",1,IF(Q20="911 Center",1,IF(Q20="Police",0.8,IF(Q20="Fire",0.8,IF(Q20="Water Control",0.6,IF(Q20="City Hall",0.4,0.1))))))</f>
        <v/>
      </c>
      <c r="S20">
        <f>R20*15</f>
        <v/>
      </c>
      <c r="T20" t="inlineStr"/>
      <c r="U20" s="14" t="n">
        <v>0.8</v>
      </c>
      <c r="V20" s="14" t="n">
        <v>0.8</v>
      </c>
      <c r="W20">
        <f>(U20+V20)/2*10</f>
        <v/>
      </c>
      <c r="X20" s="6">
        <f>SUM(E20,K20,N20,S20,W20)</f>
        <v/>
      </c>
      <c r="Y20">
        <f>RANK(X20,$X$3:$X$40,0)</f>
        <v/>
      </c>
      <c r="Z20">
        <f>IF(Y20&lt;=10,1,IF(Y20&lt;=25,2,3))</f>
        <v/>
      </c>
    </row>
    <row r="21">
      <c r="A21">
        <f>'Building Inventory'!A20</f>
        <v/>
      </c>
      <c r="B21">
        <f>'Building Inventory'!B20</f>
        <v/>
      </c>
      <c r="C21" t="inlineStr"/>
      <c r="D21" s="10">
        <f>'Value Calculations'!I21</f>
        <v/>
      </c>
      <c r="E21">
        <f>MIN(30,D21/30000*30)</f>
        <v/>
      </c>
      <c r="F21" t="inlineStr"/>
      <c r="G21" s="8">
        <f>IFERROR(VLOOKUP('Building Inventory'!L20,'CPS Energy Data'!$A$4:$E$18,5,FALSE),0.5)</f>
        <v/>
      </c>
      <c r="H21">
        <f>IFERROR(VLOOKUP('Building Inventory'!L20,'CPS Energy Data'!$A$4:$I$18,9,FALSE),10)</f>
        <v/>
      </c>
      <c r="I21">
        <f>IF(G21&gt;0.9,1,IF(G21&gt;0.8,0.7,IF(G21&gt;0.7,0.4,0.1)))</f>
        <v/>
      </c>
      <c r="J21">
        <f>IF(H21&lt;3,1,IF(H21&lt;7,0.7,IF(H21&lt;10,0.4,0.1)))</f>
        <v/>
      </c>
      <c r="K21">
        <f>I21*J21*25</f>
        <v/>
      </c>
      <c r="L21" t="inlineStr"/>
      <c r="M21" s="10">
        <f>'Value Calculations'!O21+'Value Calculations'!S21</f>
        <v/>
      </c>
      <c r="N21">
        <f>MIN(20,M21/15000*20)</f>
        <v/>
      </c>
      <c r="O21" t="inlineStr"/>
      <c r="P21">
        <f>'Building Inventory'!M20</f>
        <v/>
      </c>
      <c r="Q21">
        <f>'Building Inventory'!D20</f>
        <v/>
      </c>
      <c r="R21">
        <f>IF(Q21="Emergency Ops",1,IF(Q21="911 Center",1,IF(Q21="Police",0.8,IF(Q21="Fire",0.8,IF(Q21="Water Control",0.6,IF(Q21="City Hall",0.4,0.1))))))</f>
        <v/>
      </c>
      <c r="S21">
        <f>R21*15</f>
        <v/>
      </c>
      <c r="T21" t="inlineStr"/>
      <c r="U21" s="14" t="n">
        <v>0.8</v>
      </c>
      <c r="V21" s="14" t="n">
        <v>0.8</v>
      </c>
      <c r="W21">
        <f>(U21+V21)/2*10</f>
        <v/>
      </c>
      <c r="X21" s="6">
        <f>SUM(E21,K21,N21,S21,W21)</f>
        <v/>
      </c>
      <c r="Y21">
        <f>RANK(X21,$X$3:$X$40,0)</f>
        <v/>
      </c>
      <c r="Z21">
        <f>IF(Y21&lt;=10,1,IF(Y21&lt;=25,2,3))</f>
        <v/>
      </c>
    </row>
    <row r="22">
      <c r="A22">
        <f>'Building Inventory'!A21</f>
        <v/>
      </c>
      <c r="B22">
        <f>'Building Inventory'!B21</f>
        <v/>
      </c>
      <c r="C22" t="inlineStr"/>
      <c r="D22" s="10">
        <f>'Value Calculations'!I22</f>
        <v/>
      </c>
      <c r="E22">
        <f>MIN(30,D22/30000*30)</f>
        <v/>
      </c>
      <c r="F22" t="inlineStr"/>
      <c r="G22" s="8">
        <f>IFERROR(VLOOKUP('Building Inventory'!L21,'CPS Energy Data'!$A$4:$E$18,5,FALSE),0.5)</f>
        <v/>
      </c>
      <c r="H22">
        <f>IFERROR(VLOOKUP('Building Inventory'!L21,'CPS Energy Data'!$A$4:$I$18,9,FALSE),10)</f>
        <v/>
      </c>
      <c r="I22">
        <f>IF(G22&gt;0.9,1,IF(G22&gt;0.8,0.7,IF(G22&gt;0.7,0.4,0.1)))</f>
        <v/>
      </c>
      <c r="J22">
        <f>IF(H22&lt;3,1,IF(H22&lt;7,0.7,IF(H22&lt;10,0.4,0.1)))</f>
        <v/>
      </c>
      <c r="K22">
        <f>I22*J22*25</f>
        <v/>
      </c>
      <c r="L22" t="inlineStr"/>
      <c r="M22" s="10">
        <f>'Value Calculations'!O22+'Value Calculations'!S22</f>
        <v/>
      </c>
      <c r="N22">
        <f>MIN(20,M22/15000*20)</f>
        <v/>
      </c>
      <c r="O22" t="inlineStr"/>
      <c r="P22">
        <f>'Building Inventory'!M21</f>
        <v/>
      </c>
      <c r="Q22">
        <f>'Building Inventory'!D21</f>
        <v/>
      </c>
      <c r="R22">
        <f>IF(Q22="Emergency Ops",1,IF(Q22="911 Center",1,IF(Q22="Police",0.8,IF(Q22="Fire",0.8,IF(Q22="Water Control",0.6,IF(Q22="City Hall",0.4,0.1))))))</f>
        <v/>
      </c>
      <c r="S22">
        <f>R22*15</f>
        <v/>
      </c>
      <c r="T22" t="inlineStr"/>
      <c r="U22" s="14" t="n">
        <v>0.8</v>
      </c>
      <c r="V22" s="14" t="n">
        <v>0.8</v>
      </c>
      <c r="W22">
        <f>(U22+V22)/2*10</f>
        <v/>
      </c>
      <c r="X22" s="6">
        <f>SUM(E22,K22,N22,S22,W22)</f>
        <v/>
      </c>
      <c r="Y22">
        <f>RANK(X22,$X$3:$X$40,0)</f>
        <v/>
      </c>
      <c r="Z22">
        <f>IF(Y22&lt;=10,1,IF(Y22&lt;=25,2,3))</f>
        <v/>
      </c>
    </row>
    <row r="23">
      <c r="A23">
        <f>'Building Inventory'!A22</f>
        <v/>
      </c>
      <c r="B23">
        <f>'Building Inventory'!B22</f>
        <v/>
      </c>
      <c r="C23" t="inlineStr"/>
      <c r="D23" s="10">
        <f>'Value Calculations'!I23</f>
        <v/>
      </c>
      <c r="E23">
        <f>MIN(30,D23/30000*30)</f>
        <v/>
      </c>
      <c r="F23" t="inlineStr"/>
      <c r="G23" s="8">
        <f>IFERROR(VLOOKUP('Building Inventory'!L22,'CPS Energy Data'!$A$4:$E$18,5,FALSE),0.5)</f>
        <v/>
      </c>
      <c r="H23">
        <f>IFERROR(VLOOKUP('Building Inventory'!L22,'CPS Energy Data'!$A$4:$I$18,9,FALSE),10)</f>
        <v/>
      </c>
      <c r="I23">
        <f>IF(G23&gt;0.9,1,IF(G23&gt;0.8,0.7,IF(G23&gt;0.7,0.4,0.1)))</f>
        <v/>
      </c>
      <c r="J23">
        <f>IF(H23&lt;3,1,IF(H23&lt;7,0.7,IF(H23&lt;10,0.4,0.1)))</f>
        <v/>
      </c>
      <c r="K23">
        <f>I23*J23*25</f>
        <v/>
      </c>
      <c r="L23" t="inlineStr"/>
      <c r="M23" s="10">
        <f>'Value Calculations'!O23+'Value Calculations'!S23</f>
        <v/>
      </c>
      <c r="N23">
        <f>MIN(20,M23/15000*20)</f>
        <v/>
      </c>
      <c r="O23" t="inlineStr"/>
      <c r="P23">
        <f>'Building Inventory'!M22</f>
        <v/>
      </c>
      <c r="Q23">
        <f>'Building Inventory'!D22</f>
        <v/>
      </c>
      <c r="R23">
        <f>IF(Q23="Emergency Ops",1,IF(Q23="911 Center",1,IF(Q23="Police",0.8,IF(Q23="Fire",0.8,IF(Q23="Water Control",0.6,IF(Q23="City Hall",0.4,0.1))))))</f>
        <v/>
      </c>
      <c r="S23">
        <f>R23*15</f>
        <v/>
      </c>
      <c r="T23" t="inlineStr"/>
      <c r="U23" s="14" t="n">
        <v>0.8</v>
      </c>
      <c r="V23" s="14" t="n">
        <v>0.8</v>
      </c>
      <c r="W23">
        <f>(U23+V23)/2*10</f>
        <v/>
      </c>
      <c r="X23" s="6">
        <f>SUM(E23,K23,N23,S23,W23)</f>
        <v/>
      </c>
      <c r="Y23">
        <f>RANK(X23,$X$3:$X$40,0)</f>
        <v/>
      </c>
      <c r="Z23">
        <f>IF(Y23&lt;=10,1,IF(Y23&lt;=25,2,3))</f>
        <v/>
      </c>
    </row>
    <row r="24">
      <c r="A24">
        <f>'Building Inventory'!A23</f>
        <v/>
      </c>
      <c r="B24">
        <f>'Building Inventory'!B23</f>
        <v/>
      </c>
      <c r="C24" t="inlineStr"/>
      <c r="D24" s="10">
        <f>'Value Calculations'!I24</f>
        <v/>
      </c>
      <c r="E24">
        <f>MIN(30,D24/30000*30)</f>
        <v/>
      </c>
      <c r="F24" t="inlineStr"/>
      <c r="G24" s="8">
        <f>IFERROR(VLOOKUP('Building Inventory'!L23,'CPS Energy Data'!$A$4:$E$18,5,FALSE),0.5)</f>
        <v/>
      </c>
      <c r="H24">
        <f>IFERROR(VLOOKUP('Building Inventory'!L23,'CPS Energy Data'!$A$4:$I$18,9,FALSE),10)</f>
        <v/>
      </c>
      <c r="I24">
        <f>IF(G24&gt;0.9,1,IF(G24&gt;0.8,0.7,IF(G24&gt;0.7,0.4,0.1)))</f>
        <v/>
      </c>
      <c r="J24">
        <f>IF(H24&lt;3,1,IF(H24&lt;7,0.7,IF(H24&lt;10,0.4,0.1)))</f>
        <v/>
      </c>
      <c r="K24">
        <f>I24*J24*25</f>
        <v/>
      </c>
      <c r="L24" t="inlineStr"/>
      <c r="M24" s="10">
        <f>'Value Calculations'!O24+'Value Calculations'!S24</f>
        <v/>
      </c>
      <c r="N24">
        <f>MIN(20,M24/15000*20)</f>
        <v/>
      </c>
      <c r="O24" t="inlineStr"/>
      <c r="P24">
        <f>'Building Inventory'!M23</f>
        <v/>
      </c>
      <c r="Q24">
        <f>'Building Inventory'!D23</f>
        <v/>
      </c>
      <c r="R24">
        <f>IF(Q24="Emergency Ops",1,IF(Q24="911 Center",1,IF(Q24="Police",0.8,IF(Q24="Fire",0.8,IF(Q24="Water Control",0.6,IF(Q24="City Hall",0.4,0.1))))))</f>
        <v/>
      </c>
      <c r="S24">
        <f>R24*15</f>
        <v/>
      </c>
      <c r="T24" t="inlineStr"/>
      <c r="U24" s="14" t="n">
        <v>0.8</v>
      </c>
      <c r="V24" s="14" t="n">
        <v>0.8</v>
      </c>
      <c r="W24">
        <f>(U24+V24)/2*10</f>
        <v/>
      </c>
      <c r="X24" s="6">
        <f>SUM(E24,K24,N24,S24,W24)</f>
        <v/>
      </c>
      <c r="Y24">
        <f>RANK(X24,$X$3:$X$40,0)</f>
        <v/>
      </c>
      <c r="Z24">
        <f>IF(Y24&lt;=10,1,IF(Y24&lt;=25,2,3))</f>
        <v/>
      </c>
    </row>
    <row r="25">
      <c r="A25">
        <f>'Building Inventory'!A24</f>
        <v/>
      </c>
      <c r="B25">
        <f>'Building Inventory'!B24</f>
        <v/>
      </c>
      <c r="C25" t="inlineStr"/>
      <c r="D25" s="10">
        <f>'Value Calculations'!I25</f>
        <v/>
      </c>
      <c r="E25">
        <f>MIN(30,D25/30000*30)</f>
        <v/>
      </c>
      <c r="F25" t="inlineStr"/>
      <c r="G25" s="8">
        <f>IFERROR(VLOOKUP('Building Inventory'!L24,'CPS Energy Data'!$A$4:$E$18,5,FALSE),0.5)</f>
        <v/>
      </c>
      <c r="H25">
        <f>IFERROR(VLOOKUP('Building Inventory'!L24,'CPS Energy Data'!$A$4:$I$18,9,FALSE),10)</f>
        <v/>
      </c>
      <c r="I25">
        <f>IF(G25&gt;0.9,1,IF(G25&gt;0.8,0.7,IF(G25&gt;0.7,0.4,0.1)))</f>
        <v/>
      </c>
      <c r="J25">
        <f>IF(H25&lt;3,1,IF(H25&lt;7,0.7,IF(H25&lt;10,0.4,0.1)))</f>
        <v/>
      </c>
      <c r="K25">
        <f>I25*J25*25</f>
        <v/>
      </c>
      <c r="L25" t="inlineStr"/>
      <c r="M25" s="10">
        <f>'Value Calculations'!O25+'Value Calculations'!S25</f>
        <v/>
      </c>
      <c r="N25">
        <f>MIN(20,M25/15000*20)</f>
        <v/>
      </c>
      <c r="O25" t="inlineStr"/>
      <c r="P25">
        <f>'Building Inventory'!M24</f>
        <v/>
      </c>
      <c r="Q25">
        <f>'Building Inventory'!D24</f>
        <v/>
      </c>
      <c r="R25">
        <f>IF(Q25="Emergency Ops",1,IF(Q25="911 Center",1,IF(Q25="Police",0.8,IF(Q25="Fire",0.8,IF(Q25="Water Control",0.6,IF(Q25="City Hall",0.4,0.1))))))</f>
        <v/>
      </c>
      <c r="S25">
        <f>R25*15</f>
        <v/>
      </c>
      <c r="T25" t="inlineStr"/>
      <c r="U25" s="14" t="n">
        <v>0.8</v>
      </c>
      <c r="V25" s="14" t="n">
        <v>0.8</v>
      </c>
      <c r="W25">
        <f>(U25+V25)/2*10</f>
        <v/>
      </c>
      <c r="X25" s="6">
        <f>SUM(E25,K25,N25,S25,W25)</f>
        <v/>
      </c>
      <c r="Y25">
        <f>RANK(X25,$X$3:$X$40,0)</f>
        <v/>
      </c>
      <c r="Z25">
        <f>IF(Y25&lt;=10,1,IF(Y25&lt;=25,2,3))</f>
        <v/>
      </c>
    </row>
    <row r="26">
      <c r="A26">
        <f>'Building Inventory'!A25</f>
        <v/>
      </c>
      <c r="B26">
        <f>'Building Inventory'!B25</f>
        <v/>
      </c>
      <c r="C26" t="inlineStr"/>
      <c r="D26" s="10">
        <f>'Value Calculations'!I26</f>
        <v/>
      </c>
      <c r="E26">
        <f>MIN(30,D26/30000*30)</f>
        <v/>
      </c>
      <c r="F26" t="inlineStr"/>
      <c r="G26" s="8">
        <f>IFERROR(VLOOKUP('Building Inventory'!L25,'CPS Energy Data'!$A$4:$E$18,5,FALSE),0.5)</f>
        <v/>
      </c>
      <c r="H26">
        <f>IFERROR(VLOOKUP('Building Inventory'!L25,'CPS Energy Data'!$A$4:$I$18,9,FALSE),10)</f>
        <v/>
      </c>
      <c r="I26">
        <f>IF(G26&gt;0.9,1,IF(G26&gt;0.8,0.7,IF(G26&gt;0.7,0.4,0.1)))</f>
        <v/>
      </c>
      <c r="J26">
        <f>IF(H26&lt;3,1,IF(H26&lt;7,0.7,IF(H26&lt;10,0.4,0.1)))</f>
        <v/>
      </c>
      <c r="K26">
        <f>I26*J26*25</f>
        <v/>
      </c>
      <c r="L26" t="inlineStr"/>
      <c r="M26" s="10">
        <f>'Value Calculations'!O26+'Value Calculations'!S26</f>
        <v/>
      </c>
      <c r="N26">
        <f>MIN(20,M26/15000*20)</f>
        <v/>
      </c>
      <c r="O26" t="inlineStr"/>
      <c r="P26">
        <f>'Building Inventory'!M25</f>
        <v/>
      </c>
      <c r="Q26">
        <f>'Building Inventory'!D25</f>
        <v/>
      </c>
      <c r="R26">
        <f>IF(Q26="Emergency Ops",1,IF(Q26="911 Center",1,IF(Q26="Police",0.8,IF(Q26="Fire",0.8,IF(Q26="Water Control",0.6,IF(Q26="City Hall",0.4,0.1))))))</f>
        <v/>
      </c>
      <c r="S26">
        <f>R26*15</f>
        <v/>
      </c>
      <c r="T26" t="inlineStr"/>
      <c r="U26" s="14" t="n">
        <v>0.8</v>
      </c>
      <c r="V26" s="14" t="n">
        <v>0.8</v>
      </c>
      <c r="W26">
        <f>(U26+V26)/2*10</f>
        <v/>
      </c>
      <c r="X26" s="6">
        <f>SUM(E26,K26,N26,S26,W26)</f>
        <v/>
      </c>
      <c r="Y26">
        <f>RANK(X26,$X$3:$X$40,0)</f>
        <v/>
      </c>
      <c r="Z26">
        <f>IF(Y26&lt;=10,1,IF(Y26&lt;=25,2,3))</f>
        <v/>
      </c>
    </row>
    <row r="27">
      <c r="A27">
        <f>'Building Inventory'!A26</f>
        <v/>
      </c>
      <c r="B27">
        <f>'Building Inventory'!B26</f>
        <v/>
      </c>
      <c r="C27" t="inlineStr"/>
      <c r="D27" s="10">
        <f>'Value Calculations'!I27</f>
        <v/>
      </c>
      <c r="E27">
        <f>MIN(30,D27/30000*30)</f>
        <v/>
      </c>
      <c r="F27" t="inlineStr"/>
      <c r="G27" s="8">
        <f>IFERROR(VLOOKUP('Building Inventory'!L26,'CPS Energy Data'!$A$4:$E$18,5,FALSE),0.5)</f>
        <v/>
      </c>
      <c r="H27">
        <f>IFERROR(VLOOKUP('Building Inventory'!L26,'CPS Energy Data'!$A$4:$I$18,9,FALSE),10)</f>
        <v/>
      </c>
      <c r="I27">
        <f>IF(G27&gt;0.9,1,IF(G27&gt;0.8,0.7,IF(G27&gt;0.7,0.4,0.1)))</f>
        <v/>
      </c>
      <c r="J27">
        <f>IF(H27&lt;3,1,IF(H27&lt;7,0.7,IF(H27&lt;10,0.4,0.1)))</f>
        <v/>
      </c>
      <c r="K27">
        <f>I27*J27*25</f>
        <v/>
      </c>
      <c r="L27" t="inlineStr"/>
      <c r="M27" s="10">
        <f>'Value Calculations'!O27+'Value Calculations'!S27</f>
        <v/>
      </c>
      <c r="N27">
        <f>MIN(20,M27/15000*20)</f>
        <v/>
      </c>
      <c r="O27" t="inlineStr"/>
      <c r="P27">
        <f>'Building Inventory'!M26</f>
        <v/>
      </c>
      <c r="Q27">
        <f>'Building Inventory'!D26</f>
        <v/>
      </c>
      <c r="R27">
        <f>IF(Q27="Emergency Ops",1,IF(Q27="911 Center",1,IF(Q27="Police",0.8,IF(Q27="Fire",0.8,IF(Q27="Water Control",0.6,IF(Q27="City Hall",0.4,0.1))))))</f>
        <v/>
      </c>
      <c r="S27">
        <f>R27*15</f>
        <v/>
      </c>
      <c r="T27" t="inlineStr"/>
      <c r="U27" s="14" t="n">
        <v>0.8</v>
      </c>
      <c r="V27" s="14" t="n">
        <v>0.8</v>
      </c>
      <c r="W27">
        <f>(U27+V27)/2*10</f>
        <v/>
      </c>
      <c r="X27" s="6">
        <f>SUM(E27,K27,N27,S27,W27)</f>
        <v/>
      </c>
      <c r="Y27">
        <f>RANK(X27,$X$3:$X$40,0)</f>
        <v/>
      </c>
      <c r="Z27">
        <f>IF(Y27&lt;=10,1,IF(Y27&lt;=25,2,3))</f>
        <v/>
      </c>
    </row>
    <row r="28">
      <c r="A28">
        <f>'Building Inventory'!A27</f>
        <v/>
      </c>
      <c r="B28">
        <f>'Building Inventory'!B27</f>
        <v/>
      </c>
      <c r="C28" t="inlineStr"/>
      <c r="D28" s="10">
        <f>'Value Calculations'!I28</f>
        <v/>
      </c>
      <c r="E28">
        <f>MIN(30,D28/30000*30)</f>
        <v/>
      </c>
      <c r="F28" t="inlineStr"/>
      <c r="G28" s="8">
        <f>IFERROR(VLOOKUP('Building Inventory'!L27,'CPS Energy Data'!$A$4:$E$18,5,FALSE),0.5)</f>
        <v/>
      </c>
      <c r="H28">
        <f>IFERROR(VLOOKUP('Building Inventory'!L27,'CPS Energy Data'!$A$4:$I$18,9,FALSE),10)</f>
        <v/>
      </c>
      <c r="I28">
        <f>IF(G28&gt;0.9,1,IF(G28&gt;0.8,0.7,IF(G28&gt;0.7,0.4,0.1)))</f>
        <v/>
      </c>
      <c r="J28">
        <f>IF(H28&lt;3,1,IF(H28&lt;7,0.7,IF(H28&lt;10,0.4,0.1)))</f>
        <v/>
      </c>
      <c r="K28">
        <f>I28*J28*25</f>
        <v/>
      </c>
      <c r="L28" t="inlineStr"/>
      <c r="M28" s="10">
        <f>'Value Calculations'!O28+'Value Calculations'!S28</f>
        <v/>
      </c>
      <c r="N28">
        <f>MIN(20,M28/15000*20)</f>
        <v/>
      </c>
      <c r="O28" t="inlineStr"/>
      <c r="P28">
        <f>'Building Inventory'!M27</f>
        <v/>
      </c>
      <c r="Q28">
        <f>'Building Inventory'!D27</f>
        <v/>
      </c>
      <c r="R28">
        <f>IF(Q28="Emergency Ops",1,IF(Q28="911 Center",1,IF(Q28="Police",0.8,IF(Q28="Fire",0.8,IF(Q28="Water Control",0.6,IF(Q28="City Hall",0.4,0.1))))))</f>
        <v/>
      </c>
      <c r="S28">
        <f>R28*15</f>
        <v/>
      </c>
      <c r="T28" t="inlineStr"/>
      <c r="U28" s="14" t="n">
        <v>0.8</v>
      </c>
      <c r="V28" s="14" t="n">
        <v>0.8</v>
      </c>
      <c r="W28">
        <f>(U28+V28)/2*10</f>
        <v/>
      </c>
      <c r="X28" s="6">
        <f>SUM(E28,K28,N28,S28,W28)</f>
        <v/>
      </c>
      <c r="Y28">
        <f>RANK(X28,$X$3:$X$40,0)</f>
        <v/>
      </c>
      <c r="Z28">
        <f>IF(Y28&lt;=10,1,IF(Y28&lt;=25,2,3))</f>
        <v/>
      </c>
    </row>
    <row r="29">
      <c r="A29">
        <f>'Building Inventory'!A28</f>
        <v/>
      </c>
      <c r="B29">
        <f>'Building Inventory'!B28</f>
        <v/>
      </c>
      <c r="C29" t="inlineStr"/>
      <c r="D29" s="10">
        <f>'Value Calculations'!I29</f>
        <v/>
      </c>
      <c r="E29">
        <f>MIN(30,D29/30000*30)</f>
        <v/>
      </c>
      <c r="F29" t="inlineStr"/>
      <c r="G29" s="8">
        <f>IFERROR(VLOOKUP('Building Inventory'!L28,'CPS Energy Data'!$A$4:$E$18,5,FALSE),0.5)</f>
        <v/>
      </c>
      <c r="H29">
        <f>IFERROR(VLOOKUP('Building Inventory'!L28,'CPS Energy Data'!$A$4:$I$18,9,FALSE),10)</f>
        <v/>
      </c>
      <c r="I29">
        <f>IF(G29&gt;0.9,1,IF(G29&gt;0.8,0.7,IF(G29&gt;0.7,0.4,0.1)))</f>
        <v/>
      </c>
      <c r="J29">
        <f>IF(H29&lt;3,1,IF(H29&lt;7,0.7,IF(H29&lt;10,0.4,0.1)))</f>
        <v/>
      </c>
      <c r="K29">
        <f>I29*J29*25</f>
        <v/>
      </c>
      <c r="L29" t="inlineStr"/>
      <c r="M29" s="10">
        <f>'Value Calculations'!O29+'Value Calculations'!S29</f>
        <v/>
      </c>
      <c r="N29">
        <f>MIN(20,M29/15000*20)</f>
        <v/>
      </c>
      <c r="O29" t="inlineStr"/>
      <c r="P29">
        <f>'Building Inventory'!M28</f>
        <v/>
      </c>
      <c r="Q29">
        <f>'Building Inventory'!D28</f>
        <v/>
      </c>
      <c r="R29">
        <f>IF(Q29="Emergency Ops",1,IF(Q29="911 Center",1,IF(Q29="Police",0.8,IF(Q29="Fire",0.8,IF(Q29="Water Control",0.6,IF(Q29="City Hall",0.4,0.1))))))</f>
        <v/>
      </c>
      <c r="S29">
        <f>R29*15</f>
        <v/>
      </c>
      <c r="T29" t="inlineStr"/>
      <c r="U29" s="14" t="n">
        <v>0.8</v>
      </c>
      <c r="V29" s="14" t="n">
        <v>0.8</v>
      </c>
      <c r="W29">
        <f>(U29+V29)/2*10</f>
        <v/>
      </c>
      <c r="X29" s="6">
        <f>SUM(E29,K29,N29,S29,W29)</f>
        <v/>
      </c>
      <c r="Y29">
        <f>RANK(X29,$X$3:$X$40,0)</f>
        <v/>
      </c>
      <c r="Z29">
        <f>IF(Y29&lt;=10,1,IF(Y29&lt;=25,2,3))</f>
        <v/>
      </c>
    </row>
    <row r="30">
      <c r="A30">
        <f>'Building Inventory'!A29</f>
        <v/>
      </c>
      <c r="B30">
        <f>'Building Inventory'!B29</f>
        <v/>
      </c>
      <c r="C30" t="inlineStr"/>
      <c r="D30" s="10">
        <f>'Value Calculations'!I30</f>
        <v/>
      </c>
      <c r="E30">
        <f>MIN(30,D30/30000*30)</f>
        <v/>
      </c>
      <c r="F30" t="inlineStr"/>
      <c r="G30" s="8">
        <f>IFERROR(VLOOKUP('Building Inventory'!L29,'CPS Energy Data'!$A$4:$E$18,5,FALSE),0.5)</f>
        <v/>
      </c>
      <c r="H30">
        <f>IFERROR(VLOOKUP('Building Inventory'!L29,'CPS Energy Data'!$A$4:$I$18,9,FALSE),10)</f>
        <v/>
      </c>
      <c r="I30">
        <f>IF(G30&gt;0.9,1,IF(G30&gt;0.8,0.7,IF(G30&gt;0.7,0.4,0.1)))</f>
        <v/>
      </c>
      <c r="J30">
        <f>IF(H30&lt;3,1,IF(H30&lt;7,0.7,IF(H30&lt;10,0.4,0.1)))</f>
        <v/>
      </c>
      <c r="K30">
        <f>I30*J30*25</f>
        <v/>
      </c>
      <c r="L30" t="inlineStr"/>
      <c r="M30" s="10">
        <f>'Value Calculations'!O30+'Value Calculations'!S30</f>
        <v/>
      </c>
      <c r="N30">
        <f>MIN(20,M30/15000*20)</f>
        <v/>
      </c>
      <c r="O30" t="inlineStr"/>
      <c r="P30">
        <f>'Building Inventory'!M29</f>
        <v/>
      </c>
      <c r="Q30">
        <f>'Building Inventory'!D29</f>
        <v/>
      </c>
      <c r="R30">
        <f>IF(Q30="Emergency Ops",1,IF(Q30="911 Center",1,IF(Q30="Police",0.8,IF(Q30="Fire",0.8,IF(Q30="Water Control",0.6,IF(Q30="City Hall",0.4,0.1))))))</f>
        <v/>
      </c>
      <c r="S30">
        <f>R30*15</f>
        <v/>
      </c>
      <c r="T30" t="inlineStr"/>
      <c r="U30" s="14" t="n">
        <v>0.8</v>
      </c>
      <c r="V30" s="14" t="n">
        <v>0.8</v>
      </c>
      <c r="W30">
        <f>(U30+V30)/2*10</f>
        <v/>
      </c>
      <c r="X30" s="6">
        <f>SUM(E30,K30,N30,S30,W30)</f>
        <v/>
      </c>
      <c r="Y30">
        <f>RANK(X30,$X$3:$X$40,0)</f>
        <v/>
      </c>
      <c r="Z30">
        <f>IF(Y30&lt;=10,1,IF(Y30&lt;=25,2,3))</f>
        <v/>
      </c>
    </row>
    <row r="31">
      <c r="A31">
        <f>'Building Inventory'!A30</f>
        <v/>
      </c>
      <c r="B31">
        <f>'Building Inventory'!B30</f>
        <v/>
      </c>
      <c r="C31" t="inlineStr"/>
      <c r="D31" s="10">
        <f>'Value Calculations'!I31</f>
        <v/>
      </c>
      <c r="E31">
        <f>MIN(30,D31/30000*30)</f>
        <v/>
      </c>
      <c r="F31" t="inlineStr"/>
      <c r="G31" s="8">
        <f>IFERROR(VLOOKUP('Building Inventory'!L30,'CPS Energy Data'!$A$4:$E$18,5,FALSE),0.5)</f>
        <v/>
      </c>
      <c r="H31">
        <f>IFERROR(VLOOKUP('Building Inventory'!L30,'CPS Energy Data'!$A$4:$I$18,9,FALSE),10)</f>
        <v/>
      </c>
      <c r="I31">
        <f>IF(G31&gt;0.9,1,IF(G31&gt;0.8,0.7,IF(G31&gt;0.7,0.4,0.1)))</f>
        <v/>
      </c>
      <c r="J31">
        <f>IF(H31&lt;3,1,IF(H31&lt;7,0.7,IF(H31&lt;10,0.4,0.1)))</f>
        <v/>
      </c>
      <c r="K31">
        <f>I31*J31*25</f>
        <v/>
      </c>
      <c r="L31" t="inlineStr"/>
      <c r="M31" s="10">
        <f>'Value Calculations'!O31+'Value Calculations'!S31</f>
        <v/>
      </c>
      <c r="N31">
        <f>MIN(20,M31/15000*20)</f>
        <v/>
      </c>
      <c r="O31" t="inlineStr"/>
      <c r="P31">
        <f>'Building Inventory'!M30</f>
        <v/>
      </c>
      <c r="Q31">
        <f>'Building Inventory'!D30</f>
        <v/>
      </c>
      <c r="R31">
        <f>IF(Q31="Emergency Ops",1,IF(Q31="911 Center",1,IF(Q31="Police",0.8,IF(Q31="Fire",0.8,IF(Q31="Water Control",0.6,IF(Q31="City Hall",0.4,0.1))))))</f>
        <v/>
      </c>
      <c r="S31">
        <f>R31*15</f>
        <v/>
      </c>
      <c r="T31" t="inlineStr"/>
      <c r="U31" s="14" t="n">
        <v>0.8</v>
      </c>
      <c r="V31" s="14" t="n">
        <v>0.8</v>
      </c>
      <c r="W31">
        <f>(U31+V31)/2*10</f>
        <v/>
      </c>
      <c r="X31" s="6">
        <f>SUM(E31,K31,N31,S31,W31)</f>
        <v/>
      </c>
      <c r="Y31">
        <f>RANK(X31,$X$3:$X$40,0)</f>
        <v/>
      </c>
      <c r="Z31">
        <f>IF(Y31&lt;=10,1,IF(Y31&lt;=25,2,3))</f>
        <v/>
      </c>
    </row>
    <row r="32">
      <c r="A32">
        <f>'Building Inventory'!A31</f>
        <v/>
      </c>
      <c r="B32">
        <f>'Building Inventory'!B31</f>
        <v/>
      </c>
      <c r="C32" t="inlineStr"/>
      <c r="D32" s="10">
        <f>'Value Calculations'!I32</f>
        <v/>
      </c>
      <c r="E32">
        <f>MIN(30,D32/30000*30)</f>
        <v/>
      </c>
      <c r="F32" t="inlineStr"/>
      <c r="G32" s="8">
        <f>IFERROR(VLOOKUP('Building Inventory'!L31,'CPS Energy Data'!$A$4:$E$18,5,FALSE),0.5)</f>
        <v/>
      </c>
      <c r="H32">
        <f>IFERROR(VLOOKUP('Building Inventory'!L31,'CPS Energy Data'!$A$4:$I$18,9,FALSE),10)</f>
        <v/>
      </c>
      <c r="I32">
        <f>IF(G32&gt;0.9,1,IF(G32&gt;0.8,0.7,IF(G32&gt;0.7,0.4,0.1)))</f>
        <v/>
      </c>
      <c r="J32">
        <f>IF(H32&lt;3,1,IF(H32&lt;7,0.7,IF(H32&lt;10,0.4,0.1)))</f>
        <v/>
      </c>
      <c r="K32">
        <f>I32*J32*25</f>
        <v/>
      </c>
      <c r="L32" t="inlineStr"/>
      <c r="M32" s="10">
        <f>'Value Calculations'!O32+'Value Calculations'!S32</f>
        <v/>
      </c>
      <c r="N32">
        <f>MIN(20,M32/15000*20)</f>
        <v/>
      </c>
      <c r="O32" t="inlineStr"/>
      <c r="P32">
        <f>'Building Inventory'!M31</f>
        <v/>
      </c>
      <c r="Q32">
        <f>'Building Inventory'!D31</f>
        <v/>
      </c>
      <c r="R32">
        <f>IF(Q32="Emergency Ops",1,IF(Q32="911 Center",1,IF(Q32="Police",0.8,IF(Q32="Fire",0.8,IF(Q32="Water Control",0.6,IF(Q32="City Hall",0.4,0.1))))))</f>
        <v/>
      </c>
      <c r="S32">
        <f>R32*15</f>
        <v/>
      </c>
      <c r="T32" t="inlineStr"/>
      <c r="U32" s="14" t="n">
        <v>0.8</v>
      </c>
      <c r="V32" s="14" t="n">
        <v>0.8</v>
      </c>
      <c r="W32">
        <f>(U32+V32)/2*10</f>
        <v/>
      </c>
      <c r="X32" s="6">
        <f>SUM(E32,K32,N32,S32,W32)</f>
        <v/>
      </c>
      <c r="Y32">
        <f>RANK(X32,$X$3:$X$40,0)</f>
        <v/>
      </c>
      <c r="Z32">
        <f>IF(Y32&lt;=10,1,IF(Y32&lt;=25,2,3))</f>
        <v/>
      </c>
    </row>
    <row r="33">
      <c r="A33">
        <f>'Building Inventory'!A32</f>
        <v/>
      </c>
      <c r="B33">
        <f>'Building Inventory'!B32</f>
        <v/>
      </c>
      <c r="C33" t="inlineStr"/>
      <c r="D33" s="10">
        <f>'Value Calculations'!I33</f>
        <v/>
      </c>
      <c r="E33">
        <f>MIN(30,D33/30000*30)</f>
        <v/>
      </c>
      <c r="F33" t="inlineStr"/>
      <c r="G33" s="8">
        <f>IFERROR(VLOOKUP('Building Inventory'!L32,'CPS Energy Data'!$A$4:$E$18,5,FALSE),0.5)</f>
        <v/>
      </c>
      <c r="H33">
        <f>IFERROR(VLOOKUP('Building Inventory'!L32,'CPS Energy Data'!$A$4:$I$18,9,FALSE),10)</f>
        <v/>
      </c>
      <c r="I33">
        <f>IF(G33&gt;0.9,1,IF(G33&gt;0.8,0.7,IF(G33&gt;0.7,0.4,0.1)))</f>
        <v/>
      </c>
      <c r="J33">
        <f>IF(H33&lt;3,1,IF(H33&lt;7,0.7,IF(H33&lt;10,0.4,0.1)))</f>
        <v/>
      </c>
      <c r="K33">
        <f>I33*J33*25</f>
        <v/>
      </c>
      <c r="L33" t="inlineStr"/>
      <c r="M33" s="10">
        <f>'Value Calculations'!O33+'Value Calculations'!S33</f>
        <v/>
      </c>
      <c r="N33">
        <f>MIN(20,M33/15000*20)</f>
        <v/>
      </c>
      <c r="O33" t="inlineStr"/>
      <c r="P33">
        <f>'Building Inventory'!M32</f>
        <v/>
      </c>
      <c r="Q33">
        <f>'Building Inventory'!D32</f>
        <v/>
      </c>
      <c r="R33">
        <f>IF(Q33="Emergency Ops",1,IF(Q33="911 Center",1,IF(Q33="Police",0.8,IF(Q33="Fire",0.8,IF(Q33="Water Control",0.6,IF(Q33="City Hall",0.4,0.1))))))</f>
        <v/>
      </c>
      <c r="S33">
        <f>R33*15</f>
        <v/>
      </c>
      <c r="T33" t="inlineStr"/>
      <c r="U33" s="14" t="n">
        <v>0.8</v>
      </c>
      <c r="V33" s="14" t="n">
        <v>0.8</v>
      </c>
      <c r="W33">
        <f>(U33+V33)/2*10</f>
        <v/>
      </c>
      <c r="X33" s="6">
        <f>SUM(E33,K33,N33,S33,W33)</f>
        <v/>
      </c>
      <c r="Y33">
        <f>RANK(X33,$X$3:$X$40,0)</f>
        <v/>
      </c>
      <c r="Z33">
        <f>IF(Y33&lt;=10,1,IF(Y33&lt;=25,2,3))</f>
        <v/>
      </c>
    </row>
    <row r="34">
      <c r="A34">
        <f>'Building Inventory'!A33</f>
        <v/>
      </c>
      <c r="B34">
        <f>'Building Inventory'!B33</f>
        <v/>
      </c>
      <c r="C34" t="inlineStr"/>
      <c r="D34" s="10">
        <f>'Value Calculations'!I34</f>
        <v/>
      </c>
      <c r="E34">
        <f>MIN(30,D34/30000*30)</f>
        <v/>
      </c>
      <c r="F34" t="inlineStr"/>
      <c r="G34" s="8">
        <f>IFERROR(VLOOKUP('Building Inventory'!L33,'CPS Energy Data'!$A$4:$E$18,5,FALSE),0.5)</f>
        <v/>
      </c>
      <c r="H34">
        <f>IFERROR(VLOOKUP('Building Inventory'!L33,'CPS Energy Data'!$A$4:$I$18,9,FALSE),10)</f>
        <v/>
      </c>
      <c r="I34">
        <f>IF(G34&gt;0.9,1,IF(G34&gt;0.8,0.7,IF(G34&gt;0.7,0.4,0.1)))</f>
        <v/>
      </c>
      <c r="J34">
        <f>IF(H34&lt;3,1,IF(H34&lt;7,0.7,IF(H34&lt;10,0.4,0.1)))</f>
        <v/>
      </c>
      <c r="K34">
        <f>I34*J34*25</f>
        <v/>
      </c>
      <c r="L34" t="inlineStr"/>
      <c r="M34" s="10">
        <f>'Value Calculations'!O34+'Value Calculations'!S34</f>
        <v/>
      </c>
      <c r="N34">
        <f>MIN(20,M34/15000*20)</f>
        <v/>
      </c>
      <c r="O34" t="inlineStr"/>
      <c r="P34">
        <f>'Building Inventory'!M33</f>
        <v/>
      </c>
      <c r="Q34">
        <f>'Building Inventory'!D33</f>
        <v/>
      </c>
      <c r="R34">
        <f>IF(Q34="Emergency Ops",1,IF(Q34="911 Center",1,IF(Q34="Police",0.8,IF(Q34="Fire",0.8,IF(Q34="Water Control",0.6,IF(Q34="City Hall",0.4,0.1))))))</f>
        <v/>
      </c>
      <c r="S34">
        <f>R34*15</f>
        <v/>
      </c>
      <c r="T34" t="inlineStr"/>
      <c r="U34" s="14" t="n">
        <v>0.8</v>
      </c>
      <c r="V34" s="14" t="n">
        <v>0.8</v>
      </c>
      <c r="W34">
        <f>(U34+V34)/2*10</f>
        <v/>
      </c>
      <c r="X34" s="6">
        <f>SUM(E34,K34,N34,S34,W34)</f>
        <v/>
      </c>
      <c r="Y34">
        <f>RANK(X34,$X$3:$X$40,0)</f>
        <v/>
      </c>
      <c r="Z34">
        <f>IF(Y34&lt;=10,1,IF(Y34&lt;=25,2,3))</f>
        <v/>
      </c>
    </row>
    <row r="35">
      <c r="A35">
        <f>'Building Inventory'!A34</f>
        <v/>
      </c>
      <c r="B35">
        <f>'Building Inventory'!B34</f>
        <v/>
      </c>
      <c r="C35" t="inlineStr"/>
      <c r="D35" s="10">
        <f>'Value Calculations'!I35</f>
        <v/>
      </c>
      <c r="E35">
        <f>MIN(30,D35/30000*30)</f>
        <v/>
      </c>
      <c r="F35" t="inlineStr"/>
      <c r="G35" s="8">
        <f>IFERROR(VLOOKUP('Building Inventory'!L34,'CPS Energy Data'!$A$4:$E$18,5,FALSE),0.5)</f>
        <v/>
      </c>
      <c r="H35">
        <f>IFERROR(VLOOKUP('Building Inventory'!L34,'CPS Energy Data'!$A$4:$I$18,9,FALSE),10)</f>
        <v/>
      </c>
      <c r="I35">
        <f>IF(G35&gt;0.9,1,IF(G35&gt;0.8,0.7,IF(G35&gt;0.7,0.4,0.1)))</f>
        <v/>
      </c>
      <c r="J35">
        <f>IF(H35&lt;3,1,IF(H35&lt;7,0.7,IF(H35&lt;10,0.4,0.1)))</f>
        <v/>
      </c>
      <c r="K35">
        <f>I35*J35*25</f>
        <v/>
      </c>
      <c r="L35" t="inlineStr"/>
      <c r="M35" s="10">
        <f>'Value Calculations'!O35+'Value Calculations'!S35</f>
        <v/>
      </c>
      <c r="N35">
        <f>MIN(20,M35/15000*20)</f>
        <v/>
      </c>
      <c r="O35" t="inlineStr"/>
      <c r="P35">
        <f>'Building Inventory'!M34</f>
        <v/>
      </c>
      <c r="Q35">
        <f>'Building Inventory'!D34</f>
        <v/>
      </c>
      <c r="R35">
        <f>IF(Q35="Emergency Ops",1,IF(Q35="911 Center",1,IF(Q35="Police",0.8,IF(Q35="Fire",0.8,IF(Q35="Water Control",0.6,IF(Q35="City Hall",0.4,0.1))))))</f>
        <v/>
      </c>
      <c r="S35">
        <f>R35*15</f>
        <v/>
      </c>
      <c r="T35" t="inlineStr"/>
      <c r="U35" s="14" t="n">
        <v>0.8</v>
      </c>
      <c r="V35" s="14" t="n">
        <v>0.8</v>
      </c>
      <c r="W35">
        <f>(U35+V35)/2*10</f>
        <v/>
      </c>
      <c r="X35" s="6">
        <f>SUM(E35,K35,N35,S35,W35)</f>
        <v/>
      </c>
      <c r="Y35">
        <f>RANK(X35,$X$3:$X$40,0)</f>
        <v/>
      </c>
      <c r="Z35">
        <f>IF(Y35&lt;=10,1,IF(Y35&lt;=25,2,3))</f>
        <v/>
      </c>
    </row>
    <row r="36">
      <c r="A36">
        <f>'Building Inventory'!A35</f>
        <v/>
      </c>
      <c r="B36">
        <f>'Building Inventory'!B35</f>
        <v/>
      </c>
      <c r="C36" t="inlineStr"/>
      <c r="D36" s="10">
        <f>'Value Calculations'!I36</f>
        <v/>
      </c>
      <c r="E36">
        <f>MIN(30,D36/30000*30)</f>
        <v/>
      </c>
      <c r="F36" t="inlineStr"/>
      <c r="G36" s="8">
        <f>IFERROR(VLOOKUP('Building Inventory'!L35,'CPS Energy Data'!$A$4:$E$18,5,FALSE),0.5)</f>
        <v/>
      </c>
      <c r="H36">
        <f>IFERROR(VLOOKUP('Building Inventory'!L35,'CPS Energy Data'!$A$4:$I$18,9,FALSE),10)</f>
        <v/>
      </c>
      <c r="I36">
        <f>IF(G36&gt;0.9,1,IF(G36&gt;0.8,0.7,IF(G36&gt;0.7,0.4,0.1)))</f>
        <v/>
      </c>
      <c r="J36">
        <f>IF(H36&lt;3,1,IF(H36&lt;7,0.7,IF(H36&lt;10,0.4,0.1)))</f>
        <v/>
      </c>
      <c r="K36">
        <f>I36*J36*25</f>
        <v/>
      </c>
      <c r="L36" t="inlineStr"/>
      <c r="M36" s="10">
        <f>'Value Calculations'!O36+'Value Calculations'!S36</f>
        <v/>
      </c>
      <c r="N36">
        <f>MIN(20,M36/15000*20)</f>
        <v/>
      </c>
      <c r="O36" t="inlineStr"/>
      <c r="P36">
        <f>'Building Inventory'!M35</f>
        <v/>
      </c>
      <c r="Q36">
        <f>'Building Inventory'!D35</f>
        <v/>
      </c>
      <c r="R36">
        <f>IF(Q36="Emergency Ops",1,IF(Q36="911 Center",1,IF(Q36="Police",0.8,IF(Q36="Fire",0.8,IF(Q36="Water Control",0.6,IF(Q36="City Hall",0.4,0.1))))))</f>
        <v/>
      </c>
      <c r="S36">
        <f>R36*15</f>
        <v/>
      </c>
      <c r="T36" t="inlineStr"/>
      <c r="U36" s="14" t="n">
        <v>0.8</v>
      </c>
      <c r="V36" s="14" t="n">
        <v>0.8</v>
      </c>
      <c r="W36">
        <f>(U36+V36)/2*10</f>
        <v/>
      </c>
      <c r="X36" s="6">
        <f>SUM(E36,K36,N36,S36,W36)</f>
        <v/>
      </c>
      <c r="Y36">
        <f>RANK(X36,$X$3:$X$40,0)</f>
        <v/>
      </c>
      <c r="Z36">
        <f>IF(Y36&lt;=10,1,IF(Y36&lt;=25,2,3))</f>
        <v/>
      </c>
    </row>
    <row r="37">
      <c r="A37">
        <f>'Building Inventory'!A36</f>
        <v/>
      </c>
      <c r="B37">
        <f>'Building Inventory'!B36</f>
        <v/>
      </c>
      <c r="C37" t="inlineStr"/>
      <c r="D37" s="10">
        <f>'Value Calculations'!I37</f>
        <v/>
      </c>
      <c r="E37">
        <f>MIN(30,D37/30000*30)</f>
        <v/>
      </c>
      <c r="F37" t="inlineStr"/>
      <c r="G37" s="8">
        <f>IFERROR(VLOOKUP('Building Inventory'!L36,'CPS Energy Data'!$A$4:$E$18,5,FALSE),0.5)</f>
        <v/>
      </c>
      <c r="H37">
        <f>IFERROR(VLOOKUP('Building Inventory'!L36,'CPS Energy Data'!$A$4:$I$18,9,FALSE),10)</f>
        <v/>
      </c>
      <c r="I37">
        <f>IF(G37&gt;0.9,1,IF(G37&gt;0.8,0.7,IF(G37&gt;0.7,0.4,0.1)))</f>
        <v/>
      </c>
      <c r="J37">
        <f>IF(H37&lt;3,1,IF(H37&lt;7,0.7,IF(H37&lt;10,0.4,0.1)))</f>
        <v/>
      </c>
      <c r="K37">
        <f>I37*J37*25</f>
        <v/>
      </c>
      <c r="L37" t="inlineStr"/>
      <c r="M37" s="10">
        <f>'Value Calculations'!O37+'Value Calculations'!S37</f>
        <v/>
      </c>
      <c r="N37">
        <f>MIN(20,M37/15000*20)</f>
        <v/>
      </c>
      <c r="O37" t="inlineStr"/>
      <c r="P37">
        <f>'Building Inventory'!M36</f>
        <v/>
      </c>
      <c r="Q37">
        <f>'Building Inventory'!D36</f>
        <v/>
      </c>
      <c r="R37">
        <f>IF(Q37="Emergency Ops",1,IF(Q37="911 Center",1,IF(Q37="Police",0.8,IF(Q37="Fire",0.8,IF(Q37="Water Control",0.6,IF(Q37="City Hall",0.4,0.1))))))</f>
        <v/>
      </c>
      <c r="S37">
        <f>R37*15</f>
        <v/>
      </c>
      <c r="T37" t="inlineStr"/>
      <c r="U37" s="14" t="n">
        <v>0.8</v>
      </c>
      <c r="V37" s="14" t="n">
        <v>0.8</v>
      </c>
      <c r="W37">
        <f>(U37+V37)/2*10</f>
        <v/>
      </c>
      <c r="X37" s="6">
        <f>SUM(E37,K37,N37,S37,W37)</f>
        <v/>
      </c>
      <c r="Y37">
        <f>RANK(X37,$X$3:$X$40,0)</f>
        <v/>
      </c>
      <c r="Z37">
        <f>IF(Y37&lt;=10,1,IF(Y37&lt;=25,2,3))</f>
        <v/>
      </c>
    </row>
    <row r="38">
      <c r="A38">
        <f>'Building Inventory'!A37</f>
        <v/>
      </c>
      <c r="B38">
        <f>'Building Inventory'!B37</f>
        <v/>
      </c>
      <c r="C38" t="inlineStr"/>
      <c r="D38" s="10">
        <f>'Value Calculations'!I38</f>
        <v/>
      </c>
      <c r="E38">
        <f>MIN(30,D38/30000*30)</f>
        <v/>
      </c>
      <c r="F38" t="inlineStr"/>
      <c r="G38" s="8">
        <f>IFERROR(VLOOKUP('Building Inventory'!L37,'CPS Energy Data'!$A$4:$E$18,5,FALSE),0.5)</f>
        <v/>
      </c>
      <c r="H38">
        <f>IFERROR(VLOOKUP('Building Inventory'!L37,'CPS Energy Data'!$A$4:$I$18,9,FALSE),10)</f>
        <v/>
      </c>
      <c r="I38">
        <f>IF(G38&gt;0.9,1,IF(G38&gt;0.8,0.7,IF(G38&gt;0.7,0.4,0.1)))</f>
        <v/>
      </c>
      <c r="J38">
        <f>IF(H38&lt;3,1,IF(H38&lt;7,0.7,IF(H38&lt;10,0.4,0.1)))</f>
        <v/>
      </c>
      <c r="K38">
        <f>I38*J38*25</f>
        <v/>
      </c>
      <c r="L38" t="inlineStr"/>
      <c r="M38" s="10">
        <f>'Value Calculations'!O38+'Value Calculations'!S38</f>
        <v/>
      </c>
      <c r="N38">
        <f>MIN(20,M38/15000*20)</f>
        <v/>
      </c>
      <c r="O38" t="inlineStr"/>
      <c r="P38">
        <f>'Building Inventory'!M37</f>
        <v/>
      </c>
      <c r="Q38">
        <f>'Building Inventory'!D37</f>
        <v/>
      </c>
      <c r="R38">
        <f>IF(Q38="Emergency Ops",1,IF(Q38="911 Center",1,IF(Q38="Police",0.8,IF(Q38="Fire",0.8,IF(Q38="Water Control",0.6,IF(Q38="City Hall",0.4,0.1))))))</f>
        <v/>
      </c>
      <c r="S38">
        <f>R38*15</f>
        <v/>
      </c>
      <c r="T38" t="inlineStr"/>
      <c r="U38" s="14" t="n">
        <v>0.8</v>
      </c>
      <c r="V38" s="14" t="n">
        <v>0.8</v>
      </c>
      <c r="W38">
        <f>(U38+V38)/2*10</f>
        <v/>
      </c>
      <c r="X38" s="6">
        <f>SUM(E38,K38,N38,S38,W38)</f>
        <v/>
      </c>
      <c r="Y38">
        <f>RANK(X38,$X$3:$X$40,0)</f>
        <v/>
      </c>
      <c r="Z38">
        <f>IF(Y38&lt;=10,1,IF(Y38&lt;=25,2,3))</f>
        <v/>
      </c>
    </row>
    <row r="39">
      <c r="A39">
        <f>'Building Inventory'!A38</f>
        <v/>
      </c>
      <c r="B39">
        <f>'Building Inventory'!B38</f>
        <v/>
      </c>
      <c r="C39" t="inlineStr"/>
      <c r="D39" s="10">
        <f>'Value Calculations'!I39</f>
        <v/>
      </c>
      <c r="E39">
        <f>MIN(30,D39/30000*30)</f>
        <v/>
      </c>
      <c r="F39" t="inlineStr"/>
      <c r="G39" s="8">
        <f>IFERROR(VLOOKUP('Building Inventory'!L38,'CPS Energy Data'!$A$4:$E$18,5,FALSE),0.5)</f>
        <v/>
      </c>
      <c r="H39">
        <f>IFERROR(VLOOKUP('Building Inventory'!L38,'CPS Energy Data'!$A$4:$I$18,9,FALSE),10)</f>
        <v/>
      </c>
      <c r="I39">
        <f>IF(G39&gt;0.9,1,IF(G39&gt;0.8,0.7,IF(G39&gt;0.7,0.4,0.1)))</f>
        <v/>
      </c>
      <c r="J39">
        <f>IF(H39&lt;3,1,IF(H39&lt;7,0.7,IF(H39&lt;10,0.4,0.1)))</f>
        <v/>
      </c>
      <c r="K39">
        <f>I39*J39*25</f>
        <v/>
      </c>
      <c r="L39" t="inlineStr"/>
      <c r="M39" s="10">
        <f>'Value Calculations'!O39+'Value Calculations'!S39</f>
        <v/>
      </c>
      <c r="N39">
        <f>MIN(20,M39/15000*20)</f>
        <v/>
      </c>
      <c r="O39" t="inlineStr"/>
      <c r="P39">
        <f>'Building Inventory'!M38</f>
        <v/>
      </c>
      <c r="Q39">
        <f>'Building Inventory'!D38</f>
        <v/>
      </c>
      <c r="R39">
        <f>IF(Q39="Emergency Ops",1,IF(Q39="911 Center",1,IF(Q39="Police",0.8,IF(Q39="Fire",0.8,IF(Q39="Water Control",0.6,IF(Q39="City Hall",0.4,0.1))))))</f>
        <v/>
      </c>
      <c r="S39">
        <f>R39*15</f>
        <v/>
      </c>
      <c r="T39" t="inlineStr"/>
      <c r="U39" s="14" t="n">
        <v>0.8</v>
      </c>
      <c r="V39" s="14" t="n">
        <v>0.8</v>
      </c>
      <c r="W39">
        <f>(U39+V39)/2*10</f>
        <v/>
      </c>
      <c r="X39" s="6">
        <f>SUM(E39,K39,N39,S39,W39)</f>
        <v/>
      </c>
      <c r="Y39">
        <f>RANK(X39,$X$3:$X$40,0)</f>
        <v/>
      </c>
      <c r="Z39">
        <f>IF(Y39&lt;=10,1,IF(Y39&lt;=25,2,3))</f>
        <v/>
      </c>
    </row>
    <row r="40">
      <c r="A40">
        <f>'Building Inventory'!A39</f>
        <v/>
      </c>
      <c r="B40">
        <f>'Building Inventory'!B39</f>
        <v/>
      </c>
      <c r="C40" t="inlineStr"/>
      <c r="D40" s="10">
        <f>'Value Calculations'!I40</f>
        <v/>
      </c>
      <c r="E40">
        <f>MIN(30,D40/30000*30)</f>
        <v/>
      </c>
      <c r="F40" t="inlineStr"/>
      <c r="G40" s="8">
        <f>IFERROR(VLOOKUP('Building Inventory'!L39,'CPS Energy Data'!$A$4:$E$18,5,FALSE),0.5)</f>
        <v/>
      </c>
      <c r="H40">
        <f>IFERROR(VLOOKUP('Building Inventory'!L39,'CPS Energy Data'!$A$4:$I$18,9,FALSE),10)</f>
        <v/>
      </c>
      <c r="I40">
        <f>IF(G40&gt;0.9,1,IF(G40&gt;0.8,0.7,IF(G40&gt;0.7,0.4,0.1)))</f>
        <v/>
      </c>
      <c r="J40">
        <f>IF(H40&lt;3,1,IF(H40&lt;7,0.7,IF(H40&lt;10,0.4,0.1)))</f>
        <v/>
      </c>
      <c r="K40">
        <f>I40*J40*25</f>
        <v/>
      </c>
      <c r="L40" t="inlineStr"/>
      <c r="M40" s="10">
        <f>'Value Calculations'!O40+'Value Calculations'!S40</f>
        <v/>
      </c>
      <c r="N40">
        <f>MIN(20,M40/15000*20)</f>
        <v/>
      </c>
      <c r="O40" t="inlineStr"/>
      <c r="P40">
        <f>'Building Inventory'!M39</f>
        <v/>
      </c>
      <c r="Q40">
        <f>'Building Inventory'!D39</f>
        <v/>
      </c>
      <c r="R40">
        <f>IF(Q40="Emergency Ops",1,IF(Q40="911 Center",1,IF(Q40="Police",0.8,IF(Q40="Fire",0.8,IF(Q40="Water Control",0.6,IF(Q40="City Hall",0.4,0.1))))))</f>
        <v/>
      </c>
      <c r="S40">
        <f>R40*15</f>
        <v/>
      </c>
      <c r="T40" t="inlineStr"/>
      <c r="U40" s="14" t="n">
        <v>0.8</v>
      </c>
      <c r="V40" s="14" t="n">
        <v>0.8</v>
      </c>
      <c r="W40">
        <f>(U40+V40)/2*10</f>
        <v/>
      </c>
      <c r="X40" s="6">
        <f>SUM(E40,K40,N40,S40,W40)</f>
        <v/>
      </c>
      <c r="Y40">
        <f>RANK(X40,$X$3:$X$40,0)</f>
        <v/>
      </c>
      <c r="Z40">
        <f>IF(Y40&lt;=10,1,IF(Y40&lt;=25,2,3))</f>
        <v/>
      </c>
    </row>
    <row r="42">
      <c r="A42" s="9" t="inlineStr">
        <is>
          <t>SUMMARY STATISTICS</t>
        </is>
      </c>
    </row>
    <row r="44">
      <c r="A44" t="inlineStr">
        <is>
          <t>Average Score</t>
        </is>
      </c>
      <c r="B44">
        <f>AVERAGE(X3:X40)</f>
        <v/>
      </c>
      <c r="D44" t="inlineStr">
        <is>
          <t>Phase 1 Buildings</t>
        </is>
      </c>
      <c r="E44">
        <f>COUNTIF(Z3:Z40,1)</f>
        <v/>
      </c>
    </row>
    <row r="45">
      <c r="A45" t="inlineStr">
        <is>
          <t>Median Score</t>
        </is>
      </c>
      <c r="B45">
        <f>MEDIAN(X3:X40)</f>
        <v/>
      </c>
      <c r="D45" t="inlineStr">
        <is>
          <t>Phase 2 Buildings</t>
        </is>
      </c>
      <c r="E45">
        <f>COUNTIF(Z3:Z40,2)</f>
        <v/>
      </c>
    </row>
    <row r="46">
      <c r="A46" t="inlineStr">
        <is>
          <t>High Score</t>
        </is>
      </c>
      <c r="B46">
        <f>MAX(X3:X40)</f>
        <v/>
      </c>
      <c r="D46" t="inlineStr">
        <is>
          <t>Phase 3 Buildings</t>
        </is>
      </c>
      <c r="E46">
        <f>COUNTIF(Z3:Z40,3)</f>
        <v/>
      </c>
    </row>
    <row r="47">
      <c r="A47" t="inlineStr">
        <is>
          <t>Low Score</t>
        </is>
      </c>
      <c r="B47">
        <f>MIN(X3:X40)</f>
        <v/>
      </c>
    </row>
  </sheetData>
  <mergeCells count="1">
    <mergeCell ref="A1:Z1"/>
  </mergeCells>
  <conditionalFormatting sqref="X3:X40">
    <cfRule type="colorScale" priority="1">
      <colorScale>
        <cfvo type="num" val="0"/>
        <cfvo type="num" val="50"/>
        <cfvo type="num" val="100"/>
        <color rgb="00F8696B"/>
        <color rgb="00FFEB84"/>
        <color rgb="0063BE7B"/>
      </colorScale>
    </cfRule>
  </conditionalFormatting>
  <conditionalFormatting sqref="Y3:Y40">
    <cfRule type="colorScale" priority="2">
      <colorScale>
        <cfvo type="num" val="1"/>
        <cfvo type="num" val="19"/>
        <cfvo type="num" val="38"/>
        <color rgb="0063BE7B"/>
        <color rgb="00FFEB84"/>
        <color rgb="00F8696B"/>
      </colorScale>
    </cfRule>
  </conditionalFormatting>
  <conditionalFormatting sqref="Z3:Z40">
    <cfRule type="cellIs" priority="3" operator="equal" dxfId="0">
      <formula>1</formula>
    </cfRule>
    <cfRule type="cellIs" priority="4" operator="equal" dxfId="1">
      <formula>2</formula>
    </cfRule>
    <cfRule type="cellIs" priority="5" operator="equal" dxfId="2">
      <formula>3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  <col width="12" customWidth="1" min="7" max="7"/>
    <col width="12" customWidth="1" min="8" max="8"/>
    <col width="15" customWidth="1" min="9" max="9"/>
    <col width="10" customWidth="1" min="10" max="10"/>
    <col width="12" customWidth="1" min="11" max="11"/>
    <col width="12" customWidth="1" min="12" max="12"/>
    <col width="12" customWidth="1" min="13" max="13"/>
    <col width="15" customWidth="1" min="14" max="14"/>
  </cols>
  <sheetData>
    <row r="1">
      <c r="A1" s="21" t="inlineStr">
        <is>
          <t>DEPLOYMENT PHASE PLANNING</t>
        </is>
      </c>
    </row>
    <row r="3">
      <c r="A3" s="30" t="inlineStr">
        <is>
          <t>PHASE 1: PROOF OF CONCEPT (Year 1)</t>
        </is>
      </c>
    </row>
    <row r="4">
      <c r="A4" s="13" t="inlineStr">
        <is>
          <t>Rank</t>
        </is>
      </c>
      <c r="B4" s="13" t="inlineStr">
        <is>
          <t>Building</t>
        </is>
      </c>
      <c r="C4" s="13" t="inlineStr">
        <is>
          <t>BESS (kW)</t>
        </is>
      </c>
      <c r="D4" s="13" t="inlineStr">
        <is>
          <t>Battery (kWh)</t>
        </is>
      </c>
      <c r="E4" s="13" t="inlineStr">
        <is>
          <t>CAPEX ($)</t>
        </is>
      </c>
      <c r="F4" s="13" t="inlineStr">
        <is>
          <t>Annual Rev ($)</t>
        </is>
      </c>
      <c r="G4" s="13" t="inlineStr">
        <is>
          <t>Payback (yrs)</t>
        </is>
      </c>
      <c r="H4" s="13" t="inlineStr">
        <is>
          <t>Deploy Quarter</t>
        </is>
      </c>
      <c r="I4" s="13" t="inlineStr">
        <is>
          <t>Feeder</t>
        </is>
      </c>
      <c r="J4" s="13" t="inlineStr">
        <is>
          <t>CPS Coord</t>
        </is>
      </c>
      <c r="K4" s="13" t="inlineStr">
        <is>
          <t>Site Survey</t>
        </is>
      </c>
      <c r="L4" s="13" t="inlineStr">
        <is>
          <t>Design</t>
        </is>
      </c>
      <c r="M4" s="13" t="inlineStr">
        <is>
          <t>Permit</t>
        </is>
      </c>
      <c r="N4" s="13" t="inlineStr">
        <is>
          <t>Commission Date</t>
        </is>
      </c>
    </row>
    <row r="5">
      <c r="A5">
        <f>IFERROR(INDEX('Prioritization Scoring'!$Y$3:$Y$40,1),"")</f>
        <v/>
      </c>
      <c r="B5">
        <f>IFERROR(INDEX('Building Inventory'!$B$2:$B$39,MATCH(1,'Prioritization Scoring'!$Y$3:$Y$40,0)),"")</f>
        <v/>
      </c>
      <c r="C5">
        <f>IFERROR(INDEX('Building Inventory'!$E$2:$E$39,MATCH(1,'Prioritization Scoring'!$Y$3:$Y$40,0)),"")</f>
        <v/>
      </c>
      <c r="D5">
        <f>C5*2</f>
        <v/>
      </c>
      <c r="E5" s="10">
        <f>C5*1200</f>
        <v/>
      </c>
      <c r="F5" s="10">
        <f>IFERROR(INDEX('Value Calculations'!$AN$3:$AN$40,MATCH(1,'Prioritization Scoring'!$Y$3:$Y$40,0)),"")</f>
        <v/>
      </c>
      <c r="G5" s="6">
        <f>IF(F5&gt;0,E5/F5,"")</f>
        <v/>
      </c>
      <c r="H5" t="inlineStr">
        <is>
          <t>Q1</t>
        </is>
      </c>
      <c r="I5">
        <f>IFERROR(INDEX('Building Inventory'!$L$2:$L$39,MATCH(1,'Prioritization Scoring'!$Y$3:$Y$40,0)),"")</f>
        <v/>
      </c>
      <c r="J5" t="inlineStr">
        <is>
          <t>Yes</t>
        </is>
      </c>
      <c r="K5" t="inlineStr">
        <is>
          <t>Not Started</t>
        </is>
      </c>
      <c r="L5" t="inlineStr">
        <is>
          <t>Not Started</t>
        </is>
      </c>
      <c r="M5" t="inlineStr">
        <is>
          <t>Not Started</t>
        </is>
      </c>
      <c r="N5" t="inlineStr"/>
    </row>
    <row r="6">
      <c r="A6">
        <f>IFERROR(INDEX('Prioritization Scoring'!$Y$3:$Y$40,2),"")</f>
        <v/>
      </c>
      <c r="B6">
        <f>IFERROR(INDEX('Building Inventory'!$B$2:$B$39,MATCH(2,'Prioritization Scoring'!$Y$3:$Y$40,0)),"")</f>
        <v/>
      </c>
      <c r="C6">
        <f>IFERROR(INDEX('Building Inventory'!$E$2:$E$39,MATCH(2,'Prioritization Scoring'!$Y$3:$Y$40,0)),"")</f>
        <v/>
      </c>
      <c r="D6">
        <f>C6*2</f>
        <v/>
      </c>
      <c r="E6" s="10">
        <f>C6*1200</f>
        <v/>
      </c>
      <c r="F6" s="10">
        <f>IFERROR(INDEX('Value Calculations'!$AN$3:$AN$40,MATCH(2,'Prioritization Scoring'!$Y$3:$Y$40,0)),"")</f>
        <v/>
      </c>
      <c r="G6" s="6">
        <f>IF(F6&gt;0,E6/F6,"")</f>
        <v/>
      </c>
      <c r="H6" t="inlineStr">
        <is>
          <t>Q1</t>
        </is>
      </c>
      <c r="I6">
        <f>IFERROR(INDEX('Building Inventory'!$L$2:$L$39,MATCH(2,'Prioritization Scoring'!$Y$3:$Y$40,0)),"")</f>
        <v/>
      </c>
      <c r="J6" t="inlineStr">
        <is>
          <t>Yes</t>
        </is>
      </c>
      <c r="K6" t="inlineStr">
        <is>
          <t>Not Started</t>
        </is>
      </c>
      <c r="L6" t="inlineStr">
        <is>
          <t>Not Started</t>
        </is>
      </c>
      <c r="M6" t="inlineStr">
        <is>
          <t>Not Started</t>
        </is>
      </c>
      <c r="N6" t="inlineStr"/>
    </row>
    <row r="7">
      <c r="A7">
        <f>IFERROR(INDEX('Prioritization Scoring'!$Y$3:$Y$40,3),"")</f>
        <v/>
      </c>
      <c r="B7">
        <f>IFERROR(INDEX('Building Inventory'!$B$2:$B$39,MATCH(3,'Prioritization Scoring'!$Y$3:$Y$40,0)),"")</f>
        <v/>
      </c>
      <c r="C7">
        <f>IFERROR(INDEX('Building Inventory'!$E$2:$E$39,MATCH(3,'Prioritization Scoring'!$Y$3:$Y$40,0)),"")</f>
        <v/>
      </c>
      <c r="D7">
        <f>C7*2</f>
        <v/>
      </c>
      <c r="E7" s="10">
        <f>C7*1200</f>
        <v/>
      </c>
      <c r="F7" s="10">
        <f>IFERROR(INDEX('Value Calculations'!$AN$3:$AN$40,MATCH(3,'Prioritization Scoring'!$Y$3:$Y$40,0)),"")</f>
        <v/>
      </c>
      <c r="G7" s="6">
        <f>IF(F7&gt;0,E7/F7,"")</f>
        <v/>
      </c>
      <c r="H7" t="inlineStr">
        <is>
          <t>Q1</t>
        </is>
      </c>
      <c r="I7">
        <f>IFERROR(INDEX('Building Inventory'!$L$2:$L$39,MATCH(3,'Prioritization Scoring'!$Y$3:$Y$40,0)),"")</f>
        <v/>
      </c>
      <c r="J7" t="inlineStr">
        <is>
          <t>Yes</t>
        </is>
      </c>
      <c r="K7" t="inlineStr">
        <is>
          <t>Not Started</t>
        </is>
      </c>
      <c r="L7" t="inlineStr">
        <is>
          <t>Not Started</t>
        </is>
      </c>
      <c r="M7" t="inlineStr">
        <is>
          <t>Not Started</t>
        </is>
      </c>
      <c r="N7" t="inlineStr"/>
    </row>
    <row r="8">
      <c r="A8">
        <f>IFERROR(INDEX('Prioritization Scoring'!$Y$3:$Y$40,4),"")</f>
        <v/>
      </c>
      <c r="B8">
        <f>IFERROR(INDEX('Building Inventory'!$B$2:$B$39,MATCH(4,'Prioritization Scoring'!$Y$3:$Y$40,0)),"")</f>
        <v/>
      </c>
      <c r="C8">
        <f>IFERROR(INDEX('Building Inventory'!$E$2:$E$39,MATCH(4,'Prioritization Scoring'!$Y$3:$Y$40,0)),"")</f>
        <v/>
      </c>
      <c r="D8">
        <f>C8*2</f>
        <v/>
      </c>
      <c r="E8" s="10">
        <f>C8*1200</f>
        <v/>
      </c>
      <c r="F8" s="10">
        <f>IFERROR(INDEX('Value Calculations'!$AN$3:$AN$40,MATCH(4,'Prioritization Scoring'!$Y$3:$Y$40,0)),"")</f>
        <v/>
      </c>
      <c r="G8" s="6">
        <f>IF(F8&gt;0,E8/F8,"")</f>
        <v/>
      </c>
      <c r="H8" t="inlineStr">
        <is>
          <t>Q2</t>
        </is>
      </c>
      <c r="I8">
        <f>IFERROR(INDEX('Building Inventory'!$L$2:$L$39,MATCH(4,'Prioritization Scoring'!$Y$3:$Y$40,0)),"")</f>
        <v/>
      </c>
      <c r="J8" t="inlineStr">
        <is>
          <t>Yes</t>
        </is>
      </c>
      <c r="K8" t="inlineStr">
        <is>
          <t>Not Started</t>
        </is>
      </c>
      <c r="L8" t="inlineStr">
        <is>
          <t>Not Started</t>
        </is>
      </c>
      <c r="M8" t="inlineStr">
        <is>
          <t>Not Started</t>
        </is>
      </c>
      <c r="N8" t="inlineStr"/>
    </row>
    <row r="9">
      <c r="A9">
        <f>IFERROR(INDEX('Prioritization Scoring'!$Y$3:$Y$40,5),"")</f>
        <v/>
      </c>
      <c r="B9">
        <f>IFERROR(INDEX('Building Inventory'!$B$2:$B$39,MATCH(5,'Prioritization Scoring'!$Y$3:$Y$40,0)),"")</f>
        <v/>
      </c>
      <c r="C9">
        <f>IFERROR(INDEX('Building Inventory'!$E$2:$E$39,MATCH(5,'Prioritization Scoring'!$Y$3:$Y$40,0)),"")</f>
        <v/>
      </c>
      <c r="D9">
        <f>C9*2</f>
        <v/>
      </c>
      <c r="E9" s="10">
        <f>C9*1200</f>
        <v/>
      </c>
      <c r="F9" s="10">
        <f>IFERROR(INDEX('Value Calculations'!$AN$3:$AN$40,MATCH(5,'Prioritization Scoring'!$Y$3:$Y$40,0)),"")</f>
        <v/>
      </c>
      <c r="G9" s="6">
        <f>IF(F9&gt;0,E9/F9,"")</f>
        <v/>
      </c>
      <c r="H9" t="inlineStr">
        <is>
          <t>Q2</t>
        </is>
      </c>
      <c r="I9">
        <f>IFERROR(INDEX('Building Inventory'!$L$2:$L$39,MATCH(5,'Prioritization Scoring'!$Y$3:$Y$40,0)),"")</f>
        <v/>
      </c>
      <c r="J9" t="inlineStr">
        <is>
          <t>Yes</t>
        </is>
      </c>
      <c r="K9" t="inlineStr">
        <is>
          <t>Not Started</t>
        </is>
      </c>
      <c r="L9" t="inlineStr">
        <is>
          <t>Not Started</t>
        </is>
      </c>
      <c r="M9" t="inlineStr">
        <is>
          <t>Not Started</t>
        </is>
      </c>
      <c r="N9" t="inlineStr"/>
    </row>
    <row r="10">
      <c r="A10">
        <f>IFERROR(INDEX('Prioritization Scoring'!$Y$3:$Y$40,6),"")</f>
        <v/>
      </c>
      <c r="B10">
        <f>IFERROR(INDEX('Building Inventory'!$B$2:$B$39,MATCH(6,'Prioritization Scoring'!$Y$3:$Y$40,0)),"")</f>
        <v/>
      </c>
      <c r="C10">
        <f>IFERROR(INDEX('Building Inventory'!$E$2:$E$39,MATCH(6,'Prioritization Scoring'!$Y$3:$Y$40,0)),"")</f>
        <v/>
      </c>
      <c r="D10">
        <f>C10*2</f>
        <v/>
      </c>
      <c r="E10" s="10">
        <f>C10*1200</f>
        <v/>
      </c>
      <c r="F10" s="10">
        <f>IFERROR(INDEX('Value Calculations'!$AN$3:$AN$40,MATCH(6,'Prioritization Scoring'!$Y$3:$Y$40,0)),"")</f>
        <v/>
      </c>
      <c r="G10" s="6">
        <f>IF(F10&gt;0,E10/F10,"")</f>
        <v/>
      </c>
      <c r="H10" t="inlineStr">
        <is>
          <t>Q2</t>
        </is>
      </c>
      <c r="I10">
        <f>IFERROR(INDEX('Building Inventory'!$L$2:$L$39,MATCH(6,'Prioritization Scoring'!$Y$3:$Y$40,0)),"")</f>
        <v/>
      </c>
      <c r="J10" t="inlineStr">
        <is>
          <t>Yes</t>
        </is>
      </c>
      <c r="K10" t="inlineStr">
        <is>
          <t>Not Started</t>
        </is>
      </c>
      <c r="L10" t="inlineStr">
        <is>
          <t>Not Started</t>
        </is>
      </c>
      <c r="M10" t="inlineStr">
        <is>
          <t>Not Started</t>
        </is>
      </c>
      <c r="N10" t="inlineStr"/>
    </row>
    <row r="11">
      <c r="A11">
        <f>IFERROR(INDEX('Prioritization Scoring'!$Y$3:$Y$40,7),"")</f>
        <v/>
      </c>
      <c r="B11">
        <f>IFERROR(INDEX('Building Inventory'!$B$2:$B$39,MATCH(7,'Prioritization Scoring'!$Y$3:$Y$40,0)),"")</f>
        <v/>
      </c>
      <c r="C11">
        <f>IFERROR(INDEX('Building Inventory'!$E$2:$E$39,MATCH(7,'Prioritization Scoring'!$Y$3:$Y$40,0)),"")</f>
        <v/>
      </c>
      <c r="D11">
        <f>C11*2</f>
        <v/>
      </c>
      <c r="E11" s="10">
        <f>C11*1200</f>
        <v/>
      </c>
      <c r="F11" s="10">
        <f>IFERROR(INDEX('Value Calculations'!$AN$3:$AN$40,MATCH(7,'Prioritization Scoring'!$Y$3:$Y$40,0)),"")</f>
        <v/>
      </c>
      <c r="G11" s="6">
        <f>IF(F11&gt;0,E11/F11,"")</f>
        <v/>
      </c>
      <c r="H11" t="inlineStr">
        <is>
          <t>Q3</t>
        </is>
      </c>
      <c r="I11">
        <f>IFERROR(INDEX('Building Inventory'!$L$2:$L$39,MATCH(7,'Prioritization Scoring'!$Y$3:$Y$40,0)),"")</f>
        <v/>
      </c>
      <c r="J11" t="inlineStr">
        <is>
          <t>Yes</t>
        </is>
      </c>
      <c r="K11" t="inlineStr">
        <is>
          <t>Not Started</t>
        </is>
      </c>
      <c r="L11" t="inlineStr">
        <is>
          <t>Not Started</t>
        </is>
      </c>
      <c r="M11" t="inlineStr">
        <is>
          <t>Not Started</t>
        </is>
      </c>
      <c r="N11" t="inlineStr"/>
    </row>
    <row r="12">
      <c r="A12">
        <f>IFERROR(INDEX('Prioritization Scoring'!$Y$3:$Y$40,8),"")</f>
        <v/>
      </c>
      <c r="B12">
        <f>IFERROR(INDEX('Building Inventory'!$B$2:$B$39,MATCH(8,'Prioritization Scoring'!$Y$3:$Y$40,0)),"")</f>
        <v/>
      </c>
      <c r="C12">
        <f>IFERROR(INDEX('Building Inventory'!$E$2:$E$39,MATCH(8,'Prioritization Scoring'!$Y$3:$Y$40,0)),"")</f>
        <v/>
      </c>
      <c r="D12">
        <f>C12*2</f>
        <v/>
      </c>
      <c r="E12" s="10">
        <f>C12*1200</f>
        <v/>
      </c>
      <c r="F12" s="10">
        <f>IFERROR(INDEX('Value Calculations'!$AN$3:$AN$40,MATCH(8,'Prioritization Scoring'!$Y$3:$Y$40,0)),"")</f>
        <v/>
      </c>
      <c r="G12" s="6">
        <f>IF(F12&gt;0,E12/F12,"")</f>
        <v/>
      </c>
      <c r="H12" t="inlineStr">
        <is>
          <t>Q3</t>
        </is>
      </c>
      <c r="I12">
        <f>IFERROR(INDEX('Building Inventory'!$L$2:$L$39,MATCH(8,'Prioritization Scoring'!$Y$3:$Y$40,0)),"")</f>
        <v/>
      </c>
      <c r="J12" t="inlineStr">
        <is>
          <t>Yes</t>
        </is>
      </c>
      <c r="K12" t="inlineStr">
        <is>
          <t>Not Started</t>
        </is>
      </c>
      <c r="L12" t="inlineStr">
        <is>
          <t>Not Started</t>
        </is>
      </c>
      <c r="M12" t="inlineStr">
        <is>
          <t>Not Started</t>
        </is>
      </c>
      <c r="N12" t="inlineStr"/>
    </row>
    <row r="13">
      <c r="A13">
        <f>IFERROR(INDEX('Prioritization Scoring'!$Y$3:$Y$40,9),"")</f>
        <v/>
      </c>
      <c r="B13">
        <f>IFERROR(INDEX('Building Inventory'!$B$2:$B$39,MATCH(9,'Prioritization Scoring'!$Y$3:$Y$40,0)),"")</f>
        <v/>
      </c>
      <c r="C13">
        <f>IFERROR(INDEX('Building Inventory'!$E$2:$E$39,MATCH(9,'Prioritization Scoring'!$Y$3:$Y$40,0)),"")</f>
        <v/>
      </c>
      <c r="D13">
        <f>C13*2</f>
        <v/>
      </c>
      <c r="E13" s="10">
        <f>C13*1200</f>
        <v/>
      </c>
      <c r="F13" s="10">
        <f>IFERROR(INDEX('Value Calculations'!$AN$3:$AN$40,MATCH(9,'Prioritization Scoring'!$Y$3:$Y$40,0)),"")</f>
        <v/>
      </c>
      <c r="G13" s="6">
        <f>IF(F13&gt;0,E13/F13,"")</f>
        <v/>
      </c>
      <c r="H13" t="inlineStr">
        <is>
          <t>Q3</t>
        </is>
      </c>
      <c r="I13">
        <f>IFERROR(INDEX('Building Inventory'!$L$2:$L$39,MATCH(9,'Prioritization Scoring'!$Y$3:$Y$40,0)),"")</f>
        <v/>
      </c>
      <c r="J13" t="inlineStr">
        <is>
          <t>Yes</t>
        </is>
      </c>
      <c r="K13" t="inlineStr">
        <is>
          <t>Not Started</t>
        </is>
      </c>
      <c r="L13" t="inlineStr">
        <is>
          <t>Not Started</t>
        </is>
      </c>
      <c r="M13" t="inlineStr">
        <is>
          <t>Not Started</t>
        </is>
      </c>
      <c r="N13" t="inlineStr"/>
    </row>
    <row r="14">
      <c r="A14">
        <f>IFERROR(INDEX('Prioritization Scoring'!$Y$3:$Y$40,10),"")</f>
        <v/>
      </c>
      <c r="B14">
        <f>IFERROR(INDEX('Building Inventory'!$B$2:$B$39,MATCH(10,'Prioritization Scoring'!$Y$3:$Y$40,0)),"")</f>
        <v/>
      </c>
      <c r="C14">
        <f>IFERROR(INDEX('Building Inventory'!$E$2:$E$39,MATCH(10,'Prioritization Scoring'!$Y$3:$Y$40,0)),"")</f>
        <v/>
      </c>
      <c r="D14">
        <f>C14*2</f>
        <v/>
      </c>
      <c r="E14" s="10">
        <f>C14*1200</f>
        <v/>
      </c>
      <c r="F14" s="10">
        <f>IFERROR(INDEX('Value Calculations'!$AN$3:$AN$40,MATCH(10,'Prioritization Scoring'!$Y$3:$Y$40,0)),"")</f>
        <v/>
      </c>
      <c r="G14" s="6">
        <f>IF(F14&gt;0,E14/F14,"")</f>
        <v/>
      </c>
      <c r="H14" t="inlineStr">
        <is>
          <t>Q4</t>
        </is>
      </c>
      <c r="I14">
        <f>IFERROR(INDEX('Building Inventory'!$L$2:$L$39,MATCH(10,'Prioritization Scoring'!$Y$3:$Y$40,0)),"")</f>
        <v/>
      </c>
      <c r="J14" t="inlineStr">
        <is>
          <t>Yes</t>
        </is>
      </c>
      <c r="K14" t="inlineStr">
        <is>
          <t>Not Started</t>
        </is>
      </c>
      <c r="L14" t="inlineStr">
        <is>
          <t>Not Started</t>
        </is>
      </c>
      <c r="M14" t="inlineStr">
        <is>
          <t>Not Started</t>
        </is>
      </c>
      <c r="N14" t="inlineStr"/>
    </row>
    <row r="16">
      <c r="A16" s="20" t="inlineStr">
        <is>
          <t>Phase 1 Totals:</t>
        </is>
      </c>
      <c r="C16">
        <f>SUM(C5:C14)</f>
        <v/>
      </c>
      <c r="D16">
        <f>SUM(D5:D14)</f>
        <v/>
      </c>
      <c r="E16">
        <f>SUM(E5:E14)</f>
        <v/>
      </c>
      <c r="F16">
        <f>SUM(F5:F14)</f>
        <v/>
      </c>
      <c r="G16">
        <f>AVERAGE(G5:G14)</f>
        <v/>
      </c>
    </row>
    <row r="18">
      <c r="A18" s="31" t="inlineStr">
        <is>
          <t>PHASE 2: STRATEGIC EXPANSION (Year 2-3)</t>
        </is>
      </c>
    </row>
    <row r="19">
      <c r="A19" s="13" t="inlineStr">
        <is>
          <t>Rank</t>
        </is>
      </c>
      <c r="B19" s="13" t="inlineStr">
        <is>
          <t>Building</t>
        </is>
      </c>
      <c r="C19" s="13" t="inlineStr">
        <is>
          <t>BESS (kW)</t>
        </is>
      </c>
      <c r="D19" s="13" t="inlineStr">
        <is>
          <t>Battery (kWh)</t>
        </is>
      </c>
      <c r="E19" s="13" t="inlineStr">
        <is>
          <t>CAPEX ($)</t>
        </is>
      </c>
      <c r="F19" s="13" t="inlineStr">
        <is>
          <t>Annual Rev ($)</t>
        </is>
      </c>
      <c r="G19" s="13" t="inlineStr">
        <is>
          <t>Payback (yrs)</t>
        </is>
      </c>
      <c r="H19" s="13" t="inlineStr">
        <is>
          <t>Deploy Quarter</t>
        </is>
      </c>
      <c r="I19" s="13" t="inlineStr">
        <is>
          <t>Feeder</t>
        </is>
      </c>
      <c r="J19" s="13" t="inlineStr">
        <is>
          <t>CPS Coord</t>
        </is>
      </c>
      <c r="K19" s="13" t="inlineStr">
        <is>
          <t>Site Survey</t>
        </is>
      </c>
      <c r="L19" s="13" t="inlineStr">
        <is>
          <t>Design</t>
        </is>
      </c>
      <c r="M19" s="13" t="inlineStr">
        <is>
          <t>Permit</t>
        </is>
      </c>
      <c r="N19" s="13" t="inlineStr">
        <is>
          <t>Commission Date</t>
        </is>
      </c>
    </row>
    <row r="20">
      <c r="A20">
        <f>IFERROR(INDEX('Prioritization Scoring'!$Y$3:$Y$40,11),"")</f>
        <v/>
      </c>
      <c r="B20">
        <f>IFERROR(INDEX('Building Inventory'!$B$2:$B$39,MATCH(11,'Prioritization Scoring'!$Y$3:$Y$40,0)),"")</f>
        <v/>
      </c>
      <c r="C20">
        <f>IFERROR(INDEX('Building Inventory'!$E$2:$E$39,MATCH(11,'Prioritization Scoring'!$Y$3:$Y$40,0)),"")</f>
        <v/>
      </c>
      <c r="D20">
        <f>C20*2</f>
        <v/>
      </c>
      <c r="E20" s="10">
        <f>C20*1200</f>
        <v/>
      </c>
      <c r="F20" s="10">
        <f>IFERROR(INDEX('Value Calculations'!$AN$3:$AN$40,MATCH(11,'Prioritization Scoring'!$Y$3:$Y$40,0)),"")</f>
        <v/>
      </c>
      <c r="G20" s="6">
        <f>IF(F20&gt;0,E20/F20,"")</f>
        <v/>
      </c>
      <c r="H20" t="inlineStr">
        <is>
          <t>TBD</t>
        </is>
      </c>
      <c r="I20">
        <f>IFERROR(INDEX('Building Inventory'!$L$2:$L$39,MATCH(11,'Prioritization Scoring'!$Y$3:$Y$40,0)),"")</f>
        <v/>
      </c>
      <c r="J20" t="inlineStr">
        <is>
          <t>Pending</t>
        </is>
      </c>
      <c r="K20" t="inlineStr">
        <is>
          <t>Not Started</t>
        </is>
      </c>
      <c r="L20" t="inlineStr">
        <is>
          <t>Not Started</t>
        </is>
      </c>
      <c r="M20" t="inlineStr">
        <is>
          <t>Not Started</t>
        </is>
      </c>
      <c r="N20" t="inlineStr"/>
    </row>
    <row r="21">
      <c r="A21">
        <f>IFERROR(INDEX('Prioritization Scoring'!$Y$3:$Y$40,12),"")</f>
        <v/>
      </c>
      <c r="B21">
        <f>IFERROR(INDEX('Building Inventory'!$B$2:$B$39,MATCH(12,'Prioritization Scoring'!$Y$3:$Y$40,0)),"")</f>
        <v/>
      </c>
      <c r="C21">
        <f>IFERROR(INDEX('Building Inventory'!$E$2:$E$39,MATCH(12,'Prioritization Scoring'!$Y$3:$Y$40,0)),"")</f>
        <v/>
      </c>
      <c r="D21">
        <f>C21*2</f>
        <v/>
      </c>
      <c r="E21" s="10">
        <f>C21*1200</f>
        <v/>
      </c>
      <c r="F21" s="10">
        <f>IFERROR(INDEX('Value Calculations'!$AN$3:$AN$40,MATCH(12,'Prioritization Scoring'!$Y$3:$Y$40,0)),"")</f>
        <v/>
      </c>
      <c r="G21" s="6">
        <f>IF(F21&gt;0,E21/F21,"")</f>
        <v/>
      </c>
      <c r="H21" t="inlineStr">
        <is>
          <t>TBD</t>
        </is>
      </c>
      <c r="I21">
        <f>IFERROR(INDEX('Building Inventory'!$L$2:$L$39,MATCH(12,'Prioritization Scoring'!$Y$3:$Y$40,0)),"")</f>
        <v/>
      </c>
      <c r="J21" t="inlineStr">
        <is>
          <t>Pending</t>
        </is>
      </c>
      <c r="K21" t="inlineStr">
        <is>
          <t>Not Started</t>
        </is>
      </c>
      <c r="L21" t="inlineStr">
        <is>
          <t>Not Started</t>
        </is>
      </c>
      <c r="M21" t="inlineStr">
        <is>
          <t>Not Started</t>
        </is>
      </c>
      <c r="N21" t="inlineStr"/>
    </row>
    <row r="22">
      <c r="A22">
        <f>IFERROR(INDEX('Prioritization Scoring'!$Y$3:$Y$40,13),"")</f>
        <v/>
      </c>
      <c r="B22">
        <f>IFERROR(INDEX('Building Inventory'!$B$2:$B$39,MATCH(13,'Prioritization Scoring'!$Y$3:$Y$40,0)),"")</f>
        <v/>
      </c>
      <c r="C22">
        <f>IFERROR(INDEX('Building Inventory'!$E$2:$E$39,MATCH(13,'Prioritization Scoring'!$Y$3:$Y$40,0)),"")</f>
        <v/>
      </c>
      <c r="D22">
        <f>C22*2</f>
        <v/>
      </c>
      <c r="E22" s="10">
        <f>C22*1200</f>
        <v/>
      </c>
      <c r="F22" s="10">
        <f>IFERROR(INDEX('Value Calculations'!$AN$3:$AN$40,MATCH(13,'Prioritization Scoring'!$Y$3:$Y$40,0)),"")</f>
        <v/>
      </c>
      <c r="G22" s="6">
        <f>IF(F22&gt;0,E22/F22,"")</f>
        <v/>
      </c>
      <c r="H22" t="inlineStr">
        <is>
          <t>TBD</t>
        </is>
      </c>
      <c r="I22">
        <f>IFERROR(INDEX('Building Inventory'!$L$2:$L$39,MATCH(13,'Prioritization Scoring'!$Y$3:$Y$40,0)),"")</f>
        <v/>
      </c>
      <c r="J22" t="inlineStr">
        <is>
          <t>Pending</t>
        </is>
      </c>
      <c r="K22" t="inlineStr">
        <is>
          <t>Not Started</t>
        </is>
      </c>
      <c r="L22" t="inlineStr">
        <is>
          <t>Not Started</t>
        </is>
      </c>
      <c r="M22" t="inlineStr">
        <is>
          <t>Not Started</t>
        </is>
      </c>
      <c r="N22" t="inlineStr"/>
    </row>
    <row r="23">
      <c r="A23">
        <f>IFERROR(INDEX('Prioritization Scoring'!$Y$3:$Y$40,14),"")</f>
        <v/>
      </c>
      <c r="B23">
        <f>IFERROR(INDEX('Building Inventory'!$B$2:$B$39,MATCH(14,'Prioritization Scoring'!$Y$3:$Y$40,0)),"")</f>
        <v/>
      </c>
      <c r="C23">
        <f>IFERROR(INDEX('Building Inventory'!$E$2:$E$39,MATCH(14,'Prioritization Scoring'!$Y$3:$Y$40,0)),"")</f>
        <v/>
      </c>
      <c r="D23">
        <f>C23*2</f>
        <v/>
      </c>
      <c r="E23" s="10">
        <f>C23*1200</f>
        <v/>
      </c>
      <c r="F23" s="10">
        <f>IFERROR(INDEX('Value Calculations'!$AN$3:$AN$40,MATCH(14,'Prioritization Scoring'!$Y$3:$Y$40,0)),"")</f>
        <v/>
      </c>
      <c r="G23" s="6">
        <f>IF(F23&gt;0,E23/F23,"")</f>
        <v/>
      </c>
      <c r="H23" t="inlineStr">
        <is>
          <t>TBD</t>
        </is>
      </c>
      <c r="I23">
        <f>IFERROR(INDEX('Building Inventory'!$L$2:$L$39,MATCH(14,'Prioritization Scoring'!$Y$3:$Y$40,0)),"")</f>
        <v/>
      </c>
      <c r="J23" t="inlineStr">
        <is>
          <t>Pending</t>
        </is>
      </c>
      <c r="K23" t="inlineStr">
        <is>
          <t>Not Started</t>
        </is>
      </c>
      <c r="L23" t="inlineStr">
        <is>
          <t>Not Started</t>
        </is>
      </c>
      <c r="M23" t="inlineStr">
        <is>
          <t>Not Started</t>
        </is>
      </c>
      <c r="N23" t="inlineStr"/>
    </row>
    <row r="24">
      <c r="A24">
        <f>IFERROR(INDEX('Prioritization Scoring'!$Y$3:$Y$40,15),"")</f>
        <v/>
      </c>
      <c r="B24">
        <f>IFERROR(INDEX('Building Inventory'!$B$2:$B$39,MATCH(15,'Prioritization Scoring'!$Y$3:$Y$40,0)),"")</f>
        <v/>
      </c>
      <c r="C24">
        <f>IFERROR(INDEX('Building Inventory'!$E$2:$E$39,MATCH(15,'Prioritization Scoring'!$Y$3:$Y$40,0)),"")</f>
        <v/>
      </c>
      <c r="D24">
        <f>C24*2</f>
        <v/>
      </c>
      <c r="E24" s="10">
        <f>C24*1200</f>
        <v/>
      </c>
      <c r="F24" s="10">
        <f>IFERROR(INDEX('Value Calculations'!$AN$3:$AN$40,MATCH(15,'Prioritization Scoring'!$Y$3:$Y$40,0)),"")</f>
        <v/>
      </c>
      <c r="G24" s="6">
        <f>IF(F24&gt;0,E24/F24,"")</f>
        <v/>
      </c>
      <c r="H24" t="inlineStr">
        <is>
          <t>TBD</t>
        </is>
      </c>
      <c r="I24">
        <f>IFERROR(INDEX('Building Inventory'!$L$2:$L$39,MATCH(15,'Prioritization Scoring'!$Y$3:$Y$40,0)),"")</f>
        <v/>
      </c>
      <c r="J24" t="inlineStr">
        <is>
          <t>Pending</t>
        </is>
      </c>
      <c r="K24" t="inlineStr">
        <is>
          <t>Not Started</t>
        </is>
      </c>
      <c r="L24" t="inlineStr">
        <is>
          <t>Not Started</t>
        </is>
      </c>
      <c r="M24" t="inlineStr">
        <is>
          <t>Not Started</t>
        </is>
      </c>
      <c r="N24" t="inlineStr"/>
    </row>
    <row r="25">
      <c r="A25">
        <f>IFERROR(INDEX('Prioritization Scoring'!$Y$3:$Y$40,16),"")</f>
        <v/>
      </c>
      <c r="B25">
        <f>IFERROR(INDEX('Building Inventory'!$B$2:$B$39,MATCH(16,'Prioritization Scoring'!$Y$3:$Y$40,0)),"")</f>
        <v/>
      </c>
      <c r="C25">
        <f>IFERROR(INDEX('Building Inventory'!$E$2:$E$39,MATCH(16,'Prioritization Scoring'!$Y$3:$Y$40,0)),"")</f>
        <v/>
      </c>
      <c r="D25">
        <f>C25*2</f>
        <v/>
      </c>
      <c r="E25" s="10">
        <f>C25*1200</f>
        <v/>
      </c>
      <c r="F25" s="10">
        <f>IFERROR(INDEX('Value Calculations'!$AN$3:$AN$40,MATCH(16,'Prioritization Scoring'!$Y$3:$Y$40,0)),"")</f>
        <v/>
      </c>
      <c r="G25" s="6">
        <f>IF(F25&gt;0,E25/F25,"")</f>
        <v/>
      </c>
      <c r="H25" t="inlineStr">
        <is>
          <t>TBD</t>
        </is>
      </c>
      <c r="I25">
        <f>IFERROR(INDEX('Building Inventory'!$L$2:$L$39,MATCH(16,'Prioritization Scoring'!$Y$3:$Y$40,0)),"")</f>
        <v/>
      </c>
      <c r="J25" t="inlineStr">
        <is>
          <t>Pending</t>
        </is>
      </c>
      <c r="K25" t="inlineStr">
        <is>
          <t>Not Started</t>
        </is>
      </c>
      <c r="L25" t="inlineStr">
        <is>
          <t>Not Started</t>
        </is>
      </c>
      <c r="M25" t="inlineStr">
        <is>
          <t>Not Started</t>
        </is>
      </c>
      <c r="N25" t="inlineStr"/>
    </row>
    <row r="26">
      <c r="A26">
        <f>IFERROR(INDEX('Prioritization Scoring'!$Y$3:$Y$40,17),"")</f>
        <v/>
      </c>
      <c r="B26">
        <f>IFERROR(INDEX('Building Inventory'!$B$2:$B$39,MATCH(17,'Prioritization Scoring'!$Y$3:$Y$40,0)),"")</f>
        <v/>
      </c>
      <c r="C26">
        <f>IFERROR(INDEX('Building Inventory'!$E$2:$E$39,MATCH(17,'Prioritization Scoring'!$Y$3:$Y$40,0)),"")</f>
        <v/>
      </c>
      <c r="D26">
        <f>C26*2</f>
        <v/>
      </c>
      <c r="E26" s="10">
        <f>C26*1200</f>
        <v/>
      </c>
      <c r="F26" s="10">
        <f>IFERROR(INDEX('Value Calculations'!$AN$3:$AN$40,MATCH(17,'Prioritization Scoring'!$Y$3:$Y$40,0)),"")</f>
        <v/>
      </c>
      <c r="G26" s="6">
        <f>IF(F26&gt;0,E26/F26,"")</f>
        <v/>
      </c>
      <c r="H26" t="inlineStr">
        <is>
          <t>TBD</t>
        </is>
      </c>
      <c r="I26">
        <f>IFERROR(INDEX('Building Inventory'!$L$2:$L$39,MATCH(17,'Prioritization Scoring'!$Y$3:$Y$40,0)),"")</f>
        <v/>
      </c>
      <c r="J26" t="inlineStr">
        <is>
          <t>Pending</t>
        </is>
      </c>
      <c r="K26" t="inlineStr">
        <is>
          <t>Not Started</t>
        </is>
      </c>
      <c r="L26" t="inlineStr">
        <is>
          <t>Not Started</t>
        </is>
      </c>
      <c r="M26" t="inlineStr">
        <is>
          <t>Not Started</t>
        </is>
      </c>
      <c r="N26" t="inlineStr"/>
    </row>
    <row r="27">
      <c r="A27">
        <f>IFERROR(INDEX('Prioritization Scoring'!$Y$3:$Y$40,18),"")</f>
        <v/>
      </c>
      <c r="B27">
        <f>IFERROR(INDEX('Building Inventory'!$B$2:$B$39,MATCH(18,'Prioritization Scoring'!$Y$3:$Y$40,0)),"")</f>
        <v/>
      </c>
      <c r="C27">
        <f>IFERROR(INDEX('Building Inventory'!$E$2:$E$39,MATCH(18,'Prioritization Scoring'!$Y$3:$Y$40,0)),"")</f>
        <v/>
      </c>
      <c r="D27">
        <f>C27*2</f>
        <v/>
      </c>
      <c r="E27" s="10">
        <f>C27*1200</f>
        <v/>
      </c>
      <c r="F27" s="10">
        <f>IFERROR(INDEX('Value Calculations'!$AN$3:$AN$40,MATCH(18,'Prioritization Scoring'!$Y$3:$Y$40,0)),"")</f>
        <v/>
      </c>
      <c r="G27" s="6">
        <f>IF(F27&gt;0,E27/F27,"")</f>
        <v/>
      </c>
      <c r="H27" t="inlineStr">
        <is>
          <t>TBD</t>
        </is>
      </c>
      <c r="I27">
        <f>IFERROR(INDEX('Building Inventory'!$L$2:$L$39,MATCH(18,'Prioritization Scoring'!$Y$3:$Y$40,0)),"")</f>
        <v/>
      </c>
      <c r="J27" t="inlineStr">
        <is>
          <t>Pending</t>
        </is>
      </c>
      <c r="K27" t="inlineStr">
        <is>
          <t>Not Started</t>
        </is>
      </c>
      <c r="L27" t="inlineStr">
        <is>
          <t>Not Started</t>
        </is>
      </c>
      <c r="M27" t="inlineStr">
        <is>
          <t>Not Started</t>
        </is>
      </c>
      <c r="N27" t="inlineStr"/>
    </row>
    <row r="28">
      <c r="A28">
        <f>IFERROR(INDEX('Prioritization Scoring'!$Y$3:$Y$40,19),"")</f>
        <v/>
      </c>
      <c r="B28">
        <f>IFERROR(INDEX('Building Inventory'!$B$2:$B$39,MATCH(19,'Prioritization Scoring'!$Y$3:$Y$40,0)),"")</f>
        <v/>
      </c>
      <c r="C28">
        <f>IFERROR(INDEX('Building Inventory'!$E$2:$E$39,MATCH(19,'Prioritization Scoring'!$Y$3:$Y$40,0)),"")</f>
        <v/>
      </c>
      <c r="D28">
        <f>C28*2</f>
        <v/>
      </c>
      <c r="E28" s="10">
        <f>C28*1200</f>
        <v/>
      </c>
      <c r="F28" s="10">
        <f>IFERROR(INDEX('Value Calculations'!$AN$3:$AN$40,MATCH(19,'Prioritization Scoring'!$Y$3:$Y$40,0)),"")</f>
        <v/>
      </c>
      <c r="G28" s="6">
        <f>IF(F28&gt;0,E28/F28,"")</f>
        <v/>
      </c>
      <c r="H28" t="inlineStr">
        <is>
          <t>TBD</t>
        </is>
      </c>
      <c r="I28">
        <f>IFERROR(INDEX('Building Inventory'!$L$2:$L$39,MATCH(19,'Prioritization Scoring'!$Y$3:$Y$40,0)),"")</f>
        <v/>
      </c>
      <c r="J28" t="inlineStr">
        <is>
          <t>Pending</t>
        </is>
      </c>
      <c r="K28" t="inlineStr">
        <is>
          <t>Not Started</t>
        </is>
      </c>
      <c r="L28" t="inlineStr">
        <is>
          <t>Not Started</t>
        </is>
      </c>
      <c r="M28" t="inlineStr">
        <is>
          <t>Not Started</t>
        </is>
      </c>
      <c r="N28" t="inlineStr"/>
    </row>
    <row r="29">
      <c r="A29">
        <f>IFERROR(INDEX('Prioritization Scoring'!$Y$3:$Y$40,20),"")</f>
        <v/>
      </c>
      <c r="B29">
        <f>IFERROR(INDEX('Building Inventory'!$B$2:$B$39,MATCH(20,'Prioritization Scoring'!$Y$3:$Y$40,0)),"")</f>
        <v/>
      </c>
      <c r="C29">
        <f>IFERROR(INDEX('Building Inventory'!$E$2:$E$39,MATCH(20,'Prioritization Scoring'!$Y$3:$Y$40,0)),"")</f>
        <v/>
      </c>
      <c r="D29">
        <f>C29*2</f>
        <v/>
      </c>
      <c r="E29" s="10">
        <f>C29*1200</f>
        <v/>
      </c>
      <c r="F29" s="10">
        <f>IFERROR(INDEX('Value Calculations'!$AN$3:$AN$40,MATCH(20,'Prioritization Scoring'!$Y$3:$Y$40,0)),"")</f>
        <v/>
      </c>
      <c r="G29" s="6">
        <f>IF(F29&gt;0,E29/F29,"")</f>
        <v/>
      </c>
      <c r="H29" t="inlineStr">
        <is>
          <t>TBD</t>
        </is>
      </c>
      <c r="I29">
        <f>IFERROR(INDEX('Building Inventory'!$L$2:$L$39,MATCH(20,'Prioritization Scoring'!$Y$3:$Y$40,0)),"")</f>
        <v/>
      </c>
      <c r="J29" t="inlineStr">
        <is>
          <t>Pending</t>
        </is>
      </c>
      <c r="K29" t="inlineStr">
        <is>
          <t>Not Started</t>
        </is>
      </c>
      <c r="L29" t="inlineStr">
        <is>
          <t>Not Started</t>
        </is>
      </c>
      <c r="M29" t="inlineStr">
        <is>
          <t>Not Started</t>
        </is>
      </c>
      <c r="N29" t="inlineStr"/>
    </row>
    <row r="30">
      <c r="A30">
        <f>IFERROR(INDEX('Prioritization Scoring'!$Y$3:$Y$40,21),"")</f>
        <v/>
      </c>
      <c r="B30">
        <f>IFERROR(INDEX('Building Inventory'!$B$2:$B$39,MATCH(21,'Prioritization Scoring'!$Y$3:$Y$40,0)),"")</f>
        <v/>
      </c>
      <c r="C30">
        <f>IFERROR(INDEX('Building Inventory'!$E$2:$E$39,MATCH(21,'Prioritization Scoring'!$Y$3:$Y$40,0)),"")</f>
        <v/>
      </c>
      <c r="D30">
        <f>C30*2</f>
        <v/>
      </c>
      <c r="E30" s="10">
        <f>C30*1200</f>
        <v/>
      </c>
      <c r="F30" s="10">
        <f>IFERROR(INDEX('Value Calculations'!$AN$3:$AN$40,MATCH(21,'Prioritization Scoring'!$Y$3:$Y$40,0)),"")</f>
        <v/>
      </c>
      <c r="G30" s="6">
        <f>IF(F30&gt;0,E30/F30,"")</f>
        <v/>
      </c>
      <c r="H30" t="inlineStr">
        <is>
          <t>TBD</t>
        </is>
      </c>
      <c r="I30">
        <f>IFERROR(INDEX('Building Inventory'!$L$2:$L$39,MATCH(21,'Prioritization Scoring'!$Y$3:$Y$40,0)),"")</f>
        <v/>
      </c>
      <c r="J30" t="inlineStr">
        <is>
          <t>Pending</t>
        </is>
      </c>
      <c r="K30" t="inlineStr">
        <is>
          <t>Not Started</t>
        </is>
      </c>
      <c r="L30" t="inlineStr">
        <is>
          <t>Not Started</t>
        </is>
      </c>
      <c r="M30" t="inlineStr">
        <is>
          <t>Not Started</t>
        </is>
      </c>
      <c r="N30" t="inlineStr"/>
    </row>
    <row r="31">
      <c r="A31">
        <f>IFERROR(INDEX('Prioritization Scoring'!$Y$3:$Y$40,22),"")</f>
        <v/>
      </c>
      <c r="B31">
        <f>IFERROR(INDEX('Building Inventory'!$B$2:$B$39,MATCH(22,'Prioritization Scoring'!$Y$3:$Y$40,0)),"")</f>
        <v/>
      </c>
      <c r="C31">
        <f>IFERROR(INDEX('Building Inventory'!$E$2:$E$39,MATCH(22,'Prioritization Scoring'!$Y$3:$Y$40,0)),"")</f>
        <v/>
      </c>
      <c r="D31">
        <f>C31*2</f>
        <v/>
      </c>
      <c r="E31" s="10">
        <f>C31*1200</f>
        <v/>
      </c>
      <c r="F31" s="10">
        <f>IFERROR(INDEX('Value Calculations'!$AN$3:$AN$40,MATCH(22,'Prioritization Scoring'!$Y$3:$Y$40,0)),"")</f>
        <v/>
      </c>
      <c r="G31" s="6">
        <f>IF(F31&gt;0,E31/F31,"")</f>
        <v/>
      </c>
      <c r="H31" t="inlineStr">
        <is>
          <t>TBD</t>
        </is>
      </c>
      <c r="I31">
        <f>IFERROR(INDEX('Building Inventory'!$L$2:$L$39,MATCH(22,'Prioritization Scoring'!$Y$3:$Y$40,0)),"")</f>
        <v/>
      </c>
      <c r="J31" t="inlineStr">
        <is>
          <t>Pending</t>
        </is>
      </c>
      <c r="K31" t="inlineStr">
        <is>
          <t>Not Started</t>
        </is>
      </c>
      <c r="L31" t="inlineStr">
        <is>
          <t>Not Started</t>
        </is>
      </c>
      <c r="M31" t="inlineStr">
        <is>
          <t>Not Started</t>
        </is>
      </c>
      <c r="N31" t="inlineStr"/>
    </row>
    <row r="32">
      <c r="A32">
        <f>IFERROR(INDEX('Prioritization Scoring'!$Y$3:$Y$40,23),"")</f>
        <v/>
      </c>
      <c r="B32">
        <f>IFERROR(INDEX('Building Inventory'!$B$2:$B$39,MATCH(23,'Prioritization Scoring'!$Y$3:$Y$40,0)),"")</f>
        <v/>
      </c>
      <c r="C32">
        <f>IFERROR(INDEX('Building Inventory'!$E$2:$E$39,MATCH(23,'Prioritization Scoring'!$Y$3:$Y$40,0)),"")</f>
        <v/>
      </c>
      <c r="D32">
        <f>C32*2</f>
        <v/>
      </c>
      <c r="E32" s="10">
        <f>C32*1200</f>
        <v/>
      </c>
      <c r="F32" s="10">
        <f>IFERROR(INDEX('Value Calculations'!$AN$3:$AN$40,MATCH(23,'Prioritization Scoring'!$Y$3:$Y$40,0)),"")</f>
        <v/>
      </c>
      <c r="G32" s="6">
        <f>IF(F32&gt;0,E32/F32,"")</f>
        <v/>
      </c>
      <c r="H32" t="inlineStr">
        <is>
          <t>TBD</t>
        </is>
      </c>
      <c r="I32">
        <f>IFERROR(INDEX('Building Inventory'!$L$2:$L$39,MATCH(23,'Prioritization Scoring'!$Y$3:$Y$40,0)),"")</f>
        <v/>
      </c>
      <c r="J32" t="inlineStr">
        <is>
          <t>Pending</t>
        </is>
      </c>
      <c r="K32" t="inlineStr">
        <is>
          <t>Not Started</t>
        </is>
      </c>
      <c r="L32" t="inlineStr">
        <is>
          <t>Not Started</t>
        </is>
      </c>
      <c r="M32" t="inlineStr">
        <is>
          <t>Not Started</t>
        </is>
      </c>
      <c r="N32" t="inlineStr"/>
    </row>
    <row r="33">
      <c r="A33">
        <f>IFERROR(INDEX('Prioritization Scoring'!$Y$3:$Y$40,24),"")</f>
        <v/>
      </c>
      <c r="B33">
        <f>IFERROR(INDEX('Building Inventory'!$B$2:$B$39,MATCH(24,'Prioritization Scoring'!$Y$3:$Y$40,0)),"")</f>
        <v/>
      </c>
      <c r="C33">
        <f>IFERROR(INDEX('Building Inventory'!$E$2:$E$39,MATCH(24,'Prioritization Scoring'!$Y$3:$Y$40,0)),"")</f>
        <v/>
      </c>
      <c r="D33">
        <f>C33*2</f>
        <v/>
      </c>
      <c r="E33" s="10">
        <f>C33*1200</f>
        <v/>
      </c>
      <c r="F33" s="10">
        <f>IFERROR(INDEX('Value Calculations'!$AN$3:$AN$40,MATCH(24,'Prioritization Scoring'!$Y$3:$Y$40,0)),"")</f>
        <v/>
      </c>
      <c r="G33" s="6">
        <f>IF(F33&gt;0,E33/F33,"")</f>
        <v/>
      </c>
      <c r="H33" t="inlineStr">
        <is>
          <t>TBD</t>
        </is>
      </c>
      <c r="I33">
        <f>IFERROR(INDEX('Building Inventory'!$L$2:$L$39,MATCH(24,'Prioritization Scoring'!$Y$3:$Y$40,0)),"")</f>
        <v/>
      </c>
      <c r="J33" t="inlineStr">
        <is>
          <t>Pending</t>
        </is>
      </c>
      <c r="K33" t="inlineStr">
        <is>
          <t>Not Started</t>
        </is>
      </c>
      <c r="L33" t="inlineStr">
        <is>
          <t>Not Started</t>
        </is>
      </c>
      <c r="M33" t="inlineStr">
        <is>
          <t>Not Started</t>
        </is>
      </c>
      <c r="N33" t="inlineStr"/>
    </row>
    <row r="34">
      <c r="A34">
        <f>IFERROR(INDEX('Prioritization Scoring'!$Y$3:$Y$40,25),"")</f>
        <v/>
      </c>
      <c r="B34">
        <f>IFERROR(INDEX('Building Inventory'!$B$2:$B$39,MATCH(25,'Prioritization Scoring'!$Y$3:$Y$40,0)),"")</f>
        <v/>
      </c>
      <c r="C34">
        <f>IFERROR(INDEX('Building Inventory'!$E$2:$E$39,MATCH(25,'Prioritization Scoring'!$Y$3:$Y$40,0)),"")</f>
        <v/>
      </c>
      <c r="D34">
        <f>C34*2</f>
        <v/>
      </c>
      <c r="E34" s="10">
        <f>C34*1200</f>
        <v/>
      </c>
      <c r="F34" s="10">
        <f>IFERROR(INDEX('Value Calculations'!$AN$3:$AN$40,MATCH(25,'Prioritization Scoring'!$Y$3:$Y$40,0)),"")</f>
        <v/>
      </c>
      <c r="G34" s="6">
        <f>IF(F34&gt;0,E34/F34,"")</f>
        <v/>
      </c>
      <c r="H34" t="inlineStr">
        <is>
          <t>TBD</t>
        </is>
      </c>
      <c r="I34">
        <f>IFERROR(INDEX('Building Inventory'!$L$2:$L$39,MATCH(25,'Prioritization Scoring'!$Y$3:$Y$40,0)),"")</f>
        <v/>
      </c>
      <c r="J34" t="inlineStr">
        <is>
          <t>Pending</t>
        </is>
      </c>
      <c r="K34" t="inlineStr">
        <is>
          <t>Not Started</t>
        </is>
      </c>
      <c r="L34" t="inlineStr">
        <is>
          <t>Not Started</t>
        </is>
      </c>
      <c r="M34" t="inlineStr">
        <is>
          <t>Not Started</t>
        </is>
      </c>
      <c r="N34" t="inlineStr"/>
    </row>
    <row r="35">
      <c r="A35" s="20" t="inlineStr">
        <is>
          <t>Phase 2 Totals:</t>
        </is>
      </c>
      <c r="C35">
        <f>SUM(C20:C34)</f>
        <v/>
      </c>
      <c r="D35">
        <f>SUM(D20:D34)</f>
        <v/>
      </c>
      <c r="E35">
        <f>SUM(E20:E34)</f>
        <v/>
      </c>
      <c r="F35">
        <f>SUM(F20:F34)</f>
        <v/>
      </c>
      <c r="G35">
        <f>AVERAGE(G20:G34)</f>
        <v/>
      </c>
    </row>
    <row r="37">
      <c r="A37" s="32" t="inlineStr">
        <is>
          <t>PHASE 3: FULL DEPLOYMENT (Year 3-5)</t>
        </is>
      </c>
    </row>
    <row r="38">
      <c r="A38" t="inlineStr">
        <is>
          <t>Buildings:</t>
        </is>
      </c>
      <c r="B38" t="inlineStr">
        <is>
          <t>Rank 26-38 (13 buildings)</t>
        </is>
      </c>
    </row>
    <row r="39">
      <c r="A39" t="inlineStr">
        <is>
          <t>Status:</t>
        </is>
      </c>
      <c r="B39" t="inlineStr">
        <is>
          <t>Pending Phase 1-2 completion</t>
        </is>
      </c>
    </row>
    <row r="42">
      <c r="A42" s="9" t="inlineStr">
        <is>
          <t>OVERALL PROJECT SUMMARY</t>
        </is>
      </c>
    </row>
    <row r="43">
      <c r="A43" s="13" t="inlineStr">
        <is>
          <t>Metric</t>
        </is>
      </c>
      <c r="B43" s="13" t="inlineStr">
        <is>
          <t>Phase 1</t>
        </is>
      </c>
      <c r="C43" s="13" t="inlineStr">
        <is>
          <t>Phase 2</t>
        </is>
      </c>
      <c r="D43" s="13" t="inlineStr">
        <is>
          <t>Phase 3</t>
        </is>
      </c>
      <c r="E43" s="13" t="inlineStr">
        <is>
          <t>TOTAL</t>
        </is>
      </c>
    </row>
    <row r="44">
      <c r="A44" t="inlineStr">
        <is>
          <t>Buildings</t>
        </is>
      </c>
      <c r="B44" s="4" t="n">
        <v>10</v>
      </c>
      <c r="C44" s="4" t="n">
        <v>15</v>
      </c>
      <c r="D44" s="4" t="n">
        <v>13</v>
      </c>
      <c r="E44" s="4" t="n">
        <v>38</v>
      </c>
    </row>
    <row r="45">
      <c r="A45" t="inlineStr">
        <is>
          <t>Capacity (MW)</t>
        </is>
      </c>
      <c r="B45" s="5">
        <f>C16/1000</f>
        <v/>
      </c>
      <c r="C45" s="5">
        <f>C35/1000</f>
        <v/>
      </c>
      <c r="D45" s="5">
        <f>D41-B41-C41</f>
        <v/>
      </c>
      <c r="E45" s="5">
        <f>SUM(B41:D41)</f>
        <v/>
      </c>
    </row>
    <row r="46">
      <c r="A46" t="inlineStr">
        <is>
          <t>CAPEX ($M)</t>
        </is>
      </c>
      <c r="B46" s="5">
        <f>E16/1000000</f>
        <v/>
      </c>
      <c r="C46" s="5">
        <f>E35/1000000</f>
        <v/>
      </c>
      <c r="D46" s="5">
        <f>D42*1.2*1000</f>
        <v/>
      </c>
      <c r="E46" s="5">
        <f>SUM(B42:D42)</f>
        <v/>
      </c>
    </row>
    <row r="47">
      <c r="A47" t="inlineStr">
        <is>
          <t>Annual Revenue ($M)</t>
        </is>
      </c>
      <c r="B47" s="6">
        <f>F16/1000000</f>
        <v/>
      </c>
      <c r="C47" s="6">
        <f>F35/1000000</f>
        <v/>
      </c>
      <c r="D47" s="6">
        <f>D43*0.45</f>
        <v/>
      </c>
      <c r="E47" s="6">
        <f>SUM(B43:D43)</f>
        <v/>
      </c>
    </row>
    <row r="48">
      <c r="A48" t="inlineStr">
        <is>
          <t>Avg Payback (years)</t>
        </is>
      </c>
      <c r="B48">
        <f>G16</f>
        <v/>
      </c>
      <c r="C48">
        <f>G35</f>
        <v/>
      </c>
      <c r="D48" t="n">
        <v>1.9</v>
      </c>
      <c r="E48">
        <f>(B44*B41+C44*C41+D44*D41)/(B41+C41+D41)</f>
        <v/>
      </c>
    </row>
    <row r="50">
      <c r="A50" t="inlineStr">
        <is>
          <t>Timeline</t>
        </is>
      </c>
      <c r="B50" t="inlineStr"/>
      <c r="C50" t="inlineStr"/>
      <c r="D50" t="inlineStr"/>
      <c r="E50" t="inlineStr"/>
    </row>
    <row r="51">
      <c r="A51" t="inlineStr">
        <is>
          <t>Start</t>
        </is>
      </c>
      <c r="B51" t="inlineStr">
        <is>
          <t>Q1-2026</t>
        </is>
      </c>
      <c r="C51" t="inlineStr">
        <is>
          <t>Q1-2027</t>
        </is>
      </c>
      <c r="D51" t="inlineStr">
        <is>
          <t>Q1-2028</t>
        </is>
      </c>
      <c r="E51" t="inlineStr"/>
    </row>
    <row r="52">
      <c r="A52" t="inlineStr">
        <is>
          <t>Complete</t>
        </is>
      </c>
      <c r="B52" t="inlineStr">
        <is>
          <t>Q4-2026</t>
        </is>
      </c>
      <c r="C52" t="inlineStr">
        <is>
          <t>Q4-2027</t>
        </is>
      </c>
      <c r="D52" t="inlineStr">
        <is>
          <t>Q4-2028</t>
        </is>
      </c>
      <c r="E52" t="inlineStr"/>
    </row>
  </sheetData>
  <mergeCells count="4">
    <mergeCell ref="A18:N18"/>
    <mergeCell ref="A37:N37"/>
    <mergeCell ref="A3:N3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2025-10-25T18:30:15Z</dcterms:created>
  <dcterms:modified xsi:type="dcterms:W3CDTF">2025-10-25T18:30:15Z</dcterms:modified>
</cp:coreProperties>
</file>