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talogue" sheetId="1" state="visible" r:id="rId2"/>
  </sheets>
  <definedNames>
    <definedName function="false" hidden="false" localSheetId="0" name="_xlnm.Print_Titles" vbProcedure="false">catalogue!$1:$4</definedName>
    <definedName function="false" hidden="true" localSheetId="0" name="_xlnm._FilterDatabase" vbProcedure="false">catalogue!$A$3:$Q$1753</definedName>
    <definedName function="false" hidden="false" name="disc" vbProcedure="false">catalogue!$Q$1</definedName>
    <definedName function="false" hidden="false" name="listedisc" vbProcedure="false">catalogue!$I$1:$L$1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<sst xmlns="http://schemas.openxmlformats.org/spreadsheetml/2006/main" count="7243" uniqueCount="1677">
  <si>
    <t xml:space="preserve">remise</t>
  </si>
  <si>
    <r>
      <rPr>
        <sz val="8"/>
        <rFont val="Arial"/>
        <family val="2"/>
      </rPr>
      <t xml:space="preserve">SARL JACQUES PREVOT ARTIFICES
17 RUE GLAPIGNY
52140 SARREY
03 25 90 32
</t>
    </r>
    <r>
      <rPr>
        <sz val="8"/>
        <color rgb="FF0000FF"/>
        <rFont val="Arial"/>
        <family val="2"/>
      </rPr>
      <t xml:space="preserve">commandepro@jacques-prevot.fr</t>
    </r>
  </si>
  <si>
    <t xml:space="preserve">07/06/2022</t>
  </si>
  <si>
    <t xml:space="preserve">référence</t>
  </si>
  <si>
    <t xml:space="preserve">calibre</t>
  </si>
  <si>
    <t xml:space="preserve">désignation</t>
  </si>
  <si>
    <t xml:space="preserve">n° certification</t>
  </si>
  <si>
    <t xml:space="preserve">catégorie</t>
  </si>
  <si>
    <t xml:space="preserve">masse m.a.</t>
  </si>
  <si>
    <t xml:space="preserve">durée</t>
  </si>
  <si>
    <t xml:space="preserve">d.s.</t>
  </si>
  <si>
    <t xml:space="preserve">nombre par carton</t>
  </si>
  <si>
    <t xml:space="preserve">cdt. de vente</t>
  </si>
  <si>
    <t xml:space="preserve">division de risque</t>
  </si>
  <si>
    <t xml:space="preserve">prix h.t.</t>
  </si>
  <si>
    <t xml:space="preserve">prix t.t.c.</t>
  </si>
  <si>
    <t xml:space="preserve">remisable</t>
  </si>
  <si>
    <t xml:space="preserve">en stock</t>
  </si>
  <si>
    <t xml:space="preserve">prochain arrivage</t>
  </si>
  <si>
    <t xml:space="preserve">BOMBE 50 MM</t>
  </si>
  <si>
    <t xml:space="preserve">chrysanthème</t>
  </si>
  <si>
    <t xml:space="preserve">bombe 50 mm chrysanthème bleu</t>
  </si>
  <si>
    <t xml:space="preserve">1646-f4-201-071-37</t>
  </si>
  <si>
    <t xml:space="preserve">f4</t>
  </si>
  <si>
    <t xml:space="preserve">1.3G</t>
  </si>
  <si>
    <t xml:space="preserve">oui</t>
  </si>
  <si>
    <t xml:space="preserve">non</t>
  </si>
  <si>
    <t xml:space="preserve">bombe 50 mm chrysanthème citron</t>
  </si>
  <si>
    <t xml:space="preserve">bombe 50 mm chrysanthème multicolore</t>
  </si>
  <si>
    <t xml:space="preserve">bombe 50 mm chrysanthème rose</t>
  </si>
  <si>
    <t xml:space="preserve">bombe 50 mm chrysanthème violette</t>
  </si>
  <si>
    <t xml:space="preserve">bombe 50 mm chrysanthème rouge</t>
  </si>
  <si>
    <t xml:space="preserve">bombe 50 mm chrysanthème blanche</t>
  </si>
  <si>
    <t xml:space="preserve">5 bombes 50 mm chrysanthème assorties</t>
  </si>
  <si>
    <t xml:space="preserve">crackling</t>
  </si>
  <si>
    <t xml:space="preserve">bombe 50 mm crackling kamuro</t>
  </si>
  <si>
    <t xml:space="preserve">2806-f4-001385</t>
  </si>
  <si>
    <t xml:space="preserve">plus que 43</t>
  </si>
  <si>
    <t xml:space="preserve">bombe 50 mm crackling argent</t>
  </si>
  <si>
    <t xml:space="preserve">bombe 50 mm crackling rouge</t>
  </si>
  <si>
    <t xml:space="preserve">bombe 50 mm crackling vert</t>
  </si>
  <si>
    <t xml:space="preserve">bombe 50 mm crackling violet</t>
  </si>
  <si>
    <t xml:space="preserve">bombe 50 mm crackling bleu</t>
  </si>
  <si>
    <t xml:space="preserve">bombe 50 mm crackling rose</t>
  </si>
  <si>
    <t xml:space="preserve">bombe 50 mm crackling multicolore</t>
  </si>
  <si>
    <t xml:space="preserve">plus que 1</t>
  </si>
  <si>
    <t xml:space="preserve">5 bombes 50 mm crackling assorties</t>
  </si>
  <si>
    <t xml:space="preserve">0163-f4-1782</t>
  </si>
  <si>
    <t xml:space="preserve">palme</t>
  </si>
  <si>
    <t xml:space="preserve">bombe 50 mm palme scintillant rouge et tronc</t>
  </si>
  <si>
    <t xml:space="preserve">1395-f4-0036/2019</t>
  </si>
  <si>
    <t xml:space="preserve">bombe 50 mm palme argent</t>
  </si>
  <si>
    <t xml:space="preserve">1395-f4-0037/2019</t>
  </si>
  <si>
    <t xml:space="preserve">bombe 50 mm palme scintillant argent</t>
  </si>
  <si>
    <t xml:space="preserve">bombe 50 mm palme scintillant multicolore</t>
  </si>
  <si>
    <t xml:space="preserve">à effets</t>
  </si>
  <si>
    <t xml:space="preserve">bombe 50 mm à effet cli. blanc</t>
  </si>
  <si>
    <t xml:space="preserve">bombe 50 mm kamuro longue durée</t>
  </si>
  <si>
    <t xml:space="preserve">bombe 50 mm kamuro à pointes multicolore</t>
  </si>
  <si>
    <t xml:space="preserve">bombe 50 mm à effet oeuf de dragon</t>
  </si>
  <si>
    <t xml:space="preserve">bombe 50 mm à effet cascade or</t>
  </si>
  <si>
    <t xml:space="preserve">bombe 50 mm à effet cli. rouge</t>
  </si>
  <si>
    <t xml:space="preserve">bombe 50 mm pivoine rose aqua citron</t>
  </si>
  <si>
    <t xml:space="preserve">plus que 6</t>
  </si>
  <si>
    <t xml:space="preserve">espagnole</t>
  </si>
  <si>
    <t xml:space="preserve">bombe 50 mm espagnole marron d'air</t>
  </si>
  <si>
    <t xml:space="preserve">0163-f4-4837</t>
  </si>
  <si>
    <t xml:space="preserve">BOMBE 75 MM</t>
  </si>
  <si>
    <t xml:space="preserve">supplétif</t>
  </si>
  <si>
    <t xml:space="preserve">(nouv.)</t>
  </si>
  <si>
    <t xml:space="preserve">bombe 75 mm pluie bleu (71298)</t>
  </si>
  <si>
    <t xml:space="preserve">1170-f4-02066</t>
  </si>
  <si>
    <t xml:space="preserve">bombe 75 mm palmier bleu (71300)</t>
  </si>
  <si>
    <t xml:space="preserve">bombe 75 mm pluie argent (71302)</t>
  </si>
  <si>
    <t xml:space="preserve">bombe 75 mm chrys or à argent (71305)</t>
  </si>
  <si>
    <t xml:space="preserve">bombe 75 mm chrys or à bleu (71306)</t>
  </si>
  <si>
    <t xml:space="preserve">bombe 75 mm pluie jaune (71313)</t>
  </si>
  <si>
    <t xml:space="preserve">bombe 75 mm comète violette (71640)</t>
  </si>
  <si>
    <t xml:space="preserve">2463-f4-0231</t>
  </si>
  <si>
    <t xml:space="preserve">bombe 75 mm kamuro (185T6/3)</t>
  </si>
  <si>
    <t xml:space="preserve">0163-f4-2452</t>
  </si>
  <si>
    <t xml:space="preserve">20/06/2022</t>
  </si>
  <si>
    <t xml:space="preserve">bombe 75 mm palme dorée traçante à pointes bleues (174T3/3)</t>
  </si>
  <si>
    <t xml:space="preserve">bombe 75 mm palme dorée traçante à pointes rouges (172T3/3)</t>
  </si>
  <si>
    <t xml:space="preserve">bombe 75 mm chrysantheme bleu centre doré (090/3)</t>
  </si>
  <si>
    <t xml:space="preserve">bombe 75 mm pyroprodukt 3-0966 super titan crackling willow w/crackling</t>
  </si>
  <si>
    <t xml:space="preserve">0589-f4-0291</t>
  </si>
  <si>
    <t xml:space="preserve">15/06/2022</t>
  </si>
  <si>
    <t xml:space="preserve">bombe 75 mm pyroprodukt 3-0309 cylindrique red glitter pistil w/sound ring</t>
  </si>
  <si>
    <t xml:space="preserve">0589-f4-0293</t>
  </si>
  <si>
    <t xml:space="preserve">bombe 75 mm palme dorée scintillante traçante (178T7/3)</t>
  </si>
  <si>
    <t xml:space="preserve">nautique</t>
  </si>
  <si>
    <t xml:space="preserve">bombe 75 mm nautique française multicolore (atpm)</t>
  </si>
  <si>
    <t xml:space="preserve">0080-f4-17-0060</t>
  </si>
  <si>
    <t xml:space="preserve">pivoine</t>
  </si>
  <si>
    <t xml:space="preserve">bombe 75 mm pivoine rose</t>
  </si>
  <si>
    <t xml:space="preserve">1646-f4-201-073-37</t>
  </si>
  <si>
    <t xml:space="preserve">bombe 75 mm pivoine verte</t>
  </si>
  <si>
    <t xml:space="preserve">bombe 75 mm pivoine rouge</t>
  </si>
  <si>
    <t xml:space="preserve">bombe 75 mm pivoine violette</t>
  </si>
  <si>
    <t xml:space="preserve">bombe 75 mm pivoine citron</t>
  </si>
  <si>
    <t xml:space="preserve">bombe 75 mm pivoine orange</t>
  </si>
  <si>
    <t xml:space="preserve">bombe 75 mm pivoine bleue</t>
  </si>
  <si>
    <t xml:space="preserve">bombe 75 mm pivoine argent</t>
  </si>
  <si>
    <t xml:space="preserve">bombe 75 mm pivoine or</t>
  </si>
  <si>
    <t xml:space="preserve">bombe 75 mm pivoine multicolore pastel</t>
  </si>
  <si>
    <t xml:space="preserve">plus que 3</t>
  </si>
  <si>
    <t xml:space="preserve">bombe 75 mm pivoine aqua</t>
  </si>
  <si>
    <t xml:space="preserve">5 bombes 75 mm pivoine assorties</t>
  </si>
  <si>
    <t xml:space="preserve">traçante</t>
  </si>
  <si>
    <t xml:space="preserve">bombe 75 mm traçante multicolore</t>
  </si>
  <si>
    <t xml:space="preserve">bombe 75 mm traçante aqua</t>
  </si>
  <si>
    <t xml:space="preserve">bombe 75 mm traçante or</t>
  </si>
  <si>
    <t xml:space="preserve">plus que 20</t>
  </si>
  <si>
    <t xml:space="preserve">bombe 75 mm traçante blanc</t>
  </si>
  <si>
    <t xml:space="preserve">bombe 75 mm traçante bleue</t>
  </si>
  <si>
    <t xml:space="preserve">bombe 75 mm traçante orange</t>
  </si>
  <si>
    <t xml:space="preserve">bombe 75 mm traçante citron</t>
  </si>
  <si>
    <t xml:space="preserve">bombe 75 mm traçante violette</t>
  </si>
  <si>
    <t xml:space="preserve">bombe 75 mm traçante rouge</t>
  </si>
  <si>
    <t xml:space="preserve">bombe 75 mm traçante vert</t>
  </si>
  <si>
    <t xml:space="preserve">bombe 75 mm traçante rose</t>
  </si>
  <si>
    <t xml:space="preserve">plus que 9</t>
  </si>
  <si>
    <t xml:space="preserve">5 bombes 75 mm traçantes assorties</t>
  </si>
  <si>
    <t xml:space="preserve">palmes</t>
  </si>
  <si>
    <t xml:space="preserve">bombe 75 mm palmes blanc</t>
  </si>
  <si>
    <t xml:space="preserve">1646-f4-201-075-37</t>
  </si>
  <si>
    <t xml:space="preserve">plus que 30</t>
  </si>
  <si>
    <t xml:space="preserve">bombe 75 mm palmes rouge</t>
  </si>
  <si>
    <t xml:space="preserve">bombe 75 mm palmes violettes</t>
  </si>
  <si>
    <t xml:space="preserve">bombe 75 mm palmes bleu</t>
  </si>
  <si>
    <t xml:space="preserve">plus que 4</t>
  </si>
  <si>
    <t xml:space="preserve">bombe 75 mm palmes rose</t>
  </si>
  <si>
    <t xml:space="preserve">bombe 75 mm palmes vert</t>
  </si>
  <si>
    <t xml:space="preserve">bombe 75 mm palmes or</t>
  </si>
  <si>
    <t xml:space="preserve">bombe 75 mm palmes multicolore</t>
  </si>
  <si>
    <t xml:space="preserve">5 bombes 75 mm palmes assorties</t>
  </si>
  <si>
    <t xml:space="preserve">à tronc</t>
  </si>
  <si>
    <t xml:space="preserve">bombe 75 mm à tronc pivoine bleue</t>
  </si>
  <si>
    <t xml:space="preserve">1646-f4-201-074-37</t>
  </si>
  <si>
    <t xml:space="preserve">bombe 75 mm à tronc pivoine citron</t>
  </si>
  <si>
    <t xml:space="preserve">plus que 2</t>
  </si>
  <si>
    <t xml:space="preserve">bombe 75 mm à tronc pivoine violette</t>
  </si>
  <si>
    <t xml:space="preserve">bombe 75 mm à tronc pivoine multicolore</t>
  </si>
  <si>
    <t xml:space="preserve">bombe 75 mm à tronc pivoine rose</t>
  </si>
  <si>
    <t xml:space="preserve">bombe 75 mm à tronc pivoine argent</t>
  </si>
  <si>
    <t xml:space="preserve">bombe 75 mm à tronc pivoine rouge</t>
  </si>
  <si>
    <t xml:space="preserve">bombe 75 mm à tronc saule kamuro</t>
  </si>
  <si>
    <t xml:space="preserve">5 bombes 75 mm à tronc assorties</t>
  </si>
  <si>
    <t xml:space="preserve">bombe 75 mm crackling rose</t>
  </si>
  <si>
    <t xml:space="preserve">1646-f4-201-076-37</t>
  </si>
  <si>
    <t xml:space="preserve">bombe 75 mm crackling bleu</t>
  </si>
  <si>
    <t xml:space="preserve">bombe 75 mm crackling citron</t>
  </si>
  <si>
    <t xml:space="preserve">bombe 75 mm crackling orange</t>
  </si>
  <si>
    <t xml:space="preserve">bombe 75 mm crackling verte</t>
  </si>
  <si>
    <t xml:space="preserve">bombe 75 mm crackling argent</t>
  </si>
  <si>
    <t xml:space="preserve">bombe 75 mm crackling or</t>
  </si>
  <si>
    <t xml:space="preserve">bombe 75 mm crackling violette</t>
  </si>
  <si>
    <t xml:space="preserve">bombe 75 mm crackling multicolore</t>
  </si>
  <si>
    <t xml:space="preserve">bombe 75 mm crackling rouge</t>
  </si>
  <si>
    <t xml:space="preserve">bombe 75 mm crackling kamuro</t>
  </si>
  <si>
    <t xml:space="preserve">5 bombes 75 mm crackling assorties</t>
  </si>
  <si>
    <t xml:space="preserve">cercle</t>
  </si>
  <si>
    <t xml:space="preserve">bombe 75 mm cercle multicolore</t>
  </si>
  <si>
    <t xml:space="preserve">1646-f4-201-077-37</t>
  </si>
  <si>
    <t xml:space="preserve">bombe 75 mm cercle rouge</t>
  </si>
  <si>
    <t xml:space="preserve">bombe 75 mm cercle blanc</t>
  </si>
  <si>
    <t xml:space="preserve">bombe 75 mm cercle violet</t>
  </si>
  <si>
    <t xml:space="preserve">bombe 75 mm cercle rose</t>
  </si>
  <si>
    <t xml:space="preserve">bombe 75 mm cercle or</t>
  </si>
  <si>
    <t xml:space="preserve">5 bombes 75 mm cercle assorties</t>
  </si>
  <si>
    <t xml:space="preserve">moitié moitié</t>
  </si>
  <si>
    <t xml:space="preserve">bombe 75 mm moitié bleu moitié citron</t>
  </si>
  <si>
    <t xml:space="preserve">bombe 75 mm moitié rouge moitié bleu</t>
  </si>
  <si>
    <t xml:space="preserve">bombe 75 mm moitié rose moitié jaune</t>
  </si>
  <si>
    <t xml:space="preserve">bombe 75 mm moitié or moitié vert</t>
  </si>
  <si>
    <t xml:space="preserve">plus que 12</t>
  </si>
  <si>
    <t xml:space="preserve">bombe 75 mm moitié citron moitié violet</t>
  </si>
  <si>
    <t xml:space="preserve">5 bombes 75 mm moitié moitié assorties</t>
  </si>
  <si>
    <t xml:space="preserve">1646-f4-201-036-37</t>
  </si>
  <si>
    <t xml:space="preserve">bombe 75 mm à effet saule kamuro</t>
  </si>
  <si>
    <t xml:space="preserve">bombe 75 mm à effet cascade</t>
  </si>
  <si>
    <t xml:space="preserve">1646-f4-201-072-37</t>
  </si>
  <si>
    <t xml:space="preserve">bombe 75 mm à effet cli. rouge</t>
  </si>
  <si>
    <t xml:space="preserve">2463-f4-0236</t>
  </si>
  <si>
    <t xml:space="preserve">bombe 75 mm à effet cli. blanc</t>
  </si>
  <si>
    <t xml:space="preserve">bombe 75 mm à effet saule kamuro pointes multicolores</t>
  </si>
  <si>
    <t xml:space="preserve">bombe 75 mm à effet corolle or pointes rouge</t>
  </si>
  <si>
    <t xml:space="preserve">0163-f4-1784</t>
  </si>
  <si>
    <t xml:space="preserve">bombe 75 mm à effet papillon</t>
  </si>
  <si>
    <t xml:space="preserve">bombe 75 mm à effet oeuf de dragon</t>
  </si>
  <si>
    <t xml:space="preserve">bombe 75 mm à effet pivoine bleu et palme or</t>
  </si>
  <si>
    <t xml:space="preserve">bombe 75 mm à effet blanc traçant (pluie argent)</t>
  </si>
  <si>
    <t xml:space="preserve">bombe 75 mm à effet sourire</t>
  </si>
  <si>
    <t xml:space="preserve">1395-f4-0007/2019</t>
  </si>
  <si>
    <t xml:space="preserve">bombe 75 mm à effet centre cascade cercle multicolore</t>
  </si>
  <si>
    <t xml:space="preserve">1395-f4-0062/2019</t>
  </si>
  <si>
    <t xml:space="preserve">bombe 75 mm pivoine rose aqua citron</t>
  </si>
  <si>
    <t xml:space="preserve">1395-f4-0063/2019</t>
  </si>
  <si>
    <t xml:space="preserve">saule or à pointes</t>
  </si>
  <si>
    <t xml:space="preserve">bombe 75 mm saule or pointes argent</t>
  </si>
  <si>
    <t xml:space="preserve">bombe 75 mm saule or pointes roses</t>
  </si>
  <si>
    <t xml:space="preserve">plus que 11</t>
  </si>
  <si>
    <t xml:space="preserve">bombe 75 mm saule or pointes violettes</t>
  </si>
  <si>
    <t xml:space="preserve">bombe 75 mm saule or pointes rouge</t>
  </si>
  <si>
    <t xml:space="preserve">bombe 75 mm saule or pointes bleues</t>
  </si>
  <si>
    <t xml:space="preserve">bombe 75 mm saule or pointes or</t>
  </si>
  <si>
    <t xml:space="preserve">bombe 75 mm saule or pointes vertes</t>
  </si>
  <si>
    <t xml:space="preserve">bombe 75 mm saule or pointes multicolore</t>
  </si>
  <si>
    <t xml:space="preserve">bombe 75 mm saule or pointes scintillant rouge</t>
  </si>
  <si>
    <t xml:space="preserve">bombe 75 mm saule or pointes scintillant vert</t>
  </si>
  <si>
    <t xml:space="preserve">bombe 75 mm saule or pointes cli. blanc</t>
  </si>
  <si>
    <t xml:space="preserve">bombe 75 mm palme or scintillant blanc</t>
  </si>
  <si>
    <t xml:space="preserve">bombe 75 mm palme or scintillant or</t>
  </si>
  <si>
    <t xml:space="preserve">5 bombes 75 mm saule or à pointes assorties</t>
  </si>
  <si>
    <t xml:space="preserve">mosaïque</t>
  </si>
  <si>
    <t xml:space="preserve">bombe 75 mm mosaïque rouge</t>
  </si>
  <si>
    <t xml:space="preserve">1646-f4-201-078-37</t>
  </si>
  <si>
    <t xml:space="preserve">bombe 75 mm mosaïque verte</t>
  </si>
  <si>
    <t xml:space="preserve">bombe 75 mm mosaïque argent</t>
  </si>
  <si>
    <t xml:space="preserve">bombe 75 mm mosaïque violettes</t>
  </si>
  <si>
    <t xml:space="preserve">bombe 75 mm mosaïque bleu</t>
  </si>
  <si>
    <t xml:space="preserve">bombe 75 mm mosaïque assortis</t>
  </si>
  <si>
    <t xml:space="preserve">bombe 75 mm mosaïque aqua</t>
  </si>
  <si>
    <t xml:space="preserve">bombe 75 mm mosaïque citron</t>
  </si>
  <si>
    <t xml:space="preserve">bombe 75 mm mosaïque kamuro</t>
  </si>
  <si>
    <t xml:space="preserve">bombe 75 mm mosaïque rose</t>
  </si>
  <si>
    <t xml:space="preserve">5 bombes 75 mm mosaïque assortis</t>
  </si>
  <si>
    <t xml:space="preserve">centre</t>
  </si>
  <si>
    <t xml:space="preserve">bombe 75 mm extérieur kamuro centre vert</t>
  </si>
  <si>
    <t xml:space="preserve">bombe 75 mm extérieur kamuro centre violet</t>
  </si>
  <si>
    <t xml:space="preserve">à final cli blanc</t>
  </si>
  <si>
    <t xml:space="preserve">bombe 75 mm à final cli. blanc rose</t>
  </si>
  <si>
    <t xml:space="preserve">bombe 75 mm à final cli. blanc citron</t>
  </si>
  <si>
    <t xml:space="preserve">bombe 75 mm à final cli. blanc rouge</t>
  </si>
  <si>
    <t xml:space="preserve">plus que 22</t>
  </si>
  <si>
    <t xml:space="preserve">bombe 75 mm à final cli. blanc verte</t>
  </si>
  <si>
    <t xml:space="preserve">bombe 75 mm à final cli. blanc bleue</t>
  </si>
  <si>
    <t xml:space="preserve">bombe 75 mm à final cli. blanc violette</t>
  </si>
  <si>
    <t xml:space="preserve">5 bombes 75 mm à final cli. blanc assorties</t>
  </si>
  <si>
    <t xml:space="preserve">feuilles mortes</t>
  </si>
  <si>
    <t xml:space="preserve">bombe 75 mm feuille morte rouge</t>
  </si>
  <si>
    <t xml:space="preserve">1646-f4-201-025-37</t>
  </si>
  <si>
    <t xml:space="preserve">bombe 75 mm feuille morte citron</t>
  </si>
  <si>
    <t xml:space="preserve">bombe 75 mm feuille morte vert</t>
  </si>
  <si>
    <t xml:space="preserve">bombe 75 mm feuille morte bleu</t>
  </si>
  <si>
    <t xml:space="preserve">bombe 75 mm feuille morte argent</t>
  </si>
  <si>
    <t xml:space="preserve">bombe 75 mm feuille morte multicolore</t>
  </si>
  <si>
    <t xml:space="preserve">bombe 75 mm feuille morte rouge - blanc</t>
  </si>
  <si>
    <t xml:space="preserve">bombe 75 mm feuille morte aqua - orange</t>
  </si>
  <si>
    <t xml:space="preserve">5 bombes 75 mm feuilles mortes assorties</t>
  </si>
  <si>
    <t xml:space="preserve">palme centre œuf de dragon</t>
  </si>
  <si>
    <t xml:space="preserve">bombe 75 mm centre oeuf de dragon palme kamuro</t>
  </si>
  <si>
    <t xml:space="preserve">1646-f4-201-110-37</t>
  </si>
  <si>
    <t xml:space="preserve">bombe 75 mm centre oeuf de dragon palme argent</t>
  </si>
  <si>
    <t xml:space="preserve">bombe 75 mm centre oeuf de dragon palme rouge</t>
  </si>
  <si>
    <t xml:space="preserve">bombe 75 mm centre oeuf de dragon palme violet</t>
  </si>
  <si>
    <t xml:space="preserve">bombe 75 mm centre oeuf de dragon palme bleu</t>
  </si>
  <si>
    <t xml:space="preserve">bombe 75 mm centre oeuf de dragon palme rose</t>
  </si>
  <si>
    <t xml:space="preserve">bombe 75 mm centre oeuf de dragon palme multicolore</t>
  </si>
  <si>
    <t xml:space="preserve">5 bombes 75 mm palme centre oeuf de dragon assorties</t>
  </si>
  <si>
    <t xml:space="preserve">pivoine à final kamuro</t>
  </si>
  <si>
    <t xml:space="preserve">bombe 75 mm à final kamuro rouge</t>
  </si>
  <si>
    <t xml:space="preserve">1646-f4-201-109-37</t>
  </si>
  <si>
    <t xml:space="preserve">bombe 75 mm à final kamuro vert</t>
  </si>
  <si>
    <t xml:space="preserve">bombe 75 mm à final kamuro bleu</t>
  </si>
  <si>
    <t xml:space="preserve">bombe 75 mm à final kamuro violet</t>
  </si>
  <si>
    <t xml:space="preserve">bombe 75 mm à final kamuro rose</t>
  </si>
  <si>
    <t xml:space="preserve">bombe 75 mm à final kamuro multicolore</t>
  </si>
  <si>
    <t xml:space="preserve">5 bombes 75 mm à final kamuro assorties</t>
  </si>
  <si>
    <t xml:space="preserve">pot à feu</t>
  </si>
  <si>
    <t xml:space="preserve">bombe 75 mm pot à feu rouge</t>
  </si>
  <si>
    <t xml:space="preserve">1646-f4-201-035-19</t>
  </si>
  <si>
    <t xml:space="preserve">bombe 75 mm pot à feu kamuro</t>
  </si>
  <si>
    <t xml:space="preserve">bombe 75 mm pot à feu citron</t>
  </si>
  <si>
    <t xml:space="preserve">bombe 75 mm pot à feu vert</t>
  </si>
  <si>
    <t xml:space="preserve">plus que 17</t>
  </si>
  <si>
    <t xml:space="preserve">bombe 75 mm pot à feu bleu</t>
  </si>
  <si>
    <t xml:space="preserve">bombe 75 mm pot à feu crackling argent</t>
  </si>
  <si>
    <t xml:space="preserve">bombe 75 mm pot à feu crackling or</t>
  </si>
  <si>
    <t xml:space="preserve">bombe 75 mm pot à feu cli. blanc</t>
  </si>
  <si>
    <t xml:space="preserve">bombe 75 mm pot à feu cli. rouge</t>
  </si>
  <si>
    <t xml:space="preserve">bombe 75 mm pot à feu violet</t>
  </si>
  <si>
    <t xml:space="preserve">bombe 75 mm pot à feu multicolore</t>
  </si>
  <si>
    <t xml:space="preserve">5 bombes 75 mm pot à feu assortis</t>
  </si>
  <si>
    <t xml:space="preserve">bombe 75 mm espagnole marron d'air</t>
  </si>
  <si>
    <t xml:space="preserve">0163-f4-4838</t>
  </si>
  <si>
    <t xml:space="preserve">bombe 75 mm espagnole flash rouge</t>
  </si>
  <si>
    <t xml:space="preserve">0163-f4-4839</t>
  </si>
  <si>
    <t xml:space="preserve">bombe 75 mm espagnole tourbillon et déto rouge</t>
  </si>
  <si>
    <t xml:space="preserve">0163-f4-1348</t>
  </si>
  <si>
    <t xml:space="preserve">bombe 75 mm espagnole tourbillon et déto kamuro</t>
  </si>
  <si>
    <t xml:space="preserve">bombe 75 mm espagnole tourbillon et déto fuschia</t>
  </si>
  <si>
    <t xml:space="preserve">bombe 75 mm espagnole tourbillon et déto vert</t>
  </si>
  <si>
    <t xml:space="preserve">plus que 5</t>
  </si>
  <si>
    <t xml:space="preserve">bombe 75 mm espagnole tourbillon et déto bleu</t>
  </si>
  <si>
    <t xml:space="preserve">bombe 75 mm espagnole tourbillon et déto blanc</t>
  </si>
  <si>
    <t xml:space="preserve">5 bombes 75 mm espagnoles tourbillon et déto assorties</t>
  </si>
  <si>
    <t xml:space="preserve">bombe 75 mm espagnole pot à feu tronc saule kamuro</t>
  </si>
  <si>
    <t xml:space="preserve">bombe 75 mm espagnole pot à feu tronc saule kamuro pointes blanches</t>
  </si>
  <si>
    <t xml:space="preserve">bombe 75 mm espagnole pot à feu tronc saule kamuro pointes rouges</t>
  </si>
  <si>
    <t xml:space="preserve">bombe 75 mm espagnole pot à feu tronc saule kamuro pointes vertes</t>
  </si>
  <si>
    <t xml:space="preserve">bombe 75 mm espagnole pot à feu tronc saule kamuro pointes bleues</t>
  </si>
  <si>
    <t xml:space="preserve">bombe 75 mm espagnole pot à feu tronc saule kamuro pointes multicolores</t>
  </si>
  <si>
    <t xml:space="preserve">5 bombes 75 mm espagnole pot à feu tronc saule kamuro pointes assorties</t>
  </si>
  <si>
    <t xml:space="preserve">BOMBE 100 MM</t>
  </si>
  <si>
    <t xml:space="preserve">bombe 100 mm pivoine rose</t>
  </si>
  <si>
    <t xml:space="preserve">bombe 100 mm pivoine aqua</t>
  </si>
  <si>
    <t xml:space="preserve">bombe 100 mm pivoine rouge</t>
  </si>
  <si>
    <t xml:space="preserve">bombe 100 mm pivoine violette</t>
  </si>
  <si>
    <t xml:space="preserve">bombe 100 mm pivoine citron</t>
  </si>
  <si>
    <t xml:space="preserve">plus que 26</t>
  </si>
  <si>
    <t xml:space="preserve">bombe 100 mm pivoine orange</t>
  </si>
  <si>
    <t xml:space="preserve">bombe 100 mm pivoine bleu</t>
  </si>
  <si>
    <t xml:space="preserve">plus que 48</t>
  </si>
  <si>
    <t xml:space="preserve">bombe 100 mm pivoine argent</t>
  </si>
  <si>
    <t xml:space="preserve">bombe 100 mm pivoine or</t>
  </si>
  <si>
    <t xml:space="preserve">bombe 100 mm pivoine multicolore</t>
  </si>
  <si>
    <t xml:space="preserve">bombe 100 mm pivoine verte</t>
  </si>
  <si>
    <t xml:space="preserve">5 bombes 100 mm pivoine assorties</t>
  </si>
  <si>
    <t xml:space="preserve">bombe 100 mm traçante aqua</t>
  </si>
  <si>
    <t xml:space="preserve">2463-f4-0232</t>
  </si>
  <si>
    <t xml:space="preserve">bombe 100 mm traçante multicolore</t>
  </si>
  <si>
    <t xml:space="preserve">bombe 100 mm traçante or</t>
  </si>
  <si>
    <t xml:space="preserve">bombe 100 mm traçante blanc</t>
  </si>
  <si>
    <t xml:space="preserve">bombe 100 mm traçante bleue</t>
  </si>
  <si>
    <t xml:space="preserve">bombe 100 mm traçante orange</t>
  </si>
  <si>
    <t xml:space="preserve">bombe 100 mm traçante citron</t>
  </si>
  <si>
    <t xml:space="preserve">bombe 100 mm traçante violette</t>
  </si>
  <si>
    <t xml:space="preserve">bombe 100 mm traçante rouge</t>
  </si>
  <si>
    <t xml:space="preserve">bombe 100 mm traçante verte</t>
  </si>
  <si>
    <t xml:space="preserve">bombe 100 mm traçante rose</t>
  </si>
  <si>
    <t xml:space="preserve">5 bombes 100 mm traçantes assorties</t>
  </si>
  <si>
    <t xml:space="preserve">bombe 100 mm à effet saule kamuro</t>
  </si>
  <si>
    <t xml:space="preserve">1646-f4-201-037-37</t>
  </si>
  <si>
    <t xml:space="preserve">bombe 100 mm à effet cli. rouge</t>
  </si>
  <si>
    <t xml:space="preserve">2463-f4-0237</t>
  </si>
  <si>
    <t xml:space="preserve">bombe 100 mm à effet cli. argent</t>
  </si>
  <si>
    <t xml:space="preserve">bombe 100 mm à effet cascade cli. blanc</t>
  </si>
  <si>
    <t xml:space="preserve">1646-f4-201-079-37</t>
  </si>
  <si>
    <t xml:space="preserve">bombe 100 mm saule kamuro pointes multicolores</t>
  </si>
  <si>
    <t xml:space="preserve">bombe 100 mm à effet coeur rose</t>
  </si>
  <si>
    <t xml:space="preserve">1646-f4-201-082-37</t>
  </si>
  <si>
    <t xml:space="preserve">bombe 100 mm à effet coeur rouge</t>
  </si>
  <si>
    <t xml:space="preserve">bombe 100 mm à effet papillon</t>
  </si>
  <si>
    <t xml:space="preserve">0163-f4-1785</t>
  </si>
  <si>
    <t xml:space="preserve">bombe 100 mm à effet fantôme argent pointes rouge</t>
  </si>
  <si>
    <t xml:space="preserve">bombe 100 mm à effet oeuf de dragon</t>
  </si>
  <si>
    <t xml:space="preserve">bombe 100 mm à effet sourire</t>
  </si>
  <si>
    <t xml:space="preserve">plus que 28</t>
  </si>
  <si>
    <t xml:space="preserve">bombe 100 mm à effet blanc traçant (pluie argent)</t>
  </si>
  <si>
    <t xml:space="preserve">bombe 100 mm pivoine rose aqua citron</t>
  </si>
  <si>
    <t xml:space="preserve">1395-f4-0097/2019</t>
  </si>
  <si>
    <t xml:space="preserve">corolle</t>
  </si>
  <si>
    <t xml:space="preserve">bombe 100 mm corolle à pointes argent</t>
  </si>
  <si>
    <t xml:space="preserve">bombe 100 mm corolle à pointes rouge</t>
  </si>
  <si>
    <t xml:space="preserve">bombe 100 mm corolle à pointes multicolore</t>
  </si>
  <si>
    <t xml:space="preserve">plus que 34</t>
  </si>
  <si>
    <t xml:space="preserve">zigzag</t>
  </si>
  <si>
    <t xml:space="preserve">bombe 100 mm zigzag rouge</t>
  </si>
  <si>
    <t xml:space="preserve">bombe 100 mm zigzag argent</t>
  </si>
  <si>
    <t xml:space="preserve">à changement</t>
  </si>
  <si>
    <t xml:space="preserve">bombe 100 mm à changement citron puis vert</t>
  </si>
  <si>
    <t xml:space="preserve">bombe 100 mm palmes blanc</t>
  </si>
  <si>
    <t xml:space="preserve">bombe 100 mm palmes rouge</t>
  </si>
  <si>
    <t xml:space="preserve">bombe 100 mm palmes aqua</t>
  </si>
  <si>
    <t xml:space="preserve">bombe 100 mm palmes citron</t>
  </si>
  <si>
    <t xml:space="preserve">bombe 100 mm palmes orange</t>
  </si>
  <si>
    <t xml:space="preserve">bombe 100 mm palmes violettes</t>
  </si>
  <si>
    <t xml:space="preserve">bombe 100 mm palmes bleu</t>
  </si>
  <si>
    <t xml:space="preserve">bombe 100 mm palmes rose</t>
  </si>
  <si>
    <t xml:space="preserve">bombe 100 mm palmes vert</t>
  </si>
  <si>
    <t xml:space="preserve">bombe 100 mm palmes multicolore</t>
  </si>
  <si>
    <t xml:space="preserve">5 bombes 100 mm palmes assorties</t>
  </si>
  <si>
    <t xml:space="preserve">bombe 100 mm à tronc pivoine or</t>
  </si>
  <si>
    <t xml:space="preserve">1646-f4-201-080-37</t>
  </si>
  <si>
    <t xml:space="preserve">bombe 100 mm à tronc pivoine bleue</t>
  </si>
  <si>
    <t xml:space="preserve">bombe 100 mm à tronc pivoine violette</t>
  </si>
  <si>
    <t xml:space="preserve">bombe 100 mm à tronc pivoine multicolore</t>
  </si>
  <si>
    <t xml:space="preserve">bombe 100 mm à tronc pivoine orange</t>
  </si>
  <si>
    <t xml:space="preserve">bombe 100 mm à tronc pivoine rose</t>
  </si>
  <si>
    <t xml:space="preserve">plus que 49</t>
  </si>
  <si>
    <t xml:space="preserve">bombe 100 mm à tronc pivoine blanche</t>
  </si>
  <si>
    <t xml:space="preserve">bombe 100 mm à tronc pivoine rouge</t>
  </si>
  <si>
    <t xml:space="preserve">bombe 100 mm à tronc pivoine verte</t>
  </si>
  <si>
    <t xml:space="preserve">bombe 100 mm à tronc saule kamuro</t>
  </si>
  <si>
    <t xml:space="preserve">bombe 100 mm à tronc pivoine citron</t>
  </si>
  <si>
    <t xml:space="preserve">bombe 100 mm à tronc pivoine aqua</t>
  </si>
  <si>
    <t xml:space="preserve">5 bombes 100 mm à tronc assorties</t>
  </si>
  <si>
    <t xml:space="preserve">bombe 100 mm crackling or</t>
  </si>
  <si>
    <t xml:space="preserve">1646-f4-201-081-37</t>
  </si>
  <si>
    <t xml:space="preserve">bombe 100 mm crackling violette</t>
  </si>
  <si>
    <t xml:space="preserve">bombe 100 mm crackling multicolore</t>
  </si>
  <si>
    <t xml:space="preserve">bombe 100 mm crackling orange</t>
  </si>
  <si>
    <t xml:space="preserve">bombe 100 mm crackling citron</t>
  </si>
  <si>
    <t xml:space="preserve">bombe 100 mm crackling rose</t>
  </si>
  <si>
    <t xml:space="preserve">bombe 100 mm crackling bleu</t>
  </si>
  <si>
    <t xml:space="preserve">bombe 100 mm crackling argent</t>
  </si>
  <si>
    <t xml:space="preserve">bombe 100 mm crackling rouge</t>
  </si>
  <si>
    <t xml:space="preserve">bombe 100 mm crackling aqua</t>
  </si>
  <si>
    <t xml:space="preserve">bombe 100 mm crackling kamuro</t>
  </si>
  <si>
    <t xml:space="preserve">5 bombes 100 mm crackling assorties</t>
  </si>
  <si>
    <t xml:space="preserve">bombe 100 mm cercle multicolore</t>
  </si>
  <si>
    <t xml:space="preserve">bombe 100 mm cercle rouge</t>
  </si>
  <si>
    <t xml:space="preserve">bombe 100 mm cercle citron</t>
  </si>
  <si>
    <t xml:space="preserve">bombe 100 mm cercle blanche</t>
  </si>
  <si>
    <t xml:space="preserve">bombe 100 mm cercle bleue</t>
  </si>
  <si>
    <t xml:space="preserve">5 bombes 100 mm cercle assorties</t>
  </si>
  <si>
    <t xml:space="preserve">bombe 100 mm moitié rouge moitié bleu</t>
  </si>
  <si>
    <t xml:space="preserve">bombe 100 mm moitié rouge moitié blanc</t>
  </si>
  <si>
    <t xml:space="preserve">bombe 100 mm moitié or moitié vert</t>
  </si>
  <si>
    <t xml:space="preserve">bombe 100 mm moitié rose moitié citron</t>
  </si>
  <si>
    <t xml:space="preserve">bombe 100 mm moitié citron moitié violet</t>
  </si>
  <si>
    <t xml:space="preserve">bombe 100 mm moitié citron moitié bleu</t>
  </si>
  <si>
    <t xml:space="preserve">5 bombes 100 mm moitié moitié</t>
  </si>
  <si>
    <t xml:space="preserve">bombe 100 mm extérieur argent centre violet</t>
  </si>
  <si>
    <t xml:space="preserve">bombe 100 mm extérieur kamuro centre vert</t>
  </si>
  <si>
    <t xml:space="preserve">bombe 100 mm extérieur kamuro centre violet</t>
  </si>
  <si>
    <t xml:space="preserve">bombe 100 mm mosaïque rouge</t>
  </si>
  <si>
    <t xml:space="preserve">1646-f4-201-083-37</t>
  </si>
  <si>
    <t xml:space="preserve">bombe 100 mm mosaïque bleue</t>
  </si>
  <si>
    <t xml:space="preserve">plus que 32</t>
  </si>
  <si>
    <t xml:space="preserve">bombe 100 mm mosaïque violette</t>
  </si>
  <si>
    <t xml:space="preserve">bombe 100 mm mosaïque argent</t>
  </si>
  <si>
    <t xml:space="preserve">bombe 100 mm mosaïque or</t>
  </si>
  <si>
    <t xml:space="preserve">bombe 100 mm mosaïque citron</t>
  </si>
  <si>
    <t xml:space="preserve">bombe 100 mm mosaïque aqua</t>
  </si>
  <si>
    <t xml:space="preserve">plus que 39</t>
  </si>
  <si>
    <t xml:space="preserve">bombe 100 mm mosaïque multicolore</t>
  </si>
  <si>
    <t xml:space="preserve">bombe 100 mm mosaïque kamuro</t>
  </si>
  <si>
    <t xml:space="preserve">bombe 100 mm mosaïque rose</t>
  </si>
  <si>
    <t xml:space="preserve">5 bombes 100 mm mosaïque assorties</t>
  </si>
  <si>
    <t xml:space="preserve">bombe 100 mm saule or pointes or</t>
  </si>
  <si>
    <t xml:space="preserve">bombe 100 mm saule or pointes argent</t>
  </si>
  <si>
    <t xml:space="preserve">bombe 100 mm saule or pointes violet</t>
  </si>
  <si>
    <t xml:space="preserve">bombe 100 mm saule or pointes bleu</t>
  </si>
  <si>
    <t xml:space="preserve">bombe 100 mm saule or pointes rouge</t>
  </si>
  <si>
    <t xml:space="preserve">bombe 100 mm saule or pointes vert</t>
  </si>
  <si>
    <t xml:space="preserve">bombe 100 mm saule or scintillant blanc</t>
  </si>
  <si>
    <t xml:space="preserve">bombe 100 mm saule or scintillant or</t>
  </si>
  <si>
    <t xml:space="preserve">5 bombes 100 mm saule pleureur pointes couleurs assorties</t>
  </si>
  <si>
    <t xml:space="preserve">bombe 100 mm à final cli. blanc rose</t>
  </si>
  <si>
    <t xml:space="preserve">bombe 100 mm à final cli. blanc orange</t>
  </si>
  <si>
    <t xml:space="preserve">bombe 100 mm à final cli. blanc citron</t>
  </si>
  <si>
    <t xml:space="preserve">bombe 100 mm à final cli. blanc or</t>
  </si>
  <si>
    <t xml:space="preserve">bombe 100 mm à final cli. blanc rouge</t>
  </si>
  <si>
    <t xml:space="preserve">bombe 100 mm à final cli. blanc verte</t>
  </si>
  <si>
    <t xml:space="preserve">bombe 100 mm à final cli. blanc bleue</t>
  </si>
  <si>
    <t xml:space="preserve">bombe 100 mm à final cli. blanc violette</t>
  </si>
  <si>
    <t xml:space="preserve">5 bombes 100 mm à final cli. blanc assorties</t>
  </si>
  <si>
    <t xml:space="preserve">bombe 100 mm feuille morte rouge</t>
  </si>
  <si>
    <t xml:space="preserve">1646-f4-201-027-37</t>
  </si>
  <si>
    <t xml:space="preserve">bombe 100 mm feuille morte citron</t>
  </si>
  <si>
    <t xml:space="preserve">bombe 100 mm feuille morte verte</t>
  </si>
  <si>
    <t xml:space="preserve">bombe 100 mm feuille morte bleue</t>
  </si>
  <si>
    <t xml:space="preserve">bombe 100 mm feuille morte argent</t>
  </si>
  <si>
    <t xml:space="preserve">bombe 100 mm feuille morte multicolore</t>
  </si>
  <si>
    <t xml:space="preserve">bombe 100 mm feuille morte rouge - blanche</t>
  </si>
  <si>
    <t xml:space="preserve">bombe 100 mm feuille morte aqua - orange</t>
  </si>
  <si>
    <t xml:space="preserve">5 bombes 100 mm feuille morte assorties</t>
  </si>
  <si>
    <t xml:space="preserve">marguerite</t>
  </si>
  <si>
    <t xml:space="preserve">bombe 100 mm marguerite rouge cylindrique</t>
  </si>
  <si>
    <t xml:space="preserve">1646-f4-201-029-37</t>
  </si>
  <si>
    <t xml:space="preserve">bombe 100 mm marguerite verte cylindrique</t>
  </si>
  <si>
    <t xml:space="preserve">bombe 100 mm marguerite violette cylindrique</t>
  </si>
  <si>
    <t xml:space="preserve">bombe 100 mm marguerite tourbillon cylindrique</t>
  </si>
  <si>
    <t xml:space="preserve">bombe 100 mm marguerite multicolore pastel cylindrique</t>
  </si>
  <si>
    <t xml:space="preserve">plus que 13</t>
  </si>
  <si>
    <t xml:space="preserve">bombe 100 mm marguerite et mosaïque kamuro</t>
  </si>
  <si>
    <t xml:space="preserve">1395-f4-0006/2019</t>
  </si>
  <si>
    <t xml:space="preserve">bombe 100 mm marguerite et mosaïque multicolore</t>
  </si>
  <si>
    <t xml:space="preserve">bombe 100 mm espagnole méduse bleu rouge blanc</t>
  </si>
  <si>
    <t xml:space="preserve">0163-f4-1350</t>
  </si>
  <si>
    <t xml:space="preserve">bombe 100 mm espagnole flash x10 rouge</t>
  </si>
  <si>
    <t xml:space="preserve">bombe 100 mm espagnole flash et déto x15 rouge</t>
  </si>
  <si>
    <t xml:space="preserve">1008-f4-69249468</t>
  </si>
  <si>
    <t xml:space="preserve">bombe 100 mm espagnole pot à feu crackling cercle déto et sifflet multicolore</t>
  </si>
  <si>
    <t xml:space="preserve">0163-f4-1349</t>
  </si>
  <si>
    <t xml:space="preserve">bombe 100 mm espagnole pot à feu crackling cercle déto et sifflet violet</t>
  </si>
  <si>
    <t xml:space="preserve">bombe 100 mm espagnole pot à feu crackling cercle déto et sifflet vert</t>
  </si>
  <si>
    <t xml:space="preserve">bombe 100 mm espagnole pot à feu crackling cercle déto et sifflet rouge</t>
  </si>
  <si>
    <t xml:space="preserve">bombe 100 mm espagnole pot à feu crackling cercle déto et sifflet rose</t>
  </si>
  <si>
    <t xml:space="preserve">bombe 100 mm espagnole pot à feu crackling cercle déto et sifflet bleu</t>
  </si>
  <si>
    <t xml:space="preserve">bombe 100 mm espagnole pot à feu crackling cercle déto et sifflet aqua</t>
  </si>
  <si>
    <t xml:space="preserve">bombe 100 mm espagnole pot à feu crackling cercle déto et sifflet citron</t>
  </si>
  <si>
    <t xml:space="preserve">bombe 100 mm espagnole pot à feu crackling cercle déto et sifflet kamuro</t>
  </si>
  <si>
    <t xml:space="preserve">plus que 8</t>
  </si>
  <si>
    <t xml:space="preserve">bombe 100 mm espagnole pot à feu crackling cercle déto et sifflet blanc</t>
  </si>
  <si>
    <t xml:space="preserve">5 bombes 100 mm espagnoles pot à feu crackling cercle déto et sifflet assorties</t>
  </si>
  <si>
    <t xml:space="preserve">française</t>
  </si>
  <si>
    <t xml:space="preserve">bombe 100 mm française bleu blanc rouge (atpm)</t>
  </si>
  <si>
    <t xml:space="preserve">0080-f4-17-0063</t>
  </si>
  <si>
    <t xml:space="preserve">BOMBE 125 MM</t>
  </si>
  <si>
    <t xml:space="preserve">bombe 125 mm pivoine rouge</t>
  </si>
  <si>
    <t xml:space="preserve">1646-f4-201-084-37</t>
  </si>
  <si>
    <t xml:space="preserve">bombe 125 mm pivoine argent</t>
  </si>
  <si>
    <t xml:space="preserve">2463-f4-0233</t>
  </si>
  <si>
    <t xml:space="preserve">bombe 125 mm pivoine or</t>
  </si>
  <si>
    <t xml:space="preserve">bombe 125 mm pivoine multicolore</t>
  </si>
  <si>
    <t xml:space="preserve">bombe 125 mm pivoine bleu</t>
  </si>
  <si>
    <t xml:space="preserve">bombe 125 mm pivoine citron</t>
  </si>
  <si>
    <t xml:space="preserve">bombe 125 mm pivoine verte</t>
  </si>
  <si>
    <t xml:space="preserve">bombe 125 mm pivoine rose</t>
  </si>
  <si>
    <t xml:space="preserve">bombe 125 mm pivoine violette</t>
  </si>
  <si>
    <t xml:space="preserve">bombe 125 mm pivoine aqua</t>
  </si>
  <si>
    <t xml:space="preserve">bombe 125 mm pivoine orange</t>
  </si>
  <si>
    <t xml:space="preserve">5 bombes 125 mm pivoine assorties</t>
  </si>
  <si>
    <t xml:space="preserve">bombe 125 mm traçante rose</t>
  </si>
  <si>
    <t xml:space="preserve">bombe 125 mm traçante verte</t>
  </si>
  <si>
    <t xml:space="preserve">bombe 125 mm traçante rouge</t>
  </si>
  <si>
    <t xml:space="preserve">bombe 125 mm traçante violette</t>
  </si>
  <si>
    <t xml:space="preserve">bombe 125 mm traçante citron</t>
  </si>
  <si>
    <t xml:space="preserve">bombe 125 mm traçante orange</t>
  </si>
  <si>
    <t xml:space="preserve">bombe 125 mm traçante bleue</t>
  </si>
  <si>
    <t xml:space="preserve">bombe 125 mm traçante blanc</t>
  </si>
  <si>
    <t xml:space="preserve">bombe 125 mm traçante or</t>
  </si>
  <si>
    <t xml:space="preserve">bombe 125 mm traçante multicolore</t>
  </si>
  <si>
    <t xml:space="preserve">bombe 125 mm traçante aqua</t>
  </si>
  <si>
    <t xml:space="preserve">5 bombes 125 mm traçante assorties</t>
  </si>
  <si>
    <t xml:space="preserve">kamuro</t>
  </si>
  <si>
    <t xml:space="preserve">bombe 125 mm kamuro</t>
  </si>
  <si>
    <t xml:space="preserve">2463-f4-0238</t>
  </si>
  <si>
    <t xml:space="preserve">bombe 125 mm extérieur kamuro centre argent</t>
  </si>
  <si>
    <t xml:space="preserve">1646-f4-201-085-37</t>
  </si>
  <si>
    <t xml:space="preserve">bombe 125 mm extérieur kamuro centre bleu</t>
  </si>
  <si>
    <t xml:space="preserve">bombe 125 mm extérieur kamuro centre vert</t>
  </si>
  <si>
    <t xml:space="preserve">bombe 125 mm extérieur kamuro centre multicolore</t>
  </si>
  <si>
    <t xml:space="preserve">bombe 125 mm extérieur kamuro centre rouge</t>
  </si>
  <si>
    <t xml:space="preserve">bombe 125 mm cascade crackling rouge</t>
  </si>
  <si>
    <t xml:space="preserve">1646-f4-201-030-37</t>
  </si>
  <si>
    <t xml:space="preserve">bombe 125 mm cascade crackling bleu</t>
  </si>
  <si>
    <t xml:space="preserve">bombe 125 mm cascade crackling multicolore</t>
  </si>
  <si>
    <t xml:space="preserve">bombe 125 mm à effet cli. rouge</t>
  </si>
  <si>
    <t xml:space="preserve">bombe 125 mm cloche rouge vert citron</t>
  </si>
  <si>
    <t xml:space="preserve">0163-F4-3411</t>
  </si>
  <si>
    <t xml:space="preserve">bombe 125 mm à effet fort crackling</t>
  </si>
  <si>
    <t xml:space="preserve">0163-f4-1786</t>
  </si>
  <si>
    <t xml:space="preserve">bombe 125 mm zigzag rouge</t>
  </si>
  <si>
    <t xml:space="preserve">plus que 46</t>
  </si>
  <si>
    <t xml:space="preserve">bombe 125 mm mosaïque verte centre oeufs de dragon</t>
  </si>
  <si>
    <t xml:space="preserve">bombe 125 mm à effet cascade</t>
  </si>
  <si>
    <t xml:space="preserve">1646-f4-201-086-37</t>
  </si>
  <si>
    <t xml:space="preserve">bombe 125 mm pivoine cli. blanc</t>
  </si>
  <si>
    <t xml:space="preserve">bombe 125 mm à effet oeuf de dragon</t>
  </si>
  <si>
    <t xml:space="preserve">2806-f4-001386</t>
  </si>
  <si>
    <t xml:space="preserve">bombe 125 mm pivoine rouge à changement multicolore</t>
  </si>
  <si>
    <t xml:space="preserve">BOMBE 150 MM</t>
  </si>
  <si>
    <t xml:space="preserve">bombe 150 mm pivoine rouge</t>
  </si>
  <si>
    <t xml:space="preserve">1646-f4-201-031-37</t>
  </si>
  <si>
    <t xml:space="preserve">bombe 150 mm pivoine argent</t>
  </si>
  <si>
    <t xml:space="preserve">bombe 150 mm pivoine orange</t>
  </si>
  <si>
    <t xml:space="preserve">bombe 150 mm pivoine aqua</t>
  </si>
  <si>
    <t xml:space="preserve">bombe 150 mm pivoine bleu</t>
  </si>
  <si>
    <t xml:space="preserve">bombe 150 mm pivoine citron</t>
  </si>
  <si>
    <t xml:space="preserve">bombe 150 mm pivoine rose</t>
  </si>
  <si>
    <t xml:space="preserve">bombe 150 mm pivoine violette</t>
  </si>
  <si>
    <t xml:space="preserve">bombe 150 mm pivoine multicolore pastel</t>
  </si>
  <si>
    <t xml:space="preserve">bombe 150 mm pivoine verte</t>
  </si>
  <si>
    <t xml:space="preserve">5 bombes 150 mm pivoine assorties</t>
  </si>
  <si>
    <t xml:space="preserve">bombe 150 mm traçante rose</t>
  </si>
  <si>
    <t xml:space="preserve">2463-f4-0234</t>
  </si>
  <si>
    <t xml:space="preserve">bombe 150 mm traçante verte</t>
  </si>
  <si>
    <t xml:space="preserve">bombe 150 mm traçante rouge</t>
  </si>
  <si>
    <t xml:space="preserve">bombe 150 mm traçante violette</t>
  </si>
  <si>
    <t xml:space="preserve">bombe 150 mm traçante citron</t>
  </si>
  <si>
    <t xml:space="preserve">bombe 150 mm traçante orange</t>
  </si>
  <si>
    <t xml:space="preserve">bombe 150 mm traçante bleue</t>
  </si>
  <si>
    <t xml:space="preserve">bombe 150 mm traçante blanc</t>
  </si>
  <si>
    <t xml:space="preserve">bombe 150 mm traçante or</t>
  </si>
  <si>
    <t xml:space="preserve">bombe 150 mm traçante multicolore</t>
  </si>
  <si>
    <t xml:space="preserve">plus que 31</t>
  </si>
  <si>
    <t xml:space="preserve">bombe 150 mm traçante aqua</t>
  </si>
  <si>
    <t xml:space="preserve">5 bombes 150 mm traçante assorties</t>
  </si>
  <si>
    <t xml:space="preserve">bombe 150 mm kamuro longue durée</t>
  </si>
  <si>
    <t xml:space="preserve">2463-f4-0239</t>
  </si>
  <si>
    <t xml:space="preserve">bombe 150 mm kamuro centre rose</t>
  </si>
  <si>
    <t xml:space="preserve">bombe 150 mm kamuro centre vert</t>
  </si>
  <si>
    <t xml:space="preserve">bombe 150 mm kamuro centre rouge</t>
  </si>
  <si>
    <t xml:space="preserve">bombe 150 mm kamuro centre violet</t>
  </si>
  <si>
    <t xml:space="preserve">bombe 150 mm kamuro centre citron</t>
  </si>
  <si>
    <t xml:space="preserve">bombe 150 mm kamuro centre orange</t>
  </si>
  <si>
    <t xml:space="preserve">bombe 150 mm kamuro centre bleue</t>
  </si>
  <si>
    <t xml:space="preserve">plus que 38</t>
  </si>
  <si>
    <t xml:space="preserve">bombe 150 mm kamuro centre blanc</t>
  </si>
  <si>
    <t xml:space="preserve">bombe 150 mm kamuro centre or</t>
  </si>
  <si>
    <t xml:space="preserve">bombe 150 mm kamuro centre multicolore</t>
  </si>
  <si>
    <t xml:space="preserve">bombe 150 mm kamuro centre aqua</t>
  </si>
  <si>
    <t xml:space="preserve">5 bombes 150 mm kamuro centre assorties</t>
  </si>
  <si>
    <t xml:space="preserve">multibombe</t>
  </si>
  <si>
    <t xml:space="preserve">bombe 150 mm multibombe kamuro</t>
  </si>
  <si>
    <t xml:space="preserve">2806-f4-001388</t>
  </si>
  <si>
    <t xml:space="preserve">plus que 14</t>
  </si>
  <si>
    <t xml:space="preserve">bombe 150 mm multibombe multicolore</t>
  </si>
  <si>
    <t xml:space="preserve">plus que 23</t>
  </si>
  <si>
    <t xml:space="preserve">bombe 150 mm multibombe verte</t>
  </si>
  <si>
    <t xml:space="preserve">bombe 150 mm multibombe rose</t>
  </si>
  <si>
    <t xml:space="preserve">bombe 150 mm multibombe rouge</t>
  </si>
  <si>
    <t xml:space="preserve">bombe 150 mm multibombe violette</t>
  </si>
  <si>
    <t xml:space="preserve">bombe 150 mm multibombe citron</t>
  </si>
  <si>
    <t xml:space="preserve">bombe 150 mm multibombe orange</t>
  </si>
  <si>
    <t xml:space="preserve">plus que 47</t>
  </si>
  <si>
    <t xml:space="preserve">bombe 150 mm multibombe bleue</t>
  </si>
  <si>
    <t xml:space="preserve">plus que 37</t>
  </si>
  <si>
    <t xml:space="preserve">bombe 150 mm multibombe blanc</t>
  </si>
  <si>
    <t xml:space="preserve">bombe 150 mm multibombe or</t>
  </si>
  <si>
    <t xml:space="preserve">plus que 7</t>
  </si>
  <si>
    <t xml:space="preserve">bombe 150 mm multibombe aqua</t>
  </si>
  <si>
    <t xml:space="preserve">bombe 150 mm multibombe rose aqua citron</t>
  </si>
  <si>
    <t xml:space="preserve">5 bombes 150 mm multibombe assorties</t>
  </si>
  <si>
    <t xml:space="preserve">bombe 150 mm à effet oeuf de dragon</t>
  </si>
  <si>
    <t xml:space="preserve">2806-f4-001387</t>
  </si>
  <si>
    <t xml:space="preserve">bombe 150 mm pivoine cli. blanc</t>
  </si>
  <si>
    <t xml:space="preserve">bombe 150 mm pivoine cli. rouge</t>
  </si>
  <si>
    <t xml:space="preserve">plus que 41</t>
  </si>
  <si>
    <t xml:space="preserve">bombe 150 mm à effet fort crackling</t>
  </si>
  <si>
    <t xml:space="preserve">0163-f4-1787</t>
  </si>
  <si>
    <t xml:space="preserve">bombe 150 mm palme argent scint paf bleu centre rouge cli et tronc argent rouge</t>
  </si>
  <si>
    <t xml:space="preserve">2463-f4-0495</t>
  </si>
  <si>
    <t xml:space="preserve">bombe 150 mm anneau kamuro cercle fantôme rouge à bleu centre bleu et tronc arge</t>
  </si>
  <si>
    <t xml:space="preserve">bombe 150 mm kamuro à rouge scint. cercle fantôme rouge à bleu centre rouge scin</t>
  </si>
  <si>
    <t xml:space="preserve">CHANDELLES SUPPLÉTIVES</t>
  </si>
  <si>
    <t xml:space="preserve">chandelle 8 tirs 25 mm pyroprodukt 1000 Silver tail</t>
  </si>
  <si>
    <t xml:space="preserve">0589-f4-0310</t>
  </si>
  <si>
    <t xml:space="preserve">chandelle 8 tirs 25 mm pyroprodukt 1020 crackling tail</t>
  </si>
  <si>
    <t xml:space="preserve">chandelle 38 mm 8 tirs comète traçante citron (76176)</t>
  </si>
  <si>
    <t xml:space="preserve">0163-f4-2086</t>
  </si>
  <si>
    <t xml:space="preserve">chandelle 38 mm 8 tirs paf rouge comète argent scintillant (76530)</t>
  </si>
  <si>
    <t xml:space="preserve">0163-f4-2087</t>
  </si>
  <si>
    <t xml:space="preserve">CHANDELLE 10 MM</t>
  </si>
  <si>
    <t xml:space="preserve">botte de 3 chandelles 10 mm 20 tirs rose</t>
  </si>
  <si>
    <t xml:space="preserve">f2</t>
  </si>
  <si>
    <t xml:space="preserve">1.4G</t>
  </si>
  <si>
    <t xml:space="preserve">botte de 3 chandelles 10 mm 20 tirs aqua</t>
  </si>
  <si>
    <t xml:space="preserve">botte de 3 chandelles 10 mm 20 tirs citron</t>
  </si>
  <si>
    <t xml:space="preserve">botte de 3 chandelles 10 mm 20 tirs vert</t>
  </si>
  <si>
    <t xml:space="preserve">1170-f2-02486</t>
  </si>
  <si>
    <t xml:space="preserve">botte de 3 chandelles 10 mm 20 tirs violet</t>
  </si>
  <si>
    <t xml:space="preserve">botte de 3 chandelles 10 mm 20 tirs bleu</t>
  </si>
  <si>
    <t xml:space="preserve">botte de 3 chandelles 10 mm 20 tirs rouge</t>
  </si>
  <si>
    <t xml:space="preserve">botte de 3 chandelles 10 mm 20 tirs kamuro</t>
  </si>
  <si>
    <t xml:space="preserve">botte de 3 chandelles 10 mm 20 tirs argent</t>
  </si>
  <si>
    <t xml:space="preserve">botte de 3 chandelles 10 mm 20 tirs scintillant blanc</t>
  </si>
  <si>
    <t xml:space="preserve">botte de 3 chandelles 10 mm 20 tirs multicolore</t>
  </si>
  <si>
    <t xml:space="preserve">botte de 3 chandelles 10 mm 20 tirs blanc sans trace</t>
  </si>
  <si>
    <t xml:space="preserve">botte de 3 chandelles 10 mm 20 tirs orange</t>
  </si>
  <si>
    <t xml:space="preserve">botte de 3 chandelles 20 mm 7 tirs sifflet</t>
  </si>
  <si>
    <t xml:space="preserve">1170-f3-02487</t>
  </si>
  <si>
    <t xml:space="preserve">f3</t>
  </si>
  <si>
    <t xml:space="preserve">botte de 7 chandelles 10 mm 20 tirs rose (76332)</t>
  </si>
  <si>
    <t xml:space="preserve">1170-f4-0327</t>
  </si>
  <si>
    <t xml:space="preserve">botte de 7 chandelles 10 mm 20 tirs aqua (76334)</t>
  </si>
  <si>
    <t xml:space="preserve">botte de 7 chandelles 10 mm 20 tirs citron</t>
  </si>
  <si>
    <t xml:space="preserve">botte de 7 chandelles 10 mm 20 tirs vert (76323)</t>
  </si>
  <si>
    <t xml:space="preserve">1170-f4-03273</t>
  </si>
  <si>
    <t xml:space="preserve">botte de 7 chandelles 10 mm 20 tirs multicolore</t>
  </si>
  <si>
    <t xml:space="preserve">botte de 7 chandelles 10 mm 20 tirs kamuro</t>
  </si>
  <si>
    <t xml:space="preserve">botte de 7 chandelles 10 mm 20 tirs bleu</t>
  </si>
  <si>
    <t xml:space="preserve">botte de 7 chandelles 10 mm 20 tirs scintillant blanc</t>
  </si>
  <si>
    <t xml:space="preserve">plus que 15</t>
  </si>
  <si>
    <t xml:space="preserve">botte de 7 chandelles 10 mm 20 tirs blanc</t>
  </si>
  <si>
    <t xml:space="preserve">botte de 7 chandelles 10 mm 20 tirs rouge</t>
  </si>
  <si>
    <t xml:space="preserve">botte de 7 chandelles 10 mm 20 tirs violet</t>
  </si>
  <si>
    <t xml:space="preserve">botte de 7 chandelles 10 mm 20 tirs blanc sans trace</t>
  </si>
  <si>
    <t xml:space="preserve">botte de 7 chandelles 10 mm 20 tirs orange</t>
  </si>
  <si>
    <t xml:space="preserve">grand éventail de 77 chandelles 10 mm 20 tirs bleu blanc rouge</t>
  </si>
  <si>
    <t xml:space="preserve">1646-f2-201-044-25</t>
  </si>
  <si>
    <t xml:space="preserve">grand éventail de 77 chandelles 10 mm 20 tirs argent</t>
  </si>
  <si>
    <t xml:space="preserve">CHANDELLE 20 MM</t>
  </si>
  <si>
    <t xml:space="preserve">7 tirs</t>
  </si>
  <si>
    <t xml:space="preserve">chandelle 20 mm 7 tirs déto avec flash</t>
  </si>
  <si>
    <t xml:space="preserve">1170-f3-01699</t>
  </si>
  <si>
    <t xml:space="preserve">botte de 3 chandelles 20 mm 7 tirs déto</t>
  </si>
  <si>
    <t xml:space="preserve">1170-f3-02490</t>
  </si>
  <si>
    <t xml:space="preserve">10 tirs</t>
  </si>
  <si>
    <t xml:space="preserve">chandelle 20 mm 10 tirs comète violettes</t>
  </si>
  <si>
    <t xml:space="preserve">1170-f3-01698</t>
  </si>
  <si>
    <t xml:space="preserve">botte de 3 chandelles 20 mm 10 tirs comète blanc</t>
  </si>
  <si>
    <t xml:space="preserve">1170-f3-02489</t>
  </si>
  <si>
    <t xml:space="preserve">botte de 3 chandelles 20 mm 10 tirs comète violette</t>
  </si>
  <si>
    <t xml:space="preserve">botte de 3 chandelles 20 mm 10 tirs comète bleu</t>
  </si>
  <si>
    <t xml:space="preserve">botte de 3 chandelles 20 mm 10 tirs crackling or</t>
  </si>
  <si>
    <t xml:space="preserve">CHANDELLE 25 MM</t>
  </si>
  <si>
    <t xml:space="preserve">8 tirs paf avec queue</t>
  </si>
  <si>
    <t xml:space="preserve">chandelle 25 mm 8 tirs pot à feu kamuro</t>
  </si>
  <si>
    <t xml:space="preserve">1646-f3-201-034-25</t>
  </si>
  <si>
    <t xml:space="preserve">chandelle 25 mm 8 tirs pot à feu rouge</t>
  </si>
  <si>
    <t xml:space="preserve">chandelle 25 mm 8 tirs pot à feu bleu</t>
  </si>
  <si>
    <t xml:space="preserve">chandelle 25 mm 8 tirs pot à feu argent</t>
  </si>
  <si>
    <t xml:space="preserve">8 tirs comète avec queue</t>
  </si>
  <si>
    <t xml:space="preserve">chandelle 25 mm 8 tirs comète rouge avec queue</t>
  </si>
  <si>
    <t xml:space="preserve">1646-f3-201-001-25</t>
  </si>
  <si>
    <t xml:space="preserve">chandelle 25 mm 8 tirs comète vert avec queue</t>
  </si>
  <si>
    <t xml:space="preserve">chandelle 25 mm 8 tirs comète citron avec queue</t>
  </si>
  <si>
    <t xml:space="preserve">chandelle 25 mm 8 tirs comète cyan avec queue</t>
  </si>
  <si>
    <t xml:space="preserve">chandelle 25 mm 8 tirs comète aqua avec queue</t>
  </si>
  <si>
    <t xml:space="preserve">chandelle 25 mm 8 tirs comète rose avec queue</t>
  </si>
  <si>
    <t xml:space="preserve">chandelle 25 mm 8 tirs comète violettes avec queue</t>
  </si>
  <si>
    <t xml:space="preserve">chandelle 25 mm 8 tirs comète argent avec queue</t>
  </si>
  <si>
    <t xml:space="preserve">chandelle 25 mm 8 tirs comète kamuro avec queue</t>
  </si>
  <si>
    <t xml:space="preserve">chandelle 25 mm 8 tirs comète or crackling avec queue</t>
  </si>
  <si>
    <t xml:space="preserve">chandelle 25 mm 8 tirs comète multicolore avec queue</t>
  </si>
  <si>
    <t xml:space="preserve">plus que 25</t>
  </si>
  <si>
    <t xml:space="preserve">chandelle 25 mm 8 tirs comètes argent scintillant blanc</t>
  </si>
  <si>
    <t xml:space="preserve">8 tirs bombette avec queue</t>
  </si>
  <si>
    <t xml:space="preserve">chandelle 25 mm 8 tirs bombettes multicolores avec queue</t>
  </si>
  <si>
    <t xml:space="preserve">1646-f3-201-045-25</t>
  </si>
  <si>
    <t xml:space="preserve">chandelle 25 mm 8 tirs bombettes vert avec queue</t>
  </si>
  <si>
    <t xml:space="preserve">chandelle 25 mm 8 tirs bombettes argent avec queue</t>
  </si>
  <si>
    <t xml:space="preserve">chandelle 25 mm 8 tirs bombettes cli. blanc avec queue</t>
  </si>
  <si>
    <t xml:space="preserve">chandelle 25 mm 8 tirs bombettes rouge avec queue</t>
  </si>
  <si>
    <t xml:space="preserve">chandelle 25 mm 8 tirs bombettes violet avec queue</t>
  </si>
  <si>
    <t xml:space="preserve">chandelle 25 mm 8 tirs bombettes bleu avec queue</t>
  </si>
  <si>
    <t xml:space="preserve">chandelle 25 mm 8 tirs bombettes or crackling avec queue</t>
  </si>
  <si>
    <t xml:space="preserve">plus que 19</t>
  </si>
  <si>
    <t xml:space="preserve">chandelle 25 mm 8 tirs bombettes cocotier argent avec queue</t>
  </si>
  <si>
    <t xml:space="preserve">chandelle 25 mm 8 tirs bombettes saule or avec queue</t>
  </si>
  <si>
    <t xml:space="preserve">CHANDELLE 30 MM</t>
  </si>
  <si>
    <t xml:space="preserve">chandelle 30 mm 3 tirs détos</t>
  </si>
  <si>
    <t xml:space="preserve">1646-f3-201-033-03</t>
  </si>
  <si>
    <t xml:space="preserve">chandelle 30 mm 8 tirs comètes argent</t>
  </si>
  <si>
    <t xml:space="preserve">1646-f3-201-046-25</t>
  </si>
  <si>
    <t xml:space="preserve">chandelle 30 mm 8 tirs comètes or</t>
  </si>
  <si>
    <t xml:space="preserve">chandelle 30 mm 8 tirs comètes rouge</t>
  </si>
  <si>
    <t xml:space="preserve">CHANDELLE 40 MM</t>
  </si>
  <si>
    <t xml:space="preserve">chandelle 31 mm 8 tirs bombettes cli. blanc tronc blanc</t>
  </si>
  <si>
    <t xml:space="preserve">1646-f4-201-047-25</t>
  </si>
  <si>
    <t xml:space="preserve">plus que 21</t>
  </si>
  <si>
    <t xml:space="preserve">chandelle 31 mm 8 tirs bombettes multicolore tronc argent</t>
  </si>
  <si>
    <t xml:space="preserve">chandelle 31 mm 8 tirs bombettes tronc cocotier argent tronc argent</t>
  </si>
  <si>
    <t xml:space="preserve">chandelle 31 mm 8 tirs bombettes violet tronc argent</t>
  </si>
  <si>
    <t xml:space="preserve">chandelle 31 mm 8 tirs bombettes bleu tronc argent</t>
  </si>
  <si>
    <t xml:space="preserve">chandelle 31 mm 8 tirs bombettes saule or tronc argent</t>
  </si>
  <si>
    <t xml:space="preserve">chandelle 31 mm 8 tirs bombettes or craquelante tronc argent</t>
  </si>
  <si>
    <t xml:space="preserve">chandelle 31 mm 8 tirs bombettes kamuro tronc or</t>
  </si>
  <si>
    <t xml:space="preserve">8 tirs pot à feu</t>
  </si>
  <si>
    <t xml:space="preserve">chandelle 40 mm 8 tirs pot à feu assortis</t>
  </si>
  <si>
    <t xml:space="preserve">1646-f4-201-020-25</t>
  </si>
  <si>
    <t xml:space="preserve">chandelle 40 mm 8 tirs pot à feu rouge</t>
  </si>
  <si>
    <t xml:space="preserve">chandelle 40 mm 8 tirs pot à feu bleu</t>
  </si>
  <si>
    <t xml:space="preserve">chandelle 40 mm 8 tirs pot à feu rose</t>
  </si>
  <si>
    <t xml:space="preserve">chandelle 40 mm 8 tirs pot à feu violet</t>
  </si>
  <si>
    <t xml:space="preserve">chandelle 40 mm 8 tirs pot à feu argent</t>
  </si>
  <si>
    <t xml:space="preserve">chandelle 40 mm 8 tirs pot à feu vert</t>
  </si>
  <si>
    <t xml:space="preserve">chandelle 40 mm 8 tirs pot à feu citron</t>
  </si>
  <si>
    <t xml:space="preserve">chandelle 40 mm 8 tirs pot à feu kamuro</t>
  </si>
  <si>
    <t xml:space="preserve">chandelle 40 mm 8 tirs pot à feu tourbillons blanc</t>
  </si>
  <si>
    <t xml:space="preserve">chandelle 40 mm 8 tirs pot à feu sifflet blanc</t>
  </si>
  <si>
    <t xml:space="preserve">chandelle 40 mm 8 tirs pot à feu cli. blanc</t>
  </si>
  <si>
    <t xml:space="preserve">chandelle 40 mm 8 tirs pot à feu cli. rouge</t>
  </si>
  <si>
    <t xml:space="preserve">chandelle 40 mm 8 tirs mosaïque rouge</t>
  </si>
  <si>
    <t xml:space="preserve">chandelle 40 mm 8 tirs mosaïque vert</t>
  </si>
  <si>
    <t xml:space="preserve">chandelle 40 mm 8 tirs mosaïque kamuro</t>
  </si>
  <si>
    <t xml:space="preserve">3 tirs annonce</t>
  </si>
  <si>
    <t xml:space="preserve">chandelle 40 mm 3 tirs déto</t>
  </si>
  <si>
    <t xml:space="preserve">1646-f4-201-032-25</t>
  </si>
  <si>
    <t xml:space="preserve">CHANDELLE 45 MM ESPAGNOLE</t>
  </si>
  <si>
    <t xml:space="preserve">8 tirs queue de cheval et pot à feu</t>
  </si>
  <si>
    <t xml:space="preserve">chandelle 45 mm 8 tirs espagnole queue de cheval et pot à feu kamuro</t>
  </si>
  <si>
    <t xml:space="preserve">0163-f4-1353</t>
  </si>
  <si>
    <t xml:space="preserve">CHANDELLE 50 MM</t>
  </si>
  <si>
    <t xml:space="preserve">8 tirs mosaïque</t>
  </si>
  <si>
    <t xml:space="preserve">chandelle 49 mm 8 tirs mosaïque violet</t>
  </si>
  <si>
    <t xml:space="preserve">1646-f4-201-048-25</t>
  </si>
  <si>
    <t xml:space="preserve">chandelle 49 mm 8 tirs mosaïque citron</t>
  </si>
  <si>
    <t xml:space="preserve">chandelle 49 mm 8 tirs mosaïque rose</t>
  </si>
  <si>
    <t xml:space="preserve">chandelle 49 mm 8 tirs mosaïque kamuro</t>
  </si>
  <si>
    <t xml:space="preserve">chandelle 49 mm 8 tirs mosaïque rouge</t>
  </si>
  <si>
    <t xml:space="preserve">chandelle 49 mm 8 tirs mosaïque argent</t>
  </si>
  <si>
    <t xml:space="preserve">chandelle 49 mm 8 tirs mosaïque assorti</t>
  </si>
  <si>
    <t xml:space="preserve">MONOCOUP</t>
  </si>
  <si>
    <t xml:space="preserve">1 tir comète</t>
  </si>
  <si>
    <t xml:space="preserve">monocoup 30 mm comète kamuro</t>
  </si>
  <si>
    <t xml:space="preserve">1646-f2-201-017-27</t>
  </si>
  <si>
    <t xml:space="preserve">monocoup 30 mm comète rouge</t>
  </si>
  <si>
    <t xml:space="preserve">monocoup 30 mm comète bleu</t>
  </si>
  <si>
    <t xml:space="preserve">monocoup 30 mm comète argent</t>
  </si>
  <si>
    <t xml:space="preserve">monocoup 30 mm comète scintillant argent</t>
  </si>
  <si>
    <t xml:space="preserve">1 tir pot à feu</t>
  </si>
  <si>
    <t xml:space="preserve">monocoup 40 mm pot à feu rouge</t>
  </si>
  <si>
    <t xml:space="preserve">1646-f3-201-019-19</t>
  </si>
  <si>
    <t xml:space="preserve">monocoup 40 mm pot à feu violet</t>
  </si>
  <si>
    <t xml:space="preserve">monocoup 40 mm pot à feu bleu</t>
  </si>
  <si>
    <t xml:space="preserve">monocoup 40 mm pot à feu argent</t>
  </si>
  <si>
    <t xml:space="preserve">monocoup 40 mm pot à feu cli. argent</t>
  </si>
  <si>
    <t xml:space="preserve">monocoup 40 mm pot à feu citron</t>
  </si>
  <si>
    <t xml:space="preserve">monocoup 40 mm pot à feu multicolore</t>
  </si>
  <si>
    <t xml:space="preserve">monocoup 40 mm pot à feu kamuro</t>
  </si>
  <si>
    <t xml:space="preserve">monocoup 40 mm pot à feu orange</t>
  </si>
  <si>
    <t xml:space="preserve">1395-f4-0017/2019</t>
  </si>
  <si>
    <t xml:space="preserve">1 tir comète et pot à feu</t>
  </si>
  <si>
    <t xml:space="preserve">monocoup 30 mm pot à feu cli. blanc et comète kamuro</t>
  </si>
  <si>
    <t xml:space="preserve">1646-f2-201-018-19</t>
  </si>
  <si>
    <t xml:space="preserve">monocoup 30 mm pot à feu bleu et comète argent</t>
  </si>
  <si>
    <t xml:space="preserve">monocoup 30 mm pot à feu citron et comète rose</t>
  </si>
  <si>
    <t xml:space="preserve">1646-f3-201-104-27</t>
  </si>
  <si>
    <t xml:space="preserve">monocoup 30 mm pot à feu vert et comète citron</t>
  </si>
  <si>
    <t xml:space="preserve">monocoup 30 mm pot à feu rouge et comète kamuro</t>
  </si>
  <si>
    <t xml:space="preserve">monocoup 30 mm pot à feu violet et comète vert</t>
  </si>
  <si>
    <t xml:space="preserve">1 tir bombette à tronc</t>
  </si>
  <si>
    <t xml:space="preserve">monocoup 30 mm bombette kamuro à tronc</t>
  </si>
  <si>
    <t xml:space="preserve">1395-f3-0181/2018</t>
  </si>
  <si>
    <t xml:space="preserve">monocoup 30 mm bombette oeuf de dragon à tronc</t>
  </si>
  <si>
    <t xml:space="preserve">1 tir pot à feu et bombette</t>
  </si>
  <si>
    <t xml:space="preserve">monocoup 30 mm pot à feu rouge et bombette rouge</t>
  </si>
  <si>
    <t xml:space="preserve">1395-f3-0016/2019</t>
  </si>
  <si>
    <t xml:space="preserve">monocoup 30 mm pot à feu verte et bombette verte</t>
  </si>
  <si>
    <t xml:space="preserve">monocoup 30 mm pot à feu blanc et bombette blanche</t>
  </si>
  <si>
    <t xml:space="preserve">monocoup 30 mm pot à feu violette et bombette violette</t>
  </si>
  <si>
    <t xml:space="preserve">monocoup 30 mm pot à feu bleu et bombette bleue</t>
  </si>
  <si>
    <t xml:space="preserve">monocoup 30 mm pot à feu multicolore et bombette multicolore</t>
  </si>
  <si>
    <t xml:space="preserve">monocoup 30 mm pot à feu aqua et bombette aqua</t>
  </si>
  <si>
    <t xml:space="preserve">monocoup 30 mm pot à feu citron et bombette citron</t>
  </si>
  <si>
    <t xml:space="preserve">monocoup 30 mm pot à feu orange et bombette orange</t>
  </si>
  <si>
    <t xml:space="preserve">monocoup 30 mm pot à feu kamuro et bombette kamuro</t>
  </si>
  <si>
    <t xml:space="preserve">monocoup 30 mm pot à feu cli. blanc et bombette cli. blanc</t>
  </si>
  <si>
    <t xml:space="preserve">monocoup 50 mm double pot à feu cli. blanc et argent</t>
  </si>
  <si>
    <t xml:space="preserve">1395-f4-0018/2019</t>
  </si>
  <si>
    <t xml:space="preserve">monocoup 50 mm double pot à feu cli. blanc et multicolore</t>
  </si>
  <si>
    <t xml:space="preserve">1 tir mosaïque</t>
  </si>
  <si>
    <t xml:space="preserve">monocoup 40 mm mosaïque kamuro trace or</t>
  </si>
  <si>
    <t xml:space="preserve">monocoup 40 mm mosaïque rouge trace or</t>
  </si>
  <si>
    <t xml:space="preserve">monocoup 40 mm mosaïque vert trace or</t>
  </si>
  <si>
    <t xml:space="preserve">monocoup 40 mm mosaïque bleu trace or</t>
  </si>
  <si>
    <t xml:space="preserve">COMPACT SUPPLÉTIFS</t>
  </si>
  <si>
    <t xml:space="preserve">compact 19 tirs 30 mm viracocha (F1-19/30 01)</t>
  </si>
  <si>
    <t xml:space="preserve">0163-f3-2922</t>
  </si>
  <si>
    <t xml:space="preserve">compact 19 tirs 30 mm anubis (F1-19/30 04)</t>
  </si>
  <si>
    <t xml:space="preserve">compact 19 tirs 30 mm buda (F1-19/30 03)</t>
  </si>
  <si>
    <t xml:space="preserve">compact 19 tirs 30 mm gamesa (F1-19/30 13)</t>
  </si>
  <si>
    <t xml:space="preserve">compact 19 tirs 30 mm horus (F1-19/30 10)</t>
  </si>
  <si>
    <t xml:space="preserve">compact 19 tirs 30 mm shiva (F1-19/30 12)</t>
  </si>
  <si>
    <t xml:space="preserve">compact 25 tirs 30 mm dragon (F1-25/30 07)</t>
  </si>
  <si>
    <t xml:space="preserve">compact 25 tirs 30 mm el cisne (F1-25/30 08)</t>
  </si>
  <si>
    <t xml:space="preserve">compact 25 tirs 30 mm z arenal (F2-25/30 03)</t>
  </si>
  <si>
    <t xml:space="preserve">2923</t>
  </si>
  <si>
    <t xml:space="preserve">compact 25 tirs 30 mm la corona (F1-25/30 05)</t>
  </si>
  <si>
    <t xml:space="preserve">compact 25 tirs 30 mm pegaso (F1-25/30 06)</t>
  </si>
  <si>
    <t xml:space="preserve">compact 25 tirs 30 mm colorful emotions</t>
  </si>
  <si>
    <t xml:space="preserve">2806-f2-000843</t>
  </si>
  <si>
    <t xml:space="preserve">compact 25 tirs 30 mm pyroprodukt 23-25 gold crackling crossette</t>
  </si>
  <si>
    <t xml:space="preserve">0589-f4-0303</t>
  </si>
  <si>
    <t xml:space="preserve">compact 35 tirs 25 mm éventaillé pyroprodukt 8-35 colorful tail / with brocade b</t>
  </si>
  <si>
    <t xml:space="preserve">0589-f2-1918</t>
  </si>
  <si>
    <t xml:space="preserve">compact 36 tirs 30 mm andromeda (F1-36/30 08)</t>
  </si>
  <si>
    <t xml:space="preserve">compact 36 tirs 30 mm baco (F1-36/30 23)</t>
  </si>
  <si>
    <t xml:space="preserve">compact 36 tirs 30 mm casiopea (F1-36/30 06)</t>
  </si>
  <si>
    <t xml:space="preserve">compact 36 tirs 30 mm da lira (F1-36/30 05)</t>
  </si>
  <si>
    <t xml:space="preserve">compact 36 tirs 30 mm monster color (F1-36/30 09)</t>
  </si>
  <si>
    <t xml:space="preserve">compact 36 tirs 30 mm monster crackler (F1-36/30 10)</t>
  </si>
  <si>
    <t xml:space="preserve">compact 36 tirs 30 mm tronada (V3/36 01 H)</t>
  </si>
  <si>
    <t xml:space="preserve">1170-f3-02275</t>
  </si>
  <si>
    <t xml:space="preserve">compact 36 tirs 25 mm éventaillé pyroprodukt 30-36 blue dahlia mine / silver tai</t>
  </si>
  <si>
    <t xml:space="preserve">compact 36 tirs 25 mm éventaillé pyroprodukt 31-36 brocade to red mine / brocade</t>
  </si>
  <si>
    <t xml:space="preserve">compact 36 tirs 25 mm éventaillé pyroprodukt 35-36 silver glitter mine / silver</t>
  </si>
  <si>
    <t xml:space="preserve">compact 36 tirs 25 mm pyroprodukt 6-36 green spider / with green tail</t>
  </si>
  <si>
    <t xml:space="preserve">0589-f2-1838</t>
  </si>
  <si>
    <t xml:space="preserve">compact 49 tirs 20 mm éventaillé pyroprodukt 40-49 purple coco tail crossette</t>
  </si>
  <si>
    <t xml:space="preserve">0589-f2-2427</t>
  </si>
  <si>
    <t xml:space="preserve">compact 49 tirs 30 mm barcelona (F1-49/30 13)</t>
  </si>
  <si>
    <t xml:space="preserve">compact 49 tirs 30 mm madrid (F1-49/30 03)</t>
  </si>
  <si>
    <t xml:space="preserve">compact 49 tirs 20 mm mini monster (F6-49/20 10)</t>
  </si>
  <si>
    <t xml:space="preserve">0163-f2-3756</t>
  </si>
  <si>
    <t xml:space="preserve">compact 49 tirs 30 mm sevilla (F1-49/30 15)</t>
  </si>
  <si>
    <t xml:space="preserve">compact 49 tirs 30 mm valencia (F1-49/30 02)</t>
  </si>
  <si>
    <t xml:space="preserve">compact 49 tirs 20 mm éventaillé pyroprodukt 41-49 yellow coco tail crossette</t>
  </si>
  <si>
    <t xml:space="preserve">compact 49 tirs 20 mm éventaillé pyroprodukt 43-49 crackling tail crossette</t>
  </si>
  <si>
    <t xml:space="preserve">compact 49 tirs 30 mm pyroprodukt 1-49 peach-red/lemon-yellow/aquapistils white</t>
  </si>
  <si>
    <t xml:space="preserve">compact 49 tirs 30 mm pyroprodukt 3014-49 gold palm tree</t>
  </si>
  <si>
    <t xml:space="preserve">compact 50 tirs 30 mm éventaillé krakatoa (F2-50/30 12)</t>
  </si>
  <si>
    <t xml:space="preserve">0163-f3-2923</t>
  </si>
  <si>
    <t xml:space="preserve">compact 100 tirs 20 mm z mosaïque multicolor (F11-130/20 14)</t>
  </si>
  <si>
    <t xml:space="preserve">0163-f4-4527</t>
  </si>
  <si>
    <t xml:space="preserve">compact 100 tirs 20 mm z multicolor scintillant (F10-100/20 04)</t>
  </si>
  <si>
    <t xml:space="preserve">0163-f3-4526</t>
  </si>
  <si>
    <t xml:space="preserve">compact 100 tirs 20 mm z sifflet multicolor scint. (F10-100/20 17)</t>
  </si>
  <si>
    <t xml:space="preserve">compact 100 tirs 20 mm maremoto (F7-100/20S 91)</t>
  </si>
  <si>
    <t xml:space="preserve">0163-f2-3757</t>
  </si>
  <si>
    <t xml:space="preserve">compact 100 tirs 20 mm sunami (F7-100/20S 37)</t>
  </si>
  <si>
    <t xml:space="preserve">compact 100 tirs 20 mm terremoto 50 (F7-100/20S 57)</t>
  </si>
  <si>
    <t xml:space="preserve">compact 100 tirs 20 mm tifon (F7-100/20S 110)</t>
  </si>
  <si>
    <t xml:space="preserve">compact 150 tirs 20 mm éventaillé multi-effets la maquina (F10-150B/20 07)</t>
  </si>
  <si>
    <t xml:space="preserve">COMPACT DROIT</t>
  </si>
  <si>
    <t xml:space="preserve">9 tirs 50 mm</t>
  </si>
  <si>
    <t xml:space="preserve">compact 9 tirs 50 mm bombes kamuro</t>
  </si>
  <si>
    <t xml:space="preserve">1646-f4-201-093-08</t>
  </si>
  <si>
    <t xml:space="preserve">compact 9 tirs 50 mm bombes argent</t>
  </si>
  <si>
    <t xml:space="preserve">13 tirs</t>
  </si>
  <si>
    <t xml:space="preserve">compact 13 tirs 30 mm bombettes kamuro avec pointes multicolore</t>
  </si>
  <si>
    <t xml:space="preserve">1646-f2-201-049-03</t>
  </si>
  <si>
    <t xml:space="preserve">compact 13 tirs 30 mm bombettes kamuro avec pointes bleues</t>
  </si>
  <si>
    <t xml:space="preserve">compact 13 tirs 30 mm bombettes kamuro avec pointes vertes</t>
  </si>
  <si>
    <t xml:space="preserve">compact 13 tirs 30 mm bombettes kamuro avec pointes rouge</t>
  </si>
  <si>
    <t xml:space="preserve">compact 13 tirs 30 mm bombettes kamuro avec pointes violettes</t>
  </si>
  <si>
    <t xml:space="preserve">16 tirs</t>
  </si>
  <si>
    <t xml:space="preserve">compact 16 tirs 25 mm bombettes kamuro</t>
  </si>
  <si>
    <t xml:space="preserve">1646-f2-201-050-03</t>
  </si>
  <si>
    <t xml:space="preserve">compact 16 tirs 30 mm mosaïque rouge</t>
  </si>
  <si>
    <t xml:space="preserve">1646-f3-201-003-03</t>
  </si>
  <si>
    <t xml:space="preserve">compact 16 tirs 30 mm mosaïque vert</t>
  </si>
  <si>
    <t xml:space="preserve">compact 16 tirs 30 mm mosaïque citron</t>
  </si>
  <si>
    <t xml:space="preserve">compact 16 tirs 30 mm mosaïque orange</t>
  </si>
  <si>
    <t xml:space="preserve">compact 16 tirs 30 mm mosaïque bleu</t>
  </si>
  <si>
    <t xml:space="preserve">compact 16 tirs 30 mm mosaïque argent</t>
  </si>
  <si>
    <t xml:space="preserve">compact 16 tirs 30 mm mosaïque rose</t>
  </si>
  <si>
    <t xml:space="preserve">compact 16 tirs 30 mm mosaïque kamuro</t>
  </si>
  <si>
    <t xml:space="preserve">compact 16 tirs 30 mm mosaïque assorti</t>
  </si>
  <si>
    <t xml:space="preserve">20 tirs</t>
  </si>
  <si>
    <t xml:space="preserve">compact 20 tirs 30 mm assorti final déto</t>
  </si>
  <si>
    <t xml:space="preserve">1646-f4-201-098-40</t>
  </si>
  <si>
    <t xml:space="preserve">compact 20 tirs 30 mm bombettes oeufs de dragons</t>
  </si>
  <si>
    <t xml:space="preserve">1646-f2-201-052-03</t>
  </si>
  <si>
    <t xml:space="preserve">compact 20 tirs 30 mm palmes or crackling tronc bleu</t>
  </si>
  <si>
    <t xml:space="preserve">compact 20 tirs 30 mm bombettes crackling vertes</t>
  </si>
  <si>
    <t xml:space="preserve">compact 20 tirs 30 mm bombettes crackling citron</t>
  </si>
  <si>
    <t xml:space="preserve">compact 20 tirs 30 mm bombettes crackling bleues</t>
  </si>
  <si>
    <t xml:space="preserve">compact 20 tirs 30 mm bombettes crackling argent</t>
  </si>
  <si>
    <t xml:space="preserve">compact 20 tirs 30 mm bombettes crackling violettes</t>
  </si>
  <si>
    <t xml:space="preserve">compact 20 tirs 30 mm bombettes crackling rouge</t>
  </si>
  <si>
    <t xml:space="preserve">compact 20 tirs 30 mm bombettes crackling roses</t>
  </si>
  <si>
    <t xml:space="preserve">compact 20 tirs 30 mm bombettes crackling multicolore</t>
  </si>
  <si>
    <t xml:space="preserve">compact 20 tirs 30 mm bombettes crackling assortis</t>
  </si>
  <si>
    <t xml:space="preserve">compact 20 tirs 30 mm bombettes argent ascension argent</t>
  </si>
  <si>
    <t xml:space="preserve">compact 20 tirs 30 mm bombettes bleu ascension orange</t>
  </si>
  <si>
    <t xml:space="preserve">compact 20 tirs 30 mm bombettes rose ascension citron</t>
  </si>
  <si>
    <t xml:space="preserve">compact 20 tirs 30 mm bombettes citron ascension rose</t>
  </si>
  <si>
    <t xml:space="preserve">compact 20 tirs 30 mm bombettes rouge ascension blanc</t>
  </si>
  <si>
    <t xml:space="preserve">compact 20 tirs 30 mm bombettes violettes ascension verte</t>
  </si>
  <si>
    <t xml:space="preserve">compact 20 tirs 30 mm bombettes multicolore ascension argent</t>
  </si>
  <si>
    <t xml:space="preserve">compact 20 tirs 30 mm bombettes assortie ascension assorti</t>
  </si>
  <si>
    <t xml:space="preserve">compact 20 tirs 30 mm bombettes kamuro ascension bleue</t>
  </si>
  <si>
    <t xml:space="preserve">compact 20 tirs 30 mm kamuro à pointes multicolore ascension argent</t>
  </si>
  <si>
    <t xml:space="preserve">compact 20 tirs 30 mm bombettes saule or ascension bleu</t>
  </si>
  <si>
    <t xml:space="preserve">compact 20 tirs 30 mm bombettes cli. vert ascension verte</t>
  </si>
  <si>
    <t xml:space="preserve">compact 20 tirs 30 mm bombettes cli. rouge ascension rouge</t>
  </si>
  <si>
    <t xml:space="preserve">compact 20 tirs 30 mm bombettes cli. argent</t>
  </si>
  <si>
    <t xml:space="preserve">compact 20 tirs 30 mm bombettes rouge et cli. blanc ascension bleue</t>
  </si>
  <si>
    <t xml:space="preserve">compact 20 tirs 30 mm bombettes assorties ascension tourbillons argent</t>
  </si>
  <si>
    <t xml:space="preserve">1646-f2-201-053-03</t>
  </si>
  <si>
    <t xml:space="preserve">compact 20 tirs 30 mm bombettes rouge ascension tourbillons argent</t>
  </si>
  <si>
    <t xml:space="preserve">compact 20 tirs 30 mm palmes scintillant bleu or ascension bleu</t>
  </si>
  <si>
    <t xml:space="preserve">1646-f2-201-007-03</t>
  </si>
  <si>
    <t xml:space="preserve">compact 20 tirs 30 mm palmes scintillant vert or ascension vert</t>
  </si>
  <si>
    <t xml:space="preserve">compact 20 tirs 30 mm palmes scintillant rose or ascension rose</t>
  </si>
  <si>
    <t xml:space="preserve">compact 20 tirs 30 mm palmes scintillant rouge or ascension rouge</t>
  </si>
  <si>
    <t xml:space="preserve">compact 20 tirs 30 mm palmes scintillant blanc or ascension blanc</t>
  </si>
  <si>
    <t xml:space="preserve">compact 20 tirs 30 mm disque de tourbillons ascension rouge</t>
  </si>
  <si>
    <t xml:space="preserve">1646-f2-201-006-03</t>
  </si>
  <si>
    <t xml:space="preserve">compact 20 tirs 30 mm disque de tourbillons ascension cyan</t>
  </si>
  <si>
    <t xml:space="preserve">compact 20 tirs 30 mm tourbillon argent</t>
  </si>
  <si>
    <t xml:space="preserve">1646-f2-201-016-03</t>
  </si>
  <si>
    <t xml:space="preserve">compact 20 tirs 30 mm poissons rouge</t>
  </si>
  <si>
    <t xml:space="preserve">1646-f3-201-004-03</t>
  </si>
  <si>
    <t xml:space="preserve">compact 20 tirs 30 mm poissons vert</t>
  </si>
  <si>
    <t xml:space="preserve">compact 20 tirs 30 mm poissons argent</t>
  </si>
  <si>
    <t xml:space="preserve">compact 20 tirs 30 mm poissons or</t>
  </si>
  <si>
    <t xml:space="preserve">compact 20 tirs 30 mm pot à feu et bombette kamuro</t>
  </si>
  <si>
    <t xml:space="preserve">1646-f2-201-097-40</t>
  </si>
  <si>
    <t xml:space="preserve">compact 20 tirs 30 mm pot à feu et bombette argent</t>
  </si>
  <si>
    <t xml:space="preserve">compact 20 tirs 30 mm pot à feu et bombette cli. blanc</t>
  </si>
  <si>
    <t xml:space="preserve">compact 20 tirs 30 mm pot à feu et bombette rouge</t>
  </si>
  <si>
    <t xml:space="preserve">compact 20 tirs 30 mm pot à feu et bombette violet</t>
  </si>
  <si>
    <t xml:space="preserve">compact 20 tirs 30 mm pot à feu et bombette bleu</t>
  </si>
  <si>
    <t xml:space="preserve">compact 20 tirs 30 mm pot à feu et bombette oeuf de dragon</t>
  </si>
  <si>
    <t xml:space="preserve">25 tirs</t>
  </si>
  <si>
    <t xml:space="preserve">compact 25 tirs 25 mm marron d'air 25 s</t>
  </si>
  <si>
    <t xml:space="preserve">1646-f2-201-057-03</t>
  </si>
  <si>
    <t xml:space="preserve">compact 25 tirs 25 mm marron d'air 5 s</t>
  </si>
  <si>
    <t xml:space="preserve">compact 25 tirs 20 mm pyroprodukt 12-25 marron d’air et sifflets 5 secondes</t>
  </si>
  <si>
    <t xml:space="preserve">compact 25 tirs 30 mm feuilles mortes rouge</t>
  </si>
  <si>
    <t xml:space="preserve">1646-f2-201-056-03</t>
  </si>
  <si>
    <t xml:space="preserve">compact 25 tirs 30 mm feuilles mortes vertes</t>
  </si>
  <si>
    <t xml:space="preserve">compact 25 tirs 30 mm feuilles mortes or</t>
  </si>
  <si>
    <t xml:space="preserve">compact 25 tirs 30 mm feuilles mortes argent</t>
  </si>
  <si>
    <t xml:space="preserve">compact 25 tirs 30 mm feuilles mortes citron</t>
  </si>
  <si>
    <t xml:space="preserve">compact 25 tirs 30 mm feuilles mortes bleues</t>
  </si>
  <si>
    <t xml:space="preserve">compact 25 tirs 30 mm feuilles mortes orange</t>
  </si>
  <si>
    <t xml:space="preserve">compact 25 tirs 30 mm feuilles mortes assorties</t>
  </si>
  <si>
    <t xml:space="preserve">30 tirs 38 mm</t>
  </si>
  <si>
    <t xml:space="preserve">compact 30 tirs 38 mm kamuro</t>
  </si>
  <si>
    <t xml:space="preserve">1646-f3-201-009-03</t>
  </si>
  <si>
    <t xml:space="preserve">compact 30 tirs 38 mm kamuro à pointes multicolore</t>
  </si>
  <si>
    <t xml:space="preserve">compact 30 tirs 38 mm assorti</t>
  </si>
  <si>
    <t xml:space="preserve">30 tirs 50 mm</t>
  </si>
  <si>
    <t xml:space="preserve">compact 30 tirs 50 mm légèrement éventaillé bombes kamuro</t>
  </si>
  <si>
    <t xml:space="preserve">1646-f4-201-094-08</t>
  </si>
  <si>
    <t xml:space="preserve">compact 30 tirs 50 mm légèrement éventaillé bombes kamuro à pointes multicolore</t>
  </si>
  <si>
    <t xml:space="preserve">compact 30 tirs 50 mm légèrement éventaillé bombes argent</t>
  </si>
  <si>
    <t xml:space="preserve">49 tirs</t>
  </si>
  <si>
    <t xml:space="preserve">compact 49 tirs 20 mm assorti tronc assorti</t>
  </si>
  <si>
    <t xml:space="preserve">1646-f4-201-096-08</t>
  </si>
  <si>
    <t xml:space="preserve">compact 49 tirs 20 mm rose tronc rose</t>
  </si>
  <si>
    <t xml:space="preserve">compact 49 tirs 20 mm bleu tronc bleu</t>
  </si>
  <si>
    <t xml:space="preserve">compact 49 tirs 20 mm rouge tronc rouge</t>
  </si>
  <si>
    <t xml:space="preserve">compact 49 tirs 20 mm multicolore tronc multicolore</t>
  </si>
  <si>
    <t xml:space="preserve">compact 49 tirs 20 mm blanc tronc blanc</t>
  </si>
  <si>
    <t xml:space="preserve">compact 49 tirs 20 mm kamuro</t>
  </si>
  <si>
    <t xml:space="preserve">compact 49 tirs 20 mm cli. vert</t>
  </si>
  <si>
    <t xml:space="preserve">1646-f3-201-106-40</t>
  </si>
  <si>
    <t xml:space="preserve">compact 49 tirs 20 mm cli. blanc</t>
  </si>
  <si>
    <t xml:space="preserve">compact 49 tirs 20 mm cli. rouge</t>
  </si>
  <si>
    <t xml:space="preserve">compact 49 tirs 20 mm sifflets argent</t>
  </si>
  <si>
    <t xml:space="preserve">1646-f2-201-060-03</t>
  </si>
  <si>
    <t xml:space="preserve">compact 49 tirs 20 mm sifflets 5 s</t>
  </si>
  <si>
    <t xml:space="preserve">1646-f4-201-100-08</t>
  </si>
  <si>
    <t xml:space="preserve">100 tirs</t>
  </si>
  <si>
    <t xml:space="preserve">compact 100 tirs 30 mm droit bombette rouge</t>
  </si>
  <si>
    <t xml:space="preserve">1646-f4-201-064-03</t>
  </si>
  <si>
    <t xml:space="preserve">compact 100 tirs 30 mm droit bombette argent</t>
  </si>
  <si>
    <t xml:space="preserve">compact 100 tirs 30 mm droit bombette assorties</t>
  </si>
  <si>
    <t xml:space="preserve">compact 100 tirs 30 mm droit bombette brocade or</t>
  </si>
  <si>
    <t xml:space="preserve">compact 100 tirs 30 mm droit bombette bleu</t>
  </si>
  <si>
    <t xml:space="preserve">compact 100 tirs 30 mm droit cli. blanc queue argent</t>
  </si>
  <si>
    <t xml:space="preserve">compact 100 tirs 30 mm droit bombette kamuro pointes multicolores</t>
  </si>
  <si>
    <t xml:space="preserve">compact 100 tirs 20 mm pyroprodukt 12-100 marron d’air et sifflets 5 secondes</t>
  </si>
  <si>
    <t xml:space="preserve">COMPACT ÉVENTAILLÉ</t>
  </si>
  <si>
    <t xml:space="preserve">bande (1 salve)</t>
  </si>
  <si>
    <t xml:space="preserve">compact bande 9 tirs 30 mm éventaillé bombette crackling kamuro</t>
  </si>
  <si>
    <t xml:space="preserve">1395-f3-0176/2018</t>
  </si>
  <si>
    <t xml:space="preserve">compact bande 9 tirs 30 mm éventaillé bombette crackling argent</t>
  </si>
  <si>
    <t xml:space="preserve">compact bande 9 tirs 30 mm éventaillé bombette crackling rouge</t>
  </si>
  <si>
    <t xml:space="preserve">compact bande 9 tirs 30 mm éventaillé bombette crackling violet</t>
  </si>
  <si>
    <t xml:space="preserve">compact bande 9 tirs 30 mm éventaillé bombette crackling bleu</t>
  </si>
  <si>
    <t xml:space="preserve">compact bande 9 tirs 30 mm éventaillé bombette crackling rose</t>
  </si>
  <si>
    <t xml:space="preserve">compact bande 9 tirs 30 mm éventaillé bombette crackling multicolore</t>
  </si>
  <si>
    <t xml:space="preserve">plus que 33</t>
  </si>
  <si>
    <t xml:space="preserve">compact bande 9 tirs 30 mm éventaillé pot à feu bleu</t>
  </si>
  <si>
    <t xml:space="preserve">1008-f4-69255483</t>
  </si>
  <si>
    <t xml:space="preserve">compact bande 9 tirs 30 mm éventaillé pot à feu blanc</t>
  </si>
  <si>
    <t xml:space="preserve">compact bande 9 tirs 30 mm éventaillé pot à feu rouge</t>
  </si>
  <si>
    <t xml:space="preserve">plus que 10</t>
  </si>
  <si>
    <t xml:space="preserve">compact bande 9 tirs 30 mm éventaillé pot à feu kamuro</t>
  </si>
  <si>
    <t xml:space="preserve">compact bande 9 tirs 30 mm éventaillé pot à feu kamuro et bombette rouge</t>
  </si>
  <si>
    <t xml:space="preserve">1008-f4-69255498</t>
  </si>
  <si>
    <t xml:space="preserve">compact bande 9 tirs 30 mm éventaillé pot à feu et bombette kamuro</t>
  </si>
  <si>
    <t xml:space="preserve">1646-f3-201-103-40</t>
  </si>
  <si>
    <t xml:space="preserve">compact bande 9 tirs 30 mm éventaillé pot à feu et bombette argent</t>
  </si>
  <si>
    <t xml:space="preserve">compact bande 9 tirs 30 mm éventaillé pot à feu et bombette cli. blanc</t>
  </si>
  <si>
    <t xml:space="preserve">compact bande 9 tirs 30 mm éventaillé pot à feu et bombette rouge</t>
  </si>
  <si>
    <t xml:space="preserve">compact bande 9 tirs 30 mm éventaillé pot à feu et bombette violet</t>
  </si>
  <si>
    <t xml:space="preserve">compact bande 9 tirs 30 mm éventaillé pot à feu et bombette bleu</t>
  </si>
  <si>
    <t xml:space="preserve">compact bande 9 tirs 30 mm éventaillé pot à feu et bombette oeuf de dragon</t>
  </si>
  <si>
    <t xml:space="preserve">compact bande 9 tirs 30 mm éventaillé pot à feu cli blanc et bombette marron d'a</t>
  </si>
  <si>
    <t xml:space="preserve">1395-f4-0012/2019</t>
  </si>
  <si>
    <t xml:space="preserve">plus que 40</t>
  </si>
  <si>
    <t xml:space="preserve">compact bande 9 tirs 30 mm éventaillé pot à feu et feuille morte multicolore</t>
  </si>
  <si>
    <t xml:space="preserve">1395-f4-0013/2019</t>
  </si>
  <si>
    <t xml:space="preserve">compact bande 9 tirs 30 mm éventaillé pot à feu kamuro et queue de cheval</t>
  </si>
  <si>
    <t xml:space="preserve">compact bande 9 tirs 30 mm éventaillé pot à feu kamuro et comète crackling</t>
  </si>
  <si>
    <t xml:space="preserve">1008-f4-69255486</t>
  </si>
  <si>
    <t xml:space="preserve">40 tirs éventaillés (8 salves de 5 tirs)</t>
  </si>
  <si>
    <t xml:space="preserve">compact 40 tirs 25 mm éventaillé comète cli. blanc</t>
  </si>
  <si>
    <t xml:space="preserve">1646-f3-201-021-03</t>
  </si>
  <si>
    <t xml:space="preserve">compact 40 tirs 25 mm éventaillé comètes violettes</t>
  </si>
  <si>
    <t xml:space="preserve">compact 40 tirs 25 mm éventaillé comètes argent</t>
  </si>
  <si>
    <t xml:space="preserve">compact 40 tirs 25 mm éventaillé comètes citron</t>
  </si>
  <si>
    <t xml:space="preserve">compact 40 tirs 25 mm éventaillé comètes rouge</t>
  </si>
  <si>
    <t xml:space="preserve">compact 40 tirs 25 mm éventaillé comètes bleu</t>
  </si>
  <si>
    <t xml:space="preserve">compact 40 tirs 25 mm éventaillé comètes vert</t>
  </si>
  <si>
    <t xml:space="preserve">compact 40 tirs 25 mm éventaillé comètes cli. or</t>
  </si>
  <si>
    <t xml:space="preserve">compact 40 tirs 25 mm éventaillé comètes crackling or</t>
  </si>
  <si>
    <t xml:space="preserve">compact 40 tirs 30 mm éventaillé palme or scintillant rouge</t>
  </si>
  <si>
    <t xml:space="preserve">1646-f3-201-022-03</t>
  </si>
  <si>
    <t xml:space="preserve">compact 40 tirs 30 mm éventaillé queue de cheval kamuro</t>
  </si>
  <si>
    <t xml:space="preserve">compact 40 tirs 30 mm éventaillé poisson argent</t>
  </si>
  <si>
    <t xml:space="preserve">compact 40 tirs 30 mm éventaillé bombette multicolore pastel</t>
  </si>
  <si>
    <t xml:space="preserve">compact 40 tirs 30 mm éventaillé feuilles mortes rouges</t>
  </si>
  <si>
    <t xml:space="preserve">compact 40 tirs 30 mm éventaillé feuilles mortes vertes</t>
  </si>
  <si>
    <t xml:space="preserve">compact 40 tirs 30 mm éventaillé feuilles mortes citron</t>
  </si>
  <si>
    <t xml:space="preserve">40 tirs éventaillés (8 salves de 5 pots à feu)</t>
  </si>
  <si>
    <t xml:space="preserve">compact 40 tirs 30 mm éventaillé pot à feu crackling</t>
  </si>
  <si>
    <t xml:space="preserve">1646-f3-201-088-03</t>
  </si>
  <si>
    <t xml:space="preserve">compact 40 tirs 30 mm éventaillé pot à feu kamuro</t>
  </si>
  <si>
    <t xml:space="preserve">40 tirs éventaillés (8 salves de 5 bombettes)</t>
  </si>
  <si>
    <t xml:space="preserve">compact 40 tirs 30 mm éventaillé bombette cli. blanc</t>
  </si>
  <si>
    <t xml:space="preserve">compact 40 tirs 30 mm éventaillé bombette cli. rouge</t>
  </si>
  <si>
    <t xml:space="preserve">compact 40 tirs 30 mm éventaillé bombette multicolore asc. tourbillon</t>
  </si>
  <si>
    <t xml:space="preserve">1646-f3-201-099-40</t>
  </si>
  <si>
    <t xml:space="preserve">compact 40 tirs 30 mm éventaillé pot à feu cli. blanc queue de cheval</t>
  </si>
  <si>
    <t xml:space="preserve">1395-f3-0014/2019</t>
  </si>
  <si>
    <t xml:space="preserve">50 tirs éventaillés (10 salves de 5 bombettes)</t>
  </si>
  <si>
    <t xml:space="preserve">compact 50 tirs 20 mm éventaillé pivoine rouge ascension argent</t>
  </si>
  <si>
    <t xml:space="preserve">1646-f2-201-063-03</t>
  </si>
  <si>
    <t xml:space="preserve">compact 50 tirs 20 mm éventaillé pivoine bleu ascension argent</t>
  </si>
  <si>
    <t xml:space="preserve">compact 50 tirs 20 mm éventaillé kamuro ascension argent</t>
  </si>
  <si>
    <t xml:space="preserve">compact 50 tirs 20 mm éventaillé pivoine vert ascension argent</t>
  </si>
  <si>
    <t xml:space="preserve">compact 50 tirs 20 mm éventaillé pivoine argent ascension argent</t>
  </si>
  <si>
    <t xml:space="preserve">compact 50 tirs 20 mm éventaillé pivoine rose ascension argent</t>
  </si>
  <si>
    <t xml:space="preserve">compact 50 tirs 20 mm éventaillé violet ascension argent</t>
  </si>
  <si>
    <t xml:space="preserve">compact 50 tirs 20 mm éventaillé pivoine assortis ascension argent</t>
  </si>
  <si>
    <t xml:space="preserve">compact 50 tirs 20 mm éventaillé oeuf de dragon</t>
  </si>
  <si>
    <t xml:space="preserve">compact 50 tirs 20 mm éventaillé cli. blanc</t>
  </si>
  <si>
    <t xml:space="preserve">compact 50 tirs 20 mm éventaillé tourbillon argent</t>
  </si>
  <si>
    <t xml:space="preserve">1646-f3-201-010-03</t>
  </si>
  <si>
    <t xml:space="preserve">100 tirs éventaillés</t>
  </si>
  <si>
    <t xml:space="preserve">compact 100 tirs 30 mm éventaillé pot à feu or strob pointes bleues</t>
  </si>
  <si>
    <t xml:space="preserve">1646-f4-201-066-03</t>
  </si>
  <si>
    <t xml:space="preserve">compact 100 tirs 30 mm éventaillé pot à feu or scintillant pointes rouges</t>
  </si>
  <si>
    <t xml:space="preserve">compact 100 tirs 30 mm éventaillé pot à feu kamuro</t>
  </si>
  <si>
    <t xml:space="preserve">compact 100 tirs 30 mm éventaillé pot à feu argent</t>
  </si>
  <si>
    <t xml:space="preserve">compact 100 tirs 30 mm éventaillé pot à feu rouge</t>
  </si>
  <si>
    <t xml:space="preserve">compact 100 tirs 30 mm éventaillé pot à feu violet</t>
  </si>
  <si>
    <t xml:space="preserve">compact 100 tirs 30 mm éventaillé pot à feu bleu</t>
  </si>
  <si>
    <t xml:space="preserve">plus que 18</t>
  </si>
  <si>
    <t xml:space="preserve">compact 100 tirs 30 mm éventaillé pot à feu argent scintillant</t>
  </si>
  <si>
    <t xml:space="preserve">compact 100 tirs 30 mm éventaillé pot à feu kamuro et bombette kamuro</t>
  </si>
  <si>
    <t xml:space="preserve">1646-f4-201-105-08</t>
  </si>
  <si>
    <t xml:space="preserve">compact 100 tirs 30 mm éventaillé bombettes oeuf de dragon</t>
  </si>
  <si>
    <t xml:space="preserve">1646-f4-201-102-08</t>
  </si>
  <si>
    <t xml:space="preserve">compact 100 tirs 30 mm éventaillé pot à feu rouge et cli. blanc</t>
  </si>
  <si>
    <t xml:space="preserve">1646-f4-201-108-08</t>
  </si>
  <si>
    <t xml:space="preserve">compact 100 tirs 30 mm éventaillé sifflet</t>
  </si>
  <si>
    <t xml:space="preserve">1646-f4-201-091-03</t>
  </si>
  <si>
    <t xml:space="preserve">compact 100 tirs 30 mm éventaillé tourbillon</t>
  </si>
  <si>
    <t xml:space="preserve">1646-f4-201-092-08</t>
  </si>
  <si>
    <t xml:space="preserve">compact 100 tirs 30 mm éventaillé mosaïque argent</t>
  </si>
  <si>
    <t xml:space="preserve">1646-f4-201-101-08</t>
  </si>
  <si>
    <t xml:space="preserve">compact 100 tirs 30 mm éventaillé pot à feu oeuf de dragon</t>
  </si>
  <si>
    <t xml:space="preserve">1395-f4-0008/2019</t>
  </si>
  <si>
    <t xml:space="preserve">120 tirs éventaillés</t>
  </si>
  <si>
    <t xml:space="preserve">compact 120 tirs 30 mm éventaillé assortis</t>
  </si>
  <si>
    <t xml:space="preserve">1646-f4-201-067-03</t>
  </si>
  <si>
    <t xml:space="preserve">COMPACT EN Z</t>
  </si>
  <si>
    <t xml:space="preserve">bande 9 tirs (1 rafale)</t>
  </si>
  <si>
    <t xml:space="preserve">compact bande 9 tirs 30 mm z comète kamuro</t>
  </si>
  <si>
    <t xml:space="preserve">1395-f3-0177/2018</t>
  </si>
  <si>
    <t xml:space="preserve">compact bande 9 tirs 30 mm z comète argent</t>
  </si>
  <si>
    <t xml:space="preserve">compact bande 9 tirs 30 mm z comète or pointes rouge</t>
  </si>
  <si>
    <t xml:space="preserve">compact bande 9 tirs 30 mm int. vers ext. pot à feu rouge scint. et comète rouge</t>
  </si>
  <si>
    <t xml:space="preserve">compact bande 9 tirs 30 mm ext. vers int. comète argent pointes aqua</t>
  </si>
  <si>
    <t xml:space="preserve">30 tirs z (6 tirs gauche droite de 5 bbettes)</t>
  </si>
  <si>
    <t xml:space="preserve">compact 30 tirs 20 mm z pot à feu rouge</t>
  </si>
  <si>
    <t xml:space="preserve">1395-f2-0178/2018</t>
  </si>
  <si>
    <t xml:space="preserve">compact 30 tirs 20 mm z pot à feu bleu</t>
  </si>
  <si>
    <t xml:space="preserve">compact 30 tirs 20 mm z pot à feu argent</t>
  </si>
  <si>
    <t xml:space="preserve">compact 30 tirs 20 mm z pot à feu violet</t>
  </si>
  <si>
    <t xml:space="preserve">compact 30 tirs 20 mm z pot à feu rose</t>
  </si>
  <si>
    <t xml:space="preserve">compact 30 tirs 20 mm z pot à feu vert</t>
  </si>
  <si>
    <t xml:space="preserve">compact 30 tirs 20 mm z pot à feu assorti</t>
  </si>
  <si>
    <t xml:space="preserve">compact 30 tirs 20 mm z pot à feu kamuro</t>
  </si>
  <si>
    <t xml:space="preserve">compact 30 tirs 20 mm z pot à feu cli. blanc</t>
  </si>
  <si>
    <t xml:space="preserve">compact 30 tirs 20 mm z tourbillon argent</t>
  </si>
  <si>
    <t xml:space="preserve">1646-f2-201-008-03</t>
  </si>
  <si>
    <t xml:space="preserve">compact 30 tirs 20 mm z pivoine rouge ascension argent</t>
  </si>
  <si>
    <t xml:space="preserve">1646-f2-201-058-03</t>
  </si>
  <si>
    <t xml:space="preserve">compact 30 tirs 20 mm z pivoine bleue ascension argent</t>
  </si>
  <si>
    <t xml:space="preserve">compact 30 tirs 20 mm z pivoine vert ascension argent</t>
  </si>
  <si>
    <t xml:space="preserve">compact 30 tirs 20 mm z pivoine or kamuro ascension argent</t>
  </si>
  <si>
    <t xml:space="preserve">compact 30 tirs 20 mm z pivoine violet ascension argent</t>
  </si>
  <si>
    <t xml:space="preserve">compact 30 tirs 20 mm z pivoine argent ascension argent</t>
  </si>
  <si>
    <t xml:space="preserve">compact 30 tirs 20 mm z pivoine rose ascension argent</t>
  </si>
  <si>
    <t xml:space="preserve">compact 30 tirs 20 mm z pivoine assortis ascension argent</t>
  </si>
  <si>
    <t xml:space="preserve">compact 30 tirs 20 mm z pivoine cli. blanc ascension argent</t>
  </si>
  <si>
    <t xml:space="preserve">40 tirs z (8 tirs gauche droite)</t>
  </si>
  <si>
    <t xml:space="preserve">compact 40 tirs 25 mm z comète cli. blanc</t>
  </si>
  <si>
    <t xml:space="preserve">compact 40 tirs 25 mm z comète argent</t>
  </si>
  <si>
    <t xml:space="preserve">compact 40 tirs 25 mm z comète citron</t>
  </si>
  <si>
    <t xml:space="preserve">compact 40 tirs 25 mm z comète rouge</t>
  </si>
  <si>
    <t xml:space="preserve">compact 40 tirs 25 mm z comète bleu</t>
  </si>
  <si>
    <t xml:space="preserve">compact 40 tirs 25 mm z comète violet</t>
  </si>
  <si>
    <t xml:space="preserve">compact 40 tirs 25 mm z comète cli. or</t>
  </si>
  <si>
    <t xml:space="preserve">compact 40 tirs 25 mm z comète crackling or</t>
  </si>
  <si>
    <t xml:space="preserve">compact 40 tirs 30 mm z queue de cheval kamuro</t>
  </si>
  <si>
    <t xml:space="preserve">compact 40 tirs 30 mm z queue de cheval rouge</t>
  </si>
  <si>
    <t xml:space="preserve">compact 40 tirs 30 mm éventaillé pot à feu et queue de cheval rose aqua citron</t>
  </si>
  <si>
    <t xml:space="preserve">1395-f3-0015/2019</t>
  </si>
  <si>
    <t xml:space="preserve">compact 40 tirs 30 mm z pot à feu kamuro asc. rouge queue de cheval étoile rouge</t>
  </si>
  <si>
    <t xml:space="preserve">1395-f4-0009/2019</t>
  </si>
  <si>
    <t xml:space="preserve">compact 40 tirs 30 mm z feuilles mortes rouges</t>
  </si>
  <si>
    <t xml:space="preserve">compact 40 tirs 30 mm z feuilles mortes vertes</t>
  </si>
  <si>
    <t xml:space="preserve">compact 40 tirs 30 mm z feuilles mortes bleues</t>
  </si>
  <si>
    <t xml:space="preserve">compact 40 tirs 30 mm z feuilles mortes citron</t>
  </si>
  <si>
    <t xml:space="preserve">compact 40 tirs 30 mm z méduse rose</t>
  </si>
  <si>
    <t xml:space="preserve">2806-f3-001384</t>
  </si>
  <si>
    <t xml:space="preserve">compact 40 tirs 30 mm z méduse verte</t>
  </si>
  <si>
    <t xml:space="preserve">compact 40 tirs 30 mm z méduse rouge</t>
  </si>
  <si>
    <t xml:space="preserve">compact 40 tirs 30 mm z méduse violet</t>
  </si>
  <si>
    <t xml:space="preserve">compact 40 tirs 30 mm z méduse citron</t>
  </si>
  <si>
    <t xml:space="preserve">compact 40 tirs 30 mm z méduse orange</t>
  </si>
  <si>
    <t xml:space="preserve">compact 40 tirs 30 mm z méduse bleue</t>
  </si>
  <si>
    <t xml:space="preserve">compact 40 tirs 30 mm z méduse argent</t>
  </si>
  <si>
    <t xml:space="preserve">compact 40 tirs 30 mm z méduse or</t>
  </si>
  <si>
    <t xml:space="preserve">compact 40 tirs 30 mm z méduse multicolore</t>
  </si>
  <si>
    <t xml:space="preserve">compact 40 tirs 30 mm z méduse aqua</t>
  </si>
  <si>
    <t xml:space="preserve">100 tirs z</t>
  </si>
  <si>
    <t xml:space="preserve">compact 100 tirs 30 mm z queue de cheval kamuro ascension bleu</t>
  </si>
  <si>
    <t xml:space="preserve">1646-f4-201-065-03</t>
  </si>
  <si>
    <t xml:space="preserve">compact 100 tirs 30 mm z feuilles mortes couleurs assorties</t>
  </si>
  <si>
    <t xml:space="preserve">compact 100 tirs 30 mm z pot à feu kamuro</t>
  </si>
  <si>
    <t xml:space="preserve">compact 100 tirs 30 mm z pot à feu rouge</t>
  </si>
  <si>
    <t xml:space="preserve">compact 100 tirs 30 mm z pot à feu argent</t>
  </si>
  <si>
    <t xml:space="preserve">compact 100 tirs 30 mm z pot à feu bleu</t>
  </si>
  <si>
    <t xml:space="preserve">compact 100 tirs 30 mm z pot à feu argent scintillant</t>
  </si>
  <si>
    <t xml:space="preserve">compact 100 tirs 30 mm z bombettes palme or et rouge scintillant ascension rouge</t>
  </si>
  <si>
    <t xml:space="preserve">compact 100 tirs 30 mm z bombettes kamuro ascension cyan</t>
  </si>
  <si>
    <t xml:space="preserve">compact 100 tirs 30 mm z triple pot à feu oeuf de dragon puis rouge puis bleu</t>
  </si>
  <si>
    <t xml:space="preserve">compact 100 tirs 30 mm z comète scintillant blanc</t>
  </si>
  <si>
    <t xml:space="preserve">1646-f4-201-089-08</t>
  </si>
  <si>
    <t xml:space="preserve">compact 100 tirs 30 mm z comète scintillant rouge</t>
  </si>
  <si>
    <t xml:space="preserve">1008-F4-69255486</t>
  </si>
  <si>
    <t xml:space="preserve">compact 100 tirs 30 mm z comète argent large et traçante</t>
  </si>
  <si>
    <t xml:space="preserve">compact 100 tirs 30 mm z méduse bleu</t>
  </si>
  <si>
    <t xml:space="preserve">1395-f4-0174/2018</t>
  </si>
  <si>
    <t xml:space="preserve">compact 100 tirs 20 mm z hiboux multicolore</t>
  </si>
  <si>
    <t xml:space="preserve">1395-f3-0175/2018</t>
  </si>
  <si>
    <t xml:space="preserve">300 tirs z</t>
  </si>
  <si>
    <t xml:space="preserve">compact 300 tirs 13 mm z comètes pastel</t>
  </si>
  <si>
    <t xml:space="preserve">1646-f4-201-069-03</t>
  </si>
  <si>
    <t xml:space="preserve">COMPACT NAUTIQUE</t>
  </si>
  <si>
    <t xml:space="preserve">20 tirs bengale et fontaine</t>
  </si>
  <si>
    <t xml:space="preserve">compact nautique 20 tirs éventaillé bengale bleu</t>
  </si>
  <si>
    <t xml:space="preserve">1646-f4-201-024-33</t>
  </si>
  <si>
    <t xml:space="preserve">compact nautique 20 tirs éventaillé bengale vert</t>
  </si>
  <si>
    <t xml:space="preserve">compact nautique 20 tirs éventaillé bengale violettes</t>
  </si>
  <si>
    <t xml:space="preserve">compact nautique 20 tirs éventaillé bengale rouge</t>
  </si>
  <si>
    <t xml:space="preserve">compact nautique 20 tirs éventaillé bengale argent</t>
  </si>
  <si>
    <t xml:space="preserve">plus que 24</t>
  </si>
  <si>
    <t xml:space="preserve">compact nautique 20 tirs éventaillé fontaine argent</t>
  </si>
  <si>
    <t xml:space="preserve">COMPACT GRAND PUBLIC</t>
  </si>
  <si>
    <t xml:space="preserve">compact vuurwerkvisie</t>
  </si>
  <si>
    <t xml:space="preserve">compact vuurwerkvisie 9 tirs backflip</t>
  </si>
  <si>
    <t xml:space="preserve">2806-f2-001790</t>
  </si>
  <si>
    <t xml:space="preserve">compact vuurwerkvisie 9 tirs dancecrew</t>
  </si>
  <si>
    <t xml:space="preserve">2806-f2-000842</t>
  </si>
  <si>
    <t xml:space="preserve">compact vuurwerkvisie 9 tirs king tut</t>
  </si>
  <si>
    <t xml:space="preserve">compact vuurwerkvisie 66 tirs flowmotion</t>
  </si>
  <si>
    <t xml:space="preserve">1008-f2-69248902</t>
  </si>
  <si>
    <t xml:space="preserve">compact vuurwerkvisie 12 tirs tolerate</t>
  </si>
  <si>
    <t xml:space="preserve">1008-f2-69253815</t>
  </si>
  <si>
    <t xml:space="preserve">compact vuurwerkvisie 30 tirs triple riot</t>
  </si>
  <si>
    <t xml:space="preserve">2806-f2-000855</t>
  </si>
  <si>
    <t xml:space="preserve">compact vuurwerkvisie 25 tirs swat team</t>
  </si>
  <si>
    <t xml:space="preserve">2806-f2-000851</t>
  </si>
  <si>
    <t xml:space="preserve">compact vuurwerkvisie 30 tirs hff underground</t>
  </si>
  <si>
    <t xml:space="preserve">1008-f2-69253816</t>
  </si>
  <si>
    <t xml:space="preserve">compact vuurwerkvisie 75 tirs ruthless fan box impitoyable</t>
  </si>
  <si>
    <t xml:space="preserve">2806-f2-001819</t>
  </si>
  <si>
    <t xml:space="preserve">compact vuurwerkvisie 30 tirs volt! white red rebel</t>
  </si>
  <si>
    <t xml:space="preserve">2806-f2-001806</t>
  </si>
  <si>
    <t xml:space="preserve">compact vuurwerkvisie 36 tirs rumble</t>
  </si>
  <si>
    <t xml:space="preserve">1170-f2-03991</t>
  </si>
  <si>
    <t xml:space="preserve">compact vuurwerkvisie 60 tirs volt! wicked whistle</t>
  </si>
  <si>
    <t xml:space="preserve">2806-f2-001813</t>
  </si>
  <si>
    <t xml:space="preserve">feu automatique vuurwerkvisie 72 tirs final colorz</t>
  </si>
  <si>
    <t xml:space="preserve">1008-f2-69257146</t>
  </si>
  <si>
    <t xml:space="preserve">feu automatique vuurwerkvisie 72 tirs final gold</t>
  </si>
  <si>
    <t xml:space="preserve">compact vuurwerkvisie 100 tirs project x</t>
  </si>
  <si>
    <t xml:space="preserve">2806-f2-002139</t>
  </si>
  <si>
    <t xml:space="preserve">compact vuurwerkvisie 100 tirs say watt</t>
  </si>
  <si>
    <t xml:space="preserve">2806-f2-001793</t>
  </si>
  <si>
    <t xml:space="preserve">compact vuurwerkvisie 100 tirs massive blinkerz</t>
  </si>
  <si>
    <t xml:space="preserve">1008-f2-69257144</t>
  </si>
  <si>
    <t xml:space="preserve">feu automatique vuurwerkvisie 100 tirs presence 2 minutes</t>
  </si>
  <si>
    <t xml:space="preserve">1008-f2-69257141</t>
  </si>
  <si>
    <t xml:space="preserve">feu automatique vuurwerkvisie 128 tirs kyoto kamuro 1 min</t>
  </si>
  <si>
    <t xml:space="preserve">2806-f2-001334</t>
  </si>
  <si>
    <t xml:space="preserve">feu automatique vuurwerkvisie 144 tirs sumo thunder 55 sec</t>
  </si>
  <si>
    <t xml:space="preserve">1170-f2-03805</t>
  </si>
  <si>
    <t xml:space="preserve">feu automatique vuurwerkvisie 114 tirs wave'em 75 sec</t>
  </si>
  <si>
    <t xml:space="preserve">2806-f2-002302</t>
  </si>
  <si>
    <t xml:space="preserve">feu automatique vuurwerkvisie 60 tirs db60/25 the final 50 sec</t>
  </si>
  <si>
    <t xml:space="preserve">2806-f2-002295</t>
  </si>
  <si>
    <t xml:space="preserve">compact vuurwerkvisie éventaillé 42 tirs the goat</t>
  </si>
  <si>
    <t xml:space="preserve">2806-f2-02289</t>
  </si>
  <si>
    <t xml:space="preserve">feu automatique vuurwerkvisie 231 tirs dutch protocol 1127 - protocole</t>
  </si>
  <si>
    <t xml:space="preserve">1008-f2-69259965&amp;1008-f2-69259966</t>
  </si>
  <si>
    <t xml:space="preserve">feu automatique vuurwerkvisie undercover 2 minutes 225 tirs</t>
  </si>
  <si>
    <t xml:space="preserve">2806-f2-002303</t>
  </si>
  <si>
    <t xml:space="preserve">feu automatique vuurwerkvisie 1498 tirs new years eve festival 5 minutes</t>
  </si>
  <si>
    <t xml:space="preserve">1008-F2-69255869/69255870</t>
  </si>
  <si>
    <t xml:space="preserve">plus que 16</t>
  </si>
  <si>
    <t xml:space="preserve">feu automatique vuurwerkvisie 180 tirs crazy staredown 110 sec</t>
  </si>
  <si>
    <t xml:space="preserve">2806-f2-001624</t>
  </si>
  <si>
    <t xml:space="preserve">feu automatique vuurwerkvisie éventaillé 156 tirs big show 208 s</t>
  </si>
  <si>
    <t xml:space="preserve">1008-f2-69256870</t>
  </si>
  <si>
    <t xml:space="preserve">feu automatique vuurwerkvisie eventaille 368 tirs rio grande 195 sec</t>
  </si>
  <si>
    <t xml:space="preserve">1008-f2-69255191 &amp; 1008-f2-69261011</t>
  </si>
  <si>
    <t xml:space="preserve">feu automatique vuurwerkvisie eventaille 188 tirs stadium wave 108 sec</t>
  </si>
  <si>
    <t xml:space="preserve">1008-f2-69261011</t>
  </si>
  <si>
    <t xml:space="preserve">feu automatique vuurwerkvisie 192 tirs dr.doom 123 sec</t>
  </si>
  <si>
    <t xml:space="preserve">1008-f2-69255213</t>
  </si>
  <si>
    <t xml:space="preserve">compact vuurwerkvisie 192 tirs power pearls</t>
  </si>
  <si>
    <t xml:space="preserve">0336-f2-26205</t>
  </si>
  <si>
    <t xml:space="preserve">compact vuurwerkvisie 25 tirs oxygen</t>
  </si>
  <si>
    <t xml:space="preserve">1008-f2-69255187</t>
  </si>
  <si>
    <t xml:space="preserve">compact vuurwerkvisie eventaille 58 tirs einstein</t>
  </si>
  <si>
    <t xml:space="preserve">2806-f2-001272</t>
  </si>
  <si>
    <t xml:space="preserve">plus que 35</t>
  </si>
  <si>
    <t xml:space="preserve">feu automatique vuurwerkvisie éventaillé 161 tirs empire state show 3 minutes</t>
  </si>
  <si>
    <t xml:space="preserve">2806-f2-001412</t>
  </si>
  <si>
    <t xml:space="preserve">feu automatique vuurwerkvisie 1498 tirs king of the street 5 minutes</t>
  </si>
  <si>
    <t xml:space="preserve">compact vuurwerkvisie 25 tirs terabyte</t>
  </si>
  <si>
    <t xml:space="preserve">1008-f2-69241469</t>
  </si>
  <si>
    <t xml:space="preserve">compact vuurwerkvisie 36 tirs barbed wire</t>
  </si>
  <si>
    <t xml:space="preserve">feu automatique vuurwerkvisie 288 tirs shots of anarchy 2 minutes 15</t>
  </si>
  <si>
    <t xml:space="preserve">2806-f2-001794</t>
  </si>
  <si>
    <t xml:space="preserve">feu automatique vuurwerkvisie eventaille 84 tirs color experiment 40 sec</t>
  </si>
  <si>
    <t xml:space="preserve">2806-f2-002001</t>
  </si>
  <si>
    <t xml:space="preserve">feu automatique vuurwerkvisie eventaille 57 tirs freestyle funky 40 sec</t>
  </si>
  <si>
    <t xml:space="preserve">2806-f2-002146</t>
  </si>
  <si>
    <t xml:space="preserve">compact multi-effets</t>
  </si>
  <si>
    <t xml:space="preserve">compact black collection 83 tirs nerve center (multieffet éventaillé)</t>
  </si>
  <si>
    <t xml:space="preserve">1170-f3-00972</t>
  </si>
  <si>
    <t xml:space="preserve">compact black collection 64 tirs vertige (multieffet)</t>
  </si>
  <si>
    <t xml:space="preserve">0163-f3-0444</t>
  </si>
  <si>
    <t xml:space="preserve">compact black collection 100 tirs sensation (multieffet éventaillé)</t>
  </si>
  <si>
    <t xml:space="preserve">0163-f3-0446</t>
  </si>
  <si>
    <t xml:space="preserve">compact black collection 50 tirs tonitruant (multieffet)</t>
  </si>
  <si>
    <t xml:space="preserve">0163-f2-0448</t>
  </si>
  <si>
    <t xml:space="preserve">compact black collection 100 tirs domino (multieffet)</t>
  </si>
  <si>
    <t xml:space="preserve">0163-f3-0449</t>
  </si>
  <si>
    <t xml:space="preserve">compact black collection 35 tirs panoramique (multieffet éventaillé)</t>
  </si>
  <si>
    <t xml:space="preserve">1170-f3-01164</t>
  </si>
  <si>
    <t xml:space="preserve">compact black collection 100 tirs tempo (multieffet)</t>
  </si>
  <si>
    <t xml:space="preserve">compact black collection 64 tirs parade (multieffet)</t>
  </si>
  <si>
    <t xml:space="preserve">compact black collection 50 tirs peps (multieffet)</t>
  </si>
  <si>
    <t xml:space="preserve">compact black collection 36 tirs replay (multieffet)</t>
  </si>
  <si>
    <t xml:space="preserve">0163-f3-0443</t>
  </si>
  <si>
    <t xml:space="preserve">compact black collection 100 tirs nouveau monde (multieffet)</t>
  </si>
  <si>
    <t xml:space="preserve">feu automatique éventaillé spektakel I 50 secondes 126 tirs</t>
  </si>
  <si>
    <t xml:space="preserve">1170-f2-04138</t>
  </si>
  <si>
    <t xml:space="preserve">compact weco</t>
  </si>
  <si>
    <t xml:space="preserve">feu automatique time machine 120 s 118 tirs</t>
  </si>
  <si>
    <t xml:space="preserve">0589-f2-1700</t>
  </si>
  <si>
    <t xml:space="preserve">compact weco pyrotec für profis 90 s 141 tirs puissance 141</t>
  </si>
  <si>
    <t xml:space="preserve">1395-f2-0315/2015</t>
  </si>
  <si>
    <t xml:space="preserve">compact weco symphony 85 s 113 tirs</t>
  </si>
  <si>
    <t xml:space="preserve">1395-f2-0317/2015</t>
  </si>
  <si>
    <t xml:space="preserve">compact fire event</t>
  </si>
  <si>
    <t xml:space="preserve">feu automatique full emotions 276 tirs</t>
  </si>
  <si>
    <t xml:space="preserve">1008-f2-69255503</t>
  </si>
  <si>
    <t xml:space="preserve">feu automatique pavo 260 tirs</t>
  </si>
  <si>
    <t xml:space="preserve">1008-f2-69253403</t>
  </si>
  <si>
    <t xml:space="preserve">compact butterfly 19 tirs</t>
  </si>
  <si>
    <t xml:space="preserve">1008-f2-69259394</t>
  </si>
  <si>
    <t xml:space="preserve">feu automatique bling bling 146 tirs</t>
  </si>
  <si>
    <t xml:space="preserve">1008-f2-69250578</t>
  </si>
  <si>
    <t xml:space="preserve">feu automatique gold monster 126 tirs</t>
  </si>
  <si>
    <t xml:space="preserve">1008-F2-69255996</t>
  </si>
  <si>
    <t xml:space="preserve">feu automatique crackling monster 126 tirs</t>
  </si>
  <si>
    <t xml:space="preserve">PIÈCE SUR MÂT</t>
  </si>
  <si>
    <t xml:space="preserve">fontaine et jet</t>
  </si>
  <si>
    <t xml:space="preserve">jet or 25 mm - hauteur de l'effet : 2,5 m</t>
  </si>
  <si>
    <t xml:space="preserve">1646-f2-201-038-13</t>
  </si>
  <si>
    <t xml:space="preserve">jet argent 25 mm - hauteur de l'effet : 2,5 m</t>
  </si>
  <si>
    <t xml:space="preserve">volcan argent base bleu 90 s</t>
  </si>
  <si>
    <t xml:space="preserve">1646-f2-201-015-13</t>
  </si>
  <si>
    <t xml:space="preserve">baisse de prix</t>
  </si>
  <si>
    <t xml:space="preserve">volcan suisse 30 s or étoiles multicolore (2209)</t>
  </si>
  <si>
    <t xml:space="preserve">0589-f2-0919</t>
  </si>
  <si>
    <t xml:space="preserve">volcan suisse 30 s argent étoiles rose (2204)</t>
  </si>
  <si>
    <t xml:space="preserve">volcan suisse 30 s or puis argent base rouge (2208)</t>
  </si>
  <si>
    <t xml:space="preserve">volcan suisse 30 s or étoiles cli blanc (2254)</t>
  </si>
  <si>
    <t xml:space="preserve">volcan suisse 1 min or étoiles multicolore (2225)</t>
  </si>
  <si>
    <t xml:space="preserve">0589-f3-0079</t>
  </si>
  <si>
    <t xml:space="preserve">volcan suisse 1 min argent étoiles rouge (2223)</t>
  </si>
  <si>
    <t xml:space="preserve">volcan suisse 1 min kamuro (2216)</t>
  </si>
  <si>
    <t xml:space="preserve">volcan suisse 1 min or étoiles blanches (2224)</t>
  </si>
  <si>
    <t xml:space="preserve">jet argent - hauteur de l'effet : 3 m - durée : 3 s</t>
  </si>
  <si>
    <t xml:space="preserve">0163-f2-4808</t>
  </si>
  <si>
    <t xml:space="preserve">fontaine js001 argent 15 s 2,5 m</t>
  </si>
  <si>
    <t xml:space="preserve">0163-t1-1167</t>
  </si>
  <si>
    <t xml:space="preserve">t1</t>
  </si>
  <si>
    <t xml:space="preserve">jet 14 mm espagnol blanc 12 s</t>
  </si>
  <si>
    <t xml:space="preserve">0163-f3-0381</t>
  </si>
  <si>
    <t xml:space="preserve">jet 21 mm espagnol blanc 24 s</t>
  </si>
  <si>
    <t xml:space="preserve">cascade</t>
  </si>
  <si>
    <t xml:space="preserve">cascade 10 m 24 jets 20 mm argent pointes rouge monté sur ficelle</t>
  </si>
  <si>
    <t xml:space="preserve">1646-f4-201-095-08</t>
  </si>
  <si>
    <t xml:space="preserve">pièces mobiles</t>
  </si>
  <si>
    <t xml:space="preserve">soleil composé de 8 jets 25 mm argent + lances décor rouge</t>
  </si>
  <si>
    <t xml:space="preserve">0163-f4-1138</t>
  </si>
  <si>
    <t xml:space="preserve">soleil espagnol 4 jets argent puis or puis argent puis or</t>
  </si>
  <si>
    <t xml:space="preserve">0163-f3-1020</t>
  </si>
  <si>
    <t xml:space="preserve">girandole espagnol 8 jets argent puis or puis argent puis or</t>
  </si>
  <si>
    <t xml:space="preserve">soucoupes</t>
  </si>
  <si>
    <t xml:space="preserve">soucoupe espagnole double ascension or scintillant</t>
  </si>
  <si>
    <t xml:space="preserve">1008-f4-69249471</t>
  </si>
  <si>
    <t xml:space="preserve">soucoupe espagnole double ascension argent</t>
  </si>
  <si>
    <t xml:space="preserve">lance décor</t>
  </si>
  <si>
    <t xml:space="preserve">lance décor argent</t>
  </si>
  <si>
    <t xml:space="preserve">0163-t1-1128</t>
  </si>
  <si>
    <t xml:space="preserve">1.4S</t>
  </si>
  <si>
    <t xml:space="preserve">lance décor rouge</t>
  </si>
  <si>
    <t xml:space="preserve">lance décor bleu</t>
  </si>
  <si>
    <t xml:space="preserve">lance décor violet</t>
  </si>
  <si>
    <t xml:space="preserve">bengale</t>
  </si>
  <si>
    <t xml:space="preserve">bengale française blanc (atpm)</t>
  </si>
  <si>
    <t xml:space="preserve">0080-t1-17-0035</t>
  </si>
  <si>
    <t xml:space="preserve">bengale française cli. blanc (atpm)</t>
  </si>
  <si>
    <t xml:space="preserve">bengale française rouge (atpm)</t>
  </si>
  <si>
    <t xml:space="preserve">bengale française cli. rouge (atpm)</t>
  </si>
  <si>
    <t xml:space="preserve">bengale française bleu (atpm)</t>
  </si>
  <si>
    <t xml:space="preserve">flamme de bengale bleu 120 s</t>
  </si>
  <si>
    <t xml:space="preserve">1170-f2-01307</t>
  </si>
  <si>
    <t xml:space="preserve">flamme de bengale blanc 120 s</t>
  </si>
  <si>
    <t xml:space="preserve">flamme de bengale rouge 120 s</t>
  </si>
  <si>
    <t xml:space="preserve">artifice de théâtre</t>
  </si>
  <si>
    <t xml:space="preserve">mini gerbe argent (3 m, 1 s) (4808) théâtre</t>
  </si>
  <si>
    <t xml:space="preserve">0589-t1-0030</t>
  </si>
  <si>
    <t xml:space="preserve">gerbe argent (10 m, 5 s) (4826) théâtre</t>
  </si>
  <si>
    <t xml:space="preserve">0589-t2-0001</t>
  </si>
  <si>
    <t xml:space="preserve">t2</t>
  </si>
  <si>
    <t xml:space="preserve">gerbe argent (4,5 m, 6 s) (4830) théâtre</t>
  </si>
  <si>
    <t xml:space="preserve">0589-t1-0015</t>
  </si>
  <si>
    <t xml:space="preserve">gerbe argent (3 m, 12 s) (4840) théâtre</t>
  </si>
  <si>
    <t xml:space="preserve">0589-t1-0024</t>
  </si>
  <si>
    <t xml:space="preserve">flash de scène (1810) théâtre</t>
  </si>
  <si>
    <t xml:space="preserve">0589-t1-0016</t>
  </si>
  <si>
    <t xml:space="preserve">flash de scène extra fort (1824) théâtre</t>
  </si>
  <si>
    <t xml:space="preserve">0589-t1-0039</t>
  </si>
  <si>
    <t xml:space="preserve">colonne de flash (1832) théâtre</t>
  </si>
  <si>
    <t xml:space="preserve">0589-t1-0037</t>
  </si>
  <si>
    <t xml:space="preserve">gerbe de flammes (1850) théâtre</t>
  </si>
  <si>
    <t xml:space="preserve">0589-t1-0017</t>
  </si>
  <si>
    <t xml:space="preserve">marron de scène (8475) théâtre</t>
  </si>
  <si>
    <t xml:space="preserve">0589-t1-0019</t>
  </si>
  <si>
    <t xml:space="preserve">gerbe argent titane (4,5 m, 1,5 s)  (4815) théâtre</t>
  </si>
  <si>
    <t xml:space="preserve">0589-t1-0014</t>
  </si>
  <si>
    <t xml:space="preserve">jet cascade (7 m, 15 s) (4892) théâtre</t>
  </si>
  <si>
    <t xml:space="preserve">0589-t1-332</t>
  </si>
  <si>
    <t xml:space="preserve">flash de scène petit modèle avec étincelles (1811-32) théâtre</t>
  </si>
  <si>
    <t xml:space="preserve">flashs</t>
  </si>
  <si>
    <t xml:space="preserve">flash 30 mm rouge espagnol instantané avec inflammateur tchèque 1 m</t>
  </si>
  <si>
    <t xml:space="preserve">0163-t1-5557</t>
  </si>
  <si>
    <t xml:space="preserve">flash 30 mm blanc espagnol instantané avec inflammateur tchèque 1 m</t>
  </si>
  <si>
    <t xml:space="preserve">FUSÉE</t>
  </si>
  <si>
    <t xml:space="preserve">fusée 75 mm star trade kamuro centre cli. blanc (0301907)</t>
  </si>
  <si>
    <t xml:space="preserve">2463-f3-0104</t>
  </si>
  <si>
    <t xml:space="preserve">fusée 75 mm star trade kamuro à changement rouge (0301908)</t>
  </si>
  <si>
    <t xml:space="preserve">fusée 75 mm star trade coeur rouge (0301909)</t>
  </si>
  <si>
    <t xml:space="preserve">fusée 75 mm star trade sourire (0301910)</t>
  </si>
  <si>
    <t xml:space="preserve">fusée 75 mm star trade cercle spécial n°2 (0301911)</t>
  </si>
  <si>
    <t xml:space="preserve">fusée top 75g raketen manhattanserie kamuro à changement bleu</t>
  </si>
  <si>
    <t xml:space="preserve">0163-f2-2305</t>
  </si>
  <si>
    <t xml:space="preserve">fusée top 75g raketen manhattanserie chrysanthème rouge</t>
  </si>
  <si>
    <t xml:space="preserve">fusée top 75g raketen manhattanserie cli. blanc</t>
  </si>
  <si>
    <t xml:space="preserve">fusée top 75g raketen manhattanserie kamuro à changement argent</t>
  </si>
  <si>
    <t xml:space="preserve">PÉTARD</t>
  </si>
  <si>
    <t xml:space="preserve">pétard dumbum mini (p4b)</t>
  </si>
  <si>
    <t xml:space="preserve">1395-f3-0098/2016</t>
  </si>
  <si>
    <t xml:space="preserve">pétard dumbum f2 (p05d)</t>
  </si>
  <si>
    <t xml:space="preserve">0163-f2-0088</t>
  </si>
  <si>
    <t xml:space="preserve">pétard dumbum 120 (p10d20)</t>
  </si>
  <si>
    <t xml:space="preserve">0163-f3-0263</t>
  </si>
  <si>
    <t xml:space="preserve">2022</t>
  </si>
  <si>
    <t xml:space="preserve">pétard dumbum 2g+ (p5du13(1))</t>
  </si>
  <si>
    <t xml:space="preserve">1395-p1-0481/2017</t>
  </si>
  <si>
    <t xml:space="preserve">p1</t>
  </si>
  <si>
    <t xml:space="preserve">pétard dumbum f3 (p066d20)</t>
  </si>
  <si>
    <t xml:space="preserve">monocoup 20 mm déto klasek dumbum (ss20di14)</t>
  </si>
  <si>
    <t xml:space="preserve">1395-f2-0118/2018</t>
  </si>
  <si>
    <t xml:space="preserve">fusée klasek dumbum rakety (rs4di14)</t>
  </si>
  <si>
    <t xml:space="preserve">1395-f3-0113/2016</t>
  </si>
  <si>
    <t xml:space="preserve">pétard en chaîne vuurwerkvisie 90 coups knalmat (1716)</t>
  </si>
  <si>
    <t xml:space="preserve">1646-f2-052-050-03</t>
  </si>
  <si>
    <t xml:space="preserve">pétard en chaîne vuurwerkvisie 500 coups knalrol (1717)</t>
  </si>
  <si>
    <t xml:space="preserve">pétard en chaîne vuurwerkvisie chinese rol big 3000 pétards (1724)</t>
  </si>
  <si>
    <t xml:space="preserve">1646-f3-052-041-03</t>
  </si>
  <si>
    <t xml:space="preserve">ACCESSOIRE</t>
  </si>
  <si>
    <t xml:space="preserve">allumeur</t>
  </si>
  <si>
    <t xml:space="preserve">allumeur tchèque 1 m</t>
  </si>
  <si>
    <t xml:space="preserve">2231-p1-005/2011</t>
  </si>
  <si>
    <t xml:space="preserve">allumeur tchèque 3 m</t>
  </si>
  <si>
    <t xml:space="preserve">allumeur tchèque 5 m</t>
  </si>
  <si>
    <t xml:space="preserve">allumeur inerte pince 2 m</t>
  </si>
  <si>
    <t xml:space="preserve">/</t>
  </si>
  <si>
    <t xml:space="preserve">lance d'allumage</t>
  </si>
  <si>
    <t xml:space="preserve">1008-f1-69251613</t>
  </si>
  <si>
    <t xml:space="preserve">f1</t>
  </si>
  <si>
    <t xml:space="preserve">paquet d'étiquettes hydrophobes à allumeur (20 planches de 21 étiquettes)</t>
  </si>
  <si>
    <t xml:space="preserve">mèche</t>
  </si>
  <si>
    <t xml:space="preserve">mèche rapide sous conduit papier plastifié 1 m</t>
  </si>
  <si>
    <t xml:space="preserve">mèche lente 5 mm 1 m</t>
  </si>
  <si>
    <t xml:space="preserve">rouleau de mèche adhésive 15 m</t>
  </si>
  <si>
    <t xml:space="preserve">0589-P1-1007</t>
  </si>
  <si>
    <t xml:space="preserve">retard</t>
  </si>
  <si>
    <t xml:space="preserve">retard papillote 2 s</t>
  </si>
  <si>
    <t xml:space="preserve">retard papillote 3 s</t>
  </si>
  <si>
    <t xml:space="preserve">retard papillote 5 s</t>
  </si>
  <si>
    <t xml:space="preserve">retard papillote 6 s</t>
  </si>
  <si>
    <t xml:space="preserve">retard papillote 10 s</t>
  </si>
  <si>
    <t xml:space="preserve">retard papillote 15 s</t>
  </si>
  <si>
    <t xml:space="preserve">retard papillote 20 s</t>
  </si>
  <si>
    <t xml:space="preserve">retard papillote 25 s</t>
  </si>
  <si>
    <t xml:space="preserve">pyroclock jaune durée 1 s</t>
  </si>
  <si>
    <t xml:space="preserve">1395-p1-0257/2013</t>
  </si>
  <si>
    <t xml:space="preserve">pyroclock bleu durée 1,2 s</t>
  </si>
  <si>
    <t xml:space="preserve">pyroclock marron durée 1,5 s</t>
  </si>
  <si>
    <t xml:space="preserve">pyroclock vert durée 2 s</t>
  </si>
  <si>
    <t xml:space="preserve">pyroclock bleu durée 2,5 s</t>
  </si>
  <si>
    <t xml:space="preserve">pyroclock violet durée 3 s</t>
  </si>
  <si>
    <t xml:space="preserve">pyroclock rouge durée 4 s</t>
  </si>
  <si>
    <t xml:space="preserve">pyroclock noir durée 5 s</t>
  </si>
  <si>
    <t xml:space="preserve">chaîne de retard avec connecteur plastique</t>
  </si>
  <si>
    <t xml:space="preserve">grappe préméchée 5 sorties 0 s (orange)</t>
  </si>
  <si>
    <t xml:space="preserve">1395-p2-0004/2019</t>
  </si>
  <si>
    <t xml:space="preserve">p2</t>
  </si>
  <si>
    <t xml:space="preserve">grappe préméchée 5 sorties 1 s (jaune)</t>
  </si>
  <si>
    <t xml:space="preserve">grappe préméchée 5 sorties 2 s (vert)</t>
  </si>
  <si>
    <t xml:space="preserve">grappe préméchée 5 sorties 4 s (rouge)</t>
  </si>
  <si>
    <t xml:space="preserve">grappe préméchée 5 sorties 5 s (noir)</t>
  </si>
  <si>
    <t xml:space="preserve">grappe préméchée 10 sorties réglées à 0 s (craft)</t>
  </si>
  <si>
    <t xml:space="preserve">grappe préméchée 10 sorties réglées à 1 s (jaune)</t>
  </si>
  <si>
    <t xml:space="preserve">1395-p2-0005/2019</t>
  </si>
  <si>
    <t xml:space="preserve">grappe préméchée 10 sorties réglées à 2 s (vert)</t>
  </si>
  <si>
    <t xml:space="preserve">grappe préméchée 10 sorties réglées à 3 s (violet)</t>
  </si>
  <si>
    <t xml:space="preserve">grappe préméchée 10 sorties réglées à 4 s (rouge)</t>
  </si>
  <si>
    <t xml:space="preserve">grappe préméchée 10 sorties réglées à 5 s (noir)</t>
  </si>
  <si>
    <t xml:space="preserve">fil électrique</t>
  </si>
  <si>
    <t xml:space="preserve">50 m de fil électrique sur bobine plastique fac</t>
  </si>
  <si>
    <t xml:space="preserve">100 m de fil électrique sur bobine plastique fac</t>
  </si>
  <si>
    <t xml:space="preserve">250 m de fil électrique sur bobine plastique fac</t>
  </si>
  <si>
    <t xml:space="preserve">pile</t>
  </si>
  <si>
    <t xml:space="preserve">bloc pile 18 volts</t>
  </si>
  <si>
    <t xml:space="preserve">plus que 50</t>
  </si>
  <si>
    <t xml:space="preserve">bloc pile salin 45 volts</t>
  </si>
  <si>
    <t xml:space="preserve">mortier</t>
  </si>
  <si>
    <t xml:space="preserve">mortier 50 mm carton</t>
  </si>
  <si>
    <t xml:space="preserve">mortier 75 mm carton</t>
  </si>
  <si>
    <t xml:space="preserve">mortier 125 mm carton occasion</t>
  </si>
  <si>
    <t xml:space="preserve">mortier 150 mm carton occasion</t>
  </si>
  <si>
    <t xml:space="preserve">mortier 50 mm fibre (380 mm x 55 mm) neuf</t>
  </si>
  <si>
    <t xml:space="preserve">mortier 75 mm fibre (450 mm x 85 mm) neuf</t>
  </si>
  <si>
    <t xml:space="preserve">mortier 100 mm fibre (550 mm x 115 mm) neuf</t>
  </si>
  <si>
    <t xml:space="preserve">mortier 125 mm fibre (805 mm x 140 mm) neuf</t>
  </si>
  <si>
    <t xml:space="preserve">mortier 150 mm fibre (905 mm x 180 mm) neuf</t>
  </si>
  <si>
    <t xml:space="preserve">mortier 200 mm fibre neuf</t>
  </si>
  <si>
    <t xml:space="preserve">mortier 125 mm fibre d'occasion</t>
  </si>
  <si>
    <t xml:space="preserve">mortier 150 mm fibre d'occasion</t>
  </si>
  <si>
    <t xml:space="preserve">mortier 200 mm fibre d'occasion</t>
  </si>
  <si>
    <t xml:space="preserve">batterie de mortiers</t>
  </si>
  <si>
    <t xml:space="preserve">caisse en bois vide pour batterie de 10 x 50 mm neuve</t>
  </si>
  <si>
    <t xml:space="preserve">caisse en bois vide pour batterie de 5 x 75 mm neuve</t>
  </si>
  <si>
    <t xml:space="preserve">caisse en bois vide pour batterie de 10 x 75 mm neuve</t>
  </si>
  <si>
    <t xml:space="preserve">caisse en bois vide pour batterie de 5 x 100 mm neuve</t>
  </si>
  <si>
    <t xml:space="preserve">caisse en bois vide pour batterie de 5 x 125 mm neuve</t>
  </si>
  <si>
    <t xml:space="preserve">caisse en bois vide pour batterie de 5 x 150 mm neuve</t>
  </si>
  <si>
    <t xml:space="preserve">plus que 27</t>
  </si>
  <si>
    <t xml:space="preserve">caisse en bois vide pour batterie de 3 x 75 mm éventaillée neuve</t>
  </si>
  <si>
    <t xml:space="preserve">batterie bois de 10 mortiers 50 mm fibre neuve</t>
  </si>
  <si>
    <t xml:space="preserve">batterie bois de 5 mortiers 75 mm fibre neuve</t>
  </si>
  <si>
    <t xml:space="preserve">batterie bois de 10 mortiers 75 mm fibre neuve</t>
  </si>
  <si>
    <t xml:space="preserve">batterie bois de 5 mortiers 100 mm fibre neuve</t>
  </si>
  <si>
    <t xml:space="preserve">batterie bois de 5 mortiers 125 mm fibre neuve</t>
  </si>
  <si>
    <t xml:space="preserve">batterie bois de 5 mortiers 150 mm fibre neuve</t>
  </si>
  <si>
    <t xml:space="preserve">fixation</t>
  </si>
  <si>
    <t xml:space="preserve">support pour 30 chandelles neuf</t>
  </si>
  <si>
    <t xml:space="preserve">cale en bois pour éventailler une batterie de mortiers neuve</t>
  </si>
  <si>
    <t xml:space="preserve">piquet 0,5 m</t>
  </si>
  <si>
    <t xml:space="preserve">piquet 1 m</t>
  </si>
  <si>
    <t xml:space="preserve">support pour 15 monocoups neuf</t>
  </si>
  <si>
    <t xml:space="preserve">latte en bois de 3 m</t>
  </si>
  <si>
    <t xml:space="preserve">latte en bois de 2 m</t>
  </si>
  <si>
    <t xml:space="preserve">latte en bois de 1 m</t>
  </si>
  <si>
    <t xml:space="preserve">demi-échelle pour 5 à 10 compacts</t>
  </si>
  <si>
    <t xml:space="preserve">attache trapèze à crochet à batteries</t>
  </si>
  <si>
    <t xml:space="preserve">crochet à batteries (u)</t>
  </si>
  <si>
    <t xml:space="preserve">collier plastique (100 mm x 2,5 mm)</t>
  </si>
  <si>
    <t xml:space="preserve">collier plastique (400 mm x 4,5 mm)</t>
  </si>
  <si>
    <t xml:space="preserve">collier plastique (400 mm x 7,5 mm)</t>
  </si>
  <si>
    <t xml:space="preserve">1 m de fil de fer recuit</t>
  </si>
  <si>
    <t xml:space="preserve">scotch aluminium</t>
  </si>
  <si>
    <t xml:space="preserve">scotch papier 19 mm 50 m</t>
  </si>
  <si>
    <t xml:space="preserve">pastille adhésive aluminium (à l'unité)</t>
  </si>
  <si>
    <t xml:space="preserve">scotch 100 mm marron havane</t>
  </si>
  <si>
    <t xml:space="preserve">ruban adhésif orange</t>
  </si>
  <si>
    <t xml:space="preserve">rubalise 185 m avec inscription protection zone pyrotechnique</t>
  </si>
  <si>
    <t xml:space="preserve">clou de 2,7 mm x 60 mm à tête plate</t>
  </si>
  <si>
    <t xml:space="preserve">gaffeur 12 m x 4,8 cm brillant</t>
  </si>
  <si>
    <t xml:space="preserve">protection</t>
  </si>
  <si>
    <t xml:space="preserve">sachet de protection pluie 150 x 200</t>
  </si>
  <si>
    <t xml:space="preserve">sachet de protection pluie 500 x 500</t>
  </si>
  <si>
    <t xml:space="preserve">sachet de protection pluie 900 x 900</t>
  </si>
  <si>
    <t xml:space="preserve">sachet de protection pluie chandelle jusqu'à ø 50 mm</t>
  </si>
  <si>
    <t xml:space="preserve">feuille Al mortier unitaire</t>
  </si>
  <si>
    <t xml:space="preserve">feuille Al batterie 10x50 mm</t>
  </si>
  <si>
    <t xml:space="preserve">feuille Al batterie 5x75 mm</t>
  </si>
  <si>
    <t xml:space="preserve">feuille Al batterie 10x75 mm</t>
  </si>
  <si>
    <t xml:space="preserve">feuille Al batterie 5x100 mm</t>
  </si>
  <si>
    <t xml:space="preserve">feuille Al batterie 5x125 mm</t>
  </si>
  <si>
    <t xml:space="preserve">feuille Al batterie 5x150 mm</t>
  </si>
  <si>
    <t xml:space="preserve">sachet biodégradable protection batterie 1100 x 250 mm</t>
  </si>
  <si>
    <t xml:space="preserve">carton homologué explosif 1075X240X260 mm A-012 neutre</t>
  </si>
  <si>
    <t xml:space="preserve">carton homologué explosif 530X380X390 mm A-029 neutre</t>
  </si>
  <si>
    <t xml:space="preserve">carton homologué explosif 650X270X270 mm A-033/2 neutre</t>
  </si>
  <si>
    <t xml:space="preserve">carton homologué explosif 680X380X470 mm A-006/2 neutre</t>
  </si>
  <si>
    <t xml:space="preserve">étiquettes 1.3g</t>
  </si>
  <si>
    <t xml:space="preserve">étiquettes 1.4g</t>
  </si>
  <si>
    <t xml:space="preserve">étiquettes 1.4s</t>
  </si>
  <si>
    <t xml:space="preserve">connexion</t>
  </si>
  <si>
    <t xml:space="preserve">connecteurs rapides (par 100)</t>
  </si>
  <si>
    <t xml:space="preserve">outil pour serrer les connecteurs rapides</t>
  </si>
  <si>
    <t xml:space="preserve">pince à dénuder</t>
  </si>
  <si>
    <t xml:space="preserve">système de tir</t>
  </si>
  <si>
    <t xml:space="preserve">système de tir hf 1 ligne avec télécommande</t>
  </si>
  <si>
    <t xml:space="preserve">système de tir hf 4 lignes avec télécommande</t>
  </si>
  <si>
    <t xml:space="preserve">système cobra 18 lignes récepteur 18 lignes hf (18m) avec caisse de protection</t>
  </si>
  <si>
    <t xml:space="preserve">système cobra 18 lignes émetteur hf 18r2 programmable avec caisse de protec</t>
  </si>
  <si>
    <t xml:space="preserve">système cobra 18 lignes lecteur audio hf (audiobox)</t>
  </si>
  <si>
    <t xml:space="preserve">système cobra 18 lignes chargeur pour récepteur 18 m</t>
  </si>
  <si>
    <t xml:space="preserve">système cobra 18 lignes protection silicone pour module 18m</t>
  </si>
  <si>
    <t xml:space="preserve">système de tir wifi 5 lignes pocket pyro</t>
  </si>
  <si>
    <t xml:space="preserve">outils</t>
  </si>
  <si>
    <t xml:space="preserve">ciseaux 3</t>
  </si>
  <si>
    <t xml:space="preserve">curette pour mortier</t>
  </si>
  <si>
    <t xml:space="preserve">tente chine 3 x 3 livrée avec 3 murs et une porte</t>
  </si>
  <si>
    <t xml:space="preserve">montage</t>
  </si>
  <si>
    <t xml:space="preserve">montage (hors chaînes de bombes)</t>
  </si>
  <si>
    <t xml:space="preserve">montage sur grappe 5 sorties ou botte de 5 produits ou moins</t>
  </si>
  <si>
    <t xml:space="preserve">montage sur grappe 10 sorties ou botte de plus de 5 produits</t>
  </si>
  <si>
    <t xml:space="preserve">adr</t>
  </si>
  <si>
    <t xml:space="preserve">kit adr (1 extincteur, 2 panneaux orange magnétiques, 3 plaques étiquettes 1.3G)</t>
  </si>
  <si>
    <t xml:space="preserve">extincteur 2 kg poudre ABC avec support de fixation mural</t>
  </si>
  <si>
    <t xml:space="preserve">LAMPION ET ASSIMILÉ</t>
  </si>
  <si>
    <t xml:space="preserve">accessoire pour lampion</t>
  </si>
  <si>
    <t xml:space="preserve">douzaine de porte lampion bois + attaches</t>
  </si>
  <si>
    <t xml:space="preserve">boîte de 12 bougies pour lampions</t>
  </si>
  <si>
    <t xml:space="preserve">porte lampion électrique livré sans pile (la douzaine) 39 cm</t>
  </si>
  <si>
    <t xml:space="preserve">lampion 13 cm</t>
  </si>
  <si>
    <t xml:space="preserve">douzaine de lampions cylindrique assortis pastel 13 cm</t>
  </si>
  <si>
    <t xml:space="preserve">douzaine de lampions cylindrique rouge 13 cm</t>
  </si>
  <si>
    <t xml:space="preserve">douzaine de lampions cylindrique chocolat 13 cm</t>
  </si>
  <si>
    <t xml:space="preserve">douzaine de lampions cylindrique fuchsia 13 cm</t>
  </si>
  <si>
    <t xml:space="preserve">douzaine de lampions cylindrique gris 13 cm</t>
  </si>
  <si>
    <t xml:space="preserve">douzaine de lampions cylindrique blanc 13 cm</t>
  </si>
  <si>
    <t xml:space="preserve">douzaine de lampions cylindrique bariolé 13 cm</t>
  </si>
  <si>
    <t xml:space="preserve">lampion 16 cm</t>
  </si>
  <si>
    <t xml:space="preserve">douzaine de lampions cylindrique violet 16 cm</t>
  </si>
  <si>
    <t xml:space="preserve">douzaine de lampions cylindrique rouge 16 cm</t>
  </si>
  <si>
    <t xml:space="preserve">douzaine de lampions cylindrique chocolat 16 cm</t>
  </si>
  <si>
    <t xml:space="preserve">douzaine de lampions cylindrique ivoire 16 cm</t>
  </si>
  <si>
    <t xml:space="preserve">douzaine de lampions cylindrique turquoise 16 cm</t>
  </si>
  <si>
    <t xml:space="preserve">douzaine de lampions cylindrique abricot 16 cm</t>
  </si>
  <si>
    <t xml:space="preserve">douzaine de lampions cylindrique anis 16 cm</t>
  </si>
  <si>
    <t xml:space="preserve">douzaine de lampions cylindrique fuchsia 16 cm</t>
  </si>
  <si>
    <t xml:space="preserve">douzaine de lampions cylindrique unicolore assortis 16 cm</t>
  </si>
  <si>
    <t xml:space="preserve">douzaine de lampions cylindrique gris 16 cm</t>
  </si>
  <si>
    <t xml:space="preserve">douzaine de lampions cylindrique blanc 16 cm</t>
  </si>
  <si>
    <t xml:space="preserve">douzaine de lampions cylindrique tricolore 16 cm</t>
  </si>
  <si>
    <t xml:space="preserve">douzaine de lampions cylindrique bariolé 16 cm</t>
  </si>
  <si>
    <t xml:space="preserve">lampion 22 cm</t>
  </si>
  <si>
    <t xml:space="preserve">douzaine de lampions ballon violet 22 cm</t>
  </si>
  <si>
    <t xml:space="preserve">douzaine de lampions ballon rouge 22 cm</t>
  </si>
  <si>
    <t xml:space="preserve">douzaine de lampions ballon chocolat 22 cm</t>
  </si>
  <si>
    <t xml:space="preserve">douzaine de lampions ballon abricot 22 cm</t>
  </si>
  <si>
    <t xml:space="preserve">douzaine de lampions ballon fuchsia 22 cm</t>
  </si>
  <si>
    <t xml:space="preserve">torche</t>
  </si>
  <si>
    <t xml:space="preserve">torche cire durée 45 min</t>
  </si>
  <si>
    <t xml:space="preserve">torche cire durée 1h30</t>
  </si>
  <si>
    <t xml:space="preserve">08/2022</t>
  </si>
  <si>
    <t xml:space="preserve">FEU</t>
  </si>
  <si>
    <t xml:space="preserve">feu automatique</t>
  </si>
  <si>
    <t xml:space="preserve">feu automatique éventaillé jacques prévot 5 min 226 tirs</t>
  </si>
  <si>
    <t xml:space="preserve">1008-f3-69255509</t>
  </si>
  <si>
    <t xml:space="preserve">feu automatique éventaillé jacques prévot 3 min 105 tirs</t>
  </si>
  <si>
    <t xml:space="preserve">1008-f3-69255508</t>
  </si>
  <si>
    <t xml:space="preserve">feu automatique éventaillé jacques prévot 6 min 296 tirs</t>
  </si>
  <si>
    <t xml:space="preserve">2806-f3-003080</t>
  </si>
  <si>
    <t xml:space="preserve">portable silencieux 2 min luxe pyrotechnique français 22359LPF</t>
  </si>
  <si>
    <t xml:space="preserve">1008-f2-69258241</t>
  </si>
  <si>
    <t xml:space="preserve">été 2022</t>
  </si>
  <si>
    <t xml:space="preserve">feu automatique cologne ii 5 min 920 tirs</t>
  </si>
  <si>
    <t xml:space="preserve">1008-f3-69251324</t>
  </si>
  <si>
    <t xml:space="preserve">feu automatique 130 tirs optymum 60 secondes</t>
  </si>
  <si>
    <t xml:space="preserve">0589-f2-2432</t>
  </si>
  <si>
    <t xml:space="preserve">feu automatique 136 tirs maxymum 60 secondes</t>
  </si>
  <si>
    <t xml:space="preserve">0589-f2-2431</t>
  </si>
  <si>
    <t xml:space="preserve">feu automatique 139 tirs ultymum 60 secondes</t>
  </si>
  <si>
    <t xml:space="preserve">1170-f2-04464</t>
  </si>
  <si>
    <t xml:space="preserve">feu semi-automatique</t>
  </si>
  <si>
    <t xml:space="preserve">spectacle semi-automatique cinq sur cinq 5 minutes</t>
  </si>
  <si>
    <t xml:space="preserve">spectacle semi-automatique sixième sens - 6 minutes</t>
  </si>
  <si>
    <t xml:space="preserve">spectacle semi-automatique septième ciel - 7 minutes</t>
  </si>
  <si>
    <t xml:space="preserve">spectacle semi-automatique le grand huit 8 min</t>
  </si>
  <si>
    <t xml:space="preserve">spectacle semi-automatique la preuve par neuf - 9 minutes</t>
  </si>
  <si>
    <t xml:space="preserve">spectacle semi-automatique dix sur dix 10 min</t>
  </si>
  <si>
    <t xml:space="preserve">spectacle semi-automatique le onze - 11 minutes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</si>
</sst>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0%"/>
    <numFmt numFmtId="167" formatCode="[$-40C]#,##0.000&quot; kg&quot;;\-#,##0.000&quot; kg&quot;"/>
    <numFmt numFmtId="168" formatCode="[$-40C]#,##0&quot; s&quot;;\-#,##0&quot; s&quot;"/>
    <numFmt numFmtId="169" formatCode="[$-40C]#,##0&quot; m&quot;;\-#,##0&quot; m&quot;"/>
    <numFmt numFmtId="170" formatCode="[$-40C]#,##0&quot; pc&quot;;\-#,##0&quot; pc&quot;"/>
    <numFmt numFmtId="171" formatCode="#,##0.00\ [$€-40C];\-#,##0.00\ [$€-40C]"/>
    <numFmt numFmtId="172" formatCode="@"/>
    <numFmt numFmtId="173" formatCode="[$-40C]###,###,###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</font>
    <font>
      <sz val="8"/>
      <name val="Arial"/>
      <family val="2"/>
    </font>
    <font>
      <sz val="8"/>
      <color rgb="FF0000FF"/>
      <name val="Arial"/>
      <family val="2"/>
    </font>
    <font>
      <b val="true"/>
      <sz val="10"/>
      <name val="Arial"/>
      <family val="2"/>
    </font>
    <font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E6E6E"/>
        <bgColor rgb="FF808080"/>
      </patternFill>
    </fill>
    <fill>
      <patternFill patternType="solid">
        <fgColor rgb="FFE6E6E6"/>
        <bgColor rgb="FFFFFFFF"/>
      </patternFill>
    </fill>
    <fill>
      <patternFill patternType="solid">
        <fgColor rgb="FFC8C8C8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hair">
        <color rgb="FFB3B3B3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1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3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4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4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4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3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0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0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0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1" fontId="0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8C8C8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E6E6E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331920</xdr:colOff>
      <xdr:row>0</xdr:row>
      <xdr:rowOff>535680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0"/>
          <a:ext cx="1883520" cy="535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commandepro@jacques-prevot.fr" TargetMode="External"/><Relationship Id="rId2" Type="http://schemas.openxmlformats.org/officeDocument/2006/relationships/hyperlink" Target="https://www.youtube.com/embed/EBfvtd1tBM4" TargetMode="External"/><Relationship Id="rId3" Type="http://schemas.openxmlformats.org/officeDocument/2006/relationships/hyperlink" Target="https://www.youtube.com/embed/Ai5Gcu7MxQs?rel=0" TargetMode="External"/><Relationship Id="rId4" Type="http://schemas.openxmlformats.org/officeDocument/2006/relationships/hyperlink" Target="https://www.youtube.com/embed/PHudQYYDoN0?rel=0" TargetMode="External"/><Relationship Id="rId5" Type="http://schemas.openxmlformats.org/officeDocument/2006/relationships/hyperlink" Target="https://www.youtube.com/embed/RGEYLKTCXRc?rel=0" TargetMode="External"/><Relationship Id="rId6" Type="http://schemas.openxmlformats.org/officeDocument/2006/relationships/hyperlink" Target="https://www.youtube.com/embed/BPrDZWuCSG4?rel=0" TargetMode="External"/><Relationship Id="rId7" Type="http://schemas.openxmlformats.org/officeDocument/2006/relationships/hyperlink" Target="https://www.youtube.com/embed/kGuGolLIipY?rel=0" TargetMode="External"/><Relationship Id="rId8" Type="http://schemas.openxmlformats.org/officeDocument/2006/relationships/hyperlink" Target="https://www.youtube.com/embed/fuzmqY15Btw?rel=0" TargetMode="External"/><Relationship Id="rId9" Type="http://schemas.openxmlformats.org/officeDocument/2006/relationships/hyperlink" Target="https://www.youtube.com/embed/kyrhXGlPooQ?rel=0" TargetMode="External"/><Relationship Id="rId10" Type="http://schemas.openxmlformats.org/officeDocument/2006/relationships/hyperlink" Target="https://www.youtube.com/embed/qmDPdQvx0eQ?rel=0" TargetMode="External"/><Relationship Id="rId11" Type="http://schemas.openxmlformats.org/officeDocument/2006/relationships/hyperlink" Target="https://www.youtube.com/embed/DK_LB0VTxV0?rel=0" TargetMode="External"/><Relationship Id="rId12" Type="http://schemas.openxmlformats.org/officeDocument/2006/relationships/hyperlink" Target="https://www.youtube.com/embed/0ZtkJHH6Rn0?rel=0" TargetMode="External"/><Relationship Id="rId13" Type="http://schemas.openxmlformats.org/officeDocument/2006/relationships/hyperlink" Target="https://www.youtube.com/embed/mMEe6p9q0UE?rel=0" TargetMode="External"/><Relationship Id="rId14" Type="http://schemas.openxmlformats.org/officeDocument/2006/relationships/hyperlink" Target="https://www.youtube.com/embed/mMEe6p9q0UE?rel=0" TargetMode="External"/><Relationship Id="rId15" Type="http://schemas.openxmlformats.org/officeDocument/2006/relationships/hyperlink" Target="https://www.youtube.com/embed/P4mVauSKlbM?rel=0" TargetMode="External"/><Relationship Id="rId16" Type="http://schemas.openxmlformats.org/officeDocument/2006/relationships/hyperlink" Target="https://www.youtube.com/embed/wa2pu-dynQU?rel=0" TargetMode="External"/><Relationship Id="rId17" Type="http://schemas.openxmlformats.org/officeDocument/2006/relationships/hyperlink" Target="https://www.youtube.com/embed/grfcFz09WRw?rel=0" TargetMode="External"/><Relationship Id="rId18" Type="http://schemas.openxmlformats.org/officeDocument/2006/relationships/hyperlink" Target="https://www.youtube.com/embed/YWcQi3Y5si0" TargetMode="External"/><Relationship Id="rId19" Type="http://schemas.openxmlformats.org/officeDocument/2006/relationships/hyperlink" Target="https://www.youtube.com/embed/lEg-qAWG0zc?rel=0" TargetMode="External"/><Relationship Id="rId20" Type="http://schemas.openxmlformats.org/officeDocument/2006/relationships/hyperlink" Target="https://www.youtube.com/embed/se2LIFGo7ps?rel=0" TargetMode="External"/><Relationship Id="rId21" Type="http://schemas.openxmlformats.org/officeDocument/2006/relationships/hyperlink" Target="https://www.youtube.com/embed/EftXeOunjVk?rel=0" TargetMode="External"/><Relationship Id="rId22" Type="http://schemas.openxmlformats.org/officeDocument/2006/relationships/hyperlink" Target="https://www.youtube.com/embed/bRYkVhB4iRk?rel=0" TargetMode="External"/><Relationship Id="rId23" Type="http://schemas.openxmlformats.org/officeDocument/2006/relationships/hyperlink" Target="https://www.youtube.com/embed/5hOeMkYB9cs?rel=0" TargetMode="External"/><Relationship Id="rId24" Type="http://schemas.openxmlformats.org/officeDocument/2006/relationships/hyperlink" Target="https://www.youtube.com/embed/GUotIbjKhcs?rel=0" TargetMode="External"/><Relationship Id="rId25" Type="http://schemas.openxmlformats.org/officeDocument/2006/relationships/hyperlink" Target="https://www.youtube.com/embed/uWVEUKWmu_E?rel=0" TargetMode="External"/><Relationship Id="rId26" Type="http://schemas.openxmlformats.org/officeDocument/2006/relationships/hyperlink" Target="https://www.youtube.com/embed/u7CNYpOsC50" TargetMode="External"/><Relationship Id="rId27" Type="http://schemas.openxmlformats.org/officeDocument/2006/relationships/hyperlink" Target="https://www.youtube.com/embed/au6LGQF3xsA?rel=0" TargetMode="External"/><Relationship Id="rId28" Type="http://schemas.openxmlformats.org/officeDocument/2006/relationships/hyperlink" Target="https://www.youtube.com/embed/8d5o_KWLCLY?rel=0" TargetMode="External"/><Relationship Id="rId29" Type="http://schemas.openxmlformats.org/officeDocument/2006/relationships/hyperlink" Target="https://www.youtube.com/embed/xGYybYbx4K4?rel=0" TargetMode="External"/><Relationship Id="rId30" Type="http://schemas.openxmlformats.org/officeDocument/2006/relationships/hyperlink" Target="https://www.youtube.com/embed/PY28a3MOGRw?rel=0" TargetMode="External"/><Relationship Id="rId31" Type="http://schemas.openxmlformats.org/officeDocument/2006/relationships/hyperlink" Target="https://www.youtube.com/embed/5Qf_8rcqPZU?rel=0" TargetMode="External"/><Relationship Id="rId32" Type="http://schemas.openxmlformats.org/officeDocument/2006/relationships/hyperlink" Target="https://www.youtube.com/embed/METJUTJlU_w?rel=0" TargetMode="External"/><Relationship Id="rId33" Type="http://schemas.openxmlformats.org/officeDocument/2006/relationships/hyperlink" Target="https://www.youtube.com/embed/HjADVFqqGFo?rel=0" TargetMode="External"/><Relationship Id="rId34" Type="http://schemas.openxmlformats.org/officeDocument/2006/relationships/hyperlink" Target="https://www.youtube.com/embed/pG_QskXNfc8" TargetMode="External"/><Relationship Id="rId35" Type="http://schemas.openxmlformats.org/officeDocument/2006/relationships/hyperlink" Target="https://www.youtube.com/embed/_fVlzkNcMgk?rel=0" TargetMode="External"/><Relationship Id="rId36" Type="http://schemas.openxmlformats.org/officeDocument/2006/relationships/hyperlink" Target="https://vimeo.com/vulcanopirotecnia/174t3-3" TargetMode="External"/><Relationship Id="rId37" Type="http://schemas.openxmlformats.org/officeDocument/2006/relationships/hyperlink" Target="https://vimeo.com/vulcanopirotecnia/172t3-3" TargetMode="External"/><Relationship Id="rId38" Type="http://schemas.openxmlformats.org/officeDocument/2006/relationships/hyperlink" Target="https://vimeo.com/vulcanopirotecnia/090-3" TargetMode="External"/><Relationship Id="rId39" Type="http://schemas.openxmlformats.org/officeDocument/2006/relationships/hyperlink" Target="https://www.youtube.com/embed/7XsFt9n1rrg" TargetMode="External"/><Relationship Id="rId40" Type="http://schemas.openxmlformats.org/officeDocument/2006/relationships/hyperlink" Target="https://www.youtube.com/embed/vv7N-T-IhiY" TargetMode="External"/><Relationship Id="rId41" Type="http://schemas.openxmlformats.org/officeDocument/2006/relationships/hyperlink" Target="https://vimeo.com/vulcanopirotecnia/178t7-3" TargetMode="External"/><Relationship Id="rId42" Type="http://schemas.openxmlformats.org/officeDocument/2006/relationships/hyperlink" Target="https://www.youtube.com/embed/z-z5rh8I9yo?rel=0" TargetMode="External"/><Relationship Id="rId43" Type="http://schemas.openxmlformats.org/officeDocument/2006/relationships/hyperlink" Target="https://www.youtube.com/embed/Z9tm8LQAQd0?rel=0" TargetMode="External"/><Relationship Id="rId44" Type="http://schemas.openxmlformats.org/officeDocument/2006/relationships/hyperlink" Target="https://www.youtube.com/embed/rLnkwIxUuHI?rel=0" TargetMode="External"/><Relationship Id="rId45" Type="http://schemas.openxmlformats.org/officeDocument/2006/relationships/hyperlink" Target="https://www.youtube.com/embed/6cY-UKFCazo?rel=0" TargetMode="External"/><Relationship Id="rId46" Type="http://schemas.openxmlformats.org/officeDocument/2006/relationships/hyperlink" Target="https://www.youtube.com/embed/HZFxRRV0VFI?rel=0" TargetMode="External"/><Relationship Id="rId47" Type="http://schemas.openxmlformats.org/officeDocument/2006/relationships/hyperlink" Target="https://www.youtube.com/embed/uAHv15ZpJ-c?rel=0" TargetMode="External"/><Relationship Id="rId48" Type="http://schemas.openxmlformats.org/officeDocument/2006/relationships/hyperlink" Target="https://www.youtube.com/embed/iqxU4zmEejk?rel=0" TargetMode="External"/><Relationship Id="rId49" Type="http://schemas.openxmlformats.org/officeDocument/2006/relationships/hyperlink" Target="https://www.youtube.com/embed/SPOabM33G-A?rel=0" TargetMode="External"/><Relationship Id="rId50" Type="http://schemas.openxmlformats.org/officeDocument/2006/relationships/hyperlink" Target="https://www.youtube.com/embed/-1MEA8lglOw?rel=0" TargetMode="External"/><Relationship Id="rId51" Type="http://schemas.openxmlformats.org/officeDocument/2006/relationships/hyperlink" Target="https://www.youtube.com/embed/bTDugxkouc4?rel=0" TargetMode="External"/><Relationship Id="rId52" Type="http://schemas.openxmlformats.org/officeDocument/2006/relationships/hyperlink" Target="https://www.youtube.com/embed/oESzxtD8uKE?rel=0" TargetMode="External"/><Relationship Id="rId53" Type="http://schemas.openxmlformats.org/officeDocument/2006/relationships/hyperlink" Target="https://www.youtube.com/embed/Zilap7SBQfI?rel=0" TargetMode="External"/><Relationship Id="rId54" Type="http://schemas.openxmlformats.org/officeDocument/2006/relationships/hyperlink" Target="https://www.youtube.com/embed/I-ZosyVnJ0M" TargetMode="External"/><Relationship Id="rId55" Type="http://schemas.openxmlformats.org/officeDocument/2006/relationships/hyperlink" Target="https://www.youtube.com/embed/G9H34YxJ4HM?rel=0" TargetMode="External"/><Relationship Id="rId56" Type="http://schemas.openxmlformats.org/officeDocument/2006/relationships/hyperlink" Target="https://www.youtube.com/embed/7DxJPDnF768?rel=0" TargetMode="External"/><Relationship Id="rId57" Type="http://schemas.openxmlformats.org/officeDocument/2006/relationships/hyperlink" Target="https://www.youtube.com/embed/BRX5ihWHA9M?rel=0" TargetMode="External"/><Relationship Id="rId58" Type="http://schemas.openxmlformats.org/officeDocument/2006/relationships/hyperlink" Target="https://www.youtube.com/embed/RoTBBDYNq6I?rel=0" TargetMode="External"/><Relationship Id="rId59" Type="http://schemas.openxmlformats.org/officeDocument/2006/relationships/hyperlink" Target="https://www.youtube.com/embed/7vb1Yb9lopk?rel=0" TargetMode="External"/><Relationship Id="rId60" Type="http://schemas.openxmlformats.org/officeDocument/2006/relationships/hyperlink" Target="https://www.youtube.com/embed/n8_CG_YPQ-A?rel=0" TargetMode="External"/><Relationship Id="rId61" Type="http://schemas.openxmlformats.org/officeDocument/2006/relationships/hyperlink" Target="https://www.youtube.com/embed/8pQb3f69nhw?rel=0" TargetMode="External"/><Relationship Id="rId62" Type="http://schemas.openxmlformats.org/officeDocument/2006/relationships/hyperlink" Target="https://www.youtube.com/embed/pnykUzhNzrs?rel=0" TargetMode="External"/><Relationship Id="rId63" Type="http://schemas.openxmlformats.org/officeDocument/2006/relationships/hyperlink" Target="https://www.youtube.com/embed/Uf7-CFcBeHQ?rel=0" TargetMode="External"/><Relationship Id="rId64" Type="http://schemas.openxmlformats.org/officeDocument/2006/relationships/hyperlink" Target="https://www.youtube.com/embed/uighm2u0eSg?rel=0" TargetMode="External"/><Relationship Id="rId65" Type="http://schemas.openxmlformats.org/officeDocument/2006/relationships/hyperlink" Target="https://www.youtube.com/embed/ffuDUtHDlKc?rel=0" TargetMode="External"/><Relationship Id="rId66" Type="http://schemas.openxmlformats.org/officeDocument/2006/relationships/hyperlink" Target="https://www.youtube.com/embed/Q-1E4sPhbSs?rel=0" TargetMode="External"/><Relationship Id="rId67" Type="http://schemas.openxmlformats.org/officeDocument/2006/relationships/hyperlink" Target="https://www.youtube.com/embed/gvsA7z2_Bro?rel=0" TargetMode="External"/><Relationship Id="rId68" Type="http://schemas.openxmlformats.org/officeDocument/2006/relationships/hyperlink" Target="https://www.youtube.com/embed/nRl2bprlmfE?rel=0" TargetMode="External"/><Relationship Id="rId69" Type="http://schemas.openxmlformats.org/officeDocument/2006/relationships/hyperlink" Target="https://www.youtube.com/embed/MxFYpgCL864?rel=0" TargetMode="External"/><Relationship Id="rId70" Type="http://schemas.openxmlformats.org/officeDocument/2006/relationships/hyperlink" Target="https://www.youtube.com/embed/SD-WfxAwYX0?rel=0" TargetMode="External"/><Relationship Id="rId71" Type="http://schemas.openxmlformats.org/officeDocument/2006/relationships/hyperlink" Target="https://www.youtube.com/embed/Mn8ac5YVB3Q?rel=0" TargetMode="External"/><Relationship Id="rId72" Type="http://schemas.openxmlformats.org/officeDocument/2006/relationships/hyperlink" Target="https://www.youtube.com/embed/3eSj4m5TC7E?rel=0" TargetMode="External"/><Relationship Id="rId73" Type="http://schemas.openxmlformats.org/officeDocument/2006/relationships/hyperlink" Target="https://www.youtube.com/embed/PldipNNCQyE?rel=0" TargetMode="External"/><Relationship Id="rId74" Type="http://schemas.openxmlformats.org/officeDocument/2006/relationships/hyperlink" Target="https://www.youtube.com/embed/IR8ZIGRAGMg" TargetMode="External"/><Relationship Id="rId75" Type="http://schemas.openxmlformats.org/officeDocument/2006/relationships/hyperlink" Target="https://www.youtube.com/embed/QoZV949naVk?rel=0" TargetMode="External"/><Relationship Id="rId76" Type="http://schemas.openxmlformats.org/officeDocument/2006/relationships/hyperlink" Target="https://www.youtube.com/embed/VD8bsaw1qHc?rel=0" TargetMode="External"/><Relationship Id="rId77" Type="http://schemas.openxmlformats.org/officeDocument/2006/relationships/hyperlink" Target="https://www.youtube.com/embed/nfnjr67jSJw?rel=0" TargetMode="External"/><Relationship Id="rId78" Type="http://schemas.openxmlformats.org/officeDocument/2006/relationships/hyperlink" Target="https://www.youtube.com/embed/Ed5bKjE4GZw?rel=0" TargetMode="External"/><Relationship Id="rId79" Type="http://schemas.openxmlformats.org/officeDocument/2006/relationships/hyperlink" Target="https://www.youtube.com/embed/cTunRhKgjwI?rel=0" TargetMode="External"/><Relationship Id="rId80" Type="http://schemas.openxmlformats.org/officeDocument/2006/relationships/hyperlink" Target="https://www.youtube.com/embed/MATNbSKvoY0?rel=0" TargetMode="External"/><Relationship Id="rId81" Type="http://schemas.openxmlformats.org/officeDocument/2006/relationships/hyperlink" Target="https://www.youtube.com/embed/-H7rnqAWqz8?rel=0" TargetMode="External"/><Relationship Id="rId82" Type="http://schemas.openxmlformats.org/officeDocument/2006/relationships/hyperlink" Target="https://www.youtube.com/embed/OVXXvrxaxMQ?rel=0" TargetMode="External"/><Relationship Id="rId83" Type="http://schemas.openxmlformats.org/officeDocument/2006/relationships/hyperlink" Target="https://www.youtube.com/embed/M3Kf4J-BYXk?rel=0" TargetMode="External"/><Relationship Id="rId84" Type="http://schemas.openxmlformats.org/officeDocument/2006/relationships/hyperlink" Target="https://www.youtube.com/embed/tE6IPw0cVbk?rel=0" TargetMode="External"/><Relationship Id="rId85" Type="http://schemas.openxmlformats.org/officeDocument/2006/relationships/hyperlink" Target="https://www.youtube.com/embed/il84axnMeg8?rel=0" TargetMode="External"/><Relationship Id="rId86" Type="http://schemas.openxmlformats.org/officeDocument/2006/relationships/hyperlink" Target="https://www.youtube.com/embed/TAfsVfHjyBM?rel=0" TargetMode="External"/><Relationship Id="rId87" Type="http://schemas.openxmlformats.org/officeDocument/2006/relationships/hyperlink" Target="https://www.youtube.com/embed/cxNEeWfoC_0?rel=0" TargetMode="External"/><Relationship Id="rId88" Type="http://schemas.openxmlformats.org/officeDocument/2006/relationships/hyperlink" Target="https://www.youtube.com/embed/zqfbu5RfVfI?rel=0" TargetMode="External"/><Relationship Id="rId89" Type="http://schemas.openxmlformats.org/officeDocument/2006/relationships/hyperlink" Target="https://www.youtube.com/embed/wl30KA5gN8g?rel=0" TargetMode="External"/><Relationship Id="rId90" Type="http://schemas.openxmlformats.org/officeDocument/2006/relationships/hyperlink" Target="https://www.youtube.com/embed/il84axnMeg8?rel=0" TargetMode="External"/><Relationship Id="rId91" Type="http://schemas.openxmlformats.org/officeDocument/2006/relationships/hyperlink" Target="https://www.youtube.com/embed/OG3hFpk54m4?rel=0" TargetMode="External"/><Relationship Id="rId92" Type="http://schemas.openxmlformats.org/officeDocument/2006/relationships/hyperlink" Target="https://www.youtube.com/embed/9A15kv7L_BE?rel=0" TargetMode="External"/><Relationship Id="rId93" Type="http://schemas.openxmlformats.org/officeDocument/2006/relationships/hyperlink" Target="https://www.youtube.com/embed/4J30tRng13M?rel=0" TargetMode="External"/><Relationship Id="rId94" Type="http://schemas.openxmlformats.org/officeDocument/2006/relationships/hyperlink" Target="https://www.youtube.com/embed/kUL4_hxY8Vg" TargetMode="External"/><Relationship Id="rId95" Type="http://schemas.openxmlformats.org/officeDocument/2006/relationships/hyperlink" Target="https://www.youtube.com/embed/vWjY-FPTrNY?rel=0" TargetMode="External"/><Relationship Id="rId96" Type="http://schemas.openxmlformats.org/officeDocument/2006/relationships/hyperlink" Target="https://www.youtube.com/embed/XNkrVenjKOc?rel=0" TargetMode="External"/><Relationship Id="rId97" Type="http://schemas.openxmlformats.org/officeDocument/2006/relationships/hyperlink" Target="https://www.youtube.com/embed/Azqor4YHHJU?rel=0" TargetMode="External"/><Relationship Id="rId98" Type="http://schemas.openxmlformats.org/officeDocument/2006/relationships/hyperlink" Target="https://www.youtube.com/embed/c4nq6_t8lo4?rel=0" TargetMode="External"/><Relationship Id="rId99" Type="http://schemas.openxmlformats.org/officeDocument/2006/relationships/hyperlink" Target="https://www.youtube.com/embed/njYxrV6IYbQ?rel=0" TargetMode="External"/><Relationship Id="rId100" Type="http://schemas.openxmlformats.org/officeDocument/2006/relationships/hyperlink" Target="https://www.youtube.com/embed/HNn8Ahibyhw?rel=0" TargetMode="External"/><Relationship Id="rId101" Type="http://schemas.openxmlformats.org/officeDocument/2006/relationships/hyperlink" Target="https://www.youtube.com/embed/wl_trqAUypo" TargetMode="External"/><Relationship Id="rId102" Type="http://schemas.openxmlformats.org/officeDocument/2006/relationships/hyperlink" Target="https://www.youtube.com/embed/3pGEzSpvLzw?rel=0" TargetMode="External"/><Relationship Id="rId103" Type="http://schemas.openxmlformats.org/officeDocument/2006/relationships/hyperlink" Target="https://www.youtube.com/embed/7DpM3bR4Fu4?rel=0" TargetMode="External"/><Relationship Id="rId104" Type="http://schemas.openxmlformats.org/officeDocument/2006/relationships/hyperlink" Target="https://www.youtube.com/embed/x5KaHI9L1To?rel=0" TargetMode="External"/><Relationship Id="rId105" Type="http://schemas.openxmlformats.org/officeDocument/2006/relationships/hyperlink" Target="https://www.youtube.com/embed/0W1H8YMdpQE?rel=0" TargetMode="External"/><Relationship Id="rId106" Type="http://schemas.openxmlformats.org/officeDocument/2006/relationships/hyperlink" Target="https://www.youtube.com/embed/jPNYxl567yU?rel=0" TargetMode="External"/><Relationship Id="rId107" Type="http://schemas.openxmlformats.org/officeDocument/2006/relationships/hyperlink" Target="https://www.youtube.com/embed/X7t9p2cnzqc" TargetMode="External"/><Relationship Id="rId108" Type="http://schemas.openxmlformats.org/officeDocument/2006/relationships/hyperlink" Target="https://www.youtube.com/embed/MIw-Eyb648k?rel=0" TargetMode="External"/><Relationship Id="rId109" Type="http://schemas.openxmlformats.org/officeDocument/2006/relationships/hyperlink" Target="https://www.youtube.com/embed/gUUKRU3uZ2w?rel=0" TargetMode="External"/><Relationship Id="rId110" Type="http://schemas.openxmlformats.org/officeDocument/2006/relationships/hyperlink" Target="https://www.youtube.com/embed/PFfsIL9_JGY?rel=0" TargetMode="External"/><Relationship Id="rId111" Type="http://schemas.openxmlformats.org/officeDocument/2006/relationships/hyperlink" Target="https://www.youtube.com/embed/lwqMT3E7f4w?rel=0" TargetMode="External"/><Relationship Id="rId112" Type="http://schemas.openxmlformats.org/officeDocument/2006/relationships/hyperlink" Target="https://www.youtube.com/embed/DRweEb3GsgM?rel=0" TargetMode="External"/><Relationship Id="rId113" Type="http://schemas.openxmlformats.org/officeDocument/2006/relationships/hyperlink" Target="https://www.youtube.com/embed/_gvHQK4k35k?rel=0" TargetMode="External"/><Relationship Id="rId114" Type="http://schemas.openxmlformats.org/officeDocument/2006/relationships/hyperlink" Target="https://www.youtube.com/embed/gWYWk3yN4pQ?rel=0" TargetMode="External"/><Relationship Id="rId115" Type="http://schemas.openxmlformats.org/officeDocument/2006/relationships/hyperlink" Target="https://www.youtube.com/embed/delCm4B_0rA?rel=0" TargetMode="External"/><Relationship Id="rId116" Type="http://schemas.openxmlformats.org/officeDocument/2006/relationships/hyperlink" Target="https://www.youtube.com/embed/092CgFZcwcM?rel=0" TargetMode="External"/><Relationship Id="rId117" Type="http://schemas.openxmlformats.org/officeDocument/2006/relationships/hyperlink" Target="https://www.youtube.com/embed/Id-E2Ynq-KI?rel=0" TargetMode="External"/><Relationship Id="rId118" Type="http://schemas.openxmlformats.org/officeDocument/2006/relationships/hyperlink" Target="https://www.youtube.com/embed/y7YUpvR7HMc?rel=0" TargetMode="External"/><Relationship Id="rId119" Type="http://schemas.openxmlformats.org/officeDocument/2006/relationships/hyperlink" Target="https://www.youtube.com/embed/z5_Y4z-xcjw?rel=0" TargetMode="External"/><Relationship Id="rId120" Type="http://schemas.openxmlformats.org/officeDocument/2006/relationships/hyperlink" Target="https://www.youtube.com/embed/4qYZgAH3A2U?rel=0" TargetMode="External"/><Relationship Id="rId121" Type="http://schemas.openxmlformats.org/officeDocument/2006/relationships/hyperlink" Target="https://www.youtube.com/embed/ly7EKP3vU2A?rel=0" TargetMode="External"/><Relationship Id="rId122" Type="http://schemas.openxmlformats.org/officeDocument/2006/relationships/hyperlink" Target="https://www.youtube.com/embed/5-QdMvQ_6QI?rel=0" TargetMode="External"/><Relationship Id="rId123" Type="http://schemas.openxmlformats.org/officeDocument/2006/relationships/hyperlink" Target="https://www.youtube.com/embed/Vn2G5E2_WDY?rel=0" TargetMode="External"/><Relationship Id="rId124" Type="http://schemas.openxmlformats.org/officeDocument/2006/relationships/hyperlink" Target="https://www.youtube.com/embed/80_iRdzaMhQ?rel=0" TargetMode="External"/><Relationship Id="rId125" Type="http://schemas.openxmlformats.org/officeDocument/2006/relationships/hyperlink" Target="https://www.youtube.com/embed/hz1quZ3y_d4?rel=0" TargetMode="External"/><Relationship Id="rId126" Type="http://schemas.openxmlformats.org/officeDocument/2006/relationships/hyperlink" Target="https://www.youtube.com/embed/7hBhSIv77lY?rel=0" TargetMode="External"/><Relationship Id="rId127" Type="http://schemas.openxmlformats.org/officeDocument/2006/relationships/hyperlink" Target="https://www.youtube.com/embed/fNE-MaSUTfY?rel=0" TargetMode="External"/><Relationship Id="rId128" Type="http://schemas.openxmlformats.org/officeDocument/2006/relationships/hyperlink" Target="https://www.youtube.com/embed/6Ph4XA_ojKs?rel=0" TargetMode="External"/><Relationship Id="rId129" Type="http://schemas.openxmlformats.org/officeDocument/2006/relationships/hyperlink" Target="https://www.youtube.com/embed/TqeKWTXFjGI?rel=0" TargetMode="External"/><Relationship Id="rId130" Type="http://schemas.openxmlformats.org/officeDocument/2006/relationships/hyperlink" Target="https://www.youtube.com/embed/-z8iTX8MqPM?rel=0" TargetMode="External"/><Relationship Id="rId131" Type="http://schemas.openxmlformats.org/officeDocument/2006/relationships/hyperlink" Target="https://www.youtube.com/embed/ES_Dy-Y_6ck?rel=0" TargetMode="External"/><Relationship Id="rId132" Type="http://schemas.openxmlformats.org/officeDocument/2006/relationships/hyperlink" Target="https://www.youtube.com/embed/zNNqEJ_XIWk?rel=0" TargetMode="External"/><Relationship Id="rId133" Type="http://schemas.openxmlformats.org/officeDocument/2006/relationships/hyperlink" Target="https://www.youtube.com/embed/vuAy25fF_Ic?rel=0" TargetMode="External"/><Relationship Id="rId134" Type="http://schemas.openxmlformats.org/officeDocument/2006/relationships/hyperlink" Target="https://www.youtube.com/embed/g_odKgyaEa4" TargetMode="External"/><Relationship Id="rId135" Type="http://schemas.openxmlformats.org/officeDocument/2006/relationships/hyperlink" Target="https://www.youtube.com/embed/2bys9fsZFZ4?rel=0" TargetMode="External"/><Relationship Id="rId136" Type="http://schemas.openxmlformats.org/officeDocument/2006/relationships/hyperlink" Target="https://www.youtube.com/embed/3wze3ClmUOw?rel=0" TargetMode="External"/><Relationship Id="rId137" Type="http://schemas.openxmlformats.org/officeDocument/2006/relationships/hyperlink" Target="https://www.youtube.com/embed/HPhZYC4i_ak?rel=0" TargetMode="External"/><Relationship Id="rId138" Type="http://schemas.openxmlformats.org/officeDocument/2006/relationships/hyperlink" Target="https://www.youtube.com/embed/3C1W2G3Izkk?rel=0" TargetMode="External"/><Relationship Id="rId139" Type="http://schemas.openxmlformats.org/officeDocument/2006/relationships/hyperlink" Target="https://www.youtube.com/embed/OcmuhRz3ZV8?rel=0" TargetMode="External"/><Relationship Id="rId140" Type="http://schemas.openxmlformats.org/officeDocument/2006/relationships/hyperlink" Target="https://www.youtube.com/embed/RH4SO5wAMxs?rel=0" TargetMode="External"/><Relationship Id="rId141" Type="http://schemas.openxmlformats.org/officeDocument/2006/relationships/hyperlink" Target="https://www.youtube.com/embed/ZOvGA0LsgjU?rel=0" TargetMode="External"/><Relationship Id="rId142" Type="http://schemas.openxmlformats.org/officeDocument/2006/relationships/hyperlink" Target="https://www.youtube.com/embed/-sq3vjrzTuU?rel=0" TargetMode="External"/><Relationship Id="rId143" Type="http://schemas.openxmlformats.org/officeDocument/2006/relationships/hyperlink" Target="https://www.youtube.com/embed/YfxEbSWVFIo?rel=0" TargetMode="External"/><Relationship Id="rId144" Type="http://schemas.openxmlformats.org/officeDocument/2006/relationships/hyperlink" Target="https://www.youtube.com/embed/p1ZXsqk8f2c" TargetMode="External"/><Relationship Id="rId145" Type="http://schemas.openxmlformats.org/officeDocument/2006/relationships/hyperlink" Target="https://www.youtube.com/embed/Aw9PtTB5Ij0?rel=0" TargetMode="External"/><Relationship Id="rId146" Type="http://schemas.openxmlformats.org/officeDocument/2006/relationships/hyperlink" Target="https://www.youtube.com/embed/pOIZP0qLG1Y?rel=0" TargetMode="External"/><Relationship Id="rId147" Type="http://schemas.openxmlformats.org/officeDocument/2006/relationships/hyperlink" Target="https://www.youtube.com/embed/86wAN9pfjio?rel=0" TargetMode="External"/><Relationship Id="rId148" Type="http://schemas.openxmlformats.org/officeDocument/2006/relationships/hyperlink" Target="https://www.dailymotion.com/embed/video/x18kfuc_bbes-75mm-couleur-a-changement-cli-blanc_creation" TargetMode="External"/><Relationship Id="rId149" Type="http://schemas.openxmlformats.org/officeDocument/2006/relationships/hyperlink" Target="https://www.youtube.com/embed/kkiWccr9d4E?rel=0" TargetMode="External"/><Relationship Id="rId150" Type="http://schemas.openxmlformats.org/officeDocument/2006/relationships/hyperlink" Target="https://www.youtube.com/embed/eAYghrP3cVE?rel=0" TargetMode="External"/><Relationship Id="rId151" Type="http://schemas.openxmlformats.org/officeDocument/2006/relationships/hyperlink" Target="https://www.youtube.com/embed/d72IJ7KAaYs?rel=0" TargetMode="External"/><Relationship Id="rId152" Type="http://schemas.openxmlformats.org/officeDocument/2006/relationships/hyperlink" Target="https://www.youtube.com/embed/VeBOMz5j4N0?rel=0" TargetMode="External"/><Relationship Id="rId153" Type="http://schemas.openxmlformats.org/officeDocument/2006/relationships/hyperlink" Target="http://www.youtube.com/embed/s3DmaJj-L_w" TargetMode="External"/><Relationship Id="rId154" Type="http://schemas.openxmlformats.org/officeDocument/2006/relationships/hyperlink" Target="https://www.youtube.com/embed/KlYBhLvBe1U" TargetMode="External"/><Relationship Id="rId155" Type="http://schemas.openxmlformats.org/officeDocument/2006/relationships/hyperlink" Target="https://www.youtube.com/embed/KlYBhLvBe1U?rel=0" TargetMode="External"/><Relationship Id="rId156" Type="http://schemas.openxmlformats.org/officeDocument/2006/relationships/hyperlink" Target="https://www.youtube.com/embed/KlYBhLvBe1U?rel=0" TargetMode="External"/><Relationship Id="rId157" Type="http://schemas.openxmlformats.org/officeDocument/2006/relationships/hyperlink" Target="https://www.youtube.com/embed/KlYBhLvBe1U?rel=0" TargetMode="External"/><Relationship Id="rId158" Type="http://schemas.openxmlformats.org/officeDocument/2006/relationships/hyperlink" Target="https://www.youtube.com/embed/KlYBhLvBe1U?rel=0" TargetMode="External"/><Relationship Id="rId159" Type="http://schemas.openxmlformats.org/officeDocument/2006/relationships/hyperlink" Target="https://www.youtube.com/embed/KlYBhLvBe1U?rel=0" TargetMode="External"/><Relationship Id="rId160" Type="http://schemas.openxmlformats.org/officeDocument/2006/relationships/hyperlink" Target="https://www.youtube.com/embed/cTPe6MWpIUI" TargetMode="External"/><Relationship Id="rId161" Type="http://schemas.openxmlformats.org/officeDocument/2006/relationships/hyperlink" Target="https://www.youtube.com/embed/9O2jHteYprw?rel=0" TargetMode="External"/><Relationship Id="rId162" Type="http://schemas.openxmlformats.org/officeDocument/2006/relationships/hyperlink" Target="https://www.youtube.com/embed/JNVh3k0uLWY?rel=0" TargetMode="External"/><Relationship Id="rId163" Type="http://schemas.openxmlformats.org/officeDocument/2006/relationships/hyperlink" Target="https://www.youtube.com/embed/1UgnabTB24Y?rel=0" TargetMode="External"/><Relationship Id="rId164" Type="http://schemas.openxmlformats.org/officeDocument/2006/relationships/hyperlink" Target="https://www.youtube.com/embed/6GZtRXHCPrE?rel=0" TargetMode="External"/><Relationship Id="rId165" Type="http://schemas.openxmlformats.org/officeDocument/2006/relationships/hyperlink" Target="https://www.youtube.com/embed/cMWOx7_JPAw?rel=0" TargetMode="External"/><Relationship Id="rId166" Type="http://schemas.openxmlformats.org/officeDocument/2006/relationships/hyperlink" Target="https://www.youtube.com/embed/YOZJO6drXOU?rel=0" TargetMode="External"/><Relationship Id="rId167" Type="http://schemas.openxmlformats.org/officeDocument/2006/relationships/hyperlink" Target="https://www.youtube.com/embed/TC3Tlb5oRCU?rel=0" TargetMode="External"/><Relationship Id="rId168" Type="http://schemas.openxmlformats.org/officeDocument/2006/relationships/hyperlink" Target="https://www.youtube.com/embed/irOX5Ffk9H0?rel=0" TargetMode="External"/><Relationship Id="rId169" Type="http://schemas.openxmlformats.org/officeDocument/2006/relationships/hyperlink" Target="https://www.youtube.com/embed/Gje2H44ksOw?rel=0" TargetMode="External"/><Relationship Id="rId170" Type="http://schemas.openxmlformats.org/officeDocument/2006/relationships/hyperlink" Target="https://www.youtube.com/embed/mt6JIjTtwKI?rel=0" TargetMode="External"/><Relationship Id="rId171" Type="http://schemas.openxmlformats.org/officeDocument/2006/relationships/hyperlink" Target="https://www.youtube.com/embed/vGlmrtnHAxI?rel=0" TargetMode="External"/><Relationship Id="rId172" Type="http://schemas.openxmlformats.org/officeDocument/2006/relationships/hyperlink" Target="https://www.youtube.com/embed/uv6jTueyKsE?rel=0" TargetMode="External"/><Relationship Id="rId173" Type="http://schemas.openxmlformats.org/officeDocument/2006/relationships/hyperlink" Target="https://www.youtube.com/embed/Wogy4QO4FZg?rel=0" TargetMode="External"/><Relationship Id="rId174" Type="http://schemas.openxmlformats.org/officeDocument/2006/relationships/hyperlink" Target="https://www.youtube.com/embed/T5vw_mWp-x4?rel=0" TargetMode="External"/><Relationship Id="rId175" Type="http://schemas.openxmlformats.org/officeDocument/2006/relationships/hyperlink" Target="https://www.youtube.com/embed/jD_164iNwdI?rel=0" TargetMode="External"/><Relationship Id="rId176" Type="http://schemas.openxmlformats.org/officeDocument/2006/relationships/hyperlink" Target="https://www.youtube.com/embed/hGWQQqTo0q0?rel=0" TargetMode="External"/><Relationship Id="rId177" Type="http://schemas.openxmlformats.org/officeDocument/2006/relationships/hyperlink" Target="https://www.youtube.com/embed/MFEmh3MDbyE?rel=0" TargetMode="External"/><Relationship Id="rId178" Type="http://schemas.openxmlformats.org/officeDocument/2006/relationships/hyperlink" Target="https://www.youtube.com/embed/eTUMLjVsM48?rel=0" TargetMode="External"/><Relationship Id="rId179" Type="http://schemas.openxmlformats.org/officeDocument/2006/relationships/hyperlink" Target="https://www.youtube.com/embed/jwAgpkMTSCM?rel=0" TargetMode="External"/><Relationship Id="rId180" Type="http://schemas.openxmlformats.org/officeDocument/2006/relationships/hyperlink" Target="https://www.youtube.com/embed/kPMBKre3cDw?rel=0" TargetMode="External"/><Relationship Id="rId181" Type="http://schemas.openxmlformats.org/officeDocument/2006/relationships/hyperlink" Target="https://www.youtube.com/embed/ivaSHCRp-Kc?rel=0" TargetMode="External"/><Relationship Id="rId182" Type="http://schemas.openxmlformats.org/officeDocument/2006/relationships/hyperlink" Target="https://www.youtube.com/embed/H9SZx4dvic8?rel=0" TargetMode="External"/><Relationship Id="rId183" Type="http://schemas.openxmlformats.org/officeDocument/2006/relationships/hyperlink" Target="https://www.youtube.com/embed/pXDfltTZ--g?rel=0" TargetMode="External"/><Relationship Id="rId184" Type="http://schemas.openxmlformats.org/officeDocument/2006/relationships/hyperlink" Target="https://www.youtube.com/embed/yPcVhHkjeas?rel=0" TargetMode="External"/><Relationship Id="rId185" Type="http://schemas.openxmlformats.org/officeDocument/2006/relationships/hyperlink" Target="https://www.youtube.com/embed/ssu1l0a6_Mo?rel=0" TargetMode="External"/><Relationship Id="rId186" Type="http://schemas.openxmlformats.org/officeDocument/2006/relationships/hyperlink" Target="https://www.youtube.com/embed/qVqncPAYgaE?rel=0" TargetMode="External"/><Relationship Id="rId187" Type="http://schemas.openxmlformats.org/officeDocument/2006/relationships/hyperlink" Target="https://www.youtube.com/embed/swqheo4S3zo?rel=0" TargetMode="External"/><Relationship Id="rId188" Type="http://schemas.openxmlformats.org/officeDocument/2006/relationships/hyperlink" Target="https://www.youtube.com/embed/-2Sc3uO1ANw?rel=0" TargetMode="External"/><Relationship Id="rId189" Type="http://schemas.openxmlformats.org/officeDocument/2006/relationships/hyperlink" Target="https://www.youtube.com/embed/L3vAsRdex6A?rel=0" TargetMode="External"/><Relationship Id="rId190" Type="http://schemas.openxmlformats.org/officeDocument/2006/relationships/hyperlink" Target="https://www.youtube.com/embed/855scU3mix8?rel=0" TargetMode="External"/><Relationship Id="rId191" Type="http://schemas.openxmlformats.org/officeDocument/2006/relationships/hyperlink" Target="https://www.youtube.com/embed/sgWsaf9_lyQ?rel=0" TargetMode="External"/><Relationship Id="rId192" Type="http://schemas.openxmlformats.org/officeDocument/2006/relationships/hyperlink" Target="https://www.youtube.com/embed/MAhqnXRo3PA?rel=0" TargetMode="External"/><Relationship Id="rId193" Type="http://schemas.openxmlformats.org/officeDocument/2006/relationships/hyperlink" Target="https://www.youtube.com/embed/WjWN4yne1bQ?rel=0" TargetMode="External"/><Relationship Id="rId194" Type="http://schemas.openxmlformats.org/officeDocument/2006/relationships/hyperlink" Target="https://www.youtube.com/embed/Cje_2aWymJE?rel=0" TargetMode="External"/><Relationship Id="rId195" Type="http://schemas.openxmlformats.org/officeDocument/2006/relationships/hyperlink" Target="https://www.youtube.com/embed/cm2KV97cMcY?rel=0" TargetMode="External"/><Relationship Id="rId196" Type="http://schemas.openxmlformats.org/officeDocument/2006/relationships/hyperlink" Target="https://www.youtube.com/embed/AUZ95kSyIfs?rel=0" TargetMode="External"/><Relationship Id="rId197" Type="http://schemas.openxmlformats.org/officeDocument/2006/relationships/hyperlink" Target="https://www.youtube.com/embed/5Tt8oSwmFdA?rel=0" TargetMode="External"/><Relationship Id="rId198" Type="http://schemas.openxmlformats.org/officeDocument/2006/relationships/hyperlink" Target="https://www.youtube.com/embed/nl8Uoj9dZ2I?rel=0" TargetMode="External"/><Relationship Id="rId199" Type="http://schemas.openxmlformats.org/officeDocument/2006/relationships/hyperlink" Target="https://www.youtube.com/embed/bv9zHS2pcfc?rel=0" TargetMode="External"/><Relationship Id="rId200" Type="http://schemas.openxmlformats.org/officeDocument/2006/relationships/hyperlink" Target="https://www.youtube.com/embed/4aHyoYGkcv8?rel=0" TargetMode="External"/><Relationship Id="rId201" Type="http://schemas.openxmlformats.org/officeDocument/2006/relationships/hyperlink" Target="https://www.youtube.com/embed/MdTS78hLKIw?rel=0" TargetMode="External"/><Relationship Id="rId202" Type="http://schemas.openxmlformats.org/officeDocument/2006/relationships/hyperlink" Target="https://www.youtube.com/embed/ywOLUUjGt78?rel=0" TargetMode="External"/><Relationship Id="rId203" Type="http://schemas.openxmlformats.org/officeDocument/2006/relationships/hyperlink" Target="https://www.youtube.com/embed/-fSeFmTDArg?rel=0" TargetMode="External"/><Relationship Id="rId204" Type="http://schemas.openxmlformats.org/officeDocument/2006/relationships/hyperlink" Target="https://www.youtube.com/embed/CY-9pWNkGR4?rel=0" TargetMode="External"/><Relationship Id="rId205" Type="http://schemas.openxmlformats.org/officeDocument/2006/relationships/hyperlink" Target="https://www.youtube.com/embed/ELJgLOjwtzs?rel=0" TargetMode="External"/><Relationship Id="rId206" Type="http://schemas.openxmlformats.org/officeDocument/2006/relationships/hyperlink" Target="https://www.youtube.com/embed/0CdaMGQhZIg?rel=0" TargetMode="External"/><Relationship Id="rId207" Type="http://schemas.openxmlformats.org/officeDocument/2006/relationships/hyperlink" Target="https://www.youtube.com/embed/n6m3JMV58Qg?rel=0" TargetMode="External"/><Relationship Id="rId208" Type="http://schemas.openxmlformats.org/officeDocument/2006/relationships/hyperlink" Target="https://www.youtube.com/embed/BzURCGqMq8I?rel=0" TargetMode="External"/><Relationship Id="rId209" Type="http://schemas.openxmlformats.org/officeDocument/2006/relationships/hyperlink" Target="https://www.youtube.com/embed/6dMb1NgMt0c?rel=0" TargetMode="External"/><Relationship Id="rId210" Type="http://schemas.openxmlformats.org/officeDocument/2006/relationships/hyperlink" Target="https://www.youtube.com/embed/oiU9-xDOZ-8?rel=0" TargetMode="External"/><Relationship Id="rId211" Type="http://schemas.openxmlformats.org/officeDocument/2006/relationships/hyperlink" Target="https://www.youtube.com/embed/2o0Xtx_it5w?rel=0" TargetMode="External"/><Relationship Id="rId212" Type="http://schemas.openxmlformats.org/officeDocument/2006/relationships/hyperlink" Target="https://www.youtube.com/embed/W_RUpi5nojI?rel=0" TargetMode="External"/><Relationship Id="rId213" Type="http://schemas.openxmlformats.org/officeDocument/2006/relationships/hyperlink" Target="https://www.youtube.com/embed/zCq5ZZ53Pck?rel=0" TargetMode="External"/><Relationship Id="rId214" Type="http://schemas.openxmlformats.org/officeDocument/2006/relationships/hyperlink" Target="https://www.youtube.com/embed/tYzegYX9kxM?rel=0" TargetMode="External"/><Relationship Id="rId215" Type="http://schemas.openxmlformats.org/officeDocument/2006/relationships/hyperlink" Target="https://www.youtube.com/embed/36xMps1E-yE?rel=0" TargetMode="External"/><Relationship Id="rId216" Type="http://schemas.openxmlformats.org/officeDocument/2006/relationships/hyperlink" Target="https://www.youtube.com/embed/l9ZyksuCDOI?rel=0" TargetMode="External"/><Relationship Id="rId217" Type="http://schemas.openxmlformats.org/officeDocument/2006/relationships/hyperlink" Target="https://www.youtube.com/embed/_if0lFgSul8?rel=0" TargetMode="External"/><Relationship Id="rId218" Type="http://schemas.openxmlformats.org/officeDocument/2006/relationships/hyperlink" Target="https://www.youtube.com/embed/KDH5No8s4LQ?rel=0" TargetMode="External"/><Relationship Id="rId219" Type="http://schemas.openxmlformats.org/officeDocument/2006/relationships/hyperlink" Target="https://www.youtube.com/embed/0_XL7FynY40?rel=0" TargetMode="External"/><Relationship Id="rId220" Type="http://schemas.openxmlformats.org/officeDocument/2006/relationships/hyperlink" Target="https://www.youtube.com/embed/8mUoBOpkoUw?rel=0" TargetMode="External"/><Relationship Id="rId221" Type="http://schemas.openxmlformats.org/officeDocument/2006/relationships/hyperlink" Target="https://www.youtube.com/embed/DW3ZrEXqY_k?rel=0" TargetMode="External"/><Relationship Id="rId222" Type="http://schemas.openxmlformats.org/officeDocument/2006/relationships/hyperlink" Target="https://www.youtube.com/embed/RTo-TaI5HIQ?rel=0" TargetMode="External"/><Relationship Id="rId223" Type="http://schemas.openxmlformats.org/officeDocument/2006/relationships/hyperlink" Target="https://www.youtube.com/embed/wpchY09bCcI?rel=0" TargetMode="External"/><Relationship Id="rId224" Type="http://schemas.openxmlformats.org/officeDocument/2006/relationships/hyperlink" Target="https://www.youtube.com/embed/Oj_bliV7Y0k?rel=0" TargetMode="External"/><Relationship Id="rId225" Type="http://schemas.openxmlformats.org/officeDocument/2006/relationships/hyperlink" Target="https://www.youtube.com/embed/vXjmiZ_37ro?rel=0" TargetMode="External"/><Relationship Id="rId226" Type="http://schemas.openxmlformats.org/officeDocument/2006/relationships/hyperlink" Target="https://www.youtube.com/embed/vXjmiZ_37ro?rel=0" TargetMode="External"/><Relationship Id="rId227" Type="http://schemas.openxmlformats.org/officeDocument/2006/relationships/hyperlink" Target="https://www.youtube.com/embed/EiPFfbcq0y0?rel=0" TargetMode="External"/><Relationship Id="rId228" Type="http://schemas.openxmlformats.org/officeDocument/2006/relationships/hyperlink" Target="https://www.youtube.com/embed/e0w4MR1_bZ4?rel=0" TargetMode="External"/><Relationship Id="rId229" Type="http://schemas.openxmlformats.org/officeDocument/2006/relationships/hyperlink" Target="https://www.youtube.com/embed/-DV6ERYfHEM?rel=0" TargetMode="External"/><Relationship Id="rId230" Type="http://schemas.openxmlformats.org/officeDocument/2006/relationships/hyperlink" Target="https://www.youtube.com/embed/yYUg-rX0b5c?rel=0" TargetMode="External"/><Relationship Id="rId231" Type="http://schemas.openxmlformats.org/officeDocument/2006/relationships/hyperlink" Target="https://www.youtube.com/embed/C3lCy4-3CLE?rel=0" TargetMode="External"/><Relationship Id="rId232" Type="http://schemas.openxmlformats.org/officeDocument/2006/relationships/hyperlink" Target="https://www.youtube.com/embed/nIl_hmzNYEI?rel=0" TargetMode="External"/><Relationship Id="rId233" Type="http://schemas.openxmlformats.org/officeDocument/2006/relationships/hyperlink" Target="https://www.youtube.com/embed/Q6O_rPyffS4?rel=0" TargetMode="External"/><Relationship Id="rId234" Type="http://schemas.openxmlformats.org/officeDocument/2006/relationships/hyperlink" Target="https://www.youtube.com/embed/5hFJHy9-UwU?rel=0" TargetMode="External"/><Relationship Id="rId235" Type="http://schemas.openxmlformats.org/officeDocument/2006/relationships/hyperlink" Target="https://www.youtube.com/embed/8zWT2y9a0vo?rel=0" TargetMode="External"/><Relationship Id="rId236" Type="http://schemas.openxmlformats.org/officeDocument/2006/relationships/hyperlink" Target="https://www.youtube.com/embed/OMx25SabP4A?rel=0" TargetMode="External"/><Relationship Id="rId237" Type="http://schemas.openxmlformats.org/officeDocument/2006/relationships/hyperlink" Target="https://www.youtube.com/embed/2TRrSBHdXtk?rel=0" TargetMode="External"/><Relationship Id="rId238" Type="http://schemas.openxmlformats.org/officeDocument/2006/relationships/hyperlink" Target="https://www.youtube.com/embed/VzK3bmVdiMk?rel=0" TargetMode="External"/><Relationship Id="rId239" Type="http://schemas.openxmlformats.org/officeDocument/2006/relationships/hyperlink" Target="https://www.youtube.com/embed/4fVUK7Vhf0k?rel=0" TargetMode="External"/><Relationship Id="rId240" Type="http://schemas.openxmlformats.org/officeDocument/2006/relationships/hyperlink" Target="https://www.youtube.com/embed/iAxLOVJwUmk?rel=0" TargetMode="External"/><Relationship Id="rId241" Type="http://schemas.openxmlformats.org/officeDocument/2006/relationships/hyperlink" Target="https://www.youtube.com/embed/yhn2_XY_nQc?rel=0" TargetMode="External"/><Relationship Id="rId242" Type="http://schemas.openxmlformats.org/officeDocument/2006/relationships/hyperlink" Target="https://www.youtube.com/embed/JzkdDoNpvgA?rel=0" TargetMode="External"/><Relationship Id="rId243" Type="http://schemas.openxmlformats.org/officeDocument/2006/relationships/hyperlink" Target="https://www.youtube.com/embed/9xrYtb3xDnQ?rel=0" TargetMode="External"/><Relationship Id="rId244" Type="http://schemas.openxmlformats.org/officeDocument/2006/relationships/hyperlink" Target="https://www.youtube.com/embed/eQlw0QwOZrI?rel=0" TargetMode="External"/><Relationship Id="rId245" Type="http://schemas.openxmlformats.org/officeDocument/2006/relationships/hyperlink" Target="https://www.youtube.com/embed/iAxLOVJwUmk?rel=0" TargetMode="External"/><Relationship Id="rId246" Type="http://schemas.openxmlformats.org/officeDocument/2006/relationships/hyperlink" Target="https://www.youtube.com/embed/lTB26XMXB5U?rel=0" TargetMode="External"/><Relationship Id="rId247" Type="http://schemas.openxmlformats.org/officeDocument/2006/relationships/hyperlink" Target="https://www.youtube.com/embed/WpUodUwulD0?rel=0" TargetMode="External"/><Relationship Id="rId248" Type="http://schemas.openxmlformats.org/officeDocument/2006/relationships/hyperlink" Target="https://www.dailymotion.com/embed/video/xazxfb_bbe-100-palmes1_lifestyle" TargetMode="External"/><Relationship Id="rId249" Type="http://schemas.openxmlformats.org/officeDocument/2006/relationships/hyperlink" Target="https://www.youtube.com/embed/wczwIt_SP14?rel=0" TargetMode="External"/><Relationship Id="rId250" Type="http://schemas.openxmlformats.org/officeDocument/2006/relationships/hyperlink" Target="https://www.youtube.com/embed/W4Ga8ScuCyE?rel=0" TargetMode="External"/><Relationship Id="rId251" Type="http://schemas.openxmlformats.org/officeDocument/2006/relationships/hyperlink" Target="https://www.youtube.com/embed/rSBp_cdn9NU?rel=0" TargetMode="External"/><Relationship Id="rId252" Type="http://schemas.openxmlformats.org/officeDocument/2006/relationships/hyperlink" Target="https://www.youtube.com/embed/RwO24I5PxLU?rel=0" TargetMode="External"/><Relationship Id="rId253" Type="http://schemas.openxmlformats.org/officeDocument/2006/relationships/hyperlink" Target="https://www.youtube.com/embed/4vvcUDroBpk?rel=0" TargetMode="External"/><Relationship Id="rId254" Type="http://schemas.openxmlformats.org/officeDocument/2006/relationships/hyperlink" Target="https://www.youtube.com/embed/omOYmk-ky70?rel=0" TargetMode="External"/><Relationship Id="rId255" Type="http://schemas.openxmlformats.org/officeDocument/2006/relationships/hyperlink" Target="https://www.youtube.com/embed/MATNbSKvoY0?rel=0" TargetMode="External"/><Relationship Id="rId256" Type="http://schemas.openxmlformats.org/officeDocument/2006/relationships/hyperlink" Target="https://www.youtube.com/embed/JApu3qm4rwk?rel=0" TargetMode="External"/><Relationship Id="rId257" Type="http://schemas.openxmlformats.org/officeDocument/2006/relationships/hyperlink" Target="https://www.youtube.com/embed/ekAg1UzYDss?rel=0" TargetMode="External"/><Relationship Id="rId258" Type="http://schemas.openxmlformats.org/officeDocument/2006/relationships/hyperlink" Target="https://www.youtube.com/embed/A2r5ecbYdz8?rel=0" TargetMode="External"/><Relationship Id="rId259" Type="http://schemas.openxmlformats.org/officeDocument/2006/relationships/hyperlink" Target="https://www.youtube.com/embed/6rDvdbMft24?rel=0" TargetMode="External"/><Relationship Id="rId260" Type="http://schemas.openxmlformats.org/officeDocument/2006/relationships/hyperlink" Target="https://www.youtube.com/embed/ucMJg2sTWJo?rel=0" TargetMode="External"/><Relationship Id="rId261" Type="http://schemas.openxmlformats.org/officeDocument/2006/relationships/hyperlink" Target="https://www.youtube.com/embed/PG0t5eUnEmU?rel=0" TargetMode="External"/><Relationship Id="rId262" Type="http://schemas.openxmlformats.org/officeDocument/2006/relationships/hyperlink" Target="https://www.youtube.com/embed/etg4KW7AP78?rel=0" TargetMode="External"/><Relationship Id="rId263" Type="http://schemas.openxmlformats.org/officeDocument/2006/relationships/hyperlink" Target="https://www.youtube.com/embed/UN26GFl_9pM?rel=0" TargetMode="External"/><Relationship Id="rId264" Type="http://schemas.openxmlformats.org/officeDocument/2006/relationships/hyperlink" Target="https://www.youtube.com/embed/khFlB_1dl34?rel=0" TargetMode="External"/><Relationship Id="rId265" Type="http://schemas.openxmlformats.org/officeDocument/2006/relationships/hyperlink" Target="https://www.youtube.com/embed/lfiwZZw4M_E?rel=0" TargetMode="External"/><Relationship Id="rId266" Type="http://schemas.openxmlformats.org/officeDocument/2006/relationships/hyperlink" Target="https://www.youtube.com/embed/Mji6ufO9inQ?rel=0" TargetMode="External"/><Relationship Id="rId267" Type="http://schemas.openxmlformats.org/officeDocument/2006/relationships/hyperlink" Target="https://www.youtube.com/embed/Km3IMw0FiZs?rel=0" TargetMode="External"/><Relationship Id="rId268" Type="http://schemas.openxmlformats.org/officeDocument/2006/relationships/hyperlink" Target="https://www.youtube.com/embed/oSu0ja3qzVk?rel=0" TargetMode="External"/><Relationship Id="rId269" Type="http://schemas.openxmlformats.org/officeDocument/2006/relationships/hyperlink" Target="https://www.youtube.com/embed/gNWpx3XQBmo?rel=0" TargetMode="External"/><Relationship Id="rId270" Type="http://schemas.openxmlformats.org/officeDocument/2006/relationships/hyperlink" Target="https://www.youtube.com/embed/8u15pGQjqr0?rel=0" TargetMode="External"/><Relationship Id="rId271" Type="http://schemas.openxmlformats.org/officeDocument/2006/relationships/hyperlink" Target="https://www.youtube.com/embed/B1c1gSRJDJU?rel=0" TargetMode="External"/><Relationship Id="rId272" Type="http://schemas.openxmlformats.org/officeDocument/2006/relationships/hyperlink" Target="https://www.youtube.com/embed/az0JX7vQEZw?rel=0" TargetMode="External"/><Relationship Id="rId273" Type="http://schemas.openxmlformats.org/officeDocument/2006/relationships/hyperlink" Target="https://www.youtube.com/embed/Epyne9ZPq6g?rel=0" TargetMode="External"/><Relationship Id="rId274" Type="http://schemas.openxmlformats.org/officeDocument/2006/relationships/hyperlink" Target="https://www.youtube.com/embed/nlJQns-H7u0?rel=0" TargetMode="External"/><Relationship Id="rId275" Type="http://schemas.openxmlformats.org/officeDocument/2006/relationships/hyperlink" Target="https://www.youtube.com/embed/jaO4fROT29Q?rel=0" TargetMode="External"/><Relationship Id="rId276" Type="http://schemas.openxmlformats.org/officeDocument/2006/relationships/hyperlink" Target="https://www.youtube.com/embed/E1K4qpEY3hE?rel=0" TargetMode="External"/><Relationship Id="rId277" Type="http://schemas.openxmlformats.org/officeDocument/2006/relationships/hyperlink" Target="https://www.youtube.com/embed/GNRDvoWKssM?rel=0" TargetMode="External"/><Relationship Id="rId278" Type="http://schemas.openxmlformats.org/officeDocument/2006/relationships/hyperlink" Target="https://www.youtube.com/embed/wvnx0ELbXAk?rel=0" TargetMode="External"/><Relationship Id="rId279" Type="http://schemas.openxmlformats.org/officeDocument/2006/relationships/hyperlink" Target="https://www.youtube.com/embed/LD62E36dezU?rel=0" TargetMode="External"/><Relationship Id="rId280" Type="http://schemas.openxmlformats.org/officeDocument/2006/relationships/hyperlink" Target="https://www.youtube.com/embed/jVNWmivtnQQ?rel=0" TargetMode="External"/><Relationship Id="rId281" Type="http://schemas.openxmlformats.org/officeDocument/2006/relationships/hyperlink" Target="https://www.youtube.com/embed/5ALB1i-a-Lc?rel=0" TargetMode="External"/><Relationship Id="rId282" Type="http://schemas.openxmlformats.org/officeDocument/2006/relationships/hyperlink" Target="https://www.youtube.com/embed/99Y-sCh51z4?rel=0" TargetMode="External"/><Relationship Id="rId283" Type="http://schemas.openxmlformats.org/officeDocument/2006/relationships/hyperlink" Target="https://www.youtube.com/embed/uMYo2bpR6sM?rel=0" TargetMode="External"/><Relationship Id="rId284" Type="http://schemas.openxmlformats.org/officeDocument/2006/relationships/hyperlink" Target="https://www.youtube.com/embed/A2HjDbANfsI?rel=0" TargetMode="External"/><Relationship Id="rId285" Type="http://schemas.openxmlformats.org/officeDocument/2006/relationships/hyperlink" Target="https://www.youtube.com/embed/HlrW0bvP1BU?rel=0" TargetMode="External"/><Relationship Id="rId286" Type="http://schemas.openxmlformats.org/officeDocument/2006/relationships/hyperlink" Target="https://www.youtube.com/embed/6D2lQKqaW3w?rel=0" TargetMode="External"/><Relationship Id="rId287" Type="http://schemas.openxmlformats.org/officeDocument/2006/relationships/hyperlink" Target="https://www.youtube.com/embed/rbeFqatH7uY?rel=0" TargetMode="External"/><Relationship Id="rId288" Type="http://schemas.openxmlformats.org/officeDocument/2006/relationships/hyperlink" Target="https://www.youtube.com/embed/MQpSdy0zfRk?rel=0" TargetMode="External"/><Relationship Id="rId289" Type="http://schemas.openxmlformats.org/officeDocument/2006/relationships/hyperlink" Target="https://www.youtube.com/embed/-EQjxIWlc1w?rel=0" TargetMode="External"/><Relationship Id="rId290" Type="http://schemas.openxmlformats.org/officeDocument/2006/relationships/hyperlink" Target="https://www.dailymotion.com/embed/video/x18ky7x_bbes-100mm-mosaique_creation" TargetMode="External"/><Relationship Id="rId291" Type="http://schemas.openxmlformats.org/officeDocument/2006/relationships/hyperlink" Target="https://www.youtube.com/embed/EHB72fD9nRA?rel=0" TargetMode="External"/><Relationship Id="rId292" Type="http://schemas.openxmlformats.org/officeDocument/2006/relationships/hyperlink" Target="https://www.youtube.com/embed/Oi7zlgp_YXM?rel=0" TargetMode="External"/><Relationship Id="rId293" Type="http://schemas.openxmlformats.org/officeDocument/2006/relationships/hyperlink" Target="https://www.youtube.com/embed/x6iXYJ8h10Y?rel=0" TargetMode="External"/><Relationship Id="rId294" Type="http://schemas.openxmlformats.org/officeDocument/2006/relationships/hyperlink" Target="https://www.youtube.com/embed/bIV7tIL-J1M" TargetMode="External"/><Relationship Id="rId295" Type="http://schemas.openxmlformats.org/officeDocument/2006/relationships/hyperlink" Target="https://www.youtube.com/embed/VL-_FGBzVek?rel=0" TargetMode="External"/><Relationship Id="rId296" Type="http://schemas.openxmlformats.org/officeDocument/2006/relationships/hyperlink" Target="https://www.youtube.com/embed/TkdWECICDIQ?rel=0" TargetMode="External"/><Relationship Id="rId297" Type="http://schemas.openxmlformats.org/officeDocument/2006/relationships/hyperlink" Target="https://www.youtube.com/embed/kkgB1UX4s7c?rel=0" TargetMode="External"/><Relationship Id="rId298" Type="http://schemas.openxmlformats.org/officeDocument/2006/relationships/hyperlink" Target="https://www.youtube.com/embed/ecmg0HGLDYw?rel=0" TargetMode="External"/><Relationship Id="rId299" Type="http://schemas.openxmlformats.org/officeDocument/2006/relationships/hyperlink" Target="https://www.youtube.com/embed/l8Gl6MWKvQg?rel=0" TargetMode="External"/><Relationship Id="rId300" Type="http://schemas.openxmlformats.org/officeDocument/2006/relationships/hyperlink" Target="https://www.youtube.com/embed/GrqSJwv6FvE?rel=0" TargetMode="External"/><Relationship Id="rId301" Type="http://schemas.openxmlformats.org/officeDocument/2006/relationships/hyperlink" Target="https://www.youtube.com/embed/4dhZDyZkS2E?rel=0" TargetMode="External"/><Relationship Id="rId302" Type="http://schemas.openxmlformats.org/officeDocument/2006/relationships/hyperlink" Target="https://www.youtube.com/embed/f4kioj6kg9k?rel=0" TargetMode="External"/><Relationship Id="rId303" Type="http://schemas.openxmlformats.org/officeDocument/2006/relationships/hyperlink" Target="https://www.youtube.com/embed/2P0qr_zL3oE?rel=0" TargetMode="External"/><Relationship Id="rId304" Type="http://schemas.openxmlformats.org/officeDocument/2006/relationships/hyperlink" Target="https://www.youtube.com/embed/DnM5jNK58vs?rel=0" TargetMode="External"/><Relationship Id="rId305" Type="http://schemas.openxmlformats.org/officeDocument/2006/relationships/hyperlink" Target="https://www.youtube.com/embed/cuXMIrtPpWU?rel=0" TargetMode="External"/><Relationship Id="rId306" Type="http://schemas.openxmlformats.org/officeDocument/2006/relationships/hyperlink" Target="https://www.youtube.com/embed/7QrutB_dWxQ?rel=0" TargetMode="External"/><Relationship Id="rId307" Type="http://schemas.openxmlformats.org/officeDocument/2006/relationships/hyperlink" Target="https://www.youtube.com/embed/k7FaC5bxwRI?rel=0" TargetMode="External"/><Relationship Id="rId308" Type="http://schemas.openxmlformats.org/officeDocument/2006/relationships/hyperlink" Target="https://www.youtube.com/embed/6uNDzW77uaA?rel=0" TargetMode="External"/><Relationship Id="rId309" Type="http://schemas.openxmlformats.org/officeDocument/2006/relationships/hyperlink" Target="https://www.youtube.com/embed/aBm7RPGiNKI?rel=0" TargetMode="External"/><Relationship Id="rId310" Type="http://schemas.openxmlformats.org/officeDocument/2006/relationships/hyperlink" Target="https://www.youtube.com/embed/2ApWtRtxqgI?rel=0" TargetMode="External"/><Relationship Id="rId311" Type="http://schemas.openxmlformats.org/officeDocument/2006/relationships/hyperlink" Target="https://www.youtube.com/embed/jFR_iIdL504?rel=0" TargetMode="External"/><Relationship Id="rId312" Type="http://schemas.openxmlformats.org/officeDocument/2006/relationships/hyperlink" Target="https://www.youtube.com/embed/jFR_iIdL504?rel=0" TargetMode="External"/><Relationship Id="rId313" Type="http://schemas.openxmlformats.org/officeDocument/2006/relationships/hyperlink" Target="https://www.youtube.com/embed/jFR_iIdL504?rel=0" TargetMode="External"/><Relationship Id="rId314" Type="http://schemas.openxmlformats.org/officeDocument/2006/relationships/hyperlink" Target="https://www.youtube.com/embed/jFR_iIdL504?rel=0" TargetMode="External"/><Relationship Id="rId315" Type="http://schemas.openxmlformats.org/officeDocument/2006/relationships/hyperlink" Target="https://www.youtube.com/embed/jFR_iIdL504?rel=0" TargetMode="External"/><Relationship Id="rId316" Type="http://schemas.openxmlformats.org/officeDocument/2006/relationships/hyperlink" Target="https://www.youtube.com/embed/jFR_iIdL504?rel=0" TargetMode="External"/><Relationship Id="rId317" Type="http://schemas.openxmlformats.org/officeDocument/2006/relationships/hyperlink" Target="https://www.youtube.com/embed/jFR_iIdL504?rel=0" TargetMode="External"/><Relationship Id="rId318" Type="http://schemas.openxmlformats.org/officeDocument/2006/relationships/hyperlink" Target="https://www.youtube.com/embed/jFR_iIdL504?rel=0" TargetMode="External"/><Relationship Id="rId319" Type="http://schemas.openxmlformats.org/officeDocument/2006/relationships/hyperlink" Target="https://www.youtube.com/embed/KOs-1JG1LRU?rel=0" TargetMode="External"/><Relationship Id="rId320" Type="http://schemas.openxmlformats.org/officeDocument/2006/relationships/hyperlink" Target="https://www.youtube.com/embed/Qt4z0Pj6m8s?rel=0" TargetMode="External"/><Relationship Id="rId321" Type="http://schemas.openxmlformats.org/officeDocument/2006/relationships/hyperlink" Target="https://www.youtube.com/embed/5O7T0-tpGKI?rel=0" TargetMode="External"/><Relationship Id="rId322" Type="http://schemas.openxmlformats.org/officeDocument/2006/relationships/hyperlink" Target="https://www.youtube.com/embed/63Lnvsk71Ow?rel=0" TargetMode="External"/><Relationship Id="rId323" Type="http://schemas.openxmlformats.org/officeDocument/2006/relationships/hyperlink" Target="https://www.youtube.com/embed/WXnOtJ4_plk?rel=0" TargetMode="External"/><Relationship Id="rId324" Type="http://schemas.openxmlformats.org/officeDocument/2006/relationships/hyperlink" Target="https://www.youtube.com/embed/l30B9ilDqsY?rel=0" TargetMode="External"/><Relationship Id="rId325" Type="http://schemas.openxmlformats.org/officeDocument/2006/relationships/hyperlink" Target="https://www.youtube.com/embed/KT9Uih2ddPA?rel=0" TargetMode="External"/><Relationship Id="rId326" Type="http://schemas.openxmlformats.org/officeDocument/2006/relationships/hyperlink" Target="https://www.youtube.com/embed/peyYAku0-UI?rel=0" TargetMode="External"/><Relationship Id="rId327" Type="http://schemas.openxmlformats.org/officeDocument/2006/relationships/hyperlink" Target="https://www.youtube.com/embed/97FWvC7vbQk?rel=0" TargetMode="External"/><Relationship Id="rId328" Type="http://schemas.openxmlformats.org/officeDocument/2006/relationships/hyperlink" Target="https://www.youtube.com/embed/g5_kS8JTTZA?rel=0" TargetMode="External"/><Relationship Id="rId329" Type="http://schemas.openxmlformats.org/officeDocument/2006/relationships/hyperlink" Target="https://www.youtube.com/embed/eKsxkBiipoA?rel=0" TargetMode="External"/><Relationship Id="rId330" Type="http://schemas.openxmlformats.org/officeDocument/2006/relationships/hyperlink" Target="https://www.youtube.com/embed/oJjTcaUOcNc?rel=0" TargetMode="External"/><Relationship Id="rId331" Type="http://schemas.openxmlformats.org/officeDocument/2006/relationships/hyperlink" Target="https://www.youtube.com/embed/NWINvg5yC-w?rel=0" TargetMode="External"/><Relationship Id="rId332" Type="http://schemas.openxmlformats.org/officeDocument/2006/relationships/hyperlink" Target="https://www.youtube.com/embed/k8Z8powcUIA?rel=0" TargetMode="External"/><Relationship Id="rId333" Type="http://schemas.openxmlformats.org/officeDocument/2006/relationships/hyperlink" Target="https://www.youtube.com/embed/srrrZYn7EmU?rel=0" TargetMode="External"/><Relationship Id="rId334" Type="http://schemas.openxmlformats.org/officeDocument/2006/relationships/hyperlink" Target="https://www.youtube.com/embed/czn63ptr8UI?rel=0" TargetMode="External"/><Relationship Id="rId335" Type="http://schemas.openxmlformats.org/officeDocument/2006/relationships/hyperlink" Target="https://www.youtube.com/embed/wdLyGBbPuhc?rel=0" TargetMode="External"/><Relationship Id="rId336" Type="http://schemas.openxmlformats.org/officeDocument/2006/relationships/hyperlink" Target="https://www.youtube.com/embed/0ITg2U2Fyqo?rel=0" TargetMode="External"/><Relationship Id="rId337" Type="http://schemas.openxmlformats.org/officeDocument/2006/relationships/hyperlink" Target="https://www.youtube.com/embed/AhnsrIuoUlE?rel=0" TargetMode="External"/><Relationship Id="rId338" Type="http://schemas.openxmlformats.org/officeDocument/2006/relationships/hyperlink" Target="https://www.youtube.com/embed/UdLdikby00g?rel=0" TargetMode="External"/><Relationship Id="rId339" Type="http://schemas.openxmlformats.org/officeDocument/2006/relationships/hyperlink" Target="https://www.youtube.com/embed/fz4vr-47Boo?rel=0" TargetMode="External"/><Relationship Id="rId340" Type="http://schemas.openxmlformats.org/officeDocument/2006/relationships/hyperlink" Target="https://www.youtube.com/embed/v-A6_drHD7w?rel=0" TargetMode="External"/><Relationship Id="rId341" Type="http://schemas.openxmlformats.org/officeDocument/2006/relationships/hyperlink" Target="https://www.youtube.com/embed/efAE8MoKkNY?rel=0" TargetMode="External"/><Relationship Id="rId342" Type="http://schemas.openxmlformats.org/officeDocument/2006/relationships/hyperlink" Target="https://www.youtube.com/embed/G-rBxgX7z2Q?rel=0" TargetMode="External"/><Relationship Id="rId343" Type="http://schemas.openxmlformats.org/officeDocument/2006/relationships/hyperlink" Target="https://www.youtube.com/embed/jJow5bAYcOE?rel=0" TargetMode="External"/><Relationship Id="rId344" Type="http://schemas.openxmlformats.org/officeDocument/2006/relationships/hyperlink" Target="https://www.youtube.com/embed/aIK7XPiiod0?rel=0" TargetMode="External"/><Relationship Id="rId345" Type="http://schemas.openxmlformats.org/officeDocument/2006/relationships/hyperlink" Target="https://www.youtube.com/embed/N4xsYPHZt4g?rel=0" TargetMode="External"/><Relationship Id="rId346" Type="http://schemas.openxmlformats.org/officeDocument/2006/relationships/hyperlink" Target="https://www.youtube.com/embed/Wu9OFDDlbpY?rel=0" TargetMode="External"/><Relationship Id="rId347" Type="http://schemas.openxmlformats.org/officeDocument/2006/relationships/hyperlink" Target="https://www.youtube.com/embed/jMMdHtT_CB8?rel=0" TargetMode="External"/><Relationship Id="rId348" Type="http://schemas.openxmlformats.org/officeDocument/2006/relationships/hyperlink" Target="http://www.youtube.com/embed/oCrkOlDEy-k?rel=0" TargetMode="External"/><Relationship Id="rId349" Type="http://schemas.openxmlformats.org/officeDocument/2006/relationships/hyperlink" Target="https://www.youtube.com/embed/-IhB_VWYN9A?rel=0" TargetMode="External"/><Relationship Id="rId350" Type="http://schemas.openxmlformats.org/officeDocument/2006/relationships/hyperlink" Target="https://www.youtube.com/embed/DWiMeWgSFcA?rel=0" TargetMode="External"/><Relationship Id="rId351" Type="http://schemas.openxmlformats.org/officeDocument/2006/relationships/hyperlink" Target="https://www.youtube.com/embed/3JJjB9bDfEo?rel=0" TargetMode="External"/><Relationship Id="rId352" Type="http://schemas.openxmlformats.org/officeDocument/2006/relationships/hyperlink" Target="https://www.youtube.com/embed/zrbIMNSAwNc?rel=0" TargetMode="External"/><Relationship Id="rId353" Type="http://schemas.openxmlformats.org/officeDocument/2006/relationships/hyperlink" Target="https://www.youtube.com/embed/YR-iiY35CUo?rel=0" TargetMode="External"/><Relationship Id="rId354" Type="http://schemas.openxmlformats.org/officeDocument/2006/relationships/hyperlink" Target="https://www.youtube.com/embed/YlUSOA_LUGc?rel=0" TargetMode="External"/><Relationship Id="rId355" Type="http://schemas.openxmlformats.org/officeDocument/2006/relationships/hyperlink" Target="https://www.youtube.com/embed/HYm8Fdru_tk?rel=0" TargetMode="External"/><Relationship Id="rId356" Type="http://schemas.openxmlformats.org/officeDocument/2006/relationships/hyperlink" Target="https://www.youtube.com/embed/VUjSpHXX5yw?rel=0" TargetMode="External"/><Relationship Id="rId357" Type="http://schemas.openxmlformats.org/officeDocument/2006/relationships/hyperlink" Target="https://www.youtube.com/embed/dZtFZDZZ8HI?rel=0" TargetMode="External"/><Relationship Id="rId358" Type="http://schemas.openxmlformats.org/officeDocument/2006/relationships/hyperlink" Target="https://www.youtube.com/embed/w3a1XaoSkyo?rel=0" TargetMode="External"/><Relationship Id="rId359" Type="http://schemas.openxmlformats.org/officeDocument/2006/relationships/hyperlink" Target="https://www.youtube.com/embed/TAtB8ZeZYTo?rel=0" TargetMode="External"/><Relationship Id="rId360" Type="http://schemas.openxmlformats.org/officeDocument/2006/relationships/hyperlink" Target="https://www.youtube.com/embed/vJCb9fyfgQw?rel=0" TargetMode="External"/><Relationship Id="rId361" Type="http://schemas.openxmlformats.org/officeDocument/2006/relationships/hyperlink" Target="https://www.youtube.com/embed/o80x18MyGSg?rel=0" TargetMode="External"/><Relationship Id="rId362" Type="http://schemas.openxmlformats.org/officeDocument/2006/relationships/hyperlink" Target="https://www.youtube.com/embed/f57y4bWEEfo?rel=0" TargetMode="External"/><Relationship Id="rId363" Type="http://schemas.openxmlformats.org/officeDocument/2006/relationships/hyperlink" Target="https://www.youtube.com/embed/f57y4bWEEfo?rel=0" TargetMode="External"/><Relationship Id="rId364" Type="http://schemas.openxmlformats.org/officeDocument/2006/relationships/hyperlink" Target="https://www.youtube.com/embed/40lU8Py_kIs?rel=0" TargetMode="External"/><Relationship Id="rId365" Type="http://schemas.openxmlformats.org/officeDocument/2006/relationships/hyperlink" Target="https://www.youtube.com/embed/h3DghqxW2ao?rel=0" TargetMode="External"/><Relationship Id="rId366" Type="http://schemas.openxmlformats.org/officeDocument/2006/relationships/hyperlink" Target="https://www.youtube.com/embed/tuqAr6Olt9M?rel=0" TargetMode="External"/><Relationship Id="rId367" Type="http://schemas.openxmlformats.org/officeDocument/2006/relationships/hyperlink" Target="https://www.youtube.com/embed/K8vlYKGRplg?rel=0" TargetMode="External"/><Relationship Id="rId368" Type="http://schemas.openxmlformats.org/officeDocument/2006/relationships/hyperlink" Target="https://www.youtube.com/embed/Z0CAO7D1S0U?rel=0" TargetMode="External"/><Relationship Id="rId369" Type="http://schemas.openxmlformats.org/officeDocument/2006/relationships/hyperlink" Target="https://www.youtube.com/embed/f3BmiuB27uU?rel=0" TargetMode="External"/><Relationship Id="rId370" Type="http://schemas.openxmlformats.org/officeDocument/2006/relationships/hyperlink" Target="https://www.youtube.com/embed/UB7VoFxjNnU?rel=0" TargetMode="External"/><Relationship Id="rId371" Type="http://schemas.openxmlformats.org/officeDocument/2006/relationships/hyperlink" Target="https://www.youtube.com/embed/Yest4cwXdb8?rel=0" TargetMode="External"/><Relationship Id="rId372" Type="http://schemas.openxmlformats.org/officeDocument/2006/relationships/hyperlink" Target="https://www.youtube.com/embed/Y7HC-b8cWJ4?rel=0" TargetMode="External"/><Relationship Id="rId373" Type="http://schemas.openxmlformats.org/officeDocument/2006/relationships/hyperlink" Target="https://www.youtube.com/embed/F5OU3LffHZA?rel=0" TargetMode="External"/><Relationship Id="rId374" Type="http://schemas.openxmlformats.org/officeDocument/2006/relationships/hyperlink" Target="https://www.youtube.com/embed/CokINcOmxMs?rel=0" TargetMode="External"/><Relationship Id="rId375" Type="http://schemas.openxmlformats.org/officeDocument/2006/relationships/hyperlink" Target="https://www.youtube.com/embed/SVoPpGQXoY0?rel=0" TargetMode="External"/><Relationship Id="rId376" Type="http://schemas.openxmlformats.org/officeDocument/2006/relationships/hyperlink" Target="https://www.youtube.com/embed/gU2Yg1U2LvQ?rel=0" TargetMode="External"/><Relationship Id="rId377" Type="http://schemas.openxmlformats.org/officeDocument/2006/relationships/hyperlink" Target="https://www.youtube.com/embed/NQd-1Di7co4?rel=0" TargetMode="External"/><Relationship Id="rId378" Type="http://schemas.openxmlformats.org/officeDocument/2006/relationships/hyperlink" Target="https://www.youtube.com/embed/ox-7Hc1zm54?rel=0" TargetMode="External"/><Relationship Id="rId379" Type="http://schemas.openxmlformats.org/officeDocument/2006/relationships/hyperlink" Target="https://www.youtube.com/embed/vXQUuRaAqjY?rel=0" TargetMode="External"/><Relationship Id="rId380" Type="http://schemas.openxmlformats.org/officeDocument/2006/relationships/hyperlink" Target="https://www.youtube.com/embed/gZlBvcRq4rE?rel=0" TargetMode="External"/><Relationship Id="rId381" Type="http://schemas.openxmlformats.org/officeDocument/2006/relationships/hyperlink" Target="https://www.youtube.com/embed/Be1Ix89URd0?rel=0" TargetMode="External"/><Relationship Id="rId382" Type="http://schemas.openxmlformats.org/officeDocument/2006/relationships/hyperlink" Target="https://www.youtube.com/embed/zJMOVjLfAYU?rel=0" TargetMode="External"/><Relationship Id="rId383" Type="http://schemas.openxmlformats.org/officeDocument/2006/relationships/hyperlink" Target="https://www.youtube.com/embed/QEHErK2oX0o?rel=0" TargetMode="External"/><Relationship Id="rId384" Type="http://schemas.openxmlformats.org/officeDocument/2006/relationships/hyperlink" Target="http://www.youtube.com/embed/WG0GHiNTRC0?rel=0" TargetMode="External"/><Relationship Id="rId385" Type="http://schemas.openxmlformats.org/officeDocument/2006/relationships/hyperlink" Target="https://www.youtube.com/embed/zVz6MO0Q4qc?rel=0" TargetMode="External"/><Relationship Id="rId386" Type="http://schemas.openxmlformats.org/officeDocument/2006/relationships/hyperlink" Target="https://www.youtube.com/embed/ekoWWzVdNck?rel=0" TargetMode="External"/><Relationship Id="rId387" Type="http://schemas.openxmlformats.org/officeDocument/2006/relationships/hyperlink" Target="https://www.youtube.com/embed/TBFq0EUMQ8k?rel=0" TargetMode="External"/><Relationship Id="rId388" Type="http://schemas.openxmlformats.org/officeDocument/2006/relationships/hyperlink" Target="https://www.youtube.com/embed/sx6Lfntbj_c?rel=0" TargetMode="External"/><Relationship Id="rId389" Type="http://schemas.openxmlformats.org/officeDocument/2006/relationships/hyperlink" Target="https://www.youtube.com/embed/zNiC-yInVEI?rel=0" TargetMode="External"/><Relationship Id="rId390" Type="http://schemas.openxmlformats.org/officeDocument/2006/relationships/hyperlink" Target="https://www.youtube.com/embed/GULXco48QAs?rel=0" TargetMode="External"/><Relationship Id="rId391" Type="http://schemas.openxmlformats.org/officeDocument/2006/relationships/hyperlink" Target="https://www.youtube.com/embed/wWsptmLNnXE?rel=0" TargetMode="External"/><Relationship Id="rId392" Type="http://schemas.openxmlformats.org/officeDocument/2006/relationships/hyperlink" Target="https://www.youtube.com/embed/Rgzn1bxq_CY?rel=0" TargetMode="External"/><Relationship Id="rId393" Type="http://schemas.openxmlformats.org/officeDocument/2006/relationships/hyperlink" Target="https://www.youtube.com/embed/UZtAbelrPGo?rel=0" TargetMode="External"/><Relationship Id="rId394" Type="http://schemas.openxmlformats.org/officeDocument/2006/relationships/hyperlink" Target="https://www.youtube.com/embed/JrAJ1dMRGcI?rel=0" TargetMode="External"/><Relationship Id="rId395" Type="http://schemas.openxmlformats.org/officeDocument/2006/relationships/hyperlink" Target="https://www.youtube.com/embed/q1XGrf0SJMU?rel=0" TargetMode="External"/><Relationship Id="rId396" Type="http://schemas.openxmlformats.org/officeDocument/2006/relationships/hyperlink" Target="https://www.youtube.com/embed/9NWz0vcnZaI?rel=0" TargetMode="External"/><Relationship Id="rId397" Type="http://schemas.openxmlformats.org/officeDocument/2006/relationships/hyperlink" Target="https://www.youtube.com/embed/WY-JRt5eBcU?rel=0" TargetMode="External"/><Relationship Id="rId398" Type="http://schemas.openxmlformats.org/officeDocument/2006/relationships/hyperlink" Target="https://www.youtube.com/embed/zzCme4itATk?rel=0" TargetMode="External"/><Relationship Id="rId399" Type="http://schemas.openxmlformats.org/officeDocument/2006/relationships/hyperlink" Target="https://www.youtube.com/embed/z6XKR04N8jQ?rel=0" TargetMode="External"/><Relationship Id="rId400" Type="http://schemas.openxmlformats.org/officeDocument/2006/relationships/hyperlink" Target="https://www.youtube.com/embed/IYO5bTnAI4A?rel=0" TargetMode="External"/><Relationship Id="rId401" Type="http://schemas.openxmlformats.org/officeDocument/2006/relationships/hyperlink" Target="https://www.youtube.com/embed/mnH6W0gqgYM?rel=0" TargetMode="External"/><Relationship Id="rId402" Type="http://schemas.openxmlformats.org/officeDocument/2006/relationships/hyperlink" Target="https://www.youtube.com/embed/mjw37C14Cvw?rel=0" TargetMode="External"/><Relationship Id="rId403" Type="http://schemas.openxmlformats.org/officeDocument/2006/relationships/hyperlink" Target="https://www.youtube.com/embed/_GMzkFf66mQ?rel=0" TargetMode="External"/><Relationship Id="rId404" Type="http://schemas.openxmlformats.org/officeDocument/2006/relationships/hyperlink" Target="https://www.youtube.com/embed/uAg9NcKi5SI?rel=0" TargetMode="External"/><Relationship Id="rId405" Type="http://schemas.openxmlformats.org/officeDocument/2006/relationships/hyperlink" Target="https://www.youtube.com/embed/MVR1shcWfBQ?rel=0" TargetMode="External"/><Relationship Id="rId406" Type="http://schemas.openxmlformats.org/officeDocument/2006/relationships/hyperlink" Target="https://www.youtube.com/embed/lFttC4DB2tI?rel=0" TargetMode="External"/><Relationship Id="rId407" Type="http://schemas.openxmlformats.org/officeDocument/2006/relationships/hyperlink" Target="https://www.youtube.com/embed/0KXal9Xkl2Y?rel=0" TargetMode="External"/><Relationship Id="rId408" Type="http://schemas.openxmlformats.org/officeDocument/2006/relationships/hyperlink" Target="https://www.youtube.com/embed/z9CRqiVSYqE" TargetMode="External"/><Relationship Id="rId409" Type="http://schemas.openxmlformats.org/officeDocument/2006/relationships/hyperlink" Target="https://www.youtube.com/embed/XiU_OcdLal4" TargetMode="External"/><Relationship Id="rId410" Type="http://schemas.openxmlformats.org/officeDocument/2006/relationships/hyperlink" Target="https://www.youtube.com/embed/MGEF9bDsLoo?rel=0" TargetMode="External"/><Relationship Id="rId411" Type="http://schemas.openxmlformats.org/officeDocument/2006/relationships/hyperlink" Target="https://www.youtube.com/embed/h9ee377RZ20?rel=0" TargetMode="External"/><Relationship Id="rId412" Type="http://schemas.openxmlformats.org/officeDocument/2006/relationships/hyperlink" Target="https://www.youtube.com/embed/MmxJbAu69ho?rel=0" TargetMode="External"/><Relationship Id="rId413" Type="http://schemas.openxmlformats.org/officeDocument/2006/relationships/hyperlink" Target="https://www.youtube.com/embed/NtdW6rWSSBY?rel=0" TargetMode="External"/><Relationship Id="rId414" Type="http://schemas.openxmlformats.org/officeDocument/2006/relationships/hyperlink" Target="https://www.youtube.com/embed/6udN_uH8lrE?rel=0" TargetMode="External"/><Relationship Id="rId415" Type="http://schemas.openxmlformats.org/officeDocument/2006/relationships/hyperlink" Target="https://www.youtube.com/embed/_gesxPWVQ_U?rel=0" TargetMode="External"/><Relationship Id="rId416" Type="http://schemas.openxmlformats.org/officeDocument/2006/relationships/hyperlink" Target="https://www.youtube.com/embed/Wxj0-_iRAGc?rel=0" TargetMode="External"/><Relationship Id="rId417" Type="http://schemas.openxmlformats.org/officeDocument/2006/relationships/hyperlink" Target="https://www.youtube.com/embed/wdLMb1aP7Zs?rel=0" TargetMode="External"/><Relationship Id="rId418" Type="http://schemas.openxmlformats.org/officeDocument/2006/relationships/hyperlink" Target="https://www.youtube.com/embed/H1GSMsgn7vs?rel=0" TargetMode="External"/><Relationship Id="rId419" Type="http://schemas.openxmlformats.org/officeDocument/2006/relationships/hyperlink" Target="https://www.youtube.com/embed/zEtpkSMVpBg?rel=0" TargetMode="External"/><Relationship Id="rId420" Type="http://schemas.openxmlformats.org/officeDocument/2006/relationships/hyperlink" Target="https://www.youtube.com/embed/I4rkizMue_Q?rel=0" TargetMode="External"/><Relationship Id="rId421" Type="http://schemas.openxmlformats.org/officeDocument/2006/relationships/hyperlink" Target="https://www.youtube.com/embed/7vTA50IWr6A?rel=0" TargetMode="External"/><Relationship Id="rId422" Type="http://schemas.openxmlformats.org/officeDocument/2006/relationships/hyperlink" Target="https://www.youtube.com/embed/fizC7aSN3CU?rel=0" TargetMode="External"/><Relationship Id="rId423" Type="http://schemas.openxmlformats.org/officeDocument/2006/relationships/hyperlink" Target="https://www.youtube.com/embed/f18tr1Bs25w?rel=0" TargetMode="External"/><Relationship Id="rId424" Type="http://schemas.openxmlformats.org/officeDocument/2006/relationships/hyperlink" Target="https://www.youtube.com/embed/KVFNNfFEWyo?rel=0" TargetMode="External"/><Relationship Id="rId425" Type="http://schemas.openxmlformats.org/officeDocument/2006/relationships/hyperlink" Target="https://www.youtube.com/embed/xAfsTOtKERU?rel=0" TargetMode="External"/><Relationship Id="rId426" Type="http://schemas.openxmlformats.org/officeDocument/2006/relationships/hyperlink" Target="https://www.youtube.com/embed/8pfSYjBJI9g?rel=0" TargetMode="External"/><Relationship Id="rId427" Type="http://schemas.openxmlformats.org/officeDocument/2006/relationships/hyperlink" Target="https://www.youtube.com/embed/9wjefo2QwcU?rel=0" TargetMode="External"/><Relationship Id="rId428" Type="http://schemas.openxmlformats.org/officeDocument/2006/relationships/hyperlink" Target="https://www.youtube.com/embed/0OuEl4VlEYI" TargetMode="External"/><Relationship Id="rId429" Type="http://schemas.openxmlformats.org/officeDocument/2006/relationships/hyperlink" Target="https://www.youtube.com/embed/8ocvZ4-8zeA" TargetMode="External"/><Relationship Id="rId430" Type="http://schemas.openxmlformats.org/officeDocument/2006/relationships/hyperlink" Target="https://www.youtube.com/embed/34v7K97L5Hw?rel=0" TargetMode="External"/><Relationship Id="rId431" Type="http://schemas.openxmlformats.org/officeDocument/2006/relationships/hyperlink" Target="https://www.youtube.com/embed/VQkXmyRTkjw?rel=0" TargetMode="External"/><Relationship Id="rId432" Type="http://schemas.openxmlformats.org/officeDocument/2006/relationships/hyperlink" Target="https://www.youtube.com/embed/xvP_GY8LJZo?rel=0" TargetMode="External"/><Relationship Id="rId433" Type="http://schemas.openxmlformats.org/officeDocument/2006/relationships/hyperlink" Target="http://www.youtube.com/embed/W8lAb2ZxuiU?rel=0" TargetMode="External"/><Relationship Id="rId434" Type="http://schemas.openxmlformats.org/officeDocument/2006/relationships/hyperlink" Target="http://www.youtube.com/embed/W8lAb2ZxuiU" TargetMode="External"/><Relationship Id="rId435" Type="http://schemas.openxmlformats.org/officeDocument/2006/relationships/hyperlink" Target="http://www.youtube.com/embed/W8lAb2ZxuiU?rel=0" TargetMode="External"/><Relationship Id="rId436" Type="http://schemas.openxmlformats.org/officeDocument/2006/relationships/hyperlink" Target="https://www.youtube.com/embed/wAOtdgw6Y8o?rel=0" TargetMode="External"/><Relationship Id="rId437" Type="http://schemas.openxmlformats.org/officeDocument/2006/relationships/hyperlink" Target="https://www.youtube.com/embed/xiF3v6HO3A8?rel=0" TargetMode="External"/><Relationship Id="rId438" Type="http://schemas.openxmlformats.org/officeDocument/2006/relationships/hyperlink" Target="http://www.youtube.com/embed/W8lAb2ZxuiU?rel=0" TargetMode="External"/><Relationship Id="rId439" Type="http://schemas.openxmlformats.org/officeDocument/2006/relationships/hyperlink" Target="https://www.youtube.com/embed/mqoj5__ylwA?rel=0" TargetMode="External"/><Relationship Id="rId440" Type="http://schemas.openxmlformats.org/officeDocument/2006/relationships/hyperlink" Target="https://www.youtube.com/embed/H7Dka04vZp4?rel=0" TargetMode="External"/><Relationship Id="rId441" Type="http://schemas.openxmlformats.org/officeDocument/2006/relationships/hyperlink" Target="https://www.youtube.com/embed/8dVivWAuom0?rel=0" TargetMode="External"/><Relationship Id="rId442" Type="http://schemas.openxmlformats.org/officeDocument/2006/relationships/hyperlink" Target="https://www.youtube.com/embed/nV1VERF3EhA?rel=0" TargetMode="External"/><Relationship Id="rId443" Type="http://schemas.openxmlformats.org/officeDocument/2006/relationships/hyperlink" Target="https://www.youtube.com/embed/B6C7jEIqW2M" TargetMode="External"/><Relationship Id="rId444" Type="http://schemas.openxmlformats.org/officeDocument/2006/relationships/hyperlink" Target="https://www.youtube.com/embed/vdV06NAy9Rw?rel=0" TargetMode="External"/><Relationship Id="rId445" Type="http://schemas.openxmlformats.org/officeDocument/2006/relationships/hyperlink" Target="https://www.youtube.com/embed/7tugtl0rz2I?rel=0" TargetMode="External"/><Relationship Id="rId446" Type="http://schemas.openxmlformats.org/officeDocument/2006/relationships/hyperlink" Target="https://www.youtube.com/embed/8ILOA76rzFg?rel=0" TargetMode="External"/><Relationship Id="rId447" Type="http://schemas.openxmlformats.org/officeDocument/2006/relationships/hyperlink" Target="https://www.youtube.com/embed/ayQ6rCInsdE?rel=0" TargetMode="External"/><Relationship Id="rId448" Type="http://schemas.openxmlformats.org/officeDocument/2006/relationships/hyperlink" Target="https://www.youtube.com/embed/bFwvXD_wmGs?rel=0" TargetMode="External"/><Relationship Id="rId449" Type="http://schemas.openxmlformats.org/officeDocument/2006/relationships/hyperlink" Target="https://www.youtube.com/embed/X15bt0YW6q0?rel=0" TargetMode="External"/><Relationship Id="rId450" Type="http://schemas.openxmlformats.org/officeDocument/2006/relationships/hyperlink" Target="https://www.youtube.com/embed/BlgaBgxD5uk?rel=0" TargetMode="External"/><Relationship Id="rId451" Type="http://schemas.openxmlformats.org/officeDocument/2006/relationships/hyperlink" Target="https://www.youtube.com/embed/W_eCQ36uhzA" TargetMode="External"/><Relationship Id="rId452" Type="http://schemas.openxmlformats.org/officeDocument/2006/relationships/hyperlink" Target="https://www.youtube.com/embed/Xs7z66vgE_s?rel=0" TargetMode="External"/><Relationship Id="rId453" Type="http://schemas.openxmlformats.org/officeDocument/2006/relationships/hyperlink" Target="https://www.youtube.com/embed/wGutFJUGAMk?rel=0" TargetMode="External"/><Relationship Id="rId454" Type="http://schemas.openxmlformats.org/officeDocument/2006/relationships/hyperlink" Target="https://www.youtube.com/embed/c4pkNkL2iXc?rel=0" TargetMode="External"/><Relationship Id="rId455" Type="http://schemas.openxmlformats.org/officeDocument/2006/relationships/hyperlink" Target="https://www.youtube.com/embed/5AaAULoIp_w?rel=0" TargetMode="External"/><Relationship Id="rId456" Type="http://schemas.openxmlformats.org/officeDocument/2006/relationships/hyperlink" Target="https://www.youtube.com/embed/LvJtJ8FboN4?rel=0" TargetMode="External"/><Relationship Id="rId457" Type="http://schemas.openxmlformats.org/officeDocument/2006/relationships/hyperlink" Target="https://www.youtube.com/embed/Wa6rgwbMHmI?rel=0" TargetMode="External"/><Relationship Id="rId458" Type="http://schemas.openxmlformats.org/officeDocument/2006/relationships/hyperlink" Target="https://www.youtube.com/embed/d_EG5DHJ0OE?rel=0" TargetMode="External"/><Relationship Id="rId459" Type="http://schemas.openxmlformats.org/officeDocument/2006/relationships/hyperlink" Target="https://www.youtube.com/embed/LXgXeVQuaUM?rel=0" TargetMode="External"/><Relationship Id="rId460" Type="http://schemas.openxmlformats.org/officeDocument/2006/relationships/hyperlink" Target="https://www.youtube.com/embed/1h1vF9LpxWs" TargetMode="External"/><Relationship Id="rId461" Type="http://schemas.openxmlformats.org/officeDocument/2006/relationships/hyperlink" Target="https://www.youtube.com/embed/mU4hg4Xw2UY?rel=0" TargetMode="External"/><Relationship Id="rId462" Type="http://schemas.openxmlformats.org/officeDocument/2006/relationships/hyperlink" Target="https://www.youtube.com/embed/Bu2uKD768qg" TargetMode="External"/><Relationship Id="rId463" Type="http://schemas.openxmlformats.org/officeDocument/2006/relationships/hyperlink" Target="https://www.youtube.com/embed/1h1vF9LpxWs" TargetMode="External"/><Relationship Id="rId464" Type="http://schemas.openxmlformats.org/officeDocument/2006/relationships/hyperlink" Target="https://www.youtube.com/embed/bwBORPlSeQQ?rel=0" TargetMode="External"/><Relationship Id="rId465" Type="http://schemas.openxmlformats.org/officeDocument/2006/relationships/hyperlink" Target="https://www.youtube.com/embed/0ZyF6lB9SQk?rel=0" TargetMode="External"/><Relationship Id="rId466" Type="http://schemas.openxmlformats.org/officeDocument/2006/relationships/hyperlink" Target="https://www.youtube.com/embed/wQ897Vvv7pc?rel=0" TargetMode="External"/><Relationship Id="rId467" Type="http://schemas.openxmlformats.org/officeDocument/2006/relationships/hyperlink" Target="https://www.youtube.com/embed/3uD-4WSOuLM" TargetMode="External"/><Relationship Id="rId468" Type="http://schemas.openxmlformats.org/officeDocument/2006/relationships/hyperlink" Target="https://www.youtube.com/embed/_2d4q4aQakc?rel=0" TargetMode="External"/><Relationship Id="rId469" Type="http://schemas.openxmlformats.org/officeDocument/2006/relationships/hyperlink" Target="https://www.youtube.com/embed/tykEG4jsaes?rel=0" TargetMode="External"/><Relationship Id="rId470" Type="http://schemas.openxmlformats.org/officeDocument/2006/relationships/hyperlink" Target="https://www.youtube.com/embed/nd1ugUHDkz4?rel=0" TargetMode="External"/><Relationship Id="rId471" Type="http://schemas.openxmlformats.org/officeDocument/2006/relationships/hyperlink" Target="https://www.youtube.com/embed/GoGbRvjCshM" TargetMode="External"/><Relationship Id="rId472" Type="http://schemas.openxmlformats.org/officeDocument/2006/relationships/hyperlink" Target="https://www.youtube.com/embed/VFP4gU9CpXI" TargetMode="External"/><Relationship Id="rId473" Type="http://schemas.openxmlformats.org/officeDocument/2006/relationships/hyperlink" Target="https://www.youtube.com/embed/kgG-Vvpcg6o" TargetMode="External"/><Relationship Id="rId474" Type="http://schemas.openxmlformats.org/officeDocument/2006/relationships/hyperlink" Target="https://www.dailymotion.com/embed/video/x18owx8_chandelles-25mm-8-cometes-assorties-avec-queue-ici-2-pieces_creation" TargetMode="External"/><Relationship Id="rId475" Type="http://schemas.openxmlformats.org/officeDocument/2006/relationships/hyperlink" Target="https://www.youtube.com/embed/uqzc13qZd14" TargetMode="External"/><Relationship Id="rId476" Type="http://schemas.openxmlformats.org/officeDocument/2006/relationships/hyperlink" Target="https://www.youtube.com/embed/f27nK0YAwZo?rel=0" TargetMode="External"/><Relationship Id="rId477" Type="http://schemas.openxmlformats.org/officeDocument/2006/relationships/hyperlink" Target="https://www.youtube.com/embed/SMlrtajRxs8?rel=0" TargetMode="External"/><Relationship Id="rId478" Type="http://schemas.openxmlformats.org/officeDocument/2006/relationships/hyperlink" Target="https://www.youtube.com/embed/Rf22n-_-ZPw?rel=0" TargetMode="External"/><Relationship Id="rId479" Type="http://schemas.openxmlformats.org/officeDocument/2006/relationships/hyperlink" Target="https://www.youtube.com/embed/SacWAxT6JYo?rel=0" TargetMode="External"/><Relationship Id="rId480" Type="http://schemas.openxmlformats.org/officeDocument/2006/relationships/hyperlink" Target="https://www.youtube.com/embed/IPE851P7P1Y?rel=0" TargetMode="External"/><Relationship Id="rId481" Type="http://schemas.openxmlformats.org/officeDocument/2006/relationships/hyperlink" Target="https://www.youtube.com/embed/eBEtPm6QGz4?rel=0" TargetMode="External"/><Relationship Id="rId482" Type="http://schemas.openxmlformats.org/officeDocument/2006/relationships/hyperlink" Target="https://www.youtube.com/embed/AVpswIUQCzc?rel=0" TargetMode="External"/><Relationship Id="rId483" Type="http://schemas.openxmlformats.org/officeDocument/2006/relationships/hyperlink" Target="https://www.youtube.com/embed/Vf4c8spBCsE?rel=0" TargetMode="External"/><Relationship Id="rId484" Type="http://schemas.openxmlformats.org/officeDocument/2006/relationships/hyperlink" Target="https://www.youtube.com/embed/D862D5tNWVo?rel=0" TargetMode="External"/><Relationship Id="rId485" Type="http://schemas.openxmlformats.org/officeDocument/2006/relationships/hyperlink" Target="https://www.youtube.com/embed/7p9jVt-b8to?rel=0" TargetMode="External"/><Relationship Id="rId486" Type="http://schemas.openxmlformats.org/officeDocument/2006/relationships/hyperlink" Target="https://www.youtube.com/embed/OiaQCTGWaxc?rel=0" TargetMode="External"/><Relationship Id="rId487" Type="http://schemas.openxmlformats.org/officeDocument/2006/relationships/hyperlink" Target="https://www.youtube.com/embed/ueYWbjRgLDE?rel=0" TargetMode="External"/><Relationship Id="rId488" Type="http://schemas.openxmlformats.org/officeDocument/2006/relationships/hyperlink" Target="https://www.youtube.com/embed/dRCyhQ4EHxw" TargetMode="External"/><Relationship Id="rId489" Type="http://schemas.openxmlformats.org/officeDocument/2006/relationships/hyperlink" Target="https://www.youtube.com/embed/l5I587oxR88" TargetMode="External"/><Relationship Id="rId490" Type="http://schemas.openxmlformats.org/officeDocument/2006/relationships/hyperlink" Target="https://www.youtube.com/embed/s0fo4xcNfws?rel=0" TargetMode="External"/><Relationship Id="rId491" Type="http://schemas.openxmlformats.org/officeDocument/2006/relationships/hyperlink" Target="https://www.youtube.com/embed/20up-d4iBDY?rel=0" TargetMode="External"/><Relationship Id="rId492" Type="http://schemas.openxmlformats.org/officeDocument/2006/relationships/hyperlink" Target="https://www.youtube.com/embed/sKGjnZOJcXU" TargetMode="External"/><Relationship Id="rId493" Type="http://schemas.openxmlformats.org/officeDocument/2006/relationships/hyperlink" Target="https://www.youtube.com/embed/EDUDhZg5Sh4" TargetMode="External"/><Relationship Id="rId494" Type="http://schemas.openxmlformats.org/officeDocument/2006/relationships/hyperlink" Target="https://www.youtube.com/embed/8VkFtfZ2cG0?rel=0" TargetMode="External"/><Relationship Id="rId495" Type="http://schemas.openxmlformats.org/officeDocument/2006/relationships/hyperlink" Target="https://www.youtube.com/embed/6uxJowItiNo" TargetMode="External"/><Relationship Id="rId496" Type="http://schemas.openxmlformats.org/officeDocument/2006/relationships/hyperlink" Target="https://www.youtube.com/embed/rUyGfqY3bXs" TargetMode="External"/><Relationship Id="rId497" Type="http://schemas.openxmlformats.org/officeDocument/2006/relationships/hyperlink" Target="https://www.youtube.com/embed/RKIrj-MrilU" TargetMode="External"/><Relationship Id="rId498" Type="http://schemas.openxmlformats.org/officeDocument/2006/relationships/hyperlink" Target="https://www.youtube.com/embed/iWGvvUl_0-0?rel=0" TargetMode="External"/><Relationship Id="rId499" Type="http://schemas.openxmlformats.org/officeDocument/2006/relationships/hyperlink" Target="https://www.youtube.com/embed/aj0JEWJICuo?rel=0" TargetMode="External"/><Relationship Id="rId500" Type="http://schemas.openxmlformats.org/officeDocument/2006/relationships/hyperlink" Target="https://www.youtube.com/embed/ousYGZ4MKck?rel=0" TargetMode="External"/><Relationship Id="rId501" Type="http://schemas.openxmlformats.org/officeDocument/2006/relationships/hyperlink" Target="https://www.youtube.com/embed/F5B6D7Egz2o?rel=0" TargetMode="External"/><Relationship Id="rId502" Type="http://schemas.openxmlformats.org/officeDocument/2006/relationships/hyperlink" Target="https://www.youtube.com/embed/ntxANecCEPQ?rel=0" TargetMode="External"/><Relationship Id="rId503" Type="http://schemas.openxmlformats.org/officeDocument/2006/relationships/hyperlink" Target="https://www.youtube.com/embed/u0SNlrWdDv4?rel=0" TargetMode="External"/><Relationship Id="rId504" Type="http://schemas.openxmlformats.org/officeDocument/2006/relationships/hyperlink" Target="https://www.youtube.com/embed/o46eVtgzcrg?rel=0" TargetMode="External"/><Relationship Id="rId505" Type="http://schemas.openxmlformats.org/officeDocument/2006/relationships/hyperlink" Target="https://www.youtube.com/embed/cDRGNh_qAdY?rel=0" TargetMode="External"/><Relationship Id="rId506" Type="http://schemas.openxmlformats.org/officeDocument/2006/relationships/hyperlink" Target="https://www.youtube.com/embed/FRsXCP5250I?rel=0" TargetMode="External"/><Relationship Id="rId507" Type="http://schemas.openxmlformats.org/officeDocument/2006/relationships/hyperlink" Target="https://www.youtube.com/embed/r0YTJAxzM0g?rel=0" TargetMode="External"/><Relationship Id="rId508" Type="http://schemas.openxmlformats.org/officeDocument/2006/relationships/hyperlink" Target="https://www.youtube.com/embed/vWxGtTRGd_8?rel=0" TargetMode="External"/><Relationship Id="rId509" Type="http://schemas.openxmlformats.org/officeDocument/2006/relationships/hyperlink" Target="https://www.youtube.com/embed/olqbey7PgOI?rel=0" TargetMode="External"/><Relationship Id="rId510" Type="http://schemas.openxmlformats.org/officeDocument/2006/relationships/hyperlink" Target="https://www.youtube.com/embed/PZiADSmHSKs?rel=0" TargetMode="External"/><Relationship Id="rId511" Type="http://schemas.openxmlformats.org/officeDocument/2006/relationships/hyperlink" Target="https://www.youtube.com/embed/IdPdM5uwXIw?rel=0" TargetMode="External"/><Relationship Id="rId512" Type="http://schemas.openxmlformats.org/officeDocument/2006/relationships/hyperlink" Target="https://www.youtube.com/embed/V36kL79t0OY?rel=0" TargetMode="External"/><Relationship Id="rId513" Type="http://schemas.openxmlformats.org/officeDocument/2006/relationships/hyperlink" Target="https://www.youtube.com/embed/K0QaGTj69-c?rel=0" TargetMode="External"/><Relationship Id="rId514" Type="http://schemas.openxmlformats.org/officeDocument/2006/relationships/hyperlink" Target="https://www.youtube.com/embed/3WLcO5OV4Tg" TargetMode="External"/><Relationship Id="rId515" Type="http://schemas.openxmlformats.org/officeDocument/2006/relationships/hyperlink" Target="https://www.youtube.com/embed/CeetwhaLFrA?rel=0" TargetMode="External"/><Relationship Id="rId516" Type="http://schemas.openxmlformats.org/officeDocument/2006/relationships/hyperlink" Target="https://www.youtube.com/embed/LdIoYx5jhL8?rel=0" TargetMode="External"/><Relationship Id="rId517" Type="http://schemas.openxmlformats.org/officeDocument/2006/relationships/hyperlink" Target="https://www.youtube.com/embed/MO1g1_YKOFw?rel=0" TargetMode="External"/><Relationship Id="rId518" Type="http://schemas.openxmlformats.org/officeDocument/2006/relationships/hyperlink" Target="https://www.youtube.com/embed/FMAD7VWaaCE?rel=0" TargetMode="External"/><Relationship Id="rId519" Type="http://schemas.openxmlformats.org/officeDocument/2006/relationships/hyperlink" Target="https://www.youtube.com/embed/XzZsW0ygRcA?rel=0" TargetMode="External"/><Relationship Id="rId520" Type="http://schemas.openxmlformats.org/officeDocument/2006/relationships/hyperlink" Target="https://www.youtube.com/embed/CjXMKglbIx0?rel=0" TargetMode="External"/><Relationship Id="rId521" Type="http://schemas.openxmlformats.org/officeDocument/2006/relationships/hyperlink" Target="https://www.youtube.com/embed/nrDj_ftMd18?rel=0" TargetMode="External"/><Relationship Id="rId522" Type="http://schemas.openxmlformats.org/officeDocument/2006/relationships/hyperlink" Target="https://www.youtube.com/embed/PuB0nyVxIb4?rel=0" TargetMode="External"/><Relationship Id="rId523" Type="http://schemas.openxmlformats.org/officeDocument/2006/relationships/hyperlink" Target="https://www.youtube.com/embed/meVqtkfbAi4?rel=0" TargetMode="External"/><Relationship Id="rId524" Type="http://schemas.openxmlformats.org/officeDocument/2006/relationships/hyperlink" Target="https://www.youtube.com/embed/cOHjuqYhy2o" TargetMode="External"/><Relationship Id="rId525" Type="http://schemas.openxmlformats.org/officeDocument/2006/relationships/hyperlink" Target="https://www.youtube.com/embed/62YJiMmWwqc?rel=0" TargetMode="External"/><Relationship Id="rId526" Type="http://schemas.openxmlformats.org/officeDocument/2006/relationships/hyperlink" Target="https://www.youtube.com/embed/iqB7n_Zjqck?rel=0" TargetMode="External"/><Relationship Id="rId527" Type="http://schemas.openxmlformats.org/officeDocument/2006/relationships/hyperlink" Target="https://www.youtube.com/embed/x9mSCqTTssw?rel=0" TargetMode="External"/><Relationship Id="rId528" Type="http://schemas.openxmlformats.org/officeDocument/2006/relationships/hyperlink" Target="https://www.youtube.com/embed/uizHfpSxQGk?rel=0" TargetMode="External"/><Relationship Id="rId529" Type="http://schemas.openxmlformats.org/officeDocument/2006/relationships/hyperlink" Target="https://www.youtube.com/embed/22Jx6rHzLA8?rel=0" TargetMode="External"/><Relationship Id="rId530" Type="http://schemas.openxmlformats.org/officeDocument/2006/relationships/hyperlink" Target="https://www.youtube.com/embed/U5X6x6v8WcM?rel=0" TargetMode="External"/><Relationship Id="rId531" Type="http://schemas.openxmlformats.org/officeDocument/2006/relationships/hyperlink" Target="https://www.youtube.com/embed/6odWr81UCK4?rel=0" TargetMode="External"/><Relationship Id="rId532" Type="http://schemas.openxmlformats.org/officeDocument/2006/relationships/hyperlink" Target="https://www.youtube.com/embed/XxVt-DrsK-U?rel=0" TargetMode="External"/><Relationship Id="rId533" Type="http://schemas.openxmlformats.org/officeDocument/2006/relationships/hyperlink" Target="https://www.youtube.com/embed/2-fAMGdzCP0?rel=0" TargetMode="External"/><Relationship Id="rId534" Type="http://schemas.openxmlformats.org/officeDocument/2006/relationships/hyperlink" Target="https://www.youtube.com/embed/7PCN6avnYcw?rel=0" TargetMode="External"/><Relationship Id="rId535" Type="http://schemas.openxmlformats.org/officeDocument/2006/relationships/hyperlink" Target="https://www.youtube.com/embed/vtjOvYaSlSY?rel=0" TargetMode="External"/><Relationship Id="rId536" Type="http://schemas.openxmlformats.org/officeDocument/2006/relationships/hyperlink" Target="https://www.youtube.com/embed/DvQyQ4ROagc?rel=0" TargetMode="External"/><Relationship Id="rId537" Type="http://schemas.openxmlformats.org/officeDocument/2006/relationships/hyperlink" Target="https://www.youtube.com/embed/JilqLZgX0Y4?rel=0" TargetMode="External"/><Relationship Id="rId538" Type="http://schemas.openxmlformats.org/officeDocument/2006/relationships/hyperlink" Target="https://www.youtube.com/embed/q1QuqOx609Y?rel=0" TargetMode="External"/><Relationship Id="rId539" Type="http://schemas.openxmlformats.org/officeDocument/2006/relationships/hyperlink" Target="https://www.youtube.com/embed/uYcrVkiEb04?rel=0" TargetMode="External"/><Relationship Id="rId540" Type="http://schemas.openxmlformats.org/officeDocument/2006/relationships/hyperlink" Target="https://www.youtube.com/embed/zlsEkIWn-lA?rel=0" TargetMode="External"/><Relationship Id="rId541" Type="http://schemas.openxmlformats.org/officeDocument/2006/relationships/hyperlink" Target="https://www.youtube.com/embed/vqeJyCz5FTM?rel=0" TargetMode="External"/><Relationship Id="rId542" Type="http://schemas.openxmlformats.org/officeDocument/2006/relationships/hyperlink" Target="https://www.youtube.com/embed/bM5GlF_zqOI?rel=0" TargetMode="External"/><Relationship Id="rId543" Type="http://schemas.openxmlformats.org/officeDocument/2006/relationships/hyperlink" Target="https://www.youtube.com/embed/nuegJxWXn4A?rel=0" TargetMode="External"/><Relationship Id="rId544" Type="http://schemas.openxmlformats.org/officeDocument/2006/relationships/hyperlink" Target="https://www.youtube.com/embed/nsYkwvMhtxw?rel=0" TargetMode="External"/><Relationship Id="rId545" Type="http://schemas.openxmlformats.org/officeDocument/2006/relationships/hyperlink" Target="https://www.youtube.com/embed/b9pTh5zpCuY" TargetMode="External"/><Relationship Id="rId546" Type="http://schemas.openxmlformats.org/officeDocument/2006/relationships/hyperlink" Target="https://www.youtube.com/embed/Gb-LcY5CVeU" TargetMode="External"/><Relationship Id="rId547" Type="http://schemas.openxmlformats.org/officeDocument/2006/relationships/hyperlink" Target="https://www.youtube.com/embed/zMXtvXoMoLE" TargetMode="External"/><Relationship Id="rId548" Type="http://schemas.openxmlformats.org/officeDocument/2006/relationships/hyperlink" Target="https://www.youtube.com/embed/SKzHuIl1kwM" TargetMode="External"/><Relationship Id="rId549" Type="http://schemas.openxmlformats.org/officeDocument/2006/relationships/hyperlink" Target="https://www.youtube.com/embed/JbRjH2AdFw0" TargetMode="External"/><Relationship Id="rId550" Type="http://schemas.openxmlformats.org/officeDocument/2006/relationships/hyperlink" Target="https://www.youtube.com/embed/ohHvmBbSQGg" TargetMode="External"/><Relationship Id="rId551" Type="http://schemas.openxmlformats.org/officeDocument/2006/relationships/hyperlink" Target="https://www.youtube.com/embed/QpC_PZDZaW8" TargetMode="External"/><Relationship Id="rId552" Type="http://schemas.openxmlformats.org/officeDocument/2006/relationships/hyperlink" Target="https://www.youtube.com/embed/N8MmetYidFQ" TargetMode="External"/><Relationship Id="rId553" Type="http://schemas.openxmlformats.org/officeDocument/2006/relationships/hyperlink" Target="https://www.youtube.com/embed/XAbhRjpCiAA" TargetMode="External"/><Relationship Id="rId554" Type="http://schemas.openxmlformats.org/officeDocument/2006/relationships/hyperlink" Target="https://www.youtube.com/embed/dhzqYPYFqwQ" TargetMode="External"/><Relationship Id="rId555" Type="http://schemas.openxmlformats.org/officeDocument/2006/relationships/hyperlink" Target="https://www.youtube.com/embed/wW8UF-On4ns?rel=0" TargetMode="External"/><Relationship Id="rId556" Type="http://schemas.openxmlformats.org/officeDocument/2006/relationships/hyperlink" Target="https://www.youtube.com/embed/NhTdEwHxH7s" TargetMode="External"/><Relationship Id="rId557" Type="http://schemas.openxmlformats.org/officeDocument/2006/relationships/hyperlink" Target="https://www.youtube.com/embed/TPAoRTT_H6E" TargetMode="External"/><Relationship Id="rId558" Type="http://schemas.openxmlformats.org/officeDocument/2006/relationships/hyperlink" Target="https://www.youtube.com/embed/H4dqj9YoTGI?rel=0" TargetMode="External"/><Relationship Id="rId559" Type="http://schemas.openxmlformats.org/officeDocument/2006/relationships/hyperlink" Target="https://www.youtube.com/embed/UL4j1CoLfkQ?rel=0" TargetMode="External"/><Relationship Id="rId560" Type="http://schemas.openxmlformats.org/officeDocument/2006/relationships/hyperlink" Target="https://www.youtube.com/embed/RGqI8DPbugI" TargetMode="External"/><Relationship Id="rId561" Type="http://schemas.openxmlformats.org/officeDocument/2006/relationships/hyperlink" Target="https://vimeo.com/vulcanopirotecnia/f1-1930-04-anubis" TargetMode="External"/><Relationship Id="rId562" Type="http://schemas.openxmlformats.org/officeDocument/2006/relationships/hyperlink" Target="https://vimeo.com/vulcanopirotecnia/f1-1930-13-gamesa" TargetMode="External"/><Relationship Id="rId563" Type="http://schemas.openxmlformats.org/officeDocument/2006/relationships/hyperlink" Target="https://vimeo.com/vulcanopirotecnia/f1-1930-10-horus" TargetMode="External"/><Relationship Id="rId564" Type="http://schemas.openxmlformats.org/officeDocument/2006/relationships/hyperlink" Target="https://vimeo.com/vulcanopirotecnia/f1-25-30-07-dragon" TargetMode="External"/><Relationship Id="rId565" Type="http://schemas.openxmlformats.org/officeDocument/2006/relationships/hyperlink" Target="https://vimeo.com/vulcanopirotecnia/f1-25%2030%2008%20el%20cisne" TargetMode="External"/><Relationship Id="rId566" Type="http://schemas.openxmlformats.org/officeDocument/2006/relationships/hyperlink" Target="https://vimeo.com/vulcanopirotecnia/f2-253003" TargetMode="External"/><Relationship Id="rId567" Type="http://schemas.openxmlformats.org/officeDocument/2006/relationships/hyperlink" Target="https://vimeo.com/vulcanopirotecnia/f1-25%2030%2005%20la%20corona" TargetMode="External"/><Relationship Id="rId568" Type="http://schemas.openxmlformats.org/officeDocument/2006/relationships/hyperlink" Target="https://vimeo.com/vulcanopirotecnia/f1-25%2030%2006%20pegaso" TargetMode="External"/><Relationship Id="rId569" Type="http://schemas.openxmlformats.org/officeDocument/2006/relationships/hyperlink" Target="https://www.youtube.com/embed/PA31BGUmtac?rel=0" TargetMode="External"/><Relationship Id="rId570" Type="http://schemas.openxmlformats.org/officeDocument/2006/relationships/hyperlink" Target="https://www.youtube.com/embed/0LXvzxXxHWM" TargetMode="External"/><Relationship Id="rId571" Type="http://schemas.openxmlformats.org/officeDocument/2006/relationships/hyperlink" Target="https://www.youtube.com/embed/EqtCrl70IG0" TargetMode="External"/><Relationship Id="rId572" Type="http://schemas.openxmlformats.org/officeDocument/2006/relationships/hyperlink" Target="https://vimeo.com/vulcanopirotecnia/f1-36-30-08-andromeda" TargetMode="External"/><Relationship Id="rId573" Type="http://schemas.openxmlformats.org/officeDocument/2006/relationships/hyperlink" Target="https://vimeo.com/vulcanopirotecnia/f1-36%2030%2023%20baco" TargetMode="External"/><Relationship Id="rId574" Type="http://schemas.openxmlformats.org/officeDocument/2006/relationships/hyperlink" Target="https://vimeo.com/vulcanopirotecnia/f1-36%2030%2006%20casiopea" TargetMode="External"/><Relationship Id="rId575" Type="http://schemas.openxmlformats.org/officeDocument/2006/relationships/hyperlink" Target="https://vimeo.com/vulcanopirotecnia/f1-36%2030%2005%20la%20lira" TargetMode="External"/><Relationship Id="rId576" Type="http://schemas.openxmlformats.org/officeDocument/2006/relationships/hyperlink" Target="https://vimeo.com/vulcanopirotecnia/f1-3630-09-monster-color" TargetMode="External"/><Relationship Id="rId577" Type="http://schemas.openxmlformats.org/officeDocument/2006/relationships/hyperlink" Target="https://vimeo.com/vulcanopirotecnia/f1-3630-10-monster-cracker" TargetMode="External"/><Relationship Id="rId578" Type="http://schemas.openxmlformats.org/officeDocument/2006/relationships/hyperlink" Target="https://vimeo.com/vulcanopirotecnia/v3-36%2001%20h%20tronada" TargetMode="External"/><Relationship Id="rId579" Type="http://schemas.openxmlformats.org/officeDocument/2006/relationships/hyperlink" Target="https://www.youtube.com/embed/pgoVdlIagLY" TargetMode="External"/><Relationship Id="rId580" Type="http://schemas.openxmlformats.org/officeDocument/2006/relationships/hyperlink" Target="https://www.youtube.com/embed/NtH9NvniccM" TargetMode="External"/><Relationship Id="rId581" Type="http://schemas.openxmlformats.org/officeDocument/2006/relationships/hyperlink" Target="https://www.youtube.com/embed/XaACVczE9Ec" TargetMode="External"/><Relationship Id="rId582" Type="http://schemas.openxmlformats.org/officeDocument/2006/relationships/hyperlink" Target="https://www.youtube.com/embed/7lVTYsqTKiM" TargetMode="External"/><Relationship Id="rId583" Type="http://schemas.openxmlformats.org/officeDocument/2006/relationships/hyperlink" Target="https://www.youtube.com/embed/k886X7iO7bo" TargetMode="External"/><Relationship Id="rId584" Type="http://schemas.openxmlformats.org/officeDocument/2006/relationships/hyperlink" Target="https://vimeo.com/vulcanopirotecnia/f1-4930-13" TargetMode="External"/><Relationship Id="rId585" Type="http://schemas.openxmlformats.org/officeDocument/2006/relationships/hyperlink" Target="https://vimeo.com/vulcanopirotecnia/f1-49%2030%2003%20madrid" TargetMode="External"/><Relationship Id="rId586" Type="http://schemas.openxmlformats.org/officeDocument/2006/relationships/hyperlink" Target="https://vimeo.com/vulcanopirotecnia/f6-4920-10-mini-monster" TargetMode="External"/><Relationship Id="rId587" Type="http://schemas.openxmlformats.org/officeDocument/2006/relationships/hyperlink" Target="https://vimeo.com/vulcanopirotecnia/f1-4930-15" TargetMode="External"/><Relationship Id="rId588" Type="http://schemas.openxmlformats.org/officeDocument/2006/relationships/hyperlink" Target="https://vimeo.com/vulcanopirotecnia/f1-493002valencia" TargetMode="External"/><Relationship Id="rId589" Type="http://schemas.openxmlformats.org/officeDocument/2006/relationships/hyperlink" Target="https://www.youtube.com/embed/hmKY0H36e4o" TargetMode="External"/><Relationship Id="rId590" Type="http://schemas.openxmlformats.org/officeDocument/2006/relationships/hyperlink" Target="https://www.youtube.com/embed/iSmMNHn_Rk0" TargetMode="External"/><Relationship Id="rId591" Type="http://schemas.openxmlformats.org/officeDocument/2006/relationships/hyperlink" Target="https://www.youtube.com/embed/zQ0KzBJrRpE" TargetMode="External"/><Relationship Id="rId592" Type="http://schemas.openxmlformats.org/officeDocument/2006/relationships/hyperlink" Target="https://www.youtube.com/embed/7jyZ8U_BbIA" TargetMode="External"/><Relationship Id="rId593" Type="http://schemas.openxmlformats.org/officeDocument/2006/relationships/hyperlink" Target="https://vimeo.com/vulcanopirotecnia/f2%2050%2030%2012%20krakatoa" TargetMode="External"/><Relationship Id="rId594" Type="http://schemas.openxmlformats.org/officeDocument/2006/relationships/hyperlink" Target="https://vimeo.com/vulcanopirotecnia/f11-13020-14" TargetMode="External"/><Relationship Id="rId595" Type="http://schemas.openxmlformats.org/officeDocument/2006/relationships/hyperlink" Target="https://vimeo.com/vulcanopirotecnia/f10-10020-04" TargetMode="External"/><Relationship Id="rId596" Type="http://schemas.openxmlformats.org/officeDocument/2006/relationships/hyperlink" Target="https://vimeo.com/vulcanopirotecnia/f10-10020-17" TargetMode="External"/><Relationship Id="rId597" Type="http://schemas.openxmlformats.org/officeDocument/2006/relationships/hyperlink" Target="https://vimeo.com/vulcanopirotecnia/f7-100-20s-91-maremoto" TargetMode="External"/><Relationship Id="rId598" Type="http://schemas.openxmlformats.org/officeDocument/2006/relationships/hyperlink" Target="https://vimeo.com/vulcanopirotecnia/f7-100-20s-37-sunami" TargetMode="External"/><Relationship Id="rId599" Type="http://schemas.openxmlformats.org/officeDocument/2006/relationships/hyperlink" Target="https://vimeo.com/vulcanopirotecnia/f7-100-20s-57-terremoto" TargetMode="External"/><Relationship Id="rId600" Type="http://schemas.openxmlformats.org/officeDocument/2006/relationships/hyperlink" Target="https://vimeo.com/vulcanopirotecnia/f7-100-20s-110-tifon" TargetMode="External"/><Relationship Id="rId601" Type="http://schemas.openxmlformats.org/officeDocument/2006/relationships/hyperlink" Target="https://vimeo.com/vulcanopirotecnia/f10-150b20-07-la-maquina" TargetMode="External"/><Relationship Id="rId602" Type="http://schemas.openxmlformats.org/officeDocument/2006/relationships/hyperlink" Target="https://www.youtube.com/embed/GzlXglS_mEk?rel=0" TargetMode="External"/><Relationship Id="rId603" Type="http://schemas.openxmlformats.org/officeDocument/2006/relationships/hyperlink" Target="https://www.youtube.com/embed/GzlXglS_mEk?rel=0" TargetMode="External"/><Relationship Id="rId604" Type="http://schemas.openxmlformats.org/officeDocument/2006/relationships/hyperlink" Target="https://www.youtube.com/embed/2erLRSdOWSY" TargetMode="External"/><Relationship Id="rId605" Type="http://schemas.openxmlformats.org/officeDocument/2006/relationships/hyperlink" Target="https://www.youtube.com/embed/pBlKchucdFw" TargetMode="External"/><Relationship Id="rId606" Type="http://schemas.openxmlformats.org/officeDocument/2006/relationships/hyperlink" Target="https://www.youtube.com/embed/IWMhEE-ry80" TargetMode="External"/><Relationship Id="rId607" Type="http://schemas.openxmlformats.org/officeDocument/2006/relationships/hyperlink" Target="https://www.youtube.com/embed/Yw0JrS1PXiM" TargetMode="External"/><Relationship Id="rId608" Type="http://schemas.openxmlformats.org/officeDocument/2006/relationships/hyperlink" Target="https://www.youtube.com/embed/R7yTk9c3gkU" TargetMode="External"/><Relationship Id="rId609" Type="http://schemas.openxmlformats.org/officeDocument/2006/relationships/hyperlink" Target="https://www.youtube.com/embed/EDDBDDL835o?rel=0" TargetMode="External"/><Relationship Id="rId610" Type="http://schemas.openxmlformats.org/officeDocument/2006/relationships/hyperlink" Target="https://www.youtube.com/embed/I6rH0GUa0Xs?rel=0" TargetMode="External"/><Relationship Id="rId611" Type="http://schemas.openxmlformats.org/officeDocument/2006/relationships/hyperlink" Target="https://www.youtube.com/embed/d40huUCOqns?rel=0" TargetMode="External"/><Relationship Id="rId612" Type="http://schemas.openxmlformats.org/officeDocument/2006/relationships/hyperlink" Target="https://www.youtube.com/embed/btWOURZ8yE0?rel=0" TargetMode="External"/><Relationship Id="rId613" Type="http://schemas.openxmlformats.org/officeDocument/2006/relationships/hyperlink" Target="https://www.youtube.com/embed/6_XVJYvXQsQ?rel=0" TargetMode="External"/><Relationship Id="rId614" Type="http://schemas.openxmlformats.org/officeDocument/2006/relationships/hyperlink" Target="https://www.youtube.com/embed/Gk0ZT4aHHs4?rel=0" TargetMode="External"/><Relationship Id="rId615" Type="http://schemas.openxmlformats.org/officeDocument/2006/relationships/hyperlink" Target="https://www.youtube.com/embed/ss0EmRdRar0?rel=0" TargetMode="External"/><Relationship Id="rId616" Type="http://schemas.openxmlformats.org/officeDocument/2006/relationships/hyperlink" Target="https://www.youtube.com/embed/Uitj14cyApw?rel=0" TargetMode="External"/><Relationship Id="rId617" Type="http://schemas.openxmlformats.org/officeDocument/2006/relationships/hyperlink" Target="https://www.youtube.com/embed/TyijpXpKKXA?rel=0" TargetMode="External"/><Relationship Id="rId618" Type="http://schemas.openxmlformats.org/officeDocument/2006/relationships/hyperlink" Target="https://www.youtube.com/embed/MLvjE6cST_s?rel=0" TargetMode="External"/><Relationship Id="rId619" Type="http://schemas.openxmlformats.org/officeDocument/2006/relationships/hyperlink" Target="https://www.youtube.com/embed/q-p9l8uVgHQ?rel=0" TargetMode="External"/><Relationship Id="rId620" Type="http://schemas.openxmlformats.org/officeDocument/2006/relationships/hyperlink" Target="https://www.youtube.com/embed/A3JlOpumedw?rel=0" TargetMode="External"/><Relationship Id="rId621" Type="http://schemas.openxmlformats.org/officeDocument/2006/relationships/hyperlink" Target="https://www.youtube.com/embed/mbjzWSiq_xs" TargetMode="External"/><Relationship Id="rId622" Type="http://schemas.openxmlformats.org/officeDocument/2006/relationships/hyperlink" Target="https://www.youtube.com/embed/L0M7ZaOcJns?rel=0" TargetMode="External"/><Relationship Id="rId623" Type="http://schemas.openxmlformats.org/officeDocument/2006/relationships/hyperlink" Target="https://www.youtube.com/embed/K8tFn7qGvoA?rel=0" TargetMode="External"/><Relationship Id="rId624" Type="http://schemas.openxmlformats.org/officeDocument/2006/relationships/hyperlink" Target="https://www.youtube.com/embed/PTuStOXIaPU?rel=0" TargetMode="External"/><Relationship Id="rId625" Type="http://schemas.openxmlformats.org/officeDocument/2006/relationships/hyperlink" Target="https://www.youtube.com/embed/73W_vy3nG1c?rel=0" TargetMode="External"/><Relationship Id="rId626" Type="http://schemas.openxmlformats.org/officeDocument/2006/relationships/hyperlink" Target="https://www.youtube.com/embed/vi3dA5ZPeag?rel=0" TargetMode="External"/><Relationship Id="rId627" Type="http://schemas.openxmlformats.org/officeDocument/2006/relationships/hyperlink" Target="https://www.youtube.com/embed/H-PKi4q4TDE?rel=0" TargetMode="External"/><Relationship Id="rId628" Type="http://schemas.openxmlformats.org/officeDocument/2006/relationships/hyperlink" Target="https://www.youtube.com/embed/0LKoJ0bpcm4?rel=0" TargetMode="External"/><Relationship Id="rId629" Type="http://schemas.openxmlformats.org/officeDocument/2006/relationships/hyperlink" Target="https://www.youtube.com/embed/5PJKer95cMU?rel=0" TargetMode="External"/><Relationship Id="rId630" Type="http://schemas.openxmlformats.org/officeDocument/2006/relationships/hyperlink" Target="https://www.youtube.com/embed/vJvyL2-YhTk?rel=0" TargetMode="External"/><Relationship Id="rId631" Type="http://schemas.openxmlformats.org/officeDocument/2006/relationships/hyperlink" Target="https://www.youtube.com/embed/1f55HpbaKZw?rel=0" TargetMode="External"/><Relationship Id="rId632" Type="http://schemas.openxmlformats.org/officeDocument/2006/relationships/hyperlink" Target="https://www.youtube.com/embed/rSa6t6YKFJo?rel=0" TargetMode="External"/><Relationship Id="rId633" Type="http://schemas.openxmlformats.org/officeDocument/2006/relationships/hyperlink" Target="https://www.youtube.com/embed/IuKRRMBKL6w" TargetMode="External"/><Relationship Id="rId634" Type="http://schemas.openxmlformats.org/officeDocument/2006/relationships/hyperlink" Target="https://www.youtube.com/embed/KQpIba3Lq9M" TargetMode="External"/><Relationship Id="rId635" Type="http://schemas.openxmlformats.org/officeDocument/2006/relationships/hyperlink" Target="https://www.youtube.com/embed/Kyrhl3qxmms" TargetMode="External"/><Relationship Id="rId636" Type="http://schemas.openxmlformats.org/officeDocument/2006/relationships/hyperlink" Target="https://www.youtube.com/embed/gKJIDiP3yEA" TargetMode="External"/><Relationship Id="rId637" Type="http://schemas.openxmlformats.org/officeDocument/2006/relationships/hyperlink" Target="https://www.youtube.com/embed/hzO9Py3sNZA" TargetMode="External"/><Relationship Id="rId638" Type="http://schemas.openxmlformats.org/officeDocument/2006/relationships/hyperlink" Target="https://www.youtube.com/embed/-9N3OuEk_pc?rel=0" TargetMode="External"/><Relationship Id="rId639" Type="http://schemas.openxmlformats.org/officeDocument/2006/relationships/hyperlink" Target="https://www.youtube.com/embed/bNwFWW7y15k?rel=0" TargetMode="External"/><Relationship Id="rId640" Type="http://schemas.openxmlformats.org/officeDocument/2006/relationships/hyperlink" Target="https://www.youtube.com/embed/nCpBNSH1bVI?rel=0" TargetMode="External"/><Relationship Id="rId641" Type="http://schemas.openxmlformats.org/officeDocument/2006/relationships/hyperlink" Target="https://www.youtube.com/embed/t4x_cC8j3Cs?rel=0" TargetMode="External"/><Relationship Id="rId642" Type="http://schemas.openxmlformats.org/officeDocument/2006/relationships/hyperlink" Target="https://www.youtube.com/embed/ncPhu_-F1nw?rel=0" TargetMode="External"/><Relationship Id="rId643" Type="http://schemas.openxmlformats.org/officeDocument/2006/relationships/hyperlink" Target="https://www.youtube.com/embed/78MyNN-3ljY?rel=0" TargetMode="External"/><Relationship Id="rId644" Type="http://schemas.openxmlformats.org/officeDocument/2006/relationships/hyperlink" Target="https://www.youtube.com/embed/AuhOO_-Xlgs?rel=0" TargetMode="External"/><Relationship Id="rId645" Type="http://schemas.openxmlformats.org/officeDocument/2006/relationships/hyperlink" Target="https://www.youtube.com/embed/K29RImCmiqM?rel=0" TargetMode="External"/><Relationship Id="rId646" Type="http://schemas.openxmlformats.org/officeDocument/2006/relationships/hyperlink" Target="https://www.youtube.com/embed/9F_bMhPBtDQ?rel=0" TargetMode="External"/><Relationship Id="rId647" Type="http://schemas.openxmlformats.org/officeDocument/2006/relationships/hyperlink" Target="https://www.youtube.com/embed/IWEJz6tCr7k?rel=0" TargetMode="External"/><Relationship Id="rId648" Type="http://schemas.openxmlformats.org/officeDocument/2006/relationships/hyperlink" Target="https://www.youtube.com/embed/Dffx75iY7xQ?rel=0" TargetMode="External"/><Relationship Id="rId649" Type="http://schemas.openxmlformats.org/officeDocument/2006/relationships/hyperlink" Target="https://www.youtube.com/embed/CvKDG24F8dY?rel=0" TargetMode="External"/><Relationship Id="rId650" Type="http://schemas.openxmlformats.org/officeDocument/2006/relationships/hyperlink" Target="https://www.youtube.com/embed/CIita5H4W38?rel=0" TargetMode="External"/><Relationship Id="rId651" Type="http://schemas.openxmlformats.org/officeDocument/2006/relationships/hyperlink" Target="https://www.youtube.com/embed/Jlj7maMkgNk?rel=0" TargetMode="External"/><Relationship Id="rId652" Type="http://schemas.openxmlformats.org/officeDocument/2006/relationships/hyperlink" Target="https://www.youtube.com/embed/rCC7qULKkiA?rel=0" TargetMode="External"/><Relationship Id="rId653" Type="http://schemas.openxmlformats.org/officeDocument/2006/relationships/hyperlink" Target="https://www.youtube.com/embed/ve0y33-8GmE" TargetMode="External"/><Relationship Id="rId654" Type="http://schemas.openxmlformats.org/officeDocument/2006/relationships/hyperlink" Target="https://www.youtube.com/embed/DqOQ6oZ9AH4" TargetMode="External"/><Relationship Id="rId655" Type="http://schemas.openxmlformats.org/officeDocument/2006/relationships/hyperlink" Target="https://www.youtube.com/embed/wqXMFogsRcY" TargetMode="External"/><Relationship Id="rId656" Type="http://schemas.openxmlformats.org/officeDocument/2006/relationships/hyperlink" Target="https://www.youtube.com/embed/x9SnhfC73f8?rel=0" TargetMode="External"/><Relationship Id="rId657" Type="http://schemas.openxmlformats.org/officeDocument/2006/relationships/hyperlink" Target="https://www.youtube.com/embed/IbSlXUE8krg?rel=0" TargetMode="External"/><Relationship Id="rId658" Type="http://schemas.openxmlformats.org/officeDocument/2006/relationships/hyperlink" Target="https://www.youtube.com/embed/fWKkJowXqec?rel=0" TargetMode="External"/><Relationship Id="rId659" Type="http://schemas.openxmlformats.org/officeDocument/2006/relationships/hyperlink" Target="https://www.youtube.com/embed/Tegn3YhLXgo?rel=0" TargetMode="External"/><Relationship Id="rId660" Type="http://schemas.openxmlformats.org/officeDocument/2006/relationships/hyperlink" Target="https://www.youtube.com/embed/NU0WJ0M7-q4?rel=0" TargetMode="External"/><Relationship Id="rId661" Type="http://schemas.openxmlformats.org/officeDocument/2006/relationships/hyperlink" Target="https://www.youtube.com/embed/IQKFW9w40yY?rel=0" TargetMode="External"/><Relationship Id="rId662" Type="http://schemas.openxmlformats.org/officeDocument/2006/relationships/hyperlink" Target="https://www.youtube.com/embed/okI3kY7o-sM?rel=0" TargetMode="External"/><Relationship Id="rId663" Type="http://schemas.openxmlformats.org/officeDocument/2006/relationships/hyperlink" Target="https://www.youtube.com/embed/jgDjyssKHHE" TargetMode="External"/><Relationship Id="rId664" Type="http://schemas.openxmlformats.org/officeDocument/2006/relationships/hyperlink" Target="https://www.youtube.com/embed/X-JdLrWs5jo" TargetMode="External"/><Relationship Id="rId665" Type="http://schemas.openxmlformats.org/officeDocument/2006/relationships/hyperlink" Target="https://www.youtube.com/embed/ftwMYiwFdJo" TargetMode="External"/><Relationship Id="rId666" Type="http://schemas.openxmlformats.org/officeDocument/2006/relationships/hyperlink" Target="https://www.youtube.com/embed/eb516m-7Hmk?rel=0" TargetMode="External"/><Relationship Id="rId667" Type="http://schemas.openxmlformats.org/officeDocument/2006/relationships/hyperlink" Target="https://www.youtube.com/embed/HZg2nwfYjPo" TargetMode="External"/><Relationship Id="rId668" Type="http://schemas.openxmlformats.org/officeDocument/2006/relationships/hyperlink" Target="https://www.youtube.com/embed/2uUjcZ5GvLo?rel=0" TargetMode="External"/><Relationship Id="rId669" Type="http://schemas.openxmlformats.org/officeDocument/2006/relationships/hyperlink" Target="https://www.youtube.com/embed/SbGBQZLBj3k?rel=0" TargetMode="External"/><Relationship Id="rId670" Type="http://schemas.openxmlformats.org/officeDocument/2006/relationships/hyperlink" Target="https://www.youtube.com/embed/XxbHktyZPPw" TargetMode="External"/><Relationship Id="rId671" Type="http://schemas.openxmlformats.org/officeDocument/2006/relationships/hyperlink" Target="https://www.youtube.com/embed/JocgRq32llI" TargetMode="External"/><Relationship Id="rId672" Type="http://schemas.openxmlformats.org/officeDocument/2006/relationships/hyperlink" Target="https://www.youtube.com/embed/-LmHq9Pb4N0" TargetMode="External"/><Relationship Id="rId673" Type="http://schemas.openxmlformats.org/officeDocument/2006/relationships/hyperlink" Target="https://www.youtube.com/embed/_iKGuPQpIKA" TargetMode="External"/><Relationship Id="rId674" Type="http://schemas.openxmlformats.org/officeDocument/2006/relationships/hyperlink" Target="https://www.youtube.com/embed/XT-4XL_37kM" TargetMode="External"/><Relationship Id="rId675" Type="http://schemas.openxmlformats.org/officeDocument/2006/relationships/hyperlink" Target="https://www.youtube.com/embed/xDC-nLw04kQ" TargetMode="External"/><Relationship Id="rId676" Type="http://schemas.openxmlformats.org/officeDocument/2006/relationships/hyperlink" Target="https://www.youtube.com/embed/JECeMWNFGXg" TargetMode="External"/><Relationship Id="rId677" Type="http://schemas.openxmlformats.org/officeDocument/2006/relationships/hyperlink" Target="https://www.youtube.com/embed/H-SJTRdT1F4?rel=0" TargetMode="External"/><Relationship Id="rId678" Type="http://schemas.openxmlformats.org/officeDocument/2006/relationships/hyperlink" Target="https://www.youtube.com/embed/XajxE04-Kmo?rel=0" TargetMode="External"/><Relationship Id="rId679" Type="http://schemas.openxmlformats.org/officeDocument/2006/relationships/hyperlink" Target="https://www.youtube.com/embed/HKbpbVc9fzs?rel=0" TargetMode="External"/><Relationship Id="rId680" Type="http://schemas.openxmlformats.org/officeDocument/2006/relationships/hyperlink" Target="https://www.youtube.com/embed/f-gS-6tnGKc?rel=0" TargetMode="External"/><Relationship Id="rId681" Type="http://schemas.openxmlformats.org/officeDocument/2006/relationships/hyperlink" Target="https://www.youtube.com/embed/HrFeoxN9c64?rel=0" TargetMode="External"/><Relationship Id="rId682" Type="http://schemas.openxmlformats.org/officeDocument/2006/relationships/hyperlink" Target="https://www.youtube.com/embed/COtAlM6oTH0?rel=0" TargetMode="External"/><Relationship Id="rId683" Type="http://schemas.openxmlformats.org/officeDocument/2006/relationships/hyperlink" Target="https://www.youtube.com/embed/e0VvD_lJanU?rel=0" TargetMode="External"/><Relationship Id="rId684" Type="http://schemas.openxmlformats.org/officeDocument/2006/relationships/hyperlink" Target="https://www.youtube.com/embed/9tdHrGQepuk?rel=0" TargetMode="External"/><Relationship Id="rId685" Type="http://schemas.openxmlformats.org/officeDocument/2006/relationships/hyperlink" Target="https://www.youtube.com/embed/cds6q_i_wZg?rel=0" TargetMode="External"/><Relationship Id="rId686" Type="http://schemas.openxmlformats.org/officeDocument/2006/relationships/hyperlink" Target="https://www.youtube.com/embed/HkWlSi0ohvI?rel=0" TargetMode="External"/><Relationship Id="rId687" Type="http://schemas.openxmlformats.org/officeDocument/2006/relationships/hyperlink" Target="https://www.youtube.com/embed/WUYVOPRGhl0?rel=0" TargetMode="External"/><Relationship Id="rId688" Type="http://schemas.openxmlformats.org/officeDocument/2006/relationships/hyperlink" Target="https://www.youtube.com/embed/O9OhHe-RUdg?rel=0" TargetMode="External"/><Relationship Id="rId689" Type="http://schemas.openxmlformats.org/officeDocument/2006/relationships/hyperlink" Target="https://www.youtube.com/embed/DSTd3zoDLFQ?rel=0" TargetMode="External"/><Relationship Id="rId690" Type="http://schemas.openxmlformats.org/officeDocument/2006/relationships/hyperlink" Target="https://www.youtube.com/embed/qj1Sw3_VvEU" TargetMode="External"/><Relationship Id="rId691" Type="http://schemas.openxmlformats.org/officeDocument/2006/relationships/hyperlink" Target="https://www.youtube.com/embed/weKJd16Jee8?rel=0" TargetMode="External"/><Relationship Id="rId692" Type="http://schemas.openxmlformats.org/officeDocument/2006/relationships/hyperlink" Target="https://www.youtube.com/embed/F0g9TRWmKCA?rel=0" TargetMode="External"/><Relationship Id="rId693" Type="http://schemas.openxmlformats.org/officeDocument/2006/relationships/hyperlink" Target="https://www.youtube.com/embed/yaOSoTBD1lQ?rel=0" TargetMode="External"/><Relationship Id="rId694" Type="http://schemas.openxmlformats.org/officeDocument/2006/relationships/hyperlink" Target="https://www.youtube.com/embed/LbV26tEpaNs?rel=0" TargetMode="External"/><Relationship Id="rId695" Type="http://schemas.openxmlformats.org/officeDocument/2006/relationships/hyperlink" Target="http://www.youtube.com/embed/lkfyLT5sxlk?rel=0" TargetMode="External"/><Relationship Id="rId696" Type="http://schemas.openxmlformats.org/officeDocument/2006/relationships/hyperlink" Target="https://www.youtube.com/embed/x0syXSK-7Cw?rel=0" TargetMode="External"/><Relationship Id="rId697" Type="http://schemas.openxmlformats.org/officeDocument/2006/relationships/hyperlink" Target="https://www.youtube.com/embed/LqjiMZXEDCY?rel=0" TargetMode="External"/><Relationship Id="rId698" Type="http://schemas.openxmlformats.org/officeDocument/2006/relationships/hyperlink" Target="https://www.youtube.com/embed/JaDgr9j2IWw?rel=0" TargetMode="External"/><Relationship Id="rId699" Type="http://schemas.openxmlformats.org/officeDocument/2006/relationships/hyperlink" Target="http://www.youtube.com/embed/0CdqipLKzlQ?rel=0" TargetMode="External"/><Relationship Id="rId700" Type="http://schemas.openxmlformats.org/officeDocument/2006/relationships/hyperlink" Target="https://www.youtube.com/embed/ZB2bIHMkraA?rel=0" TargetMode="External"/><Relationship Id="rId701" Type="http://schemas.openxmlformats.org/officeDocument/2006/relationships/hyperlink" Target="https://www.youtube.com/embed/BJSEWT08sQM?rel=0" TargetMode="External"/><Relationship Id="rId702" Type="http://schemas.openxmlformats.org/officeDocument/2006/relationships/hyperlink" Target="https://www.youtube.com/embed/D9x4szCWqgk" TargetMode="External"/><Relationship Id="rId703" Type="http://schemas.openxmlformats.org/officeDocument/2006/relationships/hyperlink" Target="https://www.youtube.com/embed/8qVbRknI30M" TargetMode="External"/><Relationship Id="rId704" Type="http://schemas.openxmlformats.org/officeDocument/2006/relationships/hyperlink" Target="https://www.youtube.com/embed/41QlvUaVjMM" TargetMode="External"/><Relationship Id="rId705" Type="http://schemas.openxmlformats.org/officeDocument/2006/relationships/hyperlink" Target="https://www.youtube.com/embed/csWiez0wV4c" TargetMode="External"/><Relationship Id="rId706" Type="http://schemas.openxmlformats.org/officeDocument/2006/relationships/hyperlink" Target="https://www.youtube.com/embed/vYl9Vbgd_fg" TargetMode="External"/><Relationship Id="rId707" Type="http://schemas.openxmlformats.org/officeDocument/2006/relationships/hyperlink" Target="https://www.youtube.com/embed/MrfwxK0by_Y?rel=0" TargetMode="External"/><Relationship Id="rId708" Type="http://schemas.openxmlformats.org/officeDocument/2006/relationships/hyperlink" Target="https://www.youtube.com/embed/hWEx5ymg1m4?rel=0" TargetMode="External"/><Relationship Id="rId709" Type="http://schemas.openxmlformats.org/officeDocument/2006/relationships/hyperlink" Target="https://www.youtube.com/embed/mJGhExUD6_c?rel=0" TargetMode="External"/><Relationship Id="rId710" Type="http://schemas.openxmlformats.org/officeDocument/2006/relationships/hyperlink" Target="https://www.youtube.com/embed/LPlUdIned3c?rel=0" TargetMode="External"/><Relationship Id="rId711" Type="http://schemas.openxmlformats.org/officeDocument/2006/relationships/hyperlink" Target="https://www.youtube.com/embed/fCwxkix0E3o?rel=0" TargetMode="External"/><Relationship Id="rId712" Type="http://schemas.openxmlformats.org/officeDocument/2006/relationships/hyperlink" Target="https://www.youtube.com/embed/p0-cmdKRrF8?rel=0" TargetMode="External"/><Relationship Id="rId713" Type="http://schemas.openxmlformats.org/officeDocument/2006/relationships/hyperlink" Target="https://www.youtube.com/embed/l06Gkk6rJ4U?rel=0" TargetMode="External"/><Relationship Id="rId714" Type="http://schemas.openxmlformats.org/officeDocument/2006/relationships/hyperlink" Target="https://www.youtube.com/embed/SCbEaoa7xt0?rel=0" TargetMode="External"/><Relationship Id="rId715" Type="http://schemas.openxmlformats.org/officeDocument/2006/relationships/hyperlink" Target="https://www.youtube.com/embed/WReNnWOkOvQ?rel=0" TargetMode="External"/><Relationship Id="rId716" Type="http://schemas.openxmlformats.org/officeDocument/2006/relationships/hyperlink" Target="https://www.youtube.com/embed/9QaO3uJDM_g?rel=0" TargetMode="External"/><Relationship Id="rId717" Type="http://schemas.openxmlformats.org/officeDocument/2006/relationships/hyperlink" Target="https://www.youtube.com/embed/FV1am6wvkEc?rel=0" TargetMode="External"/><Relationship Id="rId718" Type="http://schemas.openxmlformats.org/officeDocument/2006/relationships/hyperlink" Target="https://www.youtube.com/embed/FV1am6wvkEc?rel=0" TargetMode="External"/><Relationship Id="rId719" Type="http://schemas.openxmlformats.org/officeDocument/2006/relationships/hyperlink" Target="https://www.youtube.com/embed/iJoEbrlRXaQ?rel=0" TargetMode="External"/><Relationship Id="rId720" Type="http://schemas.openxmlformats.org/officeDocument/2006/relationships/hyperlink" Target="https://www.youtube.com/embed/bdzezJdW0eU?rel=0" TargetMode="External"/><Relationship Id="rId721" Type="http://schemas.openxmlformats.org/officeDocument/2006/relationships/hyperlink" Target="https://www.youtube.com/embed/LaQU2H2TbBo?rel=0" TargetMode="External"/><Relationship Id="rId722" Type="http://schemas.openxmlformats.org/officeDocument/2006/relationships/hyperlink" Target="https://www.youtube.com/embed/2Hb4QbsBT0Y?rel=0" TargetMode="External"/><Relationship Id="rId723" Type="http://schemas.openxmlformats.org/officeDocument/2006/relationships/hyperlink" Target="https://www.youtube.com/embed/7SJL1om71BI?rel=0" TargetMode="External"/><Relationship Id="rId724" Type="http://schemas.openxmlformats.org/officeDocument/2006/relationships/hyperlink" Target="https://www.youtube.com/embed/oH55n_MtRiY?rel=0" TargetMode="External"/><Relationship Id="rId725" Type="http://schemas.openxmlformats.org/officeDocument/2006/relationships/hyperlink" Target="https://www.youtube.com/embed/lzt0SOKdTgQ" TargetMode="External"/><Relationship Id="rId726" Type="http://schemas.openxmlformats.org/officeDocument/2006/relationships/hyperlink" Target="https://www.youtube.com/embed/ARY048hObsQ" TargetMode="External"/><Relationship Id="rId727" Type="http://schemas.openxmlformats.org/officeDocument/2006/relationships/hyperlink" Target="https://www.youtube.com/embed/GDGOB9TFFGo?rel=0" TargetMode="External"/><Relationship Id="rId728" Type="http://schemas.openxmlformats.org/officeDocument/2006/relationships/hyperlink" Target="https://www.youtube.com/embed/6F5XUbFEh7o" TargetMode="External"/><Relationship Id="rId729" Type="http://schemas.openxmlformats.org/officeDocument/2006/relationships/hyperlink" Target="https://www.youtube.com/embed/dcNFO37Lz6s" TargetMode="External"/><Relationship Id="rId730" Type="http://schemas.openxmlformats.org/officeDocument/2006/relationships/hyperlink" Target="https://www.youtube.com/embed/xkeqq62vCGU" TargetMode="External"/><Relationship Id="rId731" Type="http://schemas.openxmlformats.org/officeDocument/2006/relationships/hyperlink" Target="https://www.youtube.com/embed/taI_imq0s0o?rel=0" TargetMode="External"/><Relationship Id="rId732" Type="http://schemas.openxmlformats.org/officeDocument/2006/relationships/hyperlink" Target="https://www.youtube.com/embed/qkCk21X2gaw" TargetMode="External"/><Relationship Id="rId733" Type="http://schemas.openxmlformats.org/officeDocument/2006/relationships/hyperlink" Target="https://www.youtube.com/embed/CbF_nZxciVY?rel=0" TargetMode="External"/><Relationship Id="rId734" Type="http://schemas.openxmlformats.org/officeDocument/2006/relationships/hyperlink" Target="https://www.youtube.com/embed/Q4FO202_Pkc" TargetMode="External"/><Relationship Id="rId735" Type="http://schemas.openxmlformats.org/officeDocument/2006/relationships/hyperlink" Target="https://www.youtube.com/embed/xGte3_uB30Q?rel=0" TargetMode="External"/><Relationship Id="rId736" Type="http://schemas.openxmlformats.org/officeDocument/2006/relationships/hyperlink" Target="https://www.youtube.com/embed/2gUagK9AqGg?rel=0" TargetMode="External"/><Relationship Id="rId737" Type="http://schemas.openxmlformats.org/officeDocument/2006/relationships/hyperlink" Target="https://www.youtube.com/embed/0CyxhRpGt7M" TargetMode="External"/><Relationship Id="rId738" Type="http://schemas.openxmlformats.org/officeDocument/2006/relationships/hyperlink" Target="https://www.dailymotion.com/embed/video/x18jd8m_compact-40-tirs-z-feuilles-mortes-vertes_creation" TargetMode="External"/><Relationship Id="rId739" Type="http://schemas.openxmlformats.org/officeDocument/2006/relationships/hyperlink" Target="https://www.youtube.com/embed/xH7HKpPALds?rel=0" TargetMode="External"/><Relationship Id="rId740" Type="http://schemas.openxmlformats.org/officeDocument/2006/relationships/hyperlink" Target="https://www.youtube.com/embed/G6m-tPQ3qGQ" TargetMode="External"/><Relationship Id="rId741" Type="http://schemas.openxmlformats.org/officeDocument/2006/relationships/hyperlink" Target="https://www.youtube.com/embed/G0fSI6aGTpg" TargetMode="External"/><Relationship Id="rId742" Type="http://schemas.openxmlformats.org/officeDocument/2006/relationships/hyperlink" Target="https://www.youtube.com/embed/oEF9OQt_-xY?rel=0" TargetMode="External"/><Relationship Id="rId743" Type="http://schemas.openxmlformats.org/officeDocument/2006/relationships/hyperlink" Target="https://www.youtube.com/embed/w2L9XyNW7Xg" TargetMode="External"/><Relationship Id="rId744" Type="http://schemas.openxmlformats.org/officeDocument/2006/relationships/hyperlink" Target="https://www.youtube.com/embed/wn-gb3XYqEs?rel=0" TargetMode="External"/><Relationship Id="rId745" Type="http://schemas.openxmlformats.org/officeDocument/2006/relationships/hyperlink" Target="https://www.youtube.com/embed/2QLD_-CA8MA?rel=0" TargetMode="External"/><Relationship Id="rId746" Type="http://schemas.openxmlformats.org/officeDocument/2006/relationships/hyperlink" Target="https://www.youtube.com/embed/6jizJAhttwA?rel=0" TargetMode="External"/><Relationship Id="rId747" Type="http://schemas.openxmlformats.org/officeDocument/2006/relationships/hyperlink" Target="https://www.youtube.com/embed/x4QP9qewhpo?rel=0" TargetMode="External"/><Relationship Id="rId748" Type="http://schemas.openxmlformats.org/officeDocument/2006/relationships/hyperlink" Target="https://www.youtube.com/embed/1zFe8LrDF9w?rel=0" TargetMode="External"/><Relationship Id="rId749" Type="http://schemas.openxmlformats.org/officeDocument/2006/relationships/hyperlink" Target="https://www.youtube.com/embed/3-tINMJ8vYc?rel=0" TargetMode="External"/><Relationship Id="rId750" Type="http://schemas.openxmlformats.org/officeDocument/2006/relationships/hyperlink" Target="https://www.youtube.com/embed/R3DhsCrbTv8?rel=0" TargetMode="External"/><Relationship Id="rId751" Type="http://schemas.openxmlformats.org/officeDocument/2006/relationships/hyperlink" Target="https://www.youtube.com/embed/3bZaqYfzdB0?rel=0" TargetMode="External"/><Relationship Id="rId752" Type="http://schemas.openxmlformats.org/officeDocument/2006/relationships/hyperlink" Target="https://www.youtube.com/embed/urWWs_Vsiik?rel=0" TargetMode="External"/><Relationship Id="rId753" Type="http://schemas.openxmlformats.org/officeDocument/2006/relationships/hyperlink" Target="https://www.youtube.com/embed/o3_gT4u8AeI?rel=0" TargetMode="External"/><Relationship Id="rId754" Type="http://schemas.openxmlformats.org/officeDocument/2006/relationships/hyperlink" Target="https://www.youtube.com/embed/djbJmBlrg6k?rel=0" TargetMode="External"/><Relationship Id="rId755" Type="http://schemas.openxmlformats.org/officeDocument/2006/relationships/hyperlink" Target="https://www.youtube.com/embed/TAAlCFSd-WQ?rel=0" TargetMode="External"/><Relationship Id="rId756" Type="http://schemas.openxmlformats.org/officeDocument/2006/relationships/hyperlink" Target="https://www.youtube.com/embed/VRuwrLpTh_U?rel=0" TargetMode="External"/><Relationship Id="rId757" Type="http://schemas.openxmlformats.org/officeDocument/2006/relationships/hyperlink" Target="https://www.youtube.com/embed/2SecN3T4pgs?rel=0" TargetMode="External"/><Relationship Id="rId758" Type="http://schemas.openxmlformats.org/officeDocument/2006/relationships/hyperlink" Target="https://www.youtube.com/embed/ia1vYYo59Xg?rel=0" TargetMode="External"/><Relationship Id="rId759" Type="http://schemas.openxmlformats.org/officeDocument/2006/relationships/hyperlink" Target="https://www.youtube.com/embed/WBRHf_qpvh4?rel=0" TargetMode="External"/><Relationship Id="rId760" Type="http://schemas.openxmlformats.org/officeDocument/2006/relationships/hyperlink" Target="https://www.youtube.com/embed/2i7-wqfMhvw?rel=0" TargetMode="External"/><Relationship Id="rId761" Type="http://schemas.openxmlformats.org/officeDocument/2006/relationships/hyperlink" Target="https://www.youtube.com/embed/IOU4CgebNuI?rel=0" TargetMode="External"/><Relationship Id="rId762" Type="http://schemas.openxmlformats.org/officeDocument/2006/relationships/hyperlink" Target="https://www.youtube.com/embed/fE15DLdySx4?rel=0" TargetMode="External"/><Relationship Id="rId763" Type="http://schemas.openxmlformats.org/officeDocument/2006/relationships/hyperlink" Target="http://www.youtube.com/embed/FLa5OEU6nW4?rel=0" TargetMode="External"/><Relationship Id="rId764" Type="http://schemas.openxmlformats.org/officeDocument/2006/relationships/hyperlink" Target="http://www.youtube.com/embed/H6ZuNPkN24Y?rel=0" TargetMode="External"/><Relationship Id="rId765" Type="http://schemas.openxmlformats.org/officeDocument/2006/relationships/hyperlink" Target="https://www.youtube.com/embed/YBZc_0Vlp-8?rel=0" TargetMode="External"/><Relationship Id="rId766" Type="http://schemas.openxmlformats.org/officeDocument/2006/relationships/hyperlink" Target="https://www.youtube.com/embed/FX_2b5VImEE?rel=0" TargetMode="External"/><Relationship Id="rId767" Type="http://schemas.openxmlformats.org/officeDocument/2006/relationships/hyperlink" Target="https://www.youtube.com/embed/2ZNzyuAMEFM?rel=0" TargetMode="External"/><Relationship Id="rId768" Type="http://schemas.openxmlformats.org/officeDocument/2006/relationships/hyperlink" Target="https://www.youtube.com/embed/HqamC5fQtLE?rel=0" TargetMode="External"/><Relationship Id="rId769" Type="http://schemas.openxmlformats.org/officeDocument/2006/relationships/hyperlink" Target="https://www.youtube.com/embed/i-BDyoluKrw?rel=0" TargetMode="External"/><Relationship Id="rId770" Type="http://schemas.openxmlformats.org/officeDocument/2006/relationships/hyperlink" Target="https://www.youtube.com/embed/zt1ul6DMNp8?rel=0" TargetMode="External"/><Relationship Id="rId771" Type="http://schemas.openxmlformats.org/officeDocument/2006/relationships/hyperlink" Target="https://www.youtube.com/embed/CIFre2KfVXg?rel=0" TargetMode="External"/><Relationship Id="rId772" Type="http://schemas.openxmlformats.org/officeDocument/2006/relationships/hyperlink" Target="https://www.youtube.com/embed/KZUveEfk0WI?rel=0" TargetMode="External"/><Relationship Id="rId773" Type="http://schemas.openxmlformats.org/officeDocument/2006/relationships/hyperlink" Target="https://www.youtube.com/embed/amaq5kZDOeI" TargetMode="External"/><Relationship Id="rId774" Type="http://schemas.openxmlformats.org/officeDocument/2006/relationships/hyperlink" Target="https://www.youtube.com/embed/KaOnQzS-Euw" TargetMode="External"/><Relationship Id="rId775" Type="http://schemas.openxmlformats.org/officeDocument/2006/relationships/hyperlink" Target="https://www.youtube.com/embed/1LjIOHGWG_c" TargetMode="External"/><Relationship Id="rId776" Type="http://schemas.openxmlformats.org/officeDocument/2006/relationships/hyperlink" Target="https://www.youtube.com/embed/R3jFwZhtBls?rel=0" TargetMode="External"/><Relationship Id="rId777" Type="http://schemas.openxmlformats.org/officeDocument/2006/relationships/hyperlink" Target="https://www.youtube.com/embed/yVEVuNGxjZk?rel=0" TargetMode="External"/><Relationship Id="rId778" Type="http://schemas.openxmlformats.org/officeDocument/2006/relationships/hyperlink" Target="https://www.youtube.com/embed/F8FRAuPJOw0?rel=0" TargetMode="External"/><Relationship Id="rId779" Type="http://schemas.openxmlformats.org/officeDocument/2006/relationships/hyperlink" Target="https://www.youtube.com/embed/OsGxCQORlkA?rel=0" TargetMode="External"/><Relationship Id="rId780" Type="http://schemas.openxmlformats.org/officeDocument/2006/relationships/hyperlink" Target="https://www.youtube.com/embed/L2ZYbFtdx8E?rel=0" TargetMode="External"/><Relationship Id="rId781" Type="http://schemas.openxmlformats.org/officeDocument/2006/relationships/hyperlink" Target="https://www.youtube.com/embed/dEfKaXSaRXg?rel=0" TargetMode="External"/><Relationship Id="rId782" Type="http://schemas.openxmlformats.org/officeDocument/2006/relationships/hyperlink" Target="https://www.youtube.com/embed/xvEQ5YuABZU?rel=0" TargetMode="External"/><Relationship Id="rId783" Type="http://schemas.openxmlformats.org/officeDocument/2006/relationships/hyperlink" Target="https://www.youtube.com/embed/iTYrBlgq9Us?rel=0" TargetMode="External"/><Relationship Id="rId784" Type="http://schemas.openxmlformats.org/officeDocument/2006/relationships/hyperlink" Target="https://www.youtube.com/embed/_fatBORawLc?rel=0" TargetMode="External"/><Relationship Id="rId785" Type="http://schemas.openxmlformats.org/officeDocument/2006/relationships/hyperlink" Target="https://www.youtube.com/embed/v5qLK80aNOg?rel=0" TargetMode="External"/><Relationship Id="rId786" Type="http://schemas.openxmlformats.org/officeDocument/2006/relationships/hyperlink" Target="https://www.youtube.com/embed/G3g7zQMPH0o?rel=0" TargetMode="External"/><Relationship Id="rId787" Type="http://schemas.openxmlformats.org/officeDocument/2006/relationships/hyperlink" Target="https://www.youtube.com/embed/a1ZsP46hiVA" TargetMode="External"/><Relationship Id="rId788" Type="http://schemas.openxmlformats.org/officeDocument/2006/relationships/hyperlink" Target="https://www.youtube.com/embed/3qPbtyJ0WOo" TargetMode="External"/><Relationship Id="rId789" Type="http://schemas.openxmlformats.org/officeDocument/2006/relationships/hyperlink" Target="https://www.youtube.com/embed/9RNHkPhT0f0" TargetMode="External"/><Relationship Id="rId790" Type="http://schemas.openxmlformats.org/officeDocument/2006/relationships/hyperlink" Target="https://www.youtube.com/embed/OyGNHALcFf4" TargetMode="External"/><Relationship Id="rId791" Type="http://schemas.openxmlformats.org/officeDocument/2006/relationships/hyperlink" Target="https://www.youtube.com/embed/JrdiAhm0k9w" TargetMode="External"/><Relationship Id="rId792" Type="http://schemas.openxmlformats.org/officeDocument/2006/relationships/hyperlink" Target="https://www.youtube.com/embed/gws3G3NhS2U" TargetMode="External"/><Relationship Id="rId793" Type="http://schemas.openxmlformats.org/officeDocument/2006/relationships/hyperlink" Target="https://www.youtube.com/embed/5y3an35gD0Q" TargetMode="External"/><Relationship Id="rId794" Type="http://schemas.openxmlformats.org/officeDocument/2006/relationships/hyperlink" Target="https://www.youtube.com/embed/xuRtB4A1wNc" TargetMode="External"/><Relationship Id="rId795" Type="http://schemas.openxmlformats.org/officeDocument/2006/relationships/hyperlink" Target="https://www.youtube.com/embed/O1FmT0NNfVI?rel=0" TargetMode="External"/><Relationship Id="rId796" Type="http://schemas.openxmlformats.org/officeDocument/2006/relationships/hyperlink" Target="https://www.youtube.com/embed/iM51-HYzjos?rel=0" TargetMode="External"/><Relationship Id="rId797" Type="http://schemas.openxmlformats.org/officeDocument/2006/relationships/hyperlink" Target="https://www.youtube.com/embed/3h35r3vCPMo?rel=0" TargetMode="External"/><Relationship Id="rId798" Type="http://schemas.openxmlformats.org/officeDocument/2006/relationships/hyperlink" Target="https://www.youtube.com/embed/mH1k4o7HhAQ" TargetMode="External"/><Relationship Id="rId799" Type="http://schemas.openxmlformats.org/officeDocument/2006/relationships/hyperlink" Target="https://www.youtube.com/embed/p7S8OLAqW4E?rel=0" TargetMode="External"/><Relationship Id="rId800" Type="http://schemas.openxmlformats.org/officeDocument/2006/relationships/hyperlink" Target="https://www.youtube.com/embed/h1vzZmX2LcA?rel=0" TargetMode="External"/><Relationship Id="rId801" Type="http://schemas.openxmlformats.org/officeDocument/2006/relationships/hyperlink" Target="https://www.youtube.com/embed/6tVEiMTgrKQ" TargetMode="External"/><Relationship Id="rId802" Type="http://schemas.openxmlformats.org/officeDocument/2006/relationships/hyperlink" Target="https://www.youtube.com/embed/ycQdb6sv0fc?rel=0" TargetMode="External"/><Relationship Id="rId803" Type="http://schemas.openxmlformats.org/officeDocument/2006/relationships/hyperlink" Target="https://www.youtube.com/embed/zTeqjZ6_Mg4?rel=0" TargetMode="External"/><Relationship Id="rId804" Type="http://schemas.openxmlformats.org/officeDocument/2006/relationships/hyperlink" Target="https://www.youtube.com/embed/p4onv4tXdaE" TargetMode="External"/><Relationship Id="rId805" Type="http://schemas.openxmlformats.org/officeDocument/2006/relationships/hyperlink" Target="https://www.youtube.com/embed/E3rKh1xU59M?rel=0" TargetMode="External"/><Relationship Id="rId806" Type="http://schemas.openxmlformats.org/officeDocument/2006/relationships/hyperlink" Target="https://www.youtube.com/embed/EBqoy_KVb3w?rel=0" TargetMode="External"/><Relationship Id="rId807" Type="http://schemas.openxmlformats.org/officeDocument/2006/relationships/hyperlink" Target="https://www.youtube.com/embed/_gwtkdakiaY?rel=0" TargetMode="External"/><Relationship Id="rId808" Type="http://schemas.openxmlformats.org/officeDocument/2006/relationships/hyperlink" Target="https://www.youtube.com/embed/p7yxfUo8byE?rel=0" TargetMode="External"/><Relationship Id="rId809" Type="http://schemas.openxmlformats.org/officeDocument/2006/relationships/hyperlink" Target="https://www.youtube.com/embed/W3LyqnANSKc?rel=0" TargetMode="External"/><Relationship Id="rId810" Type="http://schemas.openxmlformats.org/officeDocument/2006/relationships/hyperlink" Target="https://www.youtube.com/embed/70rL10pRza0" TargetMode="External"/><Relationship Id="rId811" Type="http://schemas.openxmlformats.org/officeDocument/2006/relationships/hyperlink" Target="https://www.youtube.com/embed/JXiBHDgtt9I?rel=0" TargetMode="External"/><Relationship Id="rId812" Type="http://schemas.openxmlformats.org/officeDocument/2006/relationships/hyperlink" Target="https://www.youtube.com/embed/M3Hz5dHVzuQ?rel=0" TargetMode="External"/><Relationship Id="rId813" Type="http://schemas.openxmlformats.org/officeDocument/2006/relationships/hyperlink" Target="https://www.youtube.com/embed/F--A6uqN5E8?rel=0" TargetMode="External"/><Relationship Id="rId814" Type="http://schemas.openxmlformats.org/officeDocument/2006/relationships/hyperlink" Target="https://www.youtube.com/embed/riC1dEIjNLo?rel=0" TargetMode="External"/><Relationship Id="rId815" Type="http://schemas.openxmlformats.org/officeDocument/2006/relationships/hyperlink" Target="https://www.youtube.com/embed/JmdfaLyvT8c?rel=0" TargetMode="External"/><Relationship Id="rId816" Type="http://schemas.openxmlformats.org/officeDocument/2006/relationships/hyperlink" Target="https://www.youtube.com/embed/9c-oUPl3_qw?rel=0" TargetMode="External"/><Relationship Id="rId817" Type="http://schemas.openxmlformats.org/officeDocument/2006/relationships/hyperlink" Target="https://www.youtube.com/embed/ABuzZal-Qqw?rel=0" TargetMode="External"/><Relationship Id="rId818" Type="http://schemas.openxmlformats.org/officeDocument/2006/relationships/hyperlink" Target="https://www.youtube.com/embed/whtx-yNLISo?rel=0" TargetMode="External"/><Relationship Id="rId819" Type="http://schemas.openxmlformats.org/officeDocument/2006/relationships/hyperlink" Target="https://www.youtube.com/embed/XZifXFTPLFw?rel=0" TargetMode="External"/><Relationship Id="rId820" Type="http://schemas.openxmlformats.org/officeDocument/2006/relationships/hyperlink" Target="https://www.youtube.com/embed/wVlg1iVmfAQ?rel=0" TargetMode="External"/><Relationship Id="rId821" Type="http://schemas.openxmlformats.org/officeDocument/2006/relationships/hyperlink" Target="https://www.youtube.com/embed/1IjUH2Zop5Q?rel=0" TargetMode="External"/><Relationship Id="rId822" Type="http://schemas.openxmlformats.org/officeDocument/2006/relationships/hyperlink" Target="https://www.youtube.com/embed/yGRAVVnI5J4?rel=0" TargetMode="External"/><Relationship Id="rId823" Type="http://schemas.openxmlformats.org/officeDocument/2006/relationships/hyperlink" Target="https://www.youtube.com/embed/3t1qn3FQqTM?rel=0" TargetMode="External"/><Relationship Id="rId824" Type="http://schemas.openxmlformats.org/officeDocument/2006/relationships/hyperlink" Target="http://www.youtube.com/embed/A4o5Q6S3lLE?rel=0" TargetMode="External"/><Relationship Id="rId825" Type="http://schemas.openxmlformats.org/officeDocument/2006/relationships/hyperlink" Target="https://www.youtube.com/embed/Czxanrv36MQ?rel=0" TargetMode="External"/><Relationship Id="rId826" Type="http://schemas.openxmlformats.org/officeDocument/2006/relationships/hyperlink" Target="https://www.youtube.com/embed/mvEd1sjrFvs?rel=0" TargetMode="External"/><Relationship Id="rId827" Type="http://schemas.openxmlformats.org/officeDocument/2006/relationships/hyperlink" Target="https://www.youtube.com/embed/IXutymwZvXo?rel=0" TargetMode="External"/><Relationship Id="rId828" Type="http://schemas.openxmlformats.org/officeDocument/2006/relationships/hyperlink" Target="https://www.youtube.com/embed/nqQ2UhMQ9Jw?rel=0" TargetMode="External"/><Relationship Id="rId829" Type="http://schemas.openxmlformats.org/officeDocument/2006/relationships/hyperlink" Target="https://www.youtube.com/embed/M7w9GOJ3nuA?rel=0" TargetMode="External"/><Relationship Id="rId830" Type="http://schemas.openxmlformats.org/officeDocument/2006/relationships/hyperlink" Target="https://www.youtube.com/embed/0zEOX76WApw?rel=0" TargetMode="External"/><Relationship Id="rId831" Type="http://schemas.openxmlformats.org/officeDocument/2006/relationships/hyperlink" Target="https://www.youtube.com/embed/JZuVX7IuYWA?rel=0" TargetMode="External"/><Relationship Id="rId832" Type="http://schemas.openxmlformats.org/officeDocument/2006/relationships/hyperlink" Target="https://www.youtube.com/embed/re3n_FyEkLk?rel=0" TargetMode="External"/><Relationship Id="rId833" Type="http://schemas.openxmlformats.org/officeDocument/2006/relationships/hyperlink" Target="https://www.youtube.com/embed/TroMp7FEhlU?rel=0" TargetMode="External"/><Relationship Id="rId834" Type="http://schemas.openxmlformats.org/officeDocument/2006/relationships/hyperlink" Target="https://www.youtube.com/embed/Or1fknMy1n0" TargetMode="External"/><Relationship Id="rId835" Type="http://schemas.openxmlformats.org/officeDocument/2006/relationships/hyperlink" Target="https://www.youtube.com/embed/c2ylZIGX0j4?rel=0" TargetMode="External"/><Relationship Id="rId836" Type="http://schemas.openxmlformats.org/officeDocument/2006/relationships/hyperlink" Target="https://www.youtube.com/embed/jVg2VFLlYsc?rel=0" TargetMode="External"/><Relationship Id="rId837" Type="http://schemas.openxmlformats.org/officeDocument/2006/relationships/hyperlink" Target="https://www.youtube.com/embed/hghp-TgbvIA" TargetMode="External"/><Relationship Id="rId838" Type="http://schemas.openxmlformats.org/officeDocument/2006/relationships/hyperlink" Target="http://www.youtube.com/embed/b9YFuqRf53o" TargetMode="External"/><Relationship Id="rId839" Type="http://schemas.openxmlformats.org/officeDocument/2006/relationships/hyperlink" Target="https://www.youtube.com/embed/b9YFuqRf53o?rel=0" TargetMode="External"/><Relationship Id="rId840" Type="http://schemas.openxmlformats.org/officeDocument/2006/relationships/hyperlink" Target="https://www.youtube.com/embed/Jexl_3Co6PI?rel=0" TargetMode="External"/><Relationship Id="rId841" Type="http://schemas.openxmlformats.org/officeDocument/2006/relationships/hyperlink" Target="https://www.youtube.com/embed/WNqlHa_KH08?rel=0" TargetMode="External"/><Relationship Id="rId842" Type="http://schemas.openxmlformats.org/officeDocument/2006/relationships/hyperlink" Target="https://www.youtube.com/embed/5aw1M4v2mLw?rel=0" TargetMode="External"/><Relationship Id="rId843" Type="http://schemas.openxmlformats.org/officeDocument/2006/relationships/hyperlink" Target="https://www.youtube.com/embed/mrHPAUBCf2U?rel=0" TargetMode="External"/><Relationship Id="rId844" Type="http://schemas.openxmlformats.org/officeDocument/2006/relationships/hyperlink" Target="https://www.youtube.com/embed/-LBwhFwlIJs?rel=0" TargetMode="External"/><Relationship Id="rId845" Type="http://schemas.openxmlformats.org/officeDocument/2006/relationships/hyperlink" Target="https://www.youtube.com/embed/ptP0ZqxcpY4?rel=0" TargetMode="External"/><Relationship Id="rId846" Type="http://schemas.openxmlformats.org/officeDocument/2006/relationships/hyperlink" Target="https://www.youtube.com/embed/6QqsHFPilPI?rel=0" TargetMode="External"/><Relationship Id="rId847" Type="http://schemas.openxmlformats.org/officeDocument/2006/relationships/hyperlink" Target="https://www.youtube.com/embed/9Oe9zwHb7UM?rel=0" TargetMode="External"/><Relationship Id="rId848" Type="http://schemas.openxmlformats.org/officeDocument/2006/relationships/hyperlink" Target="https://www.youtube.com/embed/m9cVtjSlzBc?rel=0" TargetMode="External"/><Relationship Id="rId849" Type="http://schemas.openxmlformats.org/officeDocument/2006/relationships/hyperlink" Target="https://www.youtube.com/embed/h0Qf1Z87ZhQ?rel=0" TargetMode="External"/><Relationship Id="rId850" Type="http://schemas.openxmlformats.org/officeDocument/2006/relationships/hyperlink" Target="https://www.youtube.com/embed/2GgpyOjGkdI?rel=0" TargetMode="External"/><Relationship Id="rId851" Type="http://schemas.openxmlformats.org/officeDocument/2006/relationships/hyperlink" Target="https://www.youtube.com/embed/yV3GQpp-l78?rel=0" TargetMode="External"/><Relationship Id="rId852" Type="http://schemas.openxmlformats.org/officeDocument/2006/relationships/hyperlink" Target="https://www.youtube.com/embed/H0U7S8O-GhI?rel=0" TargetMode="External"/><Relationship Id="rId853" Type="http://schemas.openxmlformats.org/officeDocument/2006/relationships/hyperlink" Target="https://www.youtube.com/embed/pWSeosqF2ts?rel=0" TargetMode="External"/><Relationship Id="rId854" Type="http://schemas.openxmlformats.org/officeDocument/2006/relationships/hyperlink" Target="https://www.youtube.com/embed/I89IErPvBTk?rel=0" TargetMode="External"/><Relationship Id="rId855" Type="http://schemas.openxmlformats.org/officeDocument/2006/relationships/hyperlink" Target="https://www.youtube.com/embed/8sg-vqt1o34?rel=0" TargetMode="External"/><Relationship Id="rId856" Type="http://schemas.openxmlformats.org/officeDocument/2006/relationships/hyperlink" Target="https://www.youtube.com/embed/TR2_nCfTYWQ?rel=0" TargetMode="External"/><Relationship Id="rId857" Type="http://schemas.openxmlformats.org/officeDocument/2006/relationships/hyperlink" Target="https://www.youtube.com/embed/dlG2YrXKeM8?rel=0" TargetMode="External"/><Relationship Id="rId858" Type="http://schemas.openxmlformats.org/officeDocument/2006/relationships/hyperlink" Target="https://www.youtube.com/embed/qyLizp6LkxU?rel=0" TargetMode="External"/><Relationship Id="rId859" Type="http://schemas.openxmlformats.org/officeDocument/2006/relationships/hyperlink" Target="https://www.youtube.com/embed/_YpB7mt8NTE?rel=0" TargetMode="External"/><Relationship Id="rId860" Type="http://schemas.openxmlformats.org/officeDocument/2006/relationships/hyperlink" Target="https://www.youtube.com/embed/GtscGlMX654?rel=0" TargetMode="External"/><Relationship Id="rId861" Type="http://schemas.openxmlformats.org/officeDocument/2006/relationships/hyperlink" Target="https://www.youtube.com/embed/Icu9ChSk9hA?rel=0" TargetMode="External"/><Relationship Id="rId862" Type="http://schemas.openxmlformats.org/officeDocument/2006/relationships/hyperlink" Target="https://www.youtube.com/embed/XbEj75y9F_Q?rel=0" TargetMode="External"/><Relationship Id="rId863" Type="http://schemas.openxmlformats.org/officeDocument/2006/relationships/hyperlink" Target="https://www.youtube.com/embed/TC7-p3TbXkg?rel=0" TargetMode="External"/><Relationship Id="rId864" Type="http://schemas.openxmlformats.org/officeDocument/2006/relationships/hyperlink" Target="https://www.youtube.com/embed/NfTz-UZZkYU?rel=0" TargetMode="External"/><Relationship Id="rId865" Type="http://schemas.openxmlformats.org/officeDocument/2006/relationships/hyperlink" Target="https://www.youtube.com/embed/3P9OHSgXLA8?rel=0" TargetMode="External"/><Relationship Id="rId866" Type="http://schemas.openxmlformats.org/officeDocument/2006/relationships/hyperlink" Target="https://www.youtube.com/embed/UoF7Q3gxbQk?rel=0" TargetMode="External"/><Relationship Id="rId867" Type="http://schemas.openxmlformats.org/officeDocument/2006/relationships/hyperlink" Target="https://www.youtube.com/embed/72KAWH0JZGE?rel=0" TargetMode="External"/><Relationship Id="rId868" Type="http://schemas.openxmlformats.org/officeDocument/2006/relationships/hyperlink" Target="https://www.youtube.com/embed/31mSpvlLNOQ?rel=0" TargetMode="External"/><Relationship Id="rId869" Type="http://schemas.openxmlformats.org/officeDocument/2006/relationships/hyperlink" Target="https://www.youtube.com/embed/3mQ82CquU98?rel=0" TargetMode="External"/><Relationship Id="rId870" Type="http://schemas.openxmlformats.org/officeDocument/2006/relationships/hyperlink" Target="https://www.youtube.com/embed/6--HXkSENFM?rel=0" TargetMode="External"/><Relationship Id="rId871" Type="http://schemas.openxmlformats.org/officeDocument/2006/relationships/hyperlink" Target="https://www.youtube.com/embed/i9ryGad6Beo?rel=0" TargetMode="External"/><Relationship Id="rId872" Type="http://schemas.openxmlformats.org/officeDocument/2006/relationships/hyperlink" Target="https://www.youtube.com/embed/hy0T6AgIl4o?rel=0" TargetMode="External"/><Relationship Id="rId873" Type="http://schemas.openxmlformats.org/officeDocument/2006/relationships/hyperlink" Target="https://www.youtube.com/embed/jN4CfZdLj7U?rel=0" TargetMode="External"/><Relationship Id="rId874" Type="http://schemas.openxmlformats.org/officeDocument/2006/relationships/hyperlink" Target="https://www.youtube.com/embed/zSuSet0K-TY?rel=0" TargetMode="External"/><Relationship Id="rId875" Type="http://schemas.openxmlformats.org/officeDocument/2006/relationships/hyperlink" Target="https://www.youtube.com/embed/wPAf3J7Bl24?rel=0" TargetMode="External"/><Relationship Id="rId876" Type="http://schemas.openxmlformats.org/officeDocument/2006/relationships/hyperlink" Target="https://www.youtube.com/embed/OgKHe7wdxdQ?rel=0" TargetMode="External"/><Relationship Id="rId877" Type="http://schemas.openxmlformats.org/officeDocument/2006/relationships/hyperlink" Target="https://www.youtube.com/embed/N6zJANHEby4?rel=0" TargetMode="External"/><Relationship Id="rId878" Type="http://schemas.openxmlformats.org/officeDocument/2006/relationships/hyperlink" Target="https://www.youtube.com/embed/ltCUAOTcOsw?rel=0" TargetMode="External"/><Relationship Id="rId879" Type="http://schemas.openxmlformats.org/officeDocument/2006/relationships/hyperlink" Target="https://www.youtube.com/embed/F1j-xb39cPo?rel=0" TargetMode="External"/><Relationship Id="rId880" Type="http://schemas.openxmlformats.org/officeDocument/2006/relationships/hyperlink" Target="https://www.youtube.com/embed/U1qxrRo0liQ?rel=0" TargetMode="External"/><Relationship Id="rId881" Type="http://schemas.openxmlformats.org/officeDocument/2006/relationships/hyperlink" Target="https://www.youtube.com/embed/stEmc7iXGVM?rel=0" TargetMode="External"/><Relationship Id="rId882" Type="http://schemas.openxmlformats.org/officeDocument/2006/relationships/hyperlink" Target="https://www.youtube.com/embed/uHts1OmCuU0?rel=0" TargetMode="External"/><Relationship Id="rId883" Type="http://schemas.openxmlformats.org/officeDocument/2006/relationships/hyperlink" Target="https://www.youtube.com/embed/LEgE3v2VjDE?rel=0" TargetMode="External"/><Relationship Id="rId884" Type="http://schemas.openxmlformats.org/officeDocument/2006/relationships/hyperlink" Target="https://www.youtube.com/embed/CVBqri1axNo?rel=0" TargetMode="External"/><Relationship Id="rId885" Type="http://schemas.openxmlformats.org/officeDocument/2006/relationships/hyperlink" Target="https://www.youtube.com/embed/yimFyZrZ3ns?rel=0" TargetMode="External"/><Relationship Id="rId886" Type="http://schemas.openxmlformats.org/officeDocument/2006/relationships/hyperlink" Target="https://www.youtube.com/embed/yfuOHkN3wxY?rel=0" TargetMode="External"/><Relationship Id="rId887" Type="http://schemas.openxmlformats.org/officeDocument/2006/relationships/hyperlink" Target="https://www.youtube.com/embed/0QCv-TwTiVw?rel=0" TargetMode="External"/><Relationship Id="rId888" Type="http://schemas.openxmlformats.org/officeDocument/2006/relationships/hyperlink" Target="https://www.youtube.com/embed/yZ_K4vdqn_A?rel=0" TargetMode="External"/><Relationship Id="rId889" Type="http://schemas.openxmlformats.org/officeDocument/2006/relationships/hyperlink" Target="https://www.youtube.com/embed/Cq4QCpj5tQI?rel=0" TargetMode="External"/><Relationship Id="rId890" Type="http://schemas.openxmlformats.org/officeDocument/2006/relationships/hyperlink" Target="https://www.youtube.com/embed/m7CmDDnTUXY?rel=0" TargetMode="External"/><Relationship Id="rId891" Type="http://schemas.openxmlformats.org/officeDocument/2006/relationships/hyperlink" Target="https://www.youtube.com/embed/azbaSbcNpak?rel=0" TargetMode="External"/><Relationship Id="rId892" Type="http://schemas.openxmlformats.org/officeDocument/2006/relationships/hyperlink" Target="https://www.youtube.com/embed/wpJStHCrtMk?rel=0" TargetMode="External"/><Relationship Id="rId893" Type="http://schemas.openxmlformats.org/officeDocument/2006/relationships/hyperlink" Target="https://www.youtube.com/embed/6uUS-WTxvc0?rel=0" TargetMode="External"/><Relationship Id="rId894" Type="http://schemas.openxmlformats.org/officeDocument/2006/relationships/hyperlink" Target="https://www.youtube.com/embed/XmlqVVYn-dc?rel=0" TargetMode="External"/><Relationship Id="rId895" Type="http://schemas.openxmlformats.org/officeDocument/2006/relationships/hyperlink" Target="https://www.youtube.com/embed/FcDfTVNxe2I" TargetMode="External"/><Relationship Id="rId896" Type="http://schemas.openxmlformats.org/officeDocument/2006/relationships/hyperlink" Target="https://www.youtube.com/embed/fAk06gUunWw?rel=0" TargetMode="External"/><Relationship Id="rId897" Type="http://schemas.openxmlformats.org/officeDocument/2006/relationships/hyperlink" Target="https://www.youtube.com/embed/fqraKsdIZiA?rel=0" TargetMode="External"/><Relationship Id="rId898" Type="http://schemas.openxmlformats.org/officeDocument/2006/relationships/hyperlink" Target="https://www.youtube.com/embed/DFf7iP-RRbs?rel=0" TargetMode="External"/><Relationship Id="rId899" Type="http://schemas.openxmlformats.org/officeDocument/2006/relationships/hyperlink" Target="https://www.youtube.com/embed/5zatsu6yfZ8?rel=0" TargetMode="External"/><Relationship Id="rId900" Type="http://schemas.openxmlformats.org/officeDocument/2006/relationships/hyperlink" Target="https://www.youtube.com/embed/drMnxZRERS0?rel=0" TargetMode="External"/><Relationship Id="rId901" Type="http://schemas.openxmlformats.org/officeDocument/2006/relationships/hyperlink" Target="https://www.youtube.com/embed/axvyrv5s3WI?rel=0" TargetMode="External"/><Relationship Id="rId902" Type="http://schemas.openxmlformats.org/officeDocument/2006/relationships/hyperlink" Target="https://www.youtube.com/embed/xtPnpEZI0Oc?rel=0" TargetMode="External"/><Relationship Id="rId903" Type="http://schemas.openxmlformats.org/officeDocument/2006/relationships/hyperlink" Target="https://www.youtube.com/embed/qORt6L8s5OE?rel=0" TargetMode="External"/><Relationship Id="rId904" Type="http://schemas.openxmlformats.org/officeDocument/2006/relationships/hyperlink" Target="https://www.youtube.com/embed/522G5nDSM08?rel=0" TargetMode="External"/><Relationship Id="rId905" Type="http://schemas.openxmlformats.org/officeDocument/2006/relationships/hyperlink" Target="https://www.youtube.com/embed/UU29QOdsnKs" TargetMode="External"/><Relationship Id="rId906" Type="http://schemas.openxmlformats.org/officeDocument/2006/relationships/hyperlink" Target="https://www.youtube.com/embed/60Kfy8dkEJ8?rel=0" TargetMode="External"/><Relationship Id="rId907" Type="http://schemas.openxmlformats.org/officeDocument/2006/relationships/hyperlink" Target="https://www.youtube.com/embed/r2YgJUVVgtE?rel=0" TargetMode="External"/><Relationship Id="rId908" Type="http://schemas.openxmlformats.org/officeDocument/2006/relationships/hyperlink" Target="https://www.youtube.com/embed/m-QhU2os2oU?rel=0" TargetMode="External"/><Relationship Id="rId909" Type="http://schemas.openxmlformats.org/officeDocument/2006/relationships/hyperlink" Target="https://www.youtube.com/embed/fkXiU1bwBqo?rel=0" TargetMode="External"/><Relationship Id="rId910" Type="http://schemas.openxmlformats.org/officeDocument/2006/relationships/hyperlink" Target="https://www.youtube.com/embed/5DucDkYiZ5s?rel=0" TargetMode="External"/><Relationship Id="rId911" Type="http://schemas.openxmlformats.org/officeDocument/2006/relationships/hyperlink" Target="https://www.youtube.com/embed/cHwdgSb8u4Q?rel=0" TargetMode="External"/><Relationship Id="rId912" Type="http://schemas.openxmlformats.org/officeDocument/2006/relationships/hyperlink" Target="https://www.youtube.com/embed/sRLpEZangx4?rel=0" TargetMode="External"/><Relationship Id="rId913" Type="http://schemas.openxmlformats.org/officeDocument/2006/relationships/hyperlink" Target="https://www.youtube.com/embed/-uRrM7BScOg?rel=0" TargetMode="External"/><Relationship Id="rId914" Type="http://schemas.openxmlformats.org/officeDocument/2006/relationships/hyperlink" Target="https://www.youtube.com/embed/QMWzxBU4o1c?rel=0" TargetMode="External"/><Relationship Id="rId915" Type="http://schemas.openxmlformats.org/officeDocument/2006/relationships/hyperlink" Target="https://www.youtube.com/embed/jxwI-e-QRR8" TargetMode="External"/><Relationship Id="rId916" Type="http://schemas.openxmlformats.org/officeDocument/2006/relationships/hyperlink" Target="https://www.youtube.com/embed/f6t3e1piK7k" TargetMode="External"/><Relationship Id="rId917" Type="http://schemas.openxmlformats.org/officeDocument/2006/relationships/hyperlink" Target="https://www.youtube.com/embed/ccjGcVw6f8A" TargetMode="External"/><Relationship Id="rId918" Type="http://schemas.openxmlformats.org/officeDocument/2006/relationships/hyperlink" Target="https://www.youtube.com/embed/0lgccgRbqlI" TargetMode="External"/><Relationship Id="rId919" Type="http://schemas.openxmlformats.org/officeDocument/2006/relationships/hyperlink" Target="http://www.youtube.com/embed/wShYIV2NrzI" TargetMode="External"/><Relationship Id="rId920" Type="http://schemas.openxmlformats.org/officeDocument/2006/relationships/hyperlink" Target="https://www.youtube.com/embed/fktjsEUOW-A?rel=0" TargetMode="External"/><Relationship Id="rId921" Type="http://schemas.openxmlformats.org/officeDocument/2006/relationships/hyperlink" Target="https://www.youtube.com/embed/34tflYgIFN4?rel=0" TargetMode="External"/><Relationship Id="rId922" Type="http://schemas.openxmlformats.org/officeDocument/2006/relationships/hyperlink" Target="https://www.youtube.com/embed/C12pPR6Z2ik?rel=0" TargetMode="External"/><Relationship Id="rId923" Type="http://schemas.openxmlformats.org/officeDocument/2006/relationships/hyperlink" Target="https://www.youtube.com/embed/87QhPYCDLx0?rel=0" TargetMode="External"/><Relationship Id="rId924" Type="http://schemas.openxmlformats.org/officeDocument/2006/relationships/hyperlink" Target="https://www.youtube.com/embed/n0UUyzphRFM?rel=0" TargetMode="External"/><Relationship Id="rId925" Type="http://schemas.openxmlformats.org/officeDocument/2006/relationships/hyperlink" Target="https://www.youtube.com/embed/px3HG9puyi0" TargetMode="External"/><Relationship Id="rId926" Type="http://schemas.openxmlformats.org/officeDocument/2006/relationships/hyperlink" Target="https://www.youtube.com/embed/fSVYX9rtfTc?rel=0" TargetMode="External"/><Relationship Id="rId927" Type="http://schemas.openxmlformats.org/officeDocument/2006/relationships/hyperlink" Target="https://www.youtube.com/embed/T506UNDFVOg?rel=0" TargetMode="External"/><Relationship Id="rId928" Type="http://schemas.openxmlformats.org/officeDocument/2006/relationships/hyperlink" Target="https://www.youtube.com/embed/TPaz1BAAgRM?rel=0" TargetMode="External"/><Relationship Id="rId929" Type="http://schemas.openxmlformats.org/officeDocument/2006/relationships/hyperlink" Target="https://www.youtube.com/embed/4VFwxlqgs-A?rel=0" TargetMode="External"/><Relationship Id="rId930" Type="http://schemas.openxmlformats.org/officeDocument/2006/relationships/hyperlink" Target="https://www.youtube.com/embed/TPaz1BAAgRM" TargetMode="External"/><Relationship Id="rId931" Type="http://schemas.openxmlformats.org/officeDocument/2006/relationships/hyperlink" Target="https://www.youtube.com/embed/4VFwxlqgs-A?rel=0" TargetMode="External"/><Relationship Id="rId932" Type="http://schemas.openxmlformats.org/officeDocument/2006/relationships/hyperlink" Target="https://www.youtube.com/embed/TPaz1BAAgRM" TargetMode="External"/><Relationship Id="rId933" Type="http://schemas.openxmlformats.org/officeDocument/2006/relationships/hyperlink" Target="https://www.youtube.com/embed/wF2H9xY7_fg" TargetMode="External"/><Relationship Id="rId934" Type="http://schemas.openxmlformats.org/officeDocument/2006/relationships/hyperlink" Target="https://www.youtube.com/embed/bRJLDCawig0" TargetMode="External"/><Relationship Id="rId935" Type="http://schemas.openxmlformats.org/officeDocument/2006/relationships/hyperlink" Target="https://www.youtube.com/embed/xUrzoHt3V8o?rel=0" TargetMode="External"/><Relationship Id="rId936" Type="http://schemas.openxmlformats.org/officeDocument/2006/relationships/hyperlink" Target="https://www.youtube.com/embed/gGDaC9eWYbQ?rel=0" TargetMode="External"/><Relationship Id="rId937" Type="http://schemas.openxmlformats.org/officeDocument/2006/relationships/hyperlink" Target="https://www.youtube.com/embed/4eSFDqIqamY?rel=0" TargetMode="External"/><Relationship Id="rId938" Type="http://schemas.openxmlformats.org/officeDocument/2006/relationships/hyperlink" Target="https://www.youtube.com/embed/66HAGnqTyS4?rel=0" TargetMode="External"/><Relationship Id="rId939" Type="http://schemas.openxmlformats.org/officeDocument/2006/relationships/hyperlink" Target="https://www.youtube.com/embed/4gmZcIVVccE?rel=0" TargetMode="External"/><Relationship Id="rId940" Type="http://schemas.openxmlformats.org/officeDocument/2006/relationships/hyperlink" Target="https://www.youtube.com/embed/tT2J8QX6fWo?rel=0" TargetMode="External"/><Relationship Id="rId941" Type="http://schemas.openxmlformats.org/officeDocument/2006/relationships/hyperlink" Target="https://www.youtube.com/embed/NwKuIPEK_20?rel=0" TargetMode="External"/><Relationship Id="rId942" Type="http://schemas.openxmlformats.org/officeDocument/2006/relationships/hyperlink" Target="https://www.youtube.com/embed/0wpiv3o6LXU?rel=0" TargetMode="External"/><Relationship Id="rId943" Type="http://schemas.openxmlformats.org/officeDocument/2006/relationships/hyperlink" Target="https://www.youtube.com/embed/Tn4DiiCZh2A?rel=0" TargetMode="External"/><Relationship Id="rId944" Type="http://schemas.openxmlformats.org/officeDocument/2006/relationships/hyperlink" Target="https://www.youtube.com/embed/LV3xjmJW6zo?rel=0" TargetMode="External"/><Relationship Id="rId945" Type="http://schemas.openxmlformats.org/officeDocument/2006/relationships/hyperlink" Target="https://www.youtube.com/embed/rf9vx8DCJQA?rel=0" TargetMode="External"/><Relationship Id="rId946" Type="http://schemas.openxmlformats.org/officeDocument/2006/relationships/hyperlink" Target="https://www.youtube.com/embed/uA4o5QbdVA8?rel=0" TargetMode="External"/><Relationship Id="rId947" Type="http://schemas.openxmlformats.org/officeDocument/2006/relationships/hyperlink" Target="https://www.youtube.com/embed/qqmIIAD2H_g?rel=0" TargetMode="External"/><Relationship Id="rId948" Type="http://schemas.openxmlformats.org/officeDocument/2006/relationships/hyperlink" Target="https://www.youtube.com/embed/fqNG6U0eeSE?rel=0" TargetMode="External"/><Relationship Id="rId949" Type="http://schemas.openxmlformats.org/officeDocument/2006/relationships/hyperlink" Target="https://www.youtube.com/embed/Y9_QqQS_TdQ?rel=0" TargetMode="External"/><Relationship Id="rId950" Type="http://schemas.openxmlformats.org/officeDocument/2006/relationships/hyperlink" Target="https://www.youtube.com/embed/ujMOQBMREK0?rel=0" TargetMode="External"/><Relationship Id="rId951" Type="http://schemas.openxmlformats.org/officeDocument/2006/relationships/hyperlink" Target="https://www.youtube.com/embed/hUCASJx-5Sk?rel=0" TargetMode="External"/><Relationship Id="rId952" Type="http://schemas.openxmlformats.org/officeDocument/2006/relationships/hyperlink" Target="https://www.youtube.com/embed/s0bvibWU8xk?rel=0" TargetMode="External"/><Relationship Id="rId953" Type="http://schemas.openxmlformats.org/officeDocument/2006/relationships/hyperlink" Target="https://www.youtube.com/embed/WSmUrguYnVM?rel=0" TargetMode="External"/><Relationship Id="rId954" Type="http://schemas.openxmlformats.org/officeDocument/2006/relationships/hyperlink" Target="https://www.youtube.com/embed/WuTM7ycDIdo?rel=0" TargetMode="External"/><Relationship Id="rId955" Type="http://schemas.openxmlformats.org/officeDocument/2006/relationships/hyperlink" Target="https://www.youtube.com/embed/42Oejy60YZ8?rel=0" TargetMode="External"/><Relationship Id="rId956" Type="http://schemas.openxmlformats.org/officeDocument/2006/relationships/hyperlink" Target="https://www.youtube.com/embed/T1nPzHeFcEw?rel=0" TargetMode="External"/><Relationship Id="rId957" Type="http://schemas.openxmlformats.org/officeDocument/2006/relationships/hyperlink" Target="https://www.youtube.com/embed/at-aQE5sGuc?rel=0" TargetMode="External"/><Relationship Id="rId958" Type="http://schemas.openxmlformats.org/officeDocument/2006/relationships/hyperlink" Target="https://www.youtube.com/embed/HkfYP-fesxs?rel=0" TargetMode="External"/><Relationship Id="rId959" Type="http://schemas.openxmlformats.org/officeDocument/2006/relationships/hyperlink" Target="https://www.youtube.com/embed/5E3-pbURHaU?rel=0" TargetMode="External"/><Relationship Id="rId960" Type="http://schemas.openxmlformats.org/officeDocument/2006/relationships/hyperlink" Target="https://www.youtube.com/embed/58hzS4P4cec?rel=0" TargetMode="External"/><Relationship Id="rId961" Type="http://schemas.openxmlformats.org/officeDocument/2006/relationships/hyperlink" Target="https://www.youtube.com/embed/ZgxCIIrtTjQ?rel=0" TargetMode="External"/><Relationship Id="rId962" Type="http://schemas.openxmlformats.org/officeDocument/2006/relationships/hyperlink" Target="https://www.youtube.com/embed/ZpDkkDyBMos?rel=0" TargetMode="External"/><Relationship Id="rId963" Type="http://schemas.openxmlformats.org/officeDocument/2006/relationships/hyperlink" Target="https://www.youtube.com/embed/3D9vTulc57A?rel=0" TargetMode="External"/><Relationship Id="rId964" Type="http://schemas.openxmlformats.org/officeDocument/2006/relationships/hyperlink" Target="https://www.youtube.com/embed/BZBoCU9EeEI?rel=0" TargetMode="External"/><Relationship Id="rId965" Type="http://schemas.openxmlformats.org/officeDocument/2006/relationships/hyperlink" Target="https://www.youtube.com/embed/f0zQIDcXX0c?rel=0" TargetMode="External"/><Relationship Id="rId966" Type="http://schemas.openxmlformats.org/officeDocument/2006/relationships/hyperlink" Target="https://www.youtube.com/embed/VHNxO9hUO_8?rel=0" TargetMode="External"/><Relationship Id="rId967" Type="http://schemas.openxmlformats.org/officeDocument/2006/relationships/hyperlink" Target="https://www.youtube.com/embed/PsTwIpzy7TM?rel=0" TargetMode="External"/><Relationship Id="rId968" Type="http://schemas.openxmlformats.org/officeDocument/2006/relationships/hyperlink" Target="https://www.youtube.com/embed/rI7zwGUP8Ho?rel=0" TargetMode="External"/><Relationship Id="rId969" Type="http://schemas.openxmlformats.org/officeDocument/2006/relationships/hyperlink" Target="https://www.youtube.com/embed/rI7zwGUP8Ho?rel=0" TargetMode="External"/><Relationship Id="rId970" Type="http://schemas.openxmlformats.org/officeDocument/2006/relationships/hyperlink" Target="https://www.youtube.com/embed/rI7zwGUP8Ho?rel=0" TargetMode="External"/><Relationship Id="rId971" Type="http://schemas.openxmlformats.org/officeDocument/2006/relationships/hyperlink" Target="https://www.youtube.com/embed/Kb9_J_bXN2o?rel=0" TargetMode="External"/><Relationship Id="rId972" Type="http://schemas.openxmlformats.org/officeDocument/2006/relationships/hyperlink" Target="https://www.youtube.com/embed/0r1_l0UD8n4?rel=0" TargetMode="External"/><Relationship Id="rId973" Type="http://schemas.openxmlformats.org/officeDocument/2006/relationships/hyperlink" Target="https://www.youtube.com/embed/24uiySyLvO0?rel=0" TargetMode="External"/><Relationship Id="rId974" Type="http://schemas.openxmlformats.org/officeDocument/2006/relationships/hyperlink" Target="https://www.youtube.com/embed/4x_RSHT1ySE" TargetMode="External"/><Relationship Id="rId975" Type="http://schemas.openxmlformats.org/officeDocument/2006/relationships/hyperlink" Target="https://www.youtube.com/embed/4x_RSHT1ySE" TargetMode="External"/><Relationship Id="rId976" Type="http://schemas.openxmlformats.org/officeDocument/2006/relationships/hyperlink" Target="https://www.youtube.com/embed/4x_RSHT1ySE" TargetMode="External"/><Relationship Id="rId977" Type="http://schemas.openxmlformats.org/officeDocument/2006/relationships/hyperlink" Target="https://www.youtube.com/embed/4x_RSHT1ySE" TargetMode="External"/><Relationship Id="rId978" Type="http://schemas.openxmlformats.org/officeDocument/2006/relationships/hyperlink" Target="https://www.youtube.com/embed/4x_RSHT1ySE" TargetMode="External"/><Relationship Id="rId979" Type="http://schemas.openxmlformats.org/officeDocument/2006/relationships/hyperlink" Target="https://www.youtube.com/embed/4x_RSHT1ySE" TargetMode="External"/><Relationship Id="rId980" Type="http://schemas.openxmlformats.org/officeDocument/2006/relationships/hyperlink" Target="https://www.youtube.com/embed/4x_RSHT1ySE" TargetMode="External"/><Relationship Id="rId981" Type="http://schemas.openxmlformats.org/officeDocument/2006/relationships/hyperlink" Target="https://www.youtube.com/embed/4x_RSHT1ySE" TargetMode="External"/><Relationship Id="rId982" Type="http://schemas.openxmlformats.org/officeDocument/2006/relationships/hyperlink" Target="https://www.youtube.com/embed/u1lC3QZd2s4" TargetMode="External"/><Relationship Id="rId983" Type="http://schemas.openxmlformats.org/officeDocument/2006/relationships/hyperlink" Target="https://www.youtube.com/embed/k_zUNZN8zLQ?rel=0" TargetMode="External"/><Relationship Id="rId984" Type="http://schemas.openxmlformats.org/officeDocument/2006/relationships/hyperlink" Target="https://www.youtube.com/embed/_NO1Pz5tWsc?rel=0" TargetMode="External"/><Relationship Id="rId985" Type="http://schemas.openxmlformats.org/officeDocument/2006/relationships/hyperlink" Target="https://www.youtube.com/embed/Dz2Bst9R5fM?rel=0" TargetMode="External"/><Relationship Id="rId986" Type="http://schemas.openxmlformats.org/officeDocument/2006/relationships/hyperlink" Target="https://www.youtube.com/embed/Dz2Bst9R5fM?rel=0" TargetMode="External"/><Relationship Id="rId987" Type="http://schemas.openxmlformats.org/officeDocument/2006/relationships/hyperlink" Target="https://www.youtube.com/embed/Un9cFAuHT3k?rel=0" TargetMode="External"/><Relationship Id="rId988" Type="http://schemas.openxmlformats.org/officeDocument/2006/relationships/hyperlink" Target="https://www.youtube.com/embed/neK2HxwKlG8?rel=0" TargetMode="External"/><Relationship Id="rId989" Type="http://schemas.openxmlformats.org/officeDocument/2006/relationships/hyperlink" Target="https://www.youtube.com/embed/ouY0yNp_cCs?rel=0" TargetMode="External"/><Relationship Id="rId990" Type="http://schemas.openxmlformats.org/officeDocument/2006/relationships/hyperlink" Target="https://www.youtube.com/embed/BxdeBmjgyFA?rel=0" TargetMode="External"/><Relationship Id="rId991" Type="http://schemas.openxmlformats.org/officeDocument/2006/relationships/hyperlink" Target="https://www.youtube.com/embed/MZD82YS9-2w?rel=0" TargetMode="External"/><Relationship Id="rId992" Type="http://schemas.openxmlformats.org/officeDocument/2006/relationships/hyperlink" Target="https://www.youtube.com/embed/suWFVO_Gr0Q?rel=0" TargetMode="External"/><Relationship Id="rId993" Type="http://schemas.openxmlformats.org/officeDocument/2006/relationships/hyperlink" Target="https://www.youtube.com/embed/6VWHmmZE0Vw?rel=0" TargetMode="External"/><Relationship Id="rId994" Type="http://schemas.openxmlformats.org/officeDocument/2006/relationships/hyperlink" Target="https://www.youtube.com/embed/fk1F-y2iHy8?rel=0" TargetMode="External"/><Relationship Id="rId995" Type="http://schemas.openxmlformats.org/officeDocument/2006/relationships/hyperlink" Target="https://www.youtube.com/embed/KxmUvBMyKzk?rel=0" TargetMode="External"/><Relationship Id="rId996" Type="http://schemas.openxmlformats.org/officeDocument/2006/relationships/hyperlink" Target="https://www.youtube.com/embed/IIM5UrVsUqA?rel=0" TargetMode="External"/><Relationship Id="rId997" Type="http://schemas.openxmlformats.org/officeDocument/2006/relationships/hyperlink" Target="https://www.youtube.com/embed/dTc9aulzKz0?rel=0" TargetMode="External"/><Relationship Id="rId998" Type="http://schemas.openxmlformats.org/officeDocument/2006/relationships/hyperlink" Target="https://www.youtube.com/embed/64NHwz9dfuc?rel=0" TargetMode="External"/><Relationship Id="rId999" Type="http://schemas.openxmlformats.org/officeDocument/2006/relationships/hyperlink" Target="https://www.youtube.com/embed/GYxxpbw_ABo?rel=0" TargetMode="External"/><Relationship Id="rId1000" Type="http://schemas.openxmlformats.org/officeDocument/2006/relationships/hyperlink" Target="https://www.youtube.com/embed/7HtdASrzr8I?rel=0" TargetMode="External"/><Relationship Id="rId100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L17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95"/>
    <col collapsed="false" customWidth="true" hidden="false" outlineLevel="0" max="2" min="2" style="2" width="12.04"/>
    <col collapsed="false" customWidth="true" hidden="false" outlineLevel="0" max="3" min="3" style="1" width="9.95"/>
    <col collapsed="false" customWidth="true" hidden="false" outlineLevel="0" max="4" min="4" style="1" width="67.09"/>
    <col collapsed="false" customWidth="true" hidden="false" outlineLevel="0" max="5" min="5" style="1" width="17.35"/>
    <col collapsed="false" customWidth="true" hidden="false" outlineLevel="0" max="11" min="6" style="1" width="11.22"/>
    <col collapsed="false" customWidth="true" hidden="false" outlineLevel="0" max="12" min="12" style="1" width="19.38"/>
    <col collapsed="false" customWidth="true" hidden="false" outlineLevel="0" max="13" min="13" style="1" width="11.22"/>
    <col collapsed="false" customWidth="true" hidden="true" outlineLevel="0" max="14" min="14" style="1" width="11.22"/>
    <col collapsed="false" customWidth="true" hidden="false" outlineLevel="0" max="17" min="15" style="1" width="11.22"/>
    <col collapsed="false" customWidth="false" hidden="false" outlineLevel="0" max="64" min="18" style="1" width="11.52"/>
    <col collapsed="false" customWidth="false" hidden="false" outlineLevel="0" max="1024" min="65" style="3" width="11.52"/>
  </cols>
  <sheetData>
    <row r="1" customFormat="false" ht="55.2" hidden="false" customHeight="true" outlineLevel="0" collapsed="false">
      <c r="A1" s="4"/>
      <c r="B1" s="4"/>
      <c r="C1" s="4"/>
      <c r="D1" s="4"/>
      <c r="E1" s="4"/>
      <c r="F1" s="4"/>
      <c r="G1" s="4"/>
      <c r="H1" s="4"/>
      <c r="I1" s="5" t="n">
        <v>0</v>
      </c>
      <c r="J1" s="5" t="n">
        <v>0.1</v>
      </c>
      <c r="K1" s="5" t="n">
        <v>0.3</v>
      </c>
      <c r="L1" s="5" t="n">
        <v>0.35</v>
      </c>
      <c r="M1" s="6"/>
      <c r="N1" s="6"/>
      <c r="O1" s="6"/>
      <c r="P1" s="7" t="s">
        <v>0</v>
      </c>
      <c r="Q1" s="8" t="n">
        <v>0</v>
      </c>
      <c r="BL1" s="3"/>
    </row>
    <row r="2" customFormat="false" ht="46.25" hidden="false" customHeight="true" outlineLevel="0" collapsed="false">
      <c r="A2" s="9" t="s">
        <v>1</v>
      </c>
      <c r="B2" s="9"/>
      <c r="C2" s="9"/>
      <c r="D2" s="9"/>
      <c r="E2" s="4"/>
      <c r="F2" s="4"/>
      <c r="G2" s="10"/>
      <c r="H2" s="11"/>
      <c r="I2" s="12"/>
      <c r="J2" s="13"/>
      <c r="K2" s="13"/>
      <c r="L2" s="4"/>
      <c r="M2" s="14"/>
      <c r="N2" s="14"/>
      <c r="O2" s="6"/>
      <c r="P2" s="15"/>
      <c r="Q2" s="16"/>
      <c r="BL2" s="3"/>
    </row>
    <row r="3" customFormat="false" ht="35.05" hidden="false" customHeight="false" outlineLevel="0" collapsed="false">
      <c r="A3" s="17" t="s">
        <v>2</v>
      </c>
      <c r="B3" s="18" t="s">
        <v>3</v>
      </c>
      <c r="C3" s="4" t="s">
        <v>4</v>
      </c>
      <c r="D3" s="19" t="s">
        <v>5</v>
      </c>
      <c r="E3" s="19" t="s">
        <v>6</v>
      </c>
      <c r="F3" s="4" t="s">
        <v>7</v>
      </c>
      <c r="G3" s="20" t="s">
        <v>8</v>
      </c>
      <c r="H3" s="11" t="s">
        <v>9</v>
      </c>
      <c r="I3" s="12" t="s">
        <v>10</v>
      </c>
      <c r="J3" s="13" t="s">
        <v>11</v>
      </c>
      <c r="K3" s="13" t="s">
        <v>12</v>
      </c>
      <c r="L3" s="4" t="s">
        <v>13</v>
      </c>
      <c r="M3" s="14" t="s">
        <v>14</v>
      </c>
      <c r="N3" s="14" t="s">
        <v>15</v>
      </c>
      <c r="O3" s="4" t="s">
        <v>16</v>
      </c>
      <c r="P3" s="4" t="s">
        <v>17</v>
      </c>
      <c r="Q3" s="21" t="s">
        <v>18</v>
      </c>
    </row>
    <row r="4" customFormat="false" ht="12.8" hidden="false" customHeight="false" outlineLevel="0" collapsed="false">
      <c r="A4" s="22"/>
      <c r="B4" s="23"/>
      <c r="C4" s="24"/>
      <c r="D4" s="22"/>
      <c r="E4" s="19"/>
      <c r="F4" s="24"/>
      <c r="G4" s="25"/>
      <c r="H4" s="26"/>
      <c r="I4" s="27"/>
      <c r="J4" s="28"/>
      <c r="K4" s="28"/>
      <c r="L4" s="24"/>
      <c r="M4" s="29"/>
      <c r="N4" s="29"/>
      <c r="O4" s="24"/>
      <c r="P4" s="4"/>
      <c r="Q4" s="16"/>
    </row>
    <row r="5" customFormat="false" ht="12.8" hidden="false" customHeight="false" outlineLevel="0" collapsed="false">
      <c r="A5" s="30" t="s">
        <v>19</v>
      </c>
      <c r="B5" s="31"/>
      <c r="C5" s="32"/>
      <c r="D5" s="33"/>
      <c r="E5" s="34"/>
      <c r="F5" s="32"/>
      <c r="G5" s="35"/>
      <c r="H5" s="36"/>
      <c r="I5" s="37"/>
      <c r="J5" s="38"/>
      <c r="K5" s="38"/>
      <c r="L5" s="32"/>
      <c r="M5" s="39"/>
      <c r="N5" s="39"/>
      <c r="O5" s="32"/>
      <c r="P5" s="40"/>
      <c r="Q5" s="41"/>
    </row>
    <row r="6" customFormat="false" ht="12.8" hidden="false" customHeight="false" outlineLevel="0" collapsed="false">
      <c r="A6" s="22"/>
      <c r="B6" s="23"/>
      <c r="C6" s="24"/>
      <c r="D6" s="22"/>
      <c r="E6" s="19"/>
      <c r="F6" s="24"/>
      <c r="G6" s="25"/>
      <c r="H6" s="26"/>
      <c r="I6" s="27"/>
      <c r="J6" s="28"/>
      <c r="K6" s="28"/>
      <c r="L6" s="24"/>
      <c r="M6" s="29"/>
      <c r="N6" s="29"/>
      <c r="O6" s="24"/>
      <c r="P6" s="4"/>
      <c r="Q6" s="16"/>
    </row>
    <row r="7" customFormat="false" ht="12.8" hidden="false" customHeight="false" outlineLevel="0" collapsed="false">
      <c r="A7" s="42" t="s">
        <v>20</v>
      </c>
      <c r="B7" s="43"/>
      <c r="C7" s="44"/>
      <c r="D7" s="45"/>
      <c r="E7" s="46"/>
      <c r="F7" s="44"/>
      <c r="G7" s="47"/>
      <c r="H7" s="48"/>
      <c r="I7" s="49"/>
      <c r="J7" s="50"/>
      <c r="K7" s="50"/>
      <c r="L7" s="44"/>
      <c r="M7" s="51"/>
      <c r="N7" s="51"/>
      <c r="O7" s="44"/>
      <c r="P7" s="52"/>
      <c r="Q7" s="53"/>
    </row>
    <row r="8" customFormat="false" ht="12.8" hidden="false" customHeight="false" outlineLevel="0" collapsed="false">
      <c r="A8" s="22"/>
      <c r="B8" s="23"/>
      <c r="C8" s="24"/>
      <c r="D8" s="22"/>
      <c r="E8" s="19"/>
      <c r="F8" s="24"/>
      <c r="G8" s="25"/>
      <c r="H8" s="26"/>
      <c r="I8" s="27"/>
      <c r="J8" s="28"/>
      <c r="K8" s="28"/>
      <c r="L8" s="24"/>
      <c r="M8" s="29"/>
      <c r="N8" s="29"/>
      <c r="O8" s="24"/>
      <c r="P8" s="4"/>
      <c r="Q8" s="16"/>
    </row>
    <row r="9" customFormat="false" ht="12.8" hidden="false" customHeight="false" outlineLevel="0" collapsed="false">
      <c r="A9" s="22"/>
      <c r="B9" s="23" t="n">
        <v>550002000</v>
      </c>
      <c r="C9" s="24" t="n">
        <v>50</v>
      </c>
      <c r="D9" s="54" t="s">
        <v>21</v>
      </c>
      <c r="E9" s="19" t="s">
        <v>22</v>
      </c>
      <c r="F9" s="24" t="s">
        <v>23</v>
      </c>
      <c r="G9" s="25" t="n">
        <v>0.05</v>
      </c>
      <c r="H9" s="26"/>
      <c r="I9" s="27" t="n">
        <v>50</v>
      </c>
      <c r="J9" s="28" t="n">
        <v>120</v>
      </c>
      <c r="K9" s="28" t="n">
        <v>1</v>
      </c>
      <c r="L9" s="24" t="s">
        <v>24</v>
      </c>
      <c r="M9" s="29" t="n">
        <f aca="false">IF("oui" = "oui",2.5*(1-disc),2.5)</f>
        <v>2.5</v>
      </c>
      <c r="N9" s="29" t="n">
        <f aca="false">IF("oui" = "oui",2.5*(1-disc)*1.2,2.5*1.2)</f>
        <v>3</v>
      </c>
      <c r="O9" s="24" t="s">
        <v>25</v>
      </c>
      <c r="P9" s="7" t="s">
        <v>26</v>
      </c>
      <c r="Q9" s="16"/>
    </row>
    <row r="10" customFormat="false" ht="12.8" hidden="false" customHeight="false" outlineLevel="0" collapsed="false">
      <c r="A10" s="22"/>
      <c r="B10" s="23" t="n">
        <v>550005000</v>
      </c>
      <c r="C10" s="24" t="n">
        <v>50</v>
      </c>
      <c r="D10" s="54" t="s">
        <v>27</v>
      </c>
      <c r="E10" s="19" t="s">
        <v>22</v>
      </c>
      <c r="F10" s="24" t="s">
        <v>23</v>
      </c>
      <c r="G10" s="25" t="n">
        <v>0.05</v>
      </c>
      <c r="H10" s="26"/>
      <c r="I10" s="27" t="n">
        <v>50</v>
      </c>
      <c r="J10" s="28" t="n">
        <v>120</v>
      </c>
      <c r="K10" s="28" t="n">
        <v>1</v>
      </c>
      <c r="L10" s="24" t="s">
        <v>24</v>
      </c>
      <c r="M10" s="29" t="n">
        <f aca="false">IF("oui" = "oui",2.5*(1-disc),2.5)</f>
        <v>2.5</v>
      </c>
      <c r="N10" s="29" t="n">
        <f aca="false">IF("oui" = "oui",2.5*(1-disc)*1.2,2.5*1.2)</f>
        <v>3</v>
      </c>
      <c r="O10" s="24" t="s">
        <v>25</v>
      </c>
      <c r="P10" s="4" t="s">
        <v>25</v>
      </c>
      <c r="Q10" s="16"/>
    </row>
    <row r="11" customFormat="false" ht="12.8" hidden="false" customHeight="false" outlineLevel="0" collapsed="false">
      <c r="A11" s="22"/>
      <c r="B11" s="23" t="n">
        <v>550007000</v>
      </c>
      <c r="C11" s="24" t="n">
        <v>50</v>
      </c>
      <c r="D11" s="54" t="s">
        <v>28</v>
      </c>
      <c r="E11" s="19" t="s">
        <v>22</v>
      </c>
      <c r="F11" s="24" t="s">
        <v>23</v>
      </c>
      <c r="G11" s="25" t="n">
        <v>0.05</v>
      </c>
      <c r="H11" s="26"/>
      <c r="I11" s="27" t="n">
        <v>50</v>
      </c>
      <c r="J11" s="28" t="n">
        <v>120</v>
      </c>
      <c r="K11" s="28" t="n">
        <v>1</v>
      </c>
      <c r="L11" s="24" t="s">
        <v>24</v>
      </c>
      <c r="M11" s="29" t="n">
        <f aca="false">IF("oui" = "oui",2.5*(1-disc),2.5)</f>
        <v>2.5</v>
      </c>
      <c r="N11" s="29" t="n">
        <f aca="false">IF("oui" = "oui",2.5*(1-disc)*1.2,2.5*1.2)</f>
        <v>3</v>
      </c>
      <c r="O11" s="24" t="s">
        <v>25</v>
      </c>
      <c r="P11" s="4" t="s">
        <v>25</v>
      </c>
      <c r="Q11" s="16"/>
    </row>
    <row r="12" customFormat="false" ht="12.8" hidden="false" customHeight="false" outlineLevel="0" collapsed="false">
      <c r="A12" s="22"/>
      <c r="B12" s="23" t="n">
        <v>550008000</v>
      </c>
      <c r="C12" s="24" t="n">
        <v>50</v>
      </c>
      <c r="D12" s="54" t="s">
        <v>29</v>
      </c>
      <c r="E12" s="19" t="s">
        <v>22</v>
      </c>
      <c r="F12" s="24" t="s">
        <v>23</v>
      </c>
      <c r="G12" s="25" t="n">
        <v>0.05</v>
      </c>
      <c r="H12" s="26"/>
      <c r="I12" s="27" t="n">
        <v>50</v>
      </c>
      <c r="J12" s="28" t="n">
        <v>120</v>
      </c>
      <c r="K12" s="28" t="n">
        <v>1</v>
      </c>
      <c r="L12" s="24" t="s">
        <v>24</v>
      </c>
      <c r="M12" s="29" t="n">
        <f aca="false">IF("oui" = "oui",2.5*(1-disc),2.5)</f>
        <v>2.5</v>
      </c>
      <c r="N12" s="29" t="n">
        <f aca="false">IF("oui" = "oui",2.5*(1-disc)*1.2,2.5*1.2)</f>
        <v>3</v>
      </c>
      <c r="O12" s="24" t="s">
        <v>25</v>
      </c>
      <c r="P12" s="4" t="s">
        <v>25</v>
      </c>
      <c r="Q12" s="16"/>
    </row>
    <row r="13" customFormat="false" ht="12.8" hidden="false" customHeight="false" outlineLevel="0" collapsed="false">
      <c r="A13" s="22"/>
      <c r="B13" s="23" t="n">
        <v>550009000</v>
      </c>
      <c r="C13" s="24" t="n">
        <v>50</v>
      </c>
      <c r="D13" s="54" t="s">
        <v>30</v>
      </c>
      <c r="E13" s="19" t="s">
        <v>22</v>
      </c>
      <c r="F13" s="24" t="s">
        <v>23</v>
      </c>
      <c r="G13" s="25" t="n">
        <v>0.05</v>
      </c>
      <c r="H13" s="26"/>
      <c r="I13" s="27" t="n">
        <v>50</v>
      </c>
      <c r="J13" s="28" t="n">
        <v>120</v>
      </c>
      <c r="K13" s="28" t="n">
        <v>1</v>
      </c>
      <c r="L13" s="24" t="s">
        <v>24</v>
      </c>
      <c r="M13" s="29" t="n">
        <f aca="false">IF("oui" = "oui",2.5*(1-disc),2.5)</f>
        <v>2.5</v>
      </c>
      <c r="N13" s="29" t="n">
        <f aca="false">IF("oui" = "oui",2.5*(1-disc)*1.2,2.5*1.2)</f>
        <v>3</v>
      </c>
      <c r="O13" s="24" t="s">
        <v>25</v>
      </c>
      <c r="P13" s="4" t="s">
        <v>25</v>
      </c>
      <c r="Q13" s="16"/>
    </row>
    <row r="14" customFormat="false" ht="12.8" hidden="false" customHeight="false" outlineLevel="0" collapsed="false">
      <c r="A14" s="22"/>
      <c r="B14" s="23" t="n">
        <v>550010000</v>
      </c>
      <c r="C14" s="24" t="n">
        <v>50</v>
      </c>
      <c r="D14" s="54" t="s">
        <v>31</v>
      </c>
      <c r="E14" s="19" t="s">
        <v>22</v>
      </c>
      <c r="F14" s="24" t="s">
        <v>23</v>
      </c>
      <c r="G14" s="25" t="n">
        <v>0.05</v>
      </c>
      <c r="H14" s="26"/>
      <c r="I14" s="27" t="n">
        <v>50</v>
      </c>
      <c r="J14" s="28" t="n">
        <v>120</v>
      </c>
      <c r="K14" s="28" t="n">
        <v>1</v>
      </c>
      <c r="L14" s="24" t="s">
        <v>24</v>
      </c>
      <c r="M14" s="29" t="n">
        <f aca="false">IF("oui" = "oui",2.5*(1-disc),2.5)</f>
        <v>2.5</v>
      </c>
      <c r="N14" s="29" t="n">
        <f aca="false">IF("oui" = "oui",2.5*(1-disc)*1.2,2.5*1.2)</f>
        <v>3</v>
      </c>
      <c r="O14" s="24" t="s">
        <v>25</v>
      </c>
      <c r="P14" s="4" t="s">
        <v>25</v>
      </c>
      <c r="Q14" s="16"/>
    </row>
    <row r="15" customFormat="false" ht="12.8" hidden="false" customHeight="false" outlineLevel="0" collapsed="false">
      <c r="A15" s="22"/>
      <c r="B15" s="23" t="n">
        <v>550012000</v>
      </c>
      <c r="C15" s="24" t="n">
        <v>50</v>
      </c>
      <c r="D15" s="54" t="s">
        <v>32</v>
      </c>
      <c r="E15" s="19" t="s">
        <v>22</v>
      </c>
      <c r="F15" s="24" t="s">
        <v>23</v>
      </c>
      <c r="G15" s="25" t="n">
        <v>0.05</v>
      </c>
      <c r="H15" s="26"/>
      <c r="I15" s="27" t="n">
        <v>50</v>
      </c>
      <c r="J15" s="28" t="n">
        <v>120</v>
      </c>
      <c r="K15" s="28" t="n">
        <v>1</v>
      </c>
      <c r="L15" s="24" t="s">
        <v>24</v>
      </c>
      <c r="M15" s="29" t="n">
        <f aca="false">IF("oui" = "oui",2.5*(1-disc),2.5)</f>
        <v>2.5</v>
      </c>
      <c r="N15" s="29" t="n">
        <f aca="false">IF("oui" = "oui",2.5*(1-disc)*1.2,2.5*1.2)</f>
        <v>3</v>
      </c>
      <c r="O15" s="24" t="s">
        <v>25</v>
      </c>
      <c r="P15" s="4" t="s">
        <v>25</v>
      </c>
      <c r="Q15" s="16"/>
    </row>
    <row r="16" customFormat="false" ht="12.8" hidden="false" customHeight="false" outlineLevel="0" collapsed="false">
      <c r="A16" s="22"/>
      <c r="B16" s="23"/>
      <c r="C16" s="24"/>
      <c r="D16" s="22"/>
      <c r="E16" s="19"/>
      <c r="F16" s="24"/>
      <c r="G16" s="25"/>
      <c r="H16" s="26"/>
      <c r="I16" s="27"/>
      <c r="J16" s="28"/>
      <c r="K16" s="28"/>
      <c r="L16" s="24"/>
      <c r="M16" s="29"/>
      <c r="N16" s="29"/>
      <c r="O16" s="24"/>
      <c r="P16" s="4"/>
      <c r="Q16" s="16"/>
    </row>
    <row r="17" customFormat="false" ht="12.8" hidden="false" customHeight="false" outlineLevel="0" collapsed="false">
      <c r="A17" s="22"/>
      <c r="B17" s="23" t="n">
        <v>550083000</v>
      </c>
      <c r="C17" s="24" t="n">
        <v>50</v>
      </c>
      <c r="D17" s="22" t="s">
        <v>33</v>
      </c>
      <c r="E17" s="19" t="s">
        <v>22</v>
      </c>
      <c r="F17" s="24" t="s">
        <v>23</v>
      </c>
      <c r="G17" s="25" t="n">
        <v>0.25</v>
      </c>
      <c r="H17" s="26"/>
      <c r="I17" s="27" t="n">
        <v>50</v>
      </c>
      <c r="J17" s="28" t="n">
        <v>24</v>
      </c>
      <c r="K17" s="28" t="n">
        <v>5</v>
      </c>
      <c r="L17" s="24" t="s">
        <v>24</v>
      </c>
      <c r="M17" s="29" t="n">
        <f aca="false">IF("oui" = "oui",12.61*(1-disc),12.61)</f>
        <v>12.61</v>
      </c>
      <c r="N17" s="29" t="n">
        <f aca="false">IF("oui" = "oui",12.61*(1-disc)*1.2,12.61*1.2)</f>
        <v>15.132</v>
      </c>
      <c r="O17" s="24" t="s">
        <v>25</v>
      </c>
      <c r="P17" s="4" t="s">
        <v>25</v>
      </c>
      <c r="Q17" s="16"/>
    </row>
    <row r="18" customFormat="false" ht="12.8" hidden="false" customHeight="false" outlineLevel="0" collapsed="false">
      <c r="A18" s="22"/>
      <c r="B18" s="23"/>
      <c r="C18" s="24"/>
      <c r="D18" s="22"/>
      <c r="E18" s="19"/>
      <c r="F18" s="24"/>
      <c r="G18" s="25"/>
      <c r="H18" s="26"/>
      <c r="I18" s="27"/>
      <c r="J18" s="28"/>
      <c r="K18" s="28"/>
      <c r="L18" s="24"/>
      <c r="M18" s="29"/>
      <c r="N18" s="29"/>
      <c r="O18" s="24"/>
      <c r="P18" s="4"/>
      <c r="Q18" s="16"/>
    </row>
    <row r="19" customFormat="false" ht="12.8" hidden="false" customHeight="false" outlineLevel="0" collapsed="false">
      <c r="A19" s="42" t="s">
        <v>34</v>
      </c>
      <c r="B19" s="43"/>
      <c r="C19" s="44"/>
      <c r="D19" s="45"/>
      <c r="E19" s="46"/>
      <c r="F19" s="44"/>
      <c r="G19" s="47"/>
      <c r="H19" s="48"/>
      <c r="I19" s="49"/>
      <c r="J19" s="50"/>
      <c r="K19" s="50"/>
      <c r="L19" s="44"/>
      <c r="M19" s="51"/>
      <c r="N19" s="51"/>
      <c r="O19" s="44"/>
      <c r="P19" s="52"/>
      <c r="Q19" s="53"/>
    </row>
    <row r="20" customFormat="false" ht="12.8" hidden="false" customHeight="false" outlineLevel="0" collapsed="false">
      <c r="A20" s="22"/>
      <c r="B20" s="23"/>
      <c r="C20" s="24"/>
      <c r="D20" s="22"/>
      <c r="E20" s="19"/>
      <c r="F20" s="24"/>
      <c r="G20" s="25"/>
      <c r="H20" s="26"/>
      <c r="I20" s="27"/>
      <c r="J20" s="28"/>
      <c r="K20" s="28"/>
      <c r="L20" s="24"/>
      <c r="M20" s="29"/>
      <c r="N20" s="29"/>
      <c r="O20" s="24"/>
      <c r="P20" s="4"/>
      <c r="Q20" s="16"/>
    </row>
    <row r="21" customFormat="false" ht="12.8" hidden="false" customHeight="false" outlineLevel="0" collapsed="false">
      <c r="A21" s="22"/>
      <c r="B21" s="23" t="n">
        <v>550084000</v>
      </c>
      <c r="C21" s="24" t="n">
        <v>50</v>
      </c>
      <c r="D21" s="54" t="s">
        <v>35</v>
      </c>
      <c r="E21" s="19" t="s">
        <v>36</v>
      </c>
      <c r="F21" s="24" t="s">
        <v>23</v>
      </c>
      <c r="G21" s="25" t="n">
        <v>0.049</v>
      </c>
      <c r="H21" s="26"/>
      <c r="I21" s="27" t="n">
        <v>50</v>
      </c>
      <c r="J21" s="28" t="n">
        <v>120</v>
      </c>
      <c r="K21" s="28" t="n">
        <v>1</v>
      </c>
      <c r="L21" s="24" t="s">
        <v>24</v>
      </c>
      <c r="M21" s="29" t="n">
        <f aca="false">IF("oui" = "oui",2.5*(1-disc),2.5)</f>
        <v>2.5</v>
      </c>
      <c r="N21" s="29" t="n">
        <f aca="false">IF("oui" = "oui",2.5*(1-disc)*1.2,2.5*1.2)</f>
        <v>3</v>
      </c>
      <c r="O21" s="24" t="s">
        <v>25</v>
      </c>
      <c r="P21" s="55" t="s">
        <v>37</v>
      </c>
      <c r="Q21" s="16"/>
    </row>
    <row r="22" customFormat="false" ht="12.8" hidden="false" customHeight="false" outlineLevel="0" collapsed="false">
      <c r="A22" s="22"/>
      <c r="B22" s="23" t="n">
        <v>550085000</v>
      </c>
      <c r="C22" s="24" t="n">
        <v>50</v>
      </c>
      <c r="D22" s="54" t="s">
        <v>38</v>
      </c>
      <c r="E22" s="19" t="s">
        <v>36</v>
      </c>
      <c r="F22" s="24" t="s">
        <v>23</v>
      </c>
      <c r="G22" s="25" t="n">
        <v>0.049</v>
      </c>
      <c r="H22" s="26"/>
      <c r="I22" s="27" t="n">
        <v>50</v>
      </c>
      <c r="J22" s="28" t="n">
        <v>120</v>
      </c>
      <c r="K22" s="28" t="n">
        <v>1</v>
      </c>
      <c r="L22" s="24" t="s">
        <v>24</v>
      </c>
      <c r="M22" s="29" t="n">
        <f aca="false">IF("oui" = "oui",2.5*(1-disc),2.5)</f>
        <v>2.5</v>
      </c>
      <c r="N22" s="29" t="n">
        <f aca="false">IF("oui" = "oui",2.5*(1-disc)*1.2,2.5*1.2)</f>
        <v>3</v>
      </c>
      <c r="O22" s="24" t="s">
        <v>25</v>
      </c>
      <c r="P22" s="4" t="s">
        <v>25</v>
      </c>
      <c r="Q22" s="16"/>
    </row>
    <row r="23" customFormat="false" ht="12.8" hidden="false" customHeight="false" outlineLevel="0" collapsed="false">
      <c r="A23" s="22"/>
      <c r="B23" s="23" t="n">
        <v>550086000</v>
      </c>
      <c r="C23" s="24" t="n">
        <v>50</v>
      </c>
      <c r="D23" s="54" t="s">
        <v>39</v>
      </c>
      <c r="E23" s="19" t="s">
        <v>36</v>
      </c>
      <c r="F23" s="24" t="s">
        <v>23</v>
      </c>
      <c r="G23" s="25" t="n">
        <v>0.049</v>
      </c>
      <c r="H23" s="26"/>
      <c r="I23" s="27" t="n">
        <v>50</v>
      </c>
      <c r="J23" s="28" t="n">
        <v>120</v>
      </c>
      <c r="K23" s="28" t="n">
        <v>1</v>
      </c>
      <c r="L23" s="24" t="s">
        <v>24</v>
      </c>
      <c r="M23" s="29" t="n">
        <f aca="false">IF("oui" = "oui",2.5*(1-disc),2.5)</f>
        <v>2.5</v>
      </c>
      <c r="N23" s="29" t="n">
        <f aca="false">IF("oui" = "oui",2.5*(1-disc)*1.2,2.5*1.2)</f>
        <v>3</v>
      </c>
      <c r="O23" s="24" t="s">
        <v>25</v>
      </c>
      <c r="P23" s="4" t="s">
        <v>25</v>
      </c>
      <c r="Q23" s="16"/>
    </row>
    <row r="24" customFormat="false" ht="12.8" hidden="false" customHeight="false" outlineLevel="0" collapsed="false">
      <c r="A24" s="22"/>
      <c r="B24" s="23" t="n">
        <v>550087000</v>
      </c>
      <c r="C24" s="24" t="n">
        <v>50</v>
      </c>
      <c r="D24" s="54" t="s">
        <v>40</v>
      </c>
      <c r="E24" s="19" t="s">
        <v>36</v>
      </c>
      <c r="F24" s="24" t="s">
        <v>23</v>
      </c>
      <c r="G24" s="25" t="n">
        <v>0.049</v>
      </c>
      <c r="H24" s="26"/>
      <c r="I24" s="27" t="n">
        <v>50</v>
      </c>
      <c r="J24" s="28" t="n">
        <v>120</v>
      </c>
      <c r="K24" s="28" t="n">
        <v>1</v>
      </c>
      <c r="L24" s="24" t="s">
        <v>24</v>
      </c>
      <c r="M24" s="29" t="n">
        <f aca="false">IF("oui" = "oui",2.5*(1-disc),2.5)</f>
        <v>2.5</v>
      </c>
      <c r="N24" s="29" t="n">
        <f aca="false">IF("oui" = "oui",2.5*(1-disc)*1.2,2.5*1.2)</f>
        <v>3</v>
      </c>
      <c r="O24" s="24" t="s">
        <v>25</v>
      </c>
      <c r="P24" s="4" t="s">
        <v>25</v>
      </c>
      <c r="Q24" s="16"/>
    </row>
    <row r="25" customFormat="false" ht="12.8" hidden="false" customHeight="false" outlineLevel="0" collapsed="false">
      <c r="A25" s="22"/>
      <c r="B25" s="23" t="n">
        <v>550088000</v>
      </c>
      <c r="C25" s="24" t="n">
        <v>50</v>
      </c>
      <c r="D25" s="54" t="s">
        <v>41</v>
      </c>
      <c r="E25" s="19" t="s">
        <v>36</v>
      </c>
      <c r="F25" s="24" t="s">
        <v>23</v>
      </c>
      <c r="G25" s="25" t="n">
        <v>0.049</v>
      </c>
      <c r="H25" s="26"/>
      <c r="I25" s="27" t="n">
        <v>50</v>
      </c>
      <c r="J25" s="28" t="n">
        <v>120</v>
      </c>
      <c r="K25" s="28" t="n">
        <v>1</v>
      </c>
      <c r="L25" s="24" t="s">
        <v>24</v>
      </c>
      <c r="M25" s="29" t="n">
        <f aca="false">IF("oui" = "oui",2.5*(1-disc),2.5)</f>
        <v>2.5</v>
      </c>
      <c r="N25" s="29" t="n">
        <f aca="false">IF("oui" = "oui",2.5*(1-disc)*1.2,2.5*1.2)</f>
        <v>3</v>
      </c>
      <c r="O25" s="24" t="s">
        <v>25</v>
      </c>
      <c r="P25" s="4" t="s">
        <v>25</v>
      </c>
      <c r="Q25" s="16"/>
    </row>
    <row r="26" customFormat="false" ht="12.8" hidden="false" customHeight="false" outlineLevel="0" collapsed="false">
      <c r="A26" s="22"/>
      <c r="B26" s="23" t="n">
        <v>550089000</v>
      </c>
      <c r="C26" s="24" t="n">
        <v>50</v>
      </c>
      <c r="D26" s="54" t="s">
        <v>42</v>
      </c>
      <c r="E26" s="19"/>
      <c r="F26" s="24" t="s">
        <v>23</v>
      </c>
      <c r="G26" s="25" t="n">
        <v>0.049</v>
      </c>
      <c r="H26" s="26"/>
      <c r="I26" s="27" t="n">
        <v>50</v>
      </c>
      <c r="J26" s="28" t="n">
        <v>120</v>
      </c>
      <c r="K26" s="28" t="n">
        <v>1</v>
      </c>
      <c r="L26" s="24" t="s">
        <v>24</v>
      </c>
      <c r="M26" s="29" t="n">
        <f aca="false">IF("oui" = "oui",2.5*(1-disc),2.5)</f>
        <v>2.5</v>
      </c>
      <c r="N26" s="29" t="n">
        <f aca="false">IF("oui" = "oui",2.5*(1-disc)*1.2,2.5*1.2)</f>
        <v>3</v>
      </c>
      <c r="O26" s="24" t="s">
        <v>25</v>
      </c>
      <c r="P26" s="7" t="s">
        <v>26</v>
      </c>
      <c r="Q26" s="16"/>
    </row>
    <row r="27" customFormat="false" ht="12.8" hidden="false" customHeight="false" outlineLevel="0" collapsed="false">
      <c r="A27" s="22"/>
      <c r="B27" s="23" t="n">
        <v>550090000</v>
      </c>
      <c r="C27" s="24" t="n">
        <v>50</v>
      </c>
      <c r="D27" s="54" t="s">
        <v>43</v>
      </c>
      <c r="E27" s="19" t="s">
        <v>36</v>
      </c>
      <c r="F27" s="24" t="s">
        <v>23</v>
      </c>
      <c r="G27" s="25" t="n">
        <v>0.049</v>
      </c>
      <c r="H27" s="26"/>
      <c r="I27" s="27" t="n">
        <v>50</v>
      </c>
      <c r="J27" s="28" t="n">
        <v>120</v>
      </c>
      <c r="K27" s="28" t="n">
        <v>1</v>
      </c>
      <c r="L27" s="24" t="s">
        <v>24</v>
      </c>
      <c r="M27" s="29" t="n">
        <f aca="false">IF("oui" = "oui",2.5*(1-disc),2.5)</f>
        <v>2.5</v>
      </c>
      <c r="N27" s="29" t="n">
        <f aca="false">IF("oui" = "oui",2.5*(1-disc)*1.2,2.5*1.2)</f>
        <v>3</v>
      </c>
      <c r="O27" s="24" t="s">
        <v>25</v>
      </c>
      <c r="P27" s="4" t="s">
        <v>25</v>
      </c>
      <c r="Q27" s="16"/>
    </row>
    <row r="28" customFormat="false" ht="12.8" hidden="false" customHeight="false" outlineLevel="0" collapsed="false">
      <c r="A28" s="22"/>
      <c r="B28" s="23" t="n">
        <v>550091000</v>
      </c>
      <c r="C28" s="24" t="n">
        <v>50</v>
      </c>
      <c r="D28" s="54" t="s">
        <v>44</v>
      </c>
      <c r="E28" s="19" t="s">
        <v>36</v>
      </c>
      <c r="F28" s="24" t="s">
        <v>23</v>
      </c>
      <c r="G28" s="25" t="n">
        <v>0.049</v>
      </c>
      <c r="H28" s="26"/>
      <c r="I28" s="27" t="n">
        <v>50</v>
      </c>
      <c r="J28" s="28" t="n">
        <v>120</v>
      </c>
      <c r="K28" s="28" t="n">
        <v>1</v>
      </c>
      <c r="L28" s="24" t="s">
        <v>24</v>
      </c>
      <c r="M28" s="29" t="n">
        <f aca="false">IF("oui" = "oui",2.5*(1-disc),2.5)</f>
        <v>2.5</v>
      </c>
      <c r="N28" s="29" t="n">
        <f aca="false">IF("oui" = "oui",2.5*(1-disc)*1.2,2.5*1.2)</f>
        <v>3</v>
      </c>
      <c r="O28" s="24" t="s">
        <v>25</v>
      </c>
      <c r="P28" s="55" t="s">
        <v>45</v>
      </c>
      <c r="Q28" s="16"/>
    </row>
    <row r="29" customFormat="false" ht="12.8" hidden="false" customHeight="false" outlineLevel="0" collapsed="false">
      <c r="A29" s="22"/>
      <c r="B29" s="23"/>
      <c r="C29" s="24"/>
      <c r="D29" s="22"/>
      <c r="E29" s="19"/>
      <c r="F29" s="24"/>
      <c r="G29" s="25"/>
      <c r="H29" s="26"/>
      <c r="I29" s="27"/>
      <c r="J29" s="28"/>
      <c r="K29" s="28"/>
      <c r="L29" s="24"/>
      <c r="M29" s="29"/>
      <c r="N29" s="29"/>
      <c r="O29" s="24"/>
      <c r="P29" s="4"/>
      <c r="Q29" s="16"/>
    </row>
    <row r="30" customFormat="false" ht="12.8" hidden="false" customHeight="false" outlineLevel="0" collapsed="false">
      <c r="A30" s="22"/>
      <c r="B30" s="23" t="n">
        <v>550093000</v>
      </c>
      <c r="C30" s="24" t="n">
        <v>50</v>
      </c>
      <c r="D30" s="22" t="s">
        <v>46</v>
      </c>
      <c r="E30" s="19" t="s">
        <v>47</v>
      </c>
      <c r="F30" s="24" t="s">
        <v>23</v>
      </c>
      <c r="G30" s="25" t="n">
        <v>0.25</v>
      </c>
      <c r="H30" s="26"/>
      <c r="I30" s="27" t="n">
        <v>50</v>
      </c>
      <c r="J30" s="28" t="n">
        <v>24</v>
      </c>
      <c r="K30" s="28" t="n">
        <v>5</v>
      </c>
      <c r="L30" s="24" t="s">
        <v>24</v>
      </c>
      <c r="M30" s="29" t="n">
        <f aca="false">IF("oui" = "oui",12.61*(1-disc),12.61)</f>
        <v>12.61</v>
      </c>
      <c r="N30" s="29" t="n">
        <f aca="false">IF("oui" = "oui",12.61*(1-disc)*1.2,12.61*1.2)</f>
        <v>15.132</v>
      </c>
      <c r="O30" s="24" t="s">
        <v>25</v>
      </c>
      <c r="P30" s="4" t="s">
        <v>25</v>
      </c>
      <c r="Q30" s="16"/>
    </row>
    <row r="31" customFormat="false" ht="12.8" hidden="false" customHeight="false" outlineLevel="0" collapsed="false">
      <c r="A31" s="22"/>
      <c r="B31" s="23"/>
      <c r="C31" s="24"/>
      <c r="D31" s="22"/>
      <c r="E31" s="19"/>
      <c r="F31" s="24"/>
      <c r="G31" s="25"/>
      <c r="H31" s="26"/>
      <c r="I31" s="27"/>
      <c r="J31" s="28"/>
      <c r="K31" s="28"/>
      <c r="L31" s="24"/>
      <c r="M31" s="29"/>
      <c r="N31" s="29"/>
      <c r="O31" s="24"/>
      <c r="P31" s="4"/>
      <c r="Q31" s="16"/>
    </row>
    <row r="32" customFormat="false" ht="12.8" hidden="false" customHeight="false" outlineLevel="0" collapsed="false">
      <c r="A32" s="42" t="s">
        <v>48</v>
      </c>
      <c r="B32" s="43"/>
      <c r="C32" s="44"/>
      <c r="D32" s="45"/>
      <c r="E32" s="46"/>
      <c r="F32" s="44"/>
      <c r="G32" s="47"/>
      <c r="H32" s="48"/>
      <c r="I32" s="49"/>
      <c r="J32" s="50"/>
      <c r="K32" s="50"/>
      <c r="L32" s="44"/>
      <c r="M32" s="51"/>
      <c r="N32" s="51"/>
      <c r="O32" s="44"/>
      <c r="P32" s="52"/>
      <c r="Q32" s="53"/>
    </row>
    <row r="33" customFormat="false" ht="12.8" hidden="false" customHeight="false" outlineLevel="0" collapsed="false">
      <c r="A33" s="22"/>
      <c r="B33" s="56"/>
      <c r="C33" s="24"/>
      <c r="D33" s="22"/>
      <c r="E33" s="19"/>
      <c r="F33" s="24"/>
      <c r="G33" s="25"/>
      <c r="H33" s="26"/>
      <c r="I33" s="27"/>
      <c r="J33" s="28"/>
      <c r="K33" s="28"/>
      <c r="L33" s="24"/>
      <c r="M33" s="29"/>
      <c r="N33" s="29"/>
      <c r="O33" s="24"/>
      <c r="P33" s="4"/>
      <c r="Q33" s="16"/>
    </row>
    <row r="34" customFormat="false" ht="12.8" hidden="false" customHeight="false" outlineLevel="0" collapsed="false">
      <c r="A34" s="22"/>
      <c r="B34" s="23" t="n">
        <v>550028000</v>
      </c>
      <c r="C34" s="24" t="n">
        <v>50</v>
      </c>
      <c r="D34" s="54" t="s">
        <v>49</v>
      </c>
      <c r="E34" s="19" t="s">
        <v>50</v>
      </c>
      <c r="F34" s="24" t="s">
        <v>23</v>
      </c>
      <c r="G34" s="25" t="n">
        <v>0.05</v>
      </c>
      <c r="H34" s="26"/>
      <c r="I34" s="27" t="n">
        <v>50</v>
      </c>
      <c r="J34" s="28" t="n">
        <v>120</v>
      </c>
      <c r="K34" s="28" t="n">
        <v>1</v>
      </c>
      <c r="L34" s="24" t="s">
        <v>24</v>
      </c>
      <c r="M34" s="29" t="n">
        <f aca="false">IF("oui" = "oui",2.5*(1-disc),2.5)</f>
        <v>2.5</v>
      </c>
      <c r="N34" s="29" t="n">
        <f aca="false">IF("oui" = "oui",2.5*(1-disc)*1.2,2.5*1.2)</f>
        <v>3</v>
      </c>
      <c r="O34" s="24" t="s">
        <v>25</v>
      </c>
      <c r="P34" s="55" t="s">
        <v>45</v>
      </c>
      <c r="Q34" s="16"/>
    </row>
    <row r="35" customFormat="false" ht="12.8" hidden="false" customHeight="false" outlineLevel="0" collapsed="false">
      <c r="A35" s="22"/>
      <c r="B35" s="23" t="n">
        <v>550022000</v>
      </c>
      <c r="C35" s="24" t="n">
        <v>50</v>
      </c>
      <c r="D35" s="54" t="s">
        <v>51</v>
      </c>
      <c r="E35" s="19" t="s">
        <v>52</v>
      </c>
      <c r="F35" s="24" t="s">
        <v>23</v>
      </c>
      <c r="G35" s="25" t="n">
        <v>0.05</v>
      </c>
      <c r="H35" s="26"/>
      <c r="I35" s="27" t="n">
        <v>50</v>
      </c>
      <c r="J35" s="28" t="n">
        <v>120</v>
      </c>
      <c r="K35" s="28" t="n">
        <v>1</v>
      </c>
      <c r="L35" s="24" t="s">
        <v>24</v>
      </c>
      <c r="M35" s="29" t="n">
        <f aca="false">IF("oui" = "oui",2.5*(1-disc),2.5)</f>
        <v>2.5</v>
      </c>
      <c r="N35" s="29" t="n">
        <f aca="false">IF("oui" = "oui",2.5*(1-disc)*1.2,2.5*1.2)</f>
        <v>3</v>
      </c>
      <c r="O35" s="24" t="s">
        <v>25</v>
      </c>
      <c r="P35" s="4" t="s">
        <v>25</v>
      </c>
      <c r="Q35" s="16"/>
    </row>
    <row r="36" customFormat="false" ht="12.8" hidden="false" customHeight="false" outlineLevel="0" collapsed="false">
      <c r="A36" s="22"/>
      <c r="B36" s="23" t="n">
        <v>550092000</v>
      </c>
      <c r="C36" s="24" t="n">
        <v>50</v>
      </c>
      <c r="D36" s="54" t="s">
        <v>53</v>
      </c>
      <c r="E36" s="19" t="s">
        <v>36</v>
      </c>
      <c r="F36" s="24" t="s">
        <v>23</v>
      </c>
      <c r="G36" s="25" t="n">
        <v>0.055</v>
      </c>
      <c r="H36" s="26"/>
      <c r="I36" s="27" t="n">
        <v>50</v>
      </c>
      <c r="J36" s="28" t="n">
        <v>120</v>
      </c>
      <c r="K36" s="28" t="n">
        <v>1</v>
      </c>
      <c r="L36" s="24" t="s">
        <v>24</v>
      </c>
      <c r="M36" s="29" t="n">
        <f aca="false">IF("oui" = "oui",2.5*(1-disc),2.5)</f>
        <v>2.5</v>
      </c>
      <c r="N36" s="29" t="n">
        <f aca="false">IF("oui" = "oui",2.5*(1-disc)*1.2,2.5*1.2)</f>
        <v>3</v>
      </c>
      <c r="O36" s="24" t="s">
        <v>25</v>
      </c>
      <c r="P36" s="4" t="s">
        <v>25</v>
      </c>
      <c r="Q36" s="16"/>
    </row>
    <row r="37" customFormat="false" ht="12.8" hidden="false" customHeight="false" outlineLevel="0" collapsed="false">
      <c r="A37" s="22"/>
      <c r="B37" s="23" t="n">
        <v>550094000</v>
      </c>
      <c r="C37" s="24" t="n">
        <v>50</v>
      </c>
      <c r="D37" s="54" t="s">
        <v>54</v>
      </c>
      <c r="E37" s="19" t="s">
        <v>36</v>
      </c>
      <c r="F37" s="24" t="s">
        <v>23</v>
      </c>
      <c r="G37" s="25" t="n">
        <v>0.055</v>
      </c>
      <c r="H37" s="26"/>
      <c r="I37" s="27" t="n">
        <v>50</v>
      </c>
      <c r="J37" s="28" t="n">
        <v>120</v>
      </c>
      <c r="K37" s="28" t="n">
        <v>1</v>
      </c>
      <c r="L37" s="24" t="s">
        <v>24</v>
      </c>
      <c r="M37" s="29" t="n">
        <f aca="false">IF("oui" = "oui",2.5*(1-disc),2.5)</f>
        <v>2.5</v>
      </c>
      <c r="N37" s="29" t="n">
        <f aca="false">IF("oui" = "oui",2.5*(1-disc)*1.2,2.5*1.2)</f>
        <v>3</v>
      </c>
      <c r="O37" s="24" t="s">
        <v>25</v>
      </c>
      <c r="P37" s="4" t="s">
        <v>25</v>
      </c>
      <c r="Q37" s="16"/>
    </row>
    <row r="38" customFormat="false" ht="12.8" hidden="false" customHeight="false" outlineLevel="0" collapsed="false">
      <c r="A38" s="22"/>
      <c r="B38" s="23"/>
      <c r="C38" s="24"/>
      <c r="D38" s="22"/>
      <c r="E38" s="19"/>
      <c r="F38" s="24"/>
      <c r="G38" s="25"/>
      <c r="H38" s="26"/>
      <c r="I38" s="27"/>
      <c r="J38" s="28"/>
      <c r="K38" s="28"/>
      <c r="L38" s="24"/>
      <c r="M38" s="29"/>
      <c r="N38" s="29"/>
      <c r="O38" s="24"/>
      <c r="P38" s="4"/>
      <c r="Q38" s="16"/>
    </row>
    <row r="39" customFormat="false" ht="12.8" hidden="false" customHeight="false" outlineLevel="0" collapsed="false">
      <c r="A39" s="42" t="s">
        <v>55</v>
      </c>
      <c r="B39" s="43"/>
      <c r="C39" s="44"/>
      <c r="D39" s="45"/>
      <c r="E39" s="46"/>
      <c r="F39" s="44"/>
      <c r="G39" s="47"/>
      <c r="H39" s="48"/>
      <c r="I39" s="49"/>
      <c r="J39" s="50"/>
      <c r="K39" s="50"/>
      <c r="L39" s="44"/>
      <c r="M39" s="51"/>
      <c r="N39" s="51"/>
      <c r="O39" s="44"/>
      <c r="P39" s="52"/>
      <c r="Q39" s="53"/>
    </row>
    <row r="40" customFormat="false" ht="12.8" hidden="false" customHeight="false" outlineLevel="0" collapsed="false">
      <c r="A40" s="22"/>
      <c r="B40" s="23"/>
      <c r="C40" s="24"/>
      <c r="D40" s="22"/>
      <c r="E40" s="19"/>
      <c r="F40" s="24"/>
      <c r="G40" s="25"/>
      <c r="H40" s="26"/>
      <c r="I40" s="27"/>
      <c r="J40" s="28"/>
      <c r="K40" s="28"/>
      <c r="L40" s="24"/>
      <c r="M40" s="29"/>
      <c r="N40" s="29"/>
      <c r="O40" s="24"/>
      <c r="P40" s="4"/>
      <c r="Q40" s="16"/>
    </row>
    <row r="41" customFormat="false" ht="12.8" hidden="false" customHeight="false" outlineLevel="0" collapsed="false">
      <c r="A41" s="22"/>
      <c r="B41" s="23" t="n">
        <v>550001000</v>
      </c>
      <c r="C41" s="24" t="n">
        <v>50</v>
      </c>
      <c r="D41" s="54" t="s">
        <v>56</v>
      </c>
      <c r="E41" s="19" t="s">
        <v>22</v>
      </c>
      <c r="F41" s="24" t="s">
        <v>23</v>
      </c>
      <c r="G41" s="25" t="n">
        <v>0.05</v>
      </c>
      <c r="H41" s="26"/>
      <c r="I41" s="27" t="n">
        <v>50</v>
      </c>
      <c r="J41" s="28" t="n">
        <v>120</v>
      </c>
      <c r="K41" s="28" t="n">
        <v>1</v>
      </c>
      <c r="L41" s="24" t="s">
        <v>24</v>
      </c>
      <c r="M41" s="29" t="n">
        <f aca="false">IF("oui" = "oui",2.5*(1-disc),2.5)</f>
        <v>2.5</v>
      </c>
      <c r="N41" s="29" t="n">
        <f aca="false">IF("oui" = "oui",2.5*(1-disc)*1.2,2.5*1.2)</f>
        <v>3</v>
      </c>
      <c r="O41" s="24" t="s">
        <v>25</v>
      </c>
      <c r="P41" s="4" t="s">
        <v>25</v>
      </c>
      <c r="Q41" s="16"/>
    </row>
    <row r="42" customFormat="false" ht="12.8" hidden="false" customHeight="false" outlineLevel="0" collapsed="false">
      <c r="A42" s="22"/>
      <c r="B42" s="23" t="n">
        <v>550014000</v>
      </c>
      <c r="C42" s="24" t="n">
        <v>50</v>
      </c>
      <c r="D42" s="54" t="s">
        <v>57</v>
      </c>
      <c r="E42" s="19" t="s">
        <v>22</v>
      </c>
      <c r="F42" s="24" t="s">
        <v>23</v>
      </c>
      <c r="G42" s="25" t="n">
        <v>0.05</v>
      </c>
      <c r="H42" s="26"/>
      <c r="I42" s="27" t="n">
        <v>50</v>
      </c>
      <c r="J42" s="28" t="n">
        <v>120</v>
      </c>
      <c r="K42" s="28" t="n">
        <v>1</v>
      </c>
      <c r="L42" s="24" t="s">
        <v>24</v>
      </c>
      <c r="M42" s="29" t="n">
        <f aca="false">IF("oui" = "oui",2.5*(1-disc),2.5)</f>
        <v>2.5</v>
      </c>
      <c r="N42" s="29" t="n">
        <f aca="false">IF("oui" = "oui",2.5*(1-disc)*1.2,2.5*1.2)</f>
        <v>3</v>
      </c>
      <c r="O42" s="24" t="s">
        <v>25</v>
      </c>
      <c r="P42" s="4" t="s">
        <v>25</v>
      </c>
      <c r="Q42" s="16"/>
    </row>
    <row r="43" customFormat="false" ht="12.8" hidden="false" customHeight="false" outlineLevel="0" collapsed="false">
      <c r="A43" s="22"/>
      <c r="B43" s="23" t="n">
        <v>550015000</v>
      </c>
      <c r="C43" s="24" t="n">
        <v>50</v>
      </c>
      <c r="D43" s="54" t="s">
        <v>58</v>
      </c>
      <c r="E43" s="19" t="s">
        <v>22</v>
      </c>
      <c r="F43" s="24" t="s">
        <v>23</v>
      </c>
      <c r="G43" s="25" t="n">
        <v>0.05</v>
      </c>
      <c r="H43" s="26"/>
      <c r="I43" s="27" t="n">
        <v>50</v>
      </c>
      <c r="J43" s="28" t="n">
        <v>120</v>
      </c>
      <c r="K43" s="28" t="n">
        <v>1</v>
      </c>
      <c r="L43" s="24" t="s">
        <v>24</v>
      </c>
      <c r="M43" s="29" t="n">
        <f aca="false">IF("oui" = "oui",2.5*(1-disc),2.5)</f>
        <v>2.5</v>
      </c>
      <c r="N43" s="29" t="n">
        <f aca="false">IF("oui" = "oui",2.5*(1-disc)*1.2,2.5*1.2)</f>
        <v>3</v>
      </c>
      <c r="O43" s="24" t="s">
        <v>25</v>
      </c>
      <c r="P43" s="55" t="s">
        <v>45</v>
      </c>
      <c r="Q43" s="16"/>
    </row>
    <row r="44" customFormat="false" ht="12.8" hidden="false" customHeight="false" outlineLevel="0" collapsed="false">
      <c r="A44" s="22"/>
      <c r="B44" s="23" t="n">
        <v>550021000</v>
      </c>
      <c r="C44" s="24" t="n">
        <v>50</v>
      </c>
      <c r="D44" s="54" t="s">
        <v>59</v>
      </c>
      <c r="E44" s="19" t="s">
        <v>36</v>
      </c>
      <c r="F44" s="24" t="s">
        <v>23</v>
      </c>
      <c r="G44" s="25" t="n">
        <v>0.048</v>
      </c>
      <c r="H44" s="26"/>
      <c r="I44" s="27" t="n">
        <v>50</v>
      </c>
      <c r="J44" s="28" t="n">
        <v>120</v>
      </c>
      <c r="K44" s="28" t="n">
        <v>1</v>
      </c>
      <c r="L44" s="24" t="s">
        <v>24</v>
      </c>
      <c r="M44" s="29" t="n">
        <f aca="false">IF("oui" = "oui",2.5*(1-disc),2.5)</f>
        <v>2.5</v>
      </c>
      <c r="N44" s="29" t="n">
        <f aca="false">IF("oui" = "oui",2.5*(1-disc)*1.2,2.5*1.2)</f>
        <v>3</v>
      </c>
      <c r="O44" s="24" t="s">
        <v>25</v>
      </c>
      <c r="P44" s="4" t="s">
        <v>25</v>
      </c>
      <c r="Q44" s="16"/>
    </row>
    <row r="45" customFormat="false" ht="12.8" hidden="false" customHeight="false" outlineLevel="0" collapsed="false">
      <c r="A45" s="22"/>
      <c r="B45" s="23" t="n">
        <v>550023000</v>
      </c>
      <c r="C45" s="24" t="n">
        <v>50</v>
      </c>
      <c r="D45" s="54" t="s">
        <v>60</v>
      </c>
      <c r="E45" s="19" t="s">
        <v>50</v>
      </c>
      <c r="F45" s="24" t="s">
        <v>23</v>
      </c>
      <c r="G45" s="25" t="n">
        <v>0.049</v>
      </c>
      <c r="H45" s="26"/>
      <c r="I45" s="27" t="n">
        <v>50</v>
      </c>
      <c r="J45" s="28" t="n">
        <v>120</v>
      </c>
      <c r="K45" s="28" t="n">
        <v>1</v>
      </c>
      <c r="L45" s="24" t="s">
        <v>24</v>
      </c>
      <c r="M45" s="29" t="n">
        <f aca="false">IF("oui" = "oui",2.5*(1-disc),2.5)</f>
        <v>2.5</v>
      </c>
      <c r="N45" s="29" t="n">
        <f aca="false">IF("oui" = "oui",2.5*(1-disc)*1.2,2.5*1.2)</f>
        <v>3</v>
      </c>
      <c r="O45" s="24" t="s">
        <v>25</v>
      </c>
      <c r="P45" s="7" t="s">
        <v>26</v>
      </c>
      <c r="Q45" s="16"/>
    </row>
    <row r="46" customFormat="false" ht="12.8" hidden="false" customHeight="false" outlineLevel="0" collapsed="false">
      <c r="A46" s="22"/>
      <c r="B46" s="56" t="n">
        <v>550097000</v>
      </c>
      <c r="C46" s="24" t="n">
        <v>50</v>
      </c>
      <c r="D46" s="54" t="s">
        <v>61</v>
      </c>
      <c r="E46" s="19" t="s">
        <v>47</v>
      </c>
      <c r="F46" s="24" t="s">
        <v>23</v>
      </c>
      <c r="G46" s="25" t="n">
        <v>0.05</v>
      </c>
      <c r="H46" s="26"/>
      <c r="I46" s="27" t="n">
        <v>50</v>
      </c>
      <c r="J46" s="28" t="n">
        <v>120</v>
      </c>
      <c r="K46" s="28" t="n">
        <v>1</v>
      </c>
      <c r="L46" s="24" t="s">
        <v>24</v>
      </c>
      <c r="M46" s="29" t="n">
        <f aca="false">IF("oui" = "oui",2.5*(1-disc),2.5)</f>
        <v>2.5</v>
      </c>
      <c r="N46" s="29" t="n">
        <f aca="false">IF("oui" = "oui",2.5*(1-disc)*1.2,2.5*1.2)</f>
        <v>3</v>
      </c>
      <c r="O46" s="24" t="s">
        <v>25</v>
      </c>
      <c r="P46" s="7" t="s">
        <v>26</v>
      </c>
      <c r="Q46" s="16"/>
    </row>
    <row r="47" customFormat="false" ht="12.8" hidden="false" customHeight="false" outlineLevel="0" collapsed="false">
      <c r="A47" s="22"/>
      <c r="B47" s="56" t="n">
        <v>550016000</v>
      </c>
      <c r="C47" s="24" t="n">
        <v>50</v>
      </c>
      <c r="D47" s="54" t="s">
        <v>62</v>
      </c>
      <c r="E47" s="19" t="s">
        <v>52</v>
      </c>
      <c r="F47" s="24" t="s">
        <v>23</v>
      </c>
      <c r="G47" s="25" t="n">
        <v>0.05</v>
      </c>
      <c r="H47" s="26"/>
      <c r="I47" s="27" t="n">
        <v>50</v>
      </c>
      <c r="J47" s="28" t="n">
        <v>120</v>
      </c>
      <c r="K47" s="28" t="n">
        <v>1</v>
      </c>
      <c r="L47" s="24" t="s">
        <v>24</v>
      </c>
      <c r="M47" s="29" t="n">
        <f aca="false">IF("oui" = "oui",2.5*(1-disc),2.5)</f>
        <v>2.5</v>
      </c>
      <c r="N47" s="29" t="n">
        <f aca="false">IF("oui" = "oui",2.5*(1-disc)*1.2,2.5*1.2)</f>
        <v>3</v>
      </c>
      <c r="O47" s="24" t="s">
        <v>25</v>
      </c>
      <c r="P47" s="55" t="s">
        <v>63</v>
      </c>
      <c r="Q47" s="16"/>
    </row>
    <row r="48" customFormat="false" ht="12.8" hidden="false" customHeight="false" outlineLevel="0" collapsed="false">
      <c r="A48" s="22"/>
      <c r="B48" s="23"/>
      <c r="C48" s="24"/>
      <c r="D48" s="22"/>
      <c r="E48" s="19"/>
      <c r="F48" s="24"/>
      <c r="G48" s="25"/>
      <c r="H48" s="26"/>
      <c r="I48" s="27"/>
      <c r="J48" s="28"/>
      <c r="K48" s="28"/>
      <c r="L48" s="24"/>
      <c r="M48" s="29"/>
      <c r="N48" s="29"/>
      <c r="O48" s="24"/>
      <c r="P48" s="4"/>
      <c r="Q48" s="16"/>
    </row>
    <row r="49" customFormat="false" ht="12.8" hidden="false" customHeight="false" outlineLevel="0" collapsed="false">
      <c r="A49" s="42" t="s">
        <v>64</v>
      </c>
      <c r="B49" s="43"/>
      <c r="C49" s="44"/>
      <c r="D49" s="45"/>
      <c r="E49" s="46"/>
      <c r="F49" s="44"/>
      <c r="G49" s="47"/>
      <c r="H49" s="48"/>
      <c r="I49" s="49"/>
      <c r="J49" s="50"/>
      <c r="K49" s="50"/>
      <c r="L49" s="44"/>
      <c r="M49" s="51"/>
      <c r="N49" s="51"/>
      <c r="O49" s="44"/>
      <c r="P49" s="52"/>
      <c r="Q49" s="53"/>
    </row>
    <row r="50" customFormat="false" ht="12.8" hidden="false" customHeight="false" outlineLevel="0" collapsed="false">
      <c r="A50" s="22"/>
      <c r="B50" s="23"/>
      <c r="C50" s="24"/>
      <c r="D50" s="22"/>
      <c r="E50" s="19"/>
      <c r="F50" s="24"/>
      <c r="G50" s="25"/>
      <c r="H50" s="26"/>
      <c r="I50" s="27"/>
      <c r="J50" s="28"/>
      <c r="K50" s="28"/>
      <c r="L50" s="24"/>
      <c r="M50" s="29"/>
      <c r="N50" s="29"/>
      <c r="O50" s="24"/>
      <c r="P50" s="4"/>
      <c r="Q50" s="16"/>
    </row>
    <row r="51" customFormat="false" ht="12.8" hidden="false" customHeight="false" outlineLevel="0" collapsed="false">
      <c r="A51" s="22"/>
      <c r="B51" s="23" t="n">
        <v>602050001</v>
      </c>
      <c r="C51" s="24" t="n">
        <v>50</v>
      </c>
      <c r="D51" s="54" t="s">
        <v>65</v>
      </c>
      <c r="E51" s="19" t="s">
        <v>66</v>
      </c>
      <c r="F51" s="24" t="s">
        <v>23</v>
      </c>
      <c r="G51" s="25" t="n">
        <v>0.041</v>
      </c>
      <c r="H51" s="26"/>
      <c r="I51" s="27" t="n">
        <v>105</v>
      </c>
      <c r="J51" s="28" t="n">
        <v>120</v>
      </c>
      <c r="K51" s="28" t="n">
        <v>1</v>
      </c>
      <c r="L51" s="24" t="s">
        <v>24</v>
      </c>
      <c r="M51" s="57" t="n">
        <f aca="false">IF("non" = "oui",4.89*(1-disc),4.89)</f>
        <v>4.89</v>
      </c>
      <c r="N51" s="57" t="n">
        <f aca="false">IF("non" = "oui",4.89*(1-disc)*1.2,4.89*1.2)</f>
        <v>5.868</v>
      </c>
      <c r="O51" s="58" t="s">
        <v>26</v>
      </c>
      <c r="P51" s="4" t="s">
        <v>25</v>
      </c>
      <c r="Q51" s="16"/>
    </row>
    <row r="52" customFormat="false" ht="12.8" hidden="false" customHeight="false" outlineLevel="0" collapsed="false">
      <c r="A52" s="22"/>
      <c r="B52" s="23"/>
      <c r="C52" s="24"/>
      <c r="D52" s="22"/>
      <c r="E52" s="19"/>
      <c r="F52" s="24"/>
      <c r="G52" s="25"/>
      <c r="H52" s="26"/>
      <c r="I52" s="27"/>
      <c r="J52" s="28"/>
      <c r="K52" s="28"/>
      <c r="L52" s="24"/>
      <c r="M52" s="29"/>
      <c r="N52" s="29"/>
      <c r="O52" s="24"/>
      <c r="P52" s="4"/>
      <c r="Q52" s="16"/>
    </row>
    <row r="53" customFormat="false" ht="12.8" hidden="false" customHeight="false" outlineLevel="0" collapsed="false">
      <c r="A53" s="30" t="s">
        <v>67</v>
      </c>
      <c r="B53" s="31"/>
      <c r="C53" s="32"/>
      <c r="D53" s="33"/>
      <c r="E53" s="34"/>
      <c r="F53" s="32"/>
      <c r="G53" s="35"/>
      <c r="H53" s="36"/>
      <c r="I53" s="37"/>
      <c r="J53" s="38"/>
      <c r="K53" s="38"/>
      <c r="L53" s="32"/>
      <c r="M53" s="39"/>
      <c r="N53" s="39"/>
      <c r="O53" s="32"/>
      <c r="P53" s="40"/>
      <c r="Q53" s="41"/>
    </row>
    <row r="54" customFormat="false" ht="12.8" hidden="false" customHeight="false" outlineLevel="0" collapsed="false">
      <c r="A54" s="22"/>
      <c r="B54" s="23"/>
      <c r="C54" s="24"/>
      <c r="D54" s="22"/>
      <c r="E54" s="19"/>
      <c r="F54" s="24"/>
      <c r="G54" s="25"/>
      <c r="H54" s="26"/>
      <c r="I54" s="27"/>
      <c r="J54" s="28"/>
      <c r="K54" s="28"/>
      <c r="L54" s="24"/>
      <c r="M54" s="29"/>
      <c r="N54" s="29"/>
      <c r="O54" s="24"/>
      <c r="P54" s="4"/>
      <c r="Q54" s="16"/>
    </row>
    <row r="55" customFormat="false" ht="12.8" hidden="false" customHeight="false" outlineLevel="0" collapsed="false">
      <c r="A55" s="22" t="s">
        <v>68</v>
      </c>
      <c r="B55" s="23"/>
      <c r="C55" s="24"/>
      <c r="D55" s="22"/>
      <c r="E55" s="19"/>
      <c r="F55" s="24"/>
      <c r="G55" s="25"/>
      <c r="H55" s="26"/>
      <c r="I55" s="27"/>
      <c r="J55" s="28"/>
      <c r="K55" s="28"/>
      <c r="L55" s="24"/>
      <c r="M55" s="29"/>
      <c r="N55" s="29"/>
      <c r="O55" s="24"/>
      <c r="P55" s="4"/>
      <c r="Q55" s="16"/>
    </row>
    <row r="56" customFormat="false" ht="12.8" hidden="false" customHeight="false" outlineLevel="0" collapsed="false">
      <c r="A56" s="22"/>
      <c r="B56" s="23"/>
      <c r="C56" s="24"/>
      <c r="D56" s="22"/>
      <c r="E56" s="19"/>
      <c r="F56" s="24"/>
      <c r="G56" s="25"/>
      <c r="H56" s="26"/>
      <c r="I56" s="27"/>
      <c r="J56" s="28"/>
      <c r="K56" s="28"/>
      <c r="L56" s="24"/>
      <c r="M56" s="29"/>
      <c r="N56" s="29"/>
      <c r="O56" s="24"/>
      <c r="P56" s="4"/>
      <c r="Q56" s="16"/>
    </row>
    <row r="57" customFormat="false" ht="12.8" hidden="false" customHeight="false" outlineLevel="0" collapsed="false">
      <c r="A57" s="22" t="s">
        <v>69</v>
      </c>
      <c r="B57" s="23" t="n">
        <v>602017000</v>
      </c>
      <c r="C57" s="24" t="n">
        <v>75</v>
      </c>
      <c r="D57" s="54" t="s">
        <v>70</v>
      </c>
      <c r="E57" s="19" t="s">
        <v>71</v>
      </c>
      <c r="F57" s="24" t="s">
        <v>23</v>
      </c>
      <c r="G57" s="25" t="n">
        <v>0.14</v>
      </c>
      <c r="H57" s="26"/>
      <c r="I57" s="27" t="n">
        <v>75</v>
      </c>
      <c r="J57" s="28" t="n">
        <v>72</v>
      </c>
      <c r="K57" s="28" t="n">
        <v>1</v>
      </c>
      <c r="L57" s="24" t="s">
        <v>24</v>
      </c>
      <c r="M57" s="57" t="n">
        <f aca="false">IF("non" = "oui",5.22*(1-disc),5.22)</f>
        <v>5.22</v>
      </c>
      <c r="N57" s="57" t="n">
        <f aca="false">IF("non" = "oui",5.22*(1-disc)*1.2,5.22*1.2)</f>
        <v>6.264</v>
      </c>
      <c r="O57" s="58" t="s">
        <v>26</v>
      </c>
      <c r="P57" s="4" t="s">
        <v>25</v>
      </c>
      <c r="Q57" s="16"/>
    </row>
    <row r="58" customFormat="false" ht="12.8" hidden="false" customHeight="false" outlineLevel="0" collapsed="false">
      <c r="A58" s="22" t="s">
        <v>69</v>
      </c>
      <c r="B58" s="23" t="n">
        <v>602018000</v>
      </c>
      <c r="C58" s="24" t="n">
        <v>75</v>
      </c>
      <c r="D58" s="54" t="s">
        <v>72</v>
      </c>
      <c r="E58" s="19" t="s">
        <v>71</v>
      </c>
      <c r="F58" s="24" t="s">
        <v>23</v>
      </c>
      <c r="G58" s="25" t="n">
        <v>0.14</v>
      </c>
      <c r="H58" s="26"/>
      <c r="I58" s="27" t="n">
        <v>75</v>
      </c>
      <c r="J58" s="28" t="n">
        <v>72</v>
      </c>
      <c r="K58" s="28" t="n">
        <v>1</v>
      </c>
      <c r="L58" s="24" t="s">
        <v>24</v>
      </c>
      <c r="M58" s="57" t="n">
        <f aca="false">IF("non" = "oui",5.22*(1-disc),5.22)</f>
        <v>5.22</v>
      </c>
      <c r="N58" s="57" t="n">
        <f aca="false">IF("non" = "oui",5.22*(1-disc)*1.2,5.22*1.2)</f>
        <v>6.264</v>
      </c>
      <c r="O58" s="58" t="s">
        <v>26</v>
      </c>
      <c r="P58" s="4" t="s">
        <v>25</v>
      </c>
      <c r="Q58" s="16"/>
    </row>
    <row r="59" customFormat="false" ht="12.8" hidden="false" customHeight="false" outlineLevel="0" collapsed="false">
      <c r="A59" s="22" t="s">
        <v>69</v>
      </c>
      <c r="B59" s="23" t="n">
        <v>602019000</v>
      </c>
      <c r="C59" s="24" t="n">
        <v>75</v>
      </c>
      <c r="D59" s="54" t="s">
        <v>73</v>
      </c>
      <c r="E59" s="19" t="s">
        <v>71</v>
      </c>
      <c r="F59" s="24" t="s">
        <v>23</v>
      </c>
      <c r="G59" s="25" t="n">
        <v>0.14</v>
      </c>
      <c r="H59" s="26"/>
      <c r="I59" s="27" t="n">
        <v>75</v>
      </c>
      <c r="J59" s="28" t="n">
        <v>72</v>
      </c>
      <c r="K59" s="28" t="n">
        <v>1</v>
      </c>
      <c r="L59" s="24" t="s">
        <v>24</v>
      </c>
      <c r="M59" s="57" t="n">
        <f aca="false">IF("non" = "oui",5.22*(1-disc),5.22)</f>
        <v>5.22</v>
      </c>
      <c r="N59" s="57" t="n">
        <f aca="false">IF("non" = "oui",5.22*(1-disc)*1.2,5.22*1.2)</f>
        <v>6.264</v>
      </c>
      <c r="O59" s="58" t="s">
        <v>26</v>
      </c>
      <c r="P59" s="4" t="s">
        <v>25</v>
      </c>
      <c r="Q59" s="16"/>
    </row>
    <row r="60" customFormat="false" ht="12.8" hidden="false" customHeight="false" outlineLevel="0" collapsed="false">
      <c r="A60" s="22" t="s">
        <v>69</v>
      </c>
      <c r="B60" s="23" t="n">
        <v>602020000</v>
      </c>
      <c r="C60" s="24" t="n">
        <v>75</v>
      </c>
      <c r="D60" s="54" t="s">
        <v>74</v>
      </c>
      <c r="E60" s="19" t="s">
        <v>71</v>
      </c>
      <c r="F60" s="24" t="s">
        <v>23</v>
      </c>
      <c r="G60" s="25" t="n">
        <v>0.14</v>
      </c>
      <c r="H60" s="26"/>
      <c r="I60" s="27" t="n">
        <v>75</v>
      </c>
      <c r="J60" s="28" t="n">
        <v>72</v>
      </c>
      <c r="K60" s="28" t="n">
        <v>1</v>
      </c>
      <c r="L60" s="24" t="s">
        <v>24</v>
      </c>
      <c r="M60" s="57" t="n">
        <f aca="false">IF("non" = "oui",5.22*(1-disc),5.22)</f>
        <v>5.22</v>
      </c>
      <c r="N60" s="57" t="n">
        <f aca="false">IF("non" = "oui",5.22*(1-disc)*1.2,5.22*1.2)</f>
        <v>6.264</v>
      </c>
      <c r="O60" s="58" t="s">
        <v>26</v>
      </c>
      <c r="P60" s="4" t="s">
        <v>25</v>
      </c>
      <c r="Q60" s="16"/>
    </row>
    <row r="61" customFormat="false" ht="12.8" hidden="false" customHeight="false" outlineLevel="0" collapsed="false">
      <c r="A61" s="22" t="s">
        <v>69</v>
      </c>
      <c r="B61" s="23" t="n">
        <v>602021000</v>
      </c>
      <c r="C61" s="24" t="n">
        <v>75</v>
      </c>
      <c r="D61" s="54" t="s">
        <v>75</v>
      </c>
      <c r="E61" s="19" t="s">
        <v>71</v>
      </c>
      <c r="F61" s="24" t="s">
        <v>23</v>
      </c>
      <c r="G61" s="25" t="n">
        <v>0.14</v>
      </c>
      <c r="H61" s="26"/>
      <c r="I61" s="27" t="n">
        <v>75</v>
      </c>
      <c r="J61" s="28" t="n">
        <v>72</v>
      </c>
      <c r="K61" s="28" t="n">
        <v>1</v>
      </c>
      <c r="L61" s="24" t="s">
        <v>24</v>
      </c>
      <c r="M61" s="57" t="n">
        <f aca="false">IF("non" = "oui",5.22*(1-disc),5.22)</f>
        <v>5.22</v>
      </c>
      <c r="N61" s="57" t="n">
        <f aca="false">IF("non" = "oui",5.22*(1-disc)*1.2,5.22*1.2)</f>
        <v>6.264</v>
      </c>
      <c r="O61" s="58" t="s">
        <v>26</v>
      </c>
      <c r="P61" s="4" t="s">
        <v>25</v>
      </c>
      <c r="Q61" s="16"/>
    </row>
    <row r="62" customFormat="false" ht="12.8" hidden="false" customHeight="false" outlineLevel="0" collapsed="false">
      <c r="A62" s="22" t="s">
        <v>69</v>
      </c>
      <c r="B62" s="23" t="n">
        <v>602022000</v>
      </c>
      <c r="C62" s="24" t="n">
        <v>75</v>
      </c>
      <c r="D62" s="54" t="s">
        <v>76</v>
      </c>
      <c r="E62" s="19" t="s">
        <v>71</v>
      </c>
      <c r="F62" s="24" t="s">
        <v>23</v>
      </c>
      <c r="G62" s="25" t="n">
        <v>0.14</v>
      </c>
      <c r="H62" s="26"/>
      <c r="I62" s="27" t="n">
        <v>75</v>
      </c>
      <c r="J62" s="28" t="n">
        <v>72</v>
      </c>
      <c r="K62" s="28" t="n">
        <v>1</v>
      </c>
      <c r="L62" s="24" t="s">
        <v>24</v>
      </c>
      <c r="M62" s="57" t="n">
        <f aca="false">IF("non" = "oui",5.22*(1-disc),5.22)</f>
        <v>5.22</v>
      </c>
      <c r="N62" s="57" t="n">
        <f aca="false">IF("non" = "oui",5.22*(1-disc)*1.2,5.22*1.2)</f>
        <v>6.264</v>
      </c>
      <c r="O62" s="58" t="s">
        <v>26</v>
      </c>
      <c r="P62" s="4" t="s">
        <v>25</v>
      </c>
      <c r="Q62" s="16"/>
    </row>
    <row r="63" customFormat="false" ht="12.8" hidden="false" customHeight="false" outlineLevel="0" collapsed="false">
      <c r="A63" s="22" t="s">
        <v>69</v>
      </c>
      <c r="B63" s="23" t="n">
        <v>602023000</v>
      </c>
      <c r="C63" s="24" t="n">
        <v>75</v>
      </c>
      <c r="D63" s="54" t="s">
        <v>77</v>
      </c>
      <c r="E63" s="19" t="s">
        <v>78</v>
      </c>
      <c r="F63" s="24" t="s">
        <v>23</v>
      </c>
      <c r="G63" s="25" t="n">
        <v>0.136</v>
      </c>
      <c r="H63" s="26"/>
      <c r="I63" s="27" t="n">
        <v>75</v>
      </c>
      <c r="J63" s="28" t="n">
        <v>72</v>
      </c>
      <c r="K63" s="28" t="n">
        <v>1</v>
      </c>
      <c r="L63" s="24" t="s">
        <v>24</v>
      </c>
      <c r="M63" s="57" t="n">
        <f aca="false">IF("non" = "oui",5.22*(1-disc),5.22)</f>
        <v>5.22</v>
      </c>
      <c r="N63" s="57" t="n">
        <f aca="false">IF("non" = "oui",5.22*(1-disc)*1.2,5.22*1.2)</f>
        <v>6.264</v>
      </c>
      <c r="O63" s="58" t="s">
        <v>26</v>
      </c>
      <c r="P63" s="4" t="s">
        <v>25</v>
      </c>
      <c r="Q63" s="16"/>
    </row>
    <row r="64" customFormat="false" ht="12.8" hidden="false" customHeight="false" outlineLevel="0" collapsed="false">
      <c r="A64" s="22" t="s">
        <v>69</v>
      </c>
      <c r="B64" s="23" t="n">
        <v>202005000</v>
      </c>
      <c r="C64" s="24" t="n">
        <v>75</v>
      </c>
      <c r="D64" s="22" t="s">
        <v>79</v>
      </c>
      <c r="E64" s="19" t="s">
        <v>80</v>
      </c>
      <c r="F64" s="24" t="s">
        <v>23</v>
      </c>
      <c r="G64" s="25" t="n">
        <v>0.151</v>
      </c>
      <c r="H64" s="26"/>
      <c r="I64" s="27"/>
      <c r="J64" s="28" t="n">
        <v>72</v>
      </c>
      <c r="K64" s="28" t="n">
        <v>1</v>
      </c>
      <c r="L64" s="24" t="s">
        <v>24</v>
      </c>
      <c r="M64" s="57" t="n">
        <f aca="false">IF("non" = "oui",5.22*(1-disc),5.22)</f>
        <v>5.22</v>
      </c>
      <c r="N64" s="57" t="n">
        <f aca="false">IF("non" = "oui",5.22*(1-disc)*1.2,5.22*1.2)</f>
        <v>6.264</v>
      </c>
      <c r="O64" s="58" t="s">
        <v>26</v>
      </c>
      <c r="P64" s="7" t="s">
        <v>26</v>
      </c>
      <c r="Q64" s="59" t="s">
        <v>81</v>
      </c>
    </row>
    <row r="65" customFormat="false" ht="12.8" hidden="false" customHeight="false" outlineLevel="0" collapsed="false">
      <c r="A65" s="22" t="s">
        <v>69</v>
      </c>
      <c r="B65" s="23" t="n">
        <v>202003000</v>
      </c>
      <c r="C65" s="24" t="n">
        <v>75</v>
      </c>
      <c r="D65" s="54" t="s">
        <v>82</v>
      </c>
      <c r="E65" s="19" t="s">
        <v>80</v>
      </c>
      <c r="F65" s="24" t="s">
        <v>23</v>
      </c>
      <c r="G65" s="25" t="n">
        <v>0.171</v>
      </c>
      <c r="H65" s="26"/>
      <c r="I65" s="27"/>
      <c r="J65" s="28" t="n">
        <v>72</v>
      </c>
      <c r="K65" s="28" t="n">
        <v>1</v>
      </c>
      <c r="L65" s="24" t="s">
        <v>24</v>
      </c>
      <c r="M65" s="57" t="n">
        <f aca="false">IF("non" = "oui",5.22*(1-disc),5.22)</f>
        <v>5.22</v>
      </c>
      <c r="N65" s="57" t="n">
        <f aca="false">IF("non" = "oui",5.22*(1-disc)*1.2,5.22*1.2)</f>
        <v>6.264</v>
      </c>
      <c r="O65" s="58" t="s">
        <v>26</v>
      </c>
      <c r="P65" s="7" t="s">
        <v>26</v>
      </c>
      <c r="Q65" s="59" t="s">
        <v>81</v>
      </c>
    </row>
    <row r="66" customFormat="false" ht="12.8" hidden="false" customHeight="false" outlineLevel="0" collapsed="false">
      <c r="A66" s="22" t="s">
        <v>69</v>
      </c>
      <c r="B66" s="23" t="n">
        <v>202002000</v>
      </c>
      <c r="C66" s="24" t="n">
        <v>75</v>
      </c>
      <c r="D66" s="54" t="s">
        <v>83</v>
      </c>
      <c r="E66" s="19" t="s">
        <v>80</v>
      </c>
      <c r="F66" s="24" t="s">
        <v>23</v>
      </c>
      <c r="G66" s="25" t="n">
        <v>0.171</v>
      </c>
      <c r="H66" s="26"/>
      <c r="I66" s="27"/>
      <c r="J66" s="28" t="n">
        <v>72</v>
      </c>
      <c r="K66" s="28" t="n">
        <v>1</v>
      </c>
      <c r="L66" s="24" t="s">
        <v>24</v>
      </c>
      <c r="M66" s="57" t="n">
        <f aca="false">IF("non" = "oui",5.22*(1-disc),5.22)</f>
        <v>5.22</v>
      </c>
      <c r="N66" s="57" t="n">
        <f aca="false">IF("non" = "oui",5.22*(1-disc)*1.2,5.22*1.2)</f>
        <v>6.264</v>
      </c>
      <c r="O66" s="58" t="s">
        <v>26</v>
      </c>
      <c r="P66" s="7" t="s">
        <v>26</v>
      </c>
      <c r="Q66" s="59" t="s">
        <v>81</v>
      </c>
    </row>
    <row r="67" customFormat="false" ht="12.8" hidden="false" customHeight="false" outlineLevel="0" collapsed="false">
      <c r="A67" s="22" t="s">
        <v>69</v>
      </c>
      <c r="B67" s="23" t="n">
        <v>202001000</v>
      </c>
      <c r="C67" s="24" t="n">
        <v>75</v>
      </c>
      <c r="D67" s="54" t="s">
        <v>84</v>
      </c>
      <c r="E67" s="19" t="s">
        <v>80</v>
      </c>
      <c r="F67" s="24" t="s">
        <v>23</v>
      </c>
      <c r="G67" s="25" t="n">
        <v>0.145</v>
      </c>
      <c r="H67" s="26"/>
      <c r="I67" s="27"/>
      <c r="J67" s="28" t="n">
        <v>72</v>
      </c>
      <c r="K67" s="28" t="n">
        <v>1</v>
      </c>
      <c r="L67" s="24" t="s">
        <v>24</v>
      </c>
      <c r="M67" s="57" t="n">
        <f aca="false">IF("non" = "oui",5.22*(1-disc),5.22)</f>
        <v>5.22</v>
      </c>
      <c r="N67" s="57" t="n">
        <f aca="false">IF("non" = "oui",5.22*(1-disc)*1.2,5.22*1.2)</f>
        <v>6.264</v>
      </c>
      <c r="O67" s="58" t="s">
        <v>26</v>
      </c>
      <c r="P67" s="7" t="s">
        <v>26</v>
      </c>
      <c r="Q67" s="59" t="s">
        <v>81</v>
      </c>
    </row>
    <row r="68" customFormat="false" ht="12.8" hidden="false" customHeight="false" outlineLevel="0" collapsed="false">
      <c r="A68" s="22"/>
      <c r="B68" s="23"/>
      <c r="C68" s="24"/>
      <c r="D68" s="22"/>
      <c r="E68" s="19"/>
      <c r="F68" s="24"/>
      <c r="G68" s="25"/>
      <c r="H68" s="26"/>
      <c r="I68" s="27"/>
      <c r="J68" s="28"/>
      <c r="K68" s="28"/>
      <c r="L68" s="24"/>
      <c r="M68" s="29"/>
      <c r="N68" s="29"/>
      <c r="O68" s="24"/>
      <c r="P68" s="4"/>
      <c r="Q68" s="16"/>
    </row>
    <row r="69" customFormat="false" ht="12.8" hidden="false" customHeight="false" outlineLevel="0" collapsed="false">
      <c r="A69" s="22" t="s">
        <v>69</v>
      </c>
      <c r="B69" s="23" t="n">
        <v>605012000</v>
      </c>
      <c r="C69" s="24" t="n">
        <v>75</v>
      </c>
      <c r="D69" s="54" t="s">
        <v>85</v>
      </c>
      <c r="E69" s="19" t="s">
        <v>86</v>
      </c>
      <c r="F69" s="24" t="s">
        <v>23</v>
      </c>
      <c r="G69" s="25" t="n">
        <v>0.237</v>
      </c>
      <c r="H69" s="26"/>
      <c r="I69" s="27" t="n">
        <v>75</v>
      </c>
      <c r="J69" s="28" t="n">
        <v>72</v>
      </c>
      <c r="K69" s="28" t="n">
        <v>1</v>
      </c>
      <c r="L69" s="24" t="s">
        <v>24</v>
      </c>
      <c r="M69" s="57" t="n">
        <f aca="false">IF("non" = "oui",7*(1-disc),7)</f>
        <v>7</v>
      </c>
      <c r="N69" s="57" t="n">
        <f aca="false">IF("non" = "oui",7*(1-disc)*1.2,7*1.2)</f>
        <v>8.4</v>
      </c>
      <c r="O69" s="58" t="s">
        <v>26</v>
      </c>
      <c r="P69" s="7" t="s">
        <v>26</v>
      </c>
      <c r="Q69" s="59" t="s">
        <v>87</v>
      </c>
    </row>
    <row r="70" customFormat="false" ht="12.8" hidden="false" customHeight="false" outlineLevel="0" collapsed="false">
      <c r="A70" s="22" t="s">
        <v>69</v>
      </c>
      <c r="B70" s="23" t="n">
        <v>605011000</v>
      </c>
      <c r="C70" s="24" t="n">
        <v>75</v>
      </c>
      <c r="D70" s="54" t="s">
        <v>88</v>
      </c>
      <c r="E70" s="19" t="s">
        <v>89</v>
      </c>
      <c r="F70" s="24" t="s">
        <v>23</v>
      </c>
      <c r="G70" s="25" t="n">
        <v>0.17</v>
      </c>
      <c r="H70" s="26"/>
      <c r="I70" s="27" t="n">
        <v>75</v>
      </c>
      <c r="J70" s="28" t="n">
        <v>36</v>
      </c>
      <c r="K70" s="28" t="n">
        <v>1</v>
      </c>
      <c r="L70" s="24" t="s">
        <v>24</v>
      </c>
      <c r="M70" s="57" t="n">
        <f aca="false">IF("non" = "oui",13*(1-disc),13)</f>
        <v>13</v>
      </c>
      <c r="N70" s="57" t="n">
        <f aca="false">IF("non" = "oui",13*(1-disc)*1.2,13*1.2)</f>
        <v>15.6</v>
      </c>
      <c r="O70" s="58" t="s">
        <v>26</v>
      </c>
      <c r="P70" s="7" t="s">
        <v>26</v>
      </c>
      <c r="Q70" s="59" t="s">
        <v>87</v>
      </c>
    </row>
    <row r="71" customFormat="false" ht="12.8" hidden="false" customHeight="false" outlineLevel="0" collapsed="false">
      <c r="A71" s="22" t="s">
        <v>69</v>
      </c>
      <c r="B71" s="23" t="n">
        <v>202004000</v>
      </c>
      <c r="C71" s="24" t="n">
        <v>75</v>
      </c>
      <c r="D71" s="54" t="s">
        <v>90</v>
      </c>
      <c r="E71" s="19" t="s">
        <v>80</v>
      </c>
      <c r="F71" s="24" t="s">
        <v>23</v>
      </c>
      <c r="G71" s="25" t="n">
        <v>0.171</v>
      </c>
      <c r="H71" s="26"/>
      <c r="I71" s="27"/>
      <c r="J71" s="28" t="n">
        <v>64</v>
      </c>
      <c r="K71" s="28" t="n">
        <v>1</v>
      </c>
      <c r="L71" s="24" t="s">
        <v>24</v>
      </c>
      <c r="M71" s="57" t="n">
        <f aca="false">IF("non" = "oui",7*(1-disc),7)</f>
        <v>7</v>
      </c>
      <c r="N71" s="57" t="n">
        <f aca="false">IF("non" = "oui",7*(1-disc)*1.2,7*1.2)</f>
        <v>8.4</v>
      </c>
      <c r="O71" s="58" t="s">
        <v>26</v>
      </c>
      <c r="P71" s="7" t="s">
        <v>26</v>
      </c>
      <c r="Q71" s="59" t="s">
        <v>81</v>
      </c>
    </row>
    <row r="72" customFormat="false" ht="12.8" hidden="false" customHeight="false" outlineLevel="0" collapsed="false">
      <c r="A72" s="22"/>
      <c r="B72" s="23"/>
      <c r="C72" s="24"/>
      <c r="D72" s="22"/>
      <c r="E72" s="19"/>
      <c r="F72" s="24"/>
      <c r="G72" s="25"/>
      <c r="H72" s="26"/>
      <c r="I72" s="27"/>
      <c r="J72" s="28"/>
      <c r="K72" s="28"/>
      <c r="L72" s="24"/>
      <c r="M72" s="29"/>
      <c r="N72" s="29"/>
      <c r="O72" s="24"/>
      <c r="P72" s="4"/>
      <c r="Q72" s="16"/>
    </row>
    <row r="73" customFormat="false" ht="12.8" hidden="false" customHeight="false" outlineLevel="0" collapsed="false">
      <c r="A73" s="42" t="s">
        <v>91</v>
      </c>
      <c r="B73" s="43"/>
      <c r="C73" s="44"/>
      <c r="D73" s="45"/>
      <c r="E73" s="46"/>
      <c r="F73" s="44"/>
      <c r="G73" s="47"/>
      <c r="H73" s="48"/>
      <c r="I73" s="49"/>
      <c r="J73" s="50"/>
      <c r="K73" s="50"/>
      <c r="L73" s="44"/>
      <c r="M73" s="51"/>
      <c r="N73" s="51"/>
      <c r="O73" s="44"/>
      <c r="P73" s="52"/>
      <c r="Q73" s="53"/>
    </row>
    <row r="74" customFormat="false" ht="12.8" hidden="false" customHeight="false" outlineLevel="0" collapsed="false">
      <c r="A74" s="22"/>
      <c r="B74" s="23"/>
      <c r="C74" s="24"/>
      <c r="D74" s="22"/>
      <c r="E74" s="19"/>
      <c r="F74" s="24"/>
      <c r="G74" s="25"/>
      <c r="H74" s="26"/>
      <c r="I74" s="27"/>
      <c r="J74" s="28"/>
      <c r="K74" s="28"/>
      <c r="L74" s="24"/>
      <c r="M74" s="29"/>
      <c r="N74" s="29"/>
      <c r="O74" s="24"/>
      <c r="P74" s="4"/>
      <c r="Q74" s="16"/>
    </row>
    <row r="75" customFormat="false" ht="12.8" hidden="false" customHeight="false" outlineLevel="0" collapsed="false">
      <c r="A75" s="22"/>
      <c r="B75" s="23" t="n">
        <v>100041000</v>
      </c>
      <c r="C75" s="24" t="n">
        <v>75</v>
      </c>
      <c r="D75" s="54" t="s">
        <v>92</v>
      </c>
      <c r="E75" s="19" t="s">
        <v>93</v>
      </c>
      <c r="F75" s="24" t="s">
        <v>23</v>
      </c>
      <c r="G75" s="25" t="n">
        <v>0.09</v>
      </c>
      <c r="H75" s="26"/>
      <c r="I75" s="27" t="n">
        <v>110</v>
      </c>
      <c r="J75" s="28" t="n">
        <v>30</v>
      </c>
      <c r="K75" s="28" t="n">
        <v>1</v>
      </c>
      <c r="L75" s="24" t="s">
        <v>24</v>
      </c>
      <c r="M75" s="57" t="n">
        <f aca="false">IF("non" = "oui",14.12*(1-disc),14.12)</f>
        <v>14.12</v>
      </c>
      <c r="N75" s="57" t="n">
        <f aca="false">IF("non" = "oui",14.12*(1-disc)*1.2,14.12*1.2)</f>
        <v>16.944</v>
      </c>
      <c r="O75" s="58" t="s">
        <v>26</v>
      </c>
      <c r="P75" s="4" t="s">
        <v>25</v>
      </c>
      <c r="Q75" s="16"/>
    </row>
    <row r="76" customFormat="false" ht="12.8" hidden="false" customHeight="false" outlineLevel="0" collapsed="false">
      <c r="A76" s="22"/>
      <c r="B76" s="23"/>
      <c r="C76" s="24"/>
      <c r="D76" s="22"/>
      <c r="E76" s="19"/>
      <c r="F76" s="24"/>
      <c r="G76" s="25"/>
      <c r="H76" s="26"/>
      <c r="I76" s="27"/>
      <c r="J76" s="28"/>
      <c r="K76" s="28"/>
      <c r="L76" s="24"/>
      <c r="M76" s="29"/>
      <c r="N76" s="29"/>
      <c r="O76" s="24"/>
      <c r="P76" s="4"/>
      <c r="Q76" s="16"/>
    </row>
    <row r="77" customFormat="false" ht="12.8" hidden="false" customHeight="false" outlineLevel="0" collapsed="false">
      <c r="A77" s="42" t="s">
        <v>94</v>
      </c>
      <c r="B77" s="43"/>
      <c r="C77" s="44"/>
      <c r="D77" s="45"/>
      <c r="E77" s="46"/>
      <c r="F77" s="44"/>
      <c r="G77" s="47"/>
      <c r="H77" s="48"/>
      <c r="I77" s="49"/>
      <c r="J77" s="50"/>
      <c r="K77" s="50"/>
      <c r="L77" s="44"/>
      <c r="M77" s="51"/>
      <c r="N77" s="51"/>
      <c r="O77" s="44"/>
      <c r="P77" s="52"/>
      <c r="Q77" s="53"/>
    </row>
    <row r="78" customFormat="false" ht="12.8" hidden="false" customHeight="false" outlineLevel="0" collapsed="false">
      <c r="A78" s="22"/>
      <c r="B78" s="23"/>
      <c r="C78" s="24"/>
      <c r="D78" s="22"/>
      <c r="E78" s="19"/>
      <c r="F78" s="24"/>
      <c r="G78" s="25"/>
      <c r="H78" s="26"/>
      <c r="I78" s="27"/>
      <c r="J78" s="28"/>
      <c r="K78" s="28"/>
      <c r="L78" s="24"/>
      <c r="M78" s="29"/>
      <c r="N78" s="29"/>
      <c r="O78" s="24"/>
      <c r="P78" s="4"/>
      <c r="Q78" s="16"/>
    </row>
    <row r="79" customFormat="false" ht="12.8" hidden="false" customHeight="false" outlineLevel="0" collapsed="false">
      <c r="A79" s="22"/>
      <c r="B79" s="23" t="n">
        <v>575019000</v>
      </c>
      <c r="C79" s="24" t="n">
        <v>75</v>
      </c>
      <c r="D79" s="54" t="s">
        <v>95</v>
      </c>
      <c r="E79" s="19" t="s">
        <v>96</v>
      </c>
      <c r="F79" s="24" t="s">
        <v>23</v>
      </c>
      <c r="G79" s="25" t="n">
        <v>0.145</v>
      </c>
      <c r="H79" s="26"/>
      <c r="I79" s="27" t="n">
        <v>75</v>
      </c>
      <c r="J79" s="28" t="n">
        <v>60</v>
      </c>
      <c r="K79" s="28" t="n">
        <v>1</v>
      </c>
      <c r="L79" s="24" t="s">
        <v>24</v>
      </c>
      <c r="M79" s="29" t="n">
        <f aca="false">IF("oui" = "oui",3.92*(1-disc),3.92)</f>
        <v>3.92</v>
      </c>
      <c r="N79" s="29" t="n">
        <f aca="false">IF("oui" = "oui",3.92*(1-disc)*1.2,3.92*1.2)</f>
        <v>4.704</v>
      </c>
      <c r="O79" s="24" t="s">
        <v>25</v>
      </c>
      <c r="P79" s="7" t="s">
        <v>26</v>
      </c>
      <c r="Q79" s="16"/>
    </row>
    <row r="80" customFormat="false" ht="12.8" hidden="false" customHeight="false" outlineLevel="0" collapsed="false">
      <c r="A80" s="22"/>
      <c r="B80" s="23" t="n">
        <v>575021000</v>
      </c>
      <c r="C80" s="24" t="n">
        <v>75</v>
      </c>
      <c r="D80" s="54" t="s">
        <v>97</v>
      </c>
      <c r="E80" s="19" t="s">
        <v>96</v>
      </c>
      <c r="F80" s="24" t="s">
        <v>23</v>
      </c>
      <c r="G80" s="25" t="n">
        <v>0.145</v>
      </c>
      <c r="H80" s="26"/>
      <c r="I80" s="27" t="n">
        <v>75</v>
      </c>
      <c r="J80" s="28" t="n">
        <v>60</v>
      </c>
      <c r="K80" s="28" t="n">
        <v>1</v>
      </c>
      <c r="L80" s="24" t="s">
        <v>24</v>
      </c>
      <c r="M80" s="29" t="n">
        <f aca="false">IF("oui" = "oui",3.92*(1-disc),3.92)</f>
        <v>3.92</v>
      </c>
      <c r="N80" s="29" t="n">
        <f aca="false">IF("oui" = "oui",3.92*(1-disc)*1.2,3.92*1.2)</f>
        <v>4.704</v>
      </c>
      <c r="O80" s="24" t="s">
        <v>25</v>
      </c>
      <c r="P80" s="7" t="s">
        <v>26</v>
      </c>
      <c r="Q80" s="16"/>
    </row>
    <row r="81" customFormat="false" ht="12.8" hidden="false" customHeight="false" outlineLevel="0" collapsed="false">
      <c r="A81" s="22"/>
      <c r="B81" s="23" t="n">
        <v>575022000</v>
      </c>
      <c r="C81" s="24" t="n">
        <v>75</v>
      </c>
      <c r="D81" s="54" t="s">
        <v>98</v>
      </c>
      <c r="E81" s="19" t="s">
        <v>96</v>
      </c>
      <c r="F81" s="24" t="s">
        <v>23</v>
      </c>
      <c r="G81" s="25" t="n">
        <v>0.145</v>
      </c>
      <c r="H81" s="26"/>
      <c r="I81" s="27" t="n">
        <v>75</v>
      </c>
      <c r="J81" s="28" t="n">
        <v>60</v>
      </c>
      <c r="K81" s="28" t="n">
        <v>1</v>
      </c>
      <c r="L81" s="24" t="s">
        <v>24</v>
      </c>
      <c r="M81" s="29" t="n">
        <f aca="false">IF("oui" = "oui",3.92*(1-disc),3.92)</f>
        <v>3.92</v>
      </c>
      <c r="N81" s="29" t="n">
        <f aca="false">IF("oui" = "oui",3.92*(1-disc)*1.2,3.92*1.2)</f>
        <v>4.704</v>
      </c>
      <c r="O81" s="24" t="s">
        <v>25</v>
      </c>
      <c r="P81" s="7" t="s">
        <v>26</v>
      </c>
      <c r="Q81" s="16"/>
    </row>
    <row r="82" customFormat="false" ht="12.8" hidden="false" customHeight="false" outlineLevel="0" collapsed="false">
      <c r="A82" s="22"/>
      <c r="B82" s="23" t="n">
        <v>575024000</v>
      </c>
      <c r="C82" s="24" t="n">
        <v>75</v>
      </c>
      <c r="D82" s="54" t="s">
        <v>99</v>
      </c>
      <c r="E82" s="19" t="s">
        <v>96</v>
      </c>
      <c r="F82" s="24" t="s">
        <v>23</v>
      </c>
      <c r="G82" s="25" t="n">
        <v>0.145</v>
      </c>
      <c r="H82" s="26"/>
      <c r="I82" s="27" t="n">
        <v>75</v>
      </c>
      <c r="J82" s="28" t="n">
        <v>60</v>
      </c>
      <c r="K82" s="28" t="n">
        <v>1</v>
      </c>
      <c r="L82" s="24" t="s">
        <v>24</v>
      </c>
      <c r="M82" s="29" t="n">
        <f aca="false">IF("oui" = "oui",3.92*(1-disc),3.92)</f>
        <v>3.92</v>
      </c>
      <c r="N82" s="29" t="n">
        <f aca="false">IF("oui" = "oui",3.92*(1-disc)*1.2,3.92*1.2)</f>
        <v>4.704</v>
      </c>
      <c r="O82" s="24" t="s">
        <v>25</v>
      </c>
      <c r="P82" s="7" t="s">
        <v>26</v>
      </c>
      <c r="Q82" s="16"/>
    </row>
    <row r="83" customFormat="false" ht="12.8" hidden="false" customHeight="false" outlineLevel="0" collapsed="false">
      <c r="A83" s="22"/>
      <c r="B83" s="23" t="n">
        <v>575026000</v>
      </c>
      <c r="C83" s="24" t="n">
        <v>75</v>
      </c>
      <c r="D83" s="54" t="s">
        <v>100</v>
      </c>
      <c r="E83" s="19" t="s">
        <v>96</v>
      </c>
      <c r="F83" s="24" t="s">
        <v>23</v>
      </c>
      <c r="G83" s="25" t="n">
        <v>0.145</v>
      </c>
      <c r="H83" s="26"/>
      <c r="I83" s="27" t="n">
        <v>75</v>
      </c>
      <c r="J83" s="28" t="n">
        <v>60</v>
      </c>
      <c r="K83" s="28" t="n">
        <v>1</v>
      </c>
      <c r="L83" s="24" t="s">
        <v>24</v>
      </c>
      <c r="M83" s="29" t="n">
        <f aca="false">IF("oui" = "oui",3.92*(1-disc),3.92)</f>
        <v>3.92</v>
      </c>
      <c r="N83" s="29" t="n">
        <f aca="false">IF("oui" = "oui",3.92*(1-disc)*1.2,3.92*1.2)</f>
        <v>4.704</v>
      </c>
      <c r="O83" s="24" t="s">
        <v>25</v>
      </c>
      <c r="P83" s="7" t="s">
        <v>26</v>
      </c>
      <c r="Q83" s="16"/>
    </row>
    <row r="84" customFormat="false" ht="12.8" hidden="false" customHeight="false" outlineLevel="0" collapsed="false">
      <c r="A84" s="22"/>
      <c r="B84" s="23" t="n">
        <v>575027000</v>
      </c>
      <c r="C84" s="24" t="n">
        <v>75</v>
      </c>
      <c r="D84" s="54" t="s">
        <v>101</v>
      </c>
      <c r="E84" s="19" t="s">
        <v>96</v>
      </c>
      <c r="F84" s="24" t="s">
        <v>23</v>
      </c>
      <c r="G84" s="25" t="n">
        <v>0.145</v>
      </c>
      <c r="H84" s="26"/>
      <c r="I84" s="27" t="n">
        <v>75</v>
      </c>
      <c r="J84" s="28" t="n">
        <v>60</v>
      </c>
      <c r="K84" s="28" t="n">
        <v>1</v>
      </c>
      <c r="L84" s="24" t="s">
        <v>24</v>
      </c>
      <c r="M84" s="29" t="n">
        <f aca="false">IF("oui" = "oui",3.92*(1-disc),3.92)</f>
        <v>3.92</v>
      </c>
      <c r="N84" s="29" t="n">
        <f aca="false">IF("oui" = "oui",3.92*(1-disc)*1.2,3.92*1.2)</f>
        <v>4.704</v>
      </c>
      <c r="O84" s="24" t="s">
        <v>25</v>
      </c>
      <c r="P84" s="7" t="s">
        <v>26</v>
      </c>
      <c r="Q84" s="16"/>
    </row>
    <row r="85" customFormat="false" ht="12.8" hidden="false" customHeight="false" outlineLevel="0" collapsed="false">
      <c r="A85" s="22"/>
      <c r="B85" s="23" t="n">
        <v>575028000</v>
      </c>
      <c r="C85" s="24" t="n">
        <v>75</v>
      </c>
      <c r="D85" s="54" t="s">
        <v>102</v>
      </c>
      <c r="E85" s="19" t="s">
        <v>96</v>
      </c>
      <c r="F85" s="24" t="s">
        <v>23</v>
      </c>
      <c r="G85" s="25" t="n">
        <v>0.145</v>
      </c>
      <c r="H85" s="26"/>
      <c r="I85" s="27" t="n">
        <v>75</v>
      </c>
      <c r="J85" s="28" t="n">
        <v>60</v>
      </c>
      <c r="K85" s="28" t="n">
        <v>1</v>
      </c>
      <c r="L85" s="24" t="s">
        <v>24</v>
      </c>
      <c r="M85" s="29" t="n">
        <f aca="false">IF("oui" = "oui",3.92*(1-disc),3.92)</f>
        <v>3.92</v>
      </c>
      <c r="N85" s="29" t="n">
        <f aca="false">IF("oui" = "oui",3.92*(1-disc)*1.2,3.92*1.2)</f>
        <v>4.704</v>
      </c>
      <c r="O85" s="24" t="s">
        <v>25</v>
      </c>
      <c r="P85" s="7" t="s">
        <v>26</v>
      </c>
      <c r="Q85" s="16"/>
    </row>
    <row r="86" customFormat="false" ht="12.8" hidden="false" customHeight="false" outlineLevel="0" collapsed="false">
      <c r="A86" s="22"/>
      <c r="B86" s="23" t="n">
        <v>575029000</v>
      </c>
      <c r="C86" s="24" t="n">
        <v>75</v>
      </c>
      <c r="D86" s="54" t="s">
        <v>103</v>
      </c>
      <c r="E86" s="19" t="s">
        <v>96</v>
      </c>
      <c r="F86" s="24" t="s">
        <v>23</v>
      </c>
      <c r="G86" s="25" t="n">
        <v>0.145</v>
      </c>
      <c r="H86" s="26"/>
      <c r="I86" s="27" t="n">
        <v>75</v>
      </c>
      <c r="J86" s="28" t="n">
        <v>60</v>
      </c>
      <c r="K86" s="28" t="n">
        <v>1</v>
      </c>
      <c r="L86" s="24" t="s">
        <v>24</v>
      </c>
      <c r="M86" s="29" t="n">
        <f aca="false">IF("oui" = "oui",3.92*(1-disc),3.92)</f>
        <v>3.92</v>
      </c>
      <c r="N86" s="29" t="n">
        <f aca="false">IF("oui" = "oui",3.92*(1-disc)*1.2,3.92*1.2)</f>
        <v>4.704</v>
      </c>
      <c r="O86" s="24" t="s">
        <v>25</v>
      </c>
      <c r="P86" s="4" t="s">
        <v>25</v>
      </c>
      <c r="Q86" s="16"/>
    </row>
    <row r="87" customFormat="false" ht="12.8" hidden="false" customHeight="false" outlineLevel="0" collapsed="false">
      <c r="A87" s="22"/>
      <c r="B87" s="23" t="n">
        <v>575169000</v>
      </c>
      <c r="C87" s="24" t="n">
        <v>75</v>
      </c>
      <c r="D87" s="54" t="s">
        <v>104</v>
      </c>
      <c r="E87" s="19" t="s">
        <v>96</v>
      </c>
      <c r="F87" s="24" t="s">
        <v>23</v>
      </c>
      <c r="G87" s="25" t="n">
        <v>0.145</v>
      </c>
      <c r="H87" s="26"/>
      <c r="I87" s="27" t="n">
        <v>75</v>
      </c>
      <c r="J87" s="28" t="n">
        <v>60</v>
      </c>
      <c r="K87" s="28" t="n">
        <v>1</v>
      </c>
      <c r="L87" s="24" t="s">
        <v>24</v>
      </c>
      <c r="M87" s="29" t="n">
        <f aca="false">IF("oui" = "oui",3.92*(1-disc),3.92)</f>
        <v>3.92</v>
      </c>
      <c r="N87" s="29" t="n">
        <f aca="false">IF("oui" = "oui",3.92*(1-disc)*1.2,3.92*1.2)</f>
        <v>4.704</v>
      </c>
      <c r="O87" s="24" t="s">
        <v>25</v>
      </c>
      <c r="P87" s="7" t="s">
        <v>26</v>
      </c>
      <c r="Q87" s="16"/>
    </row>
    <row r="88" customFormat="false" ht="12.8" hidden="false" customHeight="false" outlineLevel="0" collapsed="false">
      <c r="A88" s="22"/>
      <c r="B88" s="23" t="n">
        <v>575030000</v>
      </c>
      <c r="C88" s="24" t="n">
        <v>75</v>
      </c>
      <c r="D88" s="54" t="s">
        <v>105</v>
      </c>
      <c r="E88" s="19" t="s">
        <v>96</v>
      </c>
      <c r="F88" s="24" t="s">
        <v>23</v>
      </c>
      <c r="G88" s="25" t="n">
        <v>0.145</v>
      </c>
      <c r="H88" s="26"/>
      <c r="I88" s="27" t="n">
        <v>75</v>
      </c>
      <c r="J88" s="28" t="n">
        <v>60</v>
      </c>
      <c r="K88" s="28" t="n">
        <v>1</v>
      </c>
      <c r="L88" s="24" t="s">
        <v>24</v>
      </c>
      <c r="M88" s="29" t="n">
        <f aca="false">IF("oui" = "oui",3.92*(1-disc),3.92)</f>
        <v>3.92</v>
      </c>
      <c r="N88" s="29" t="n">
        <f aca="false">IF("oui" = "oui",3.92*(1-disc)*1.2,3.92*1.2)</f>
        <v>4.704</v>
      </c>
      <c r="O88" s="24" t="s">
        <v>25</v>
      </c>
      <c r="P88" s="55" t="s">
        <v>106</v>
      </c>
      <c r="Q88" s="16"/>
    </row>
    <row r="89" customFormat="false" ht="12.8" hidden="false" customHeight="false" outlineLevel="0" collapsed="false">
      <c r="A89" s="22"/>
      <c r="B89" s="23" t="n">
        <v>575020000</v>
      </c>
      <c r="C89" s="24" t="n">
        <v>75</v>
      </c>
      <c r="D89" s="54" t="s">
        <v>107</v>
      </c>
      <c r="E89" s="19" t="s">
        <v>96</v>
      </c>
      <c r="F89" s="24" t="s">
        <v>23</v>
      </c>
      <c r="G89" s="25" t="n">
        <v>0.145</v>
      </c>
      <c r="H89" s="26"/>
      <c r="I89" s="27" t="n">
        <v>75</v>
      </c>
      <c r="J89" s="28" t="n">
        <v>60</v>
      </c>
      <c r="K89" s="28" t="n">
        <v>1</v>
      </c>
      <c r="L89" s="24" t="s">
        <v>24</v>
      </c>
      <c r="M89" s="29" t="n">
        <f aca="false">IF("oui" = "oui",3.92*(1-disc),3.92)</f>
        <v>3.92</v>
      </c>
      <c r="N89" s="29" t="n">
        <f aca="false">IF("oui" = "oui",3.92*(1-disc)*1.2,3.92*1.2)</f>
        <v>4.704</v>
      </c>
      <c r="O89" s="24" t="s">
        <v>25</v>
      </c>
      <c r="P89" s="55" t="s">
        <v>45</v>
      </c>
      <c r="Q89" s="16"/>
    </row>
    <row r="90" customFormat="false" ht="12.8" hidden="false" customHeight="false" outlineLevel="0" collapsed="false">
      <c r="A90" s="22"/>
      <c r="B90" s="23"/>
      <c r="C90" s="24"/>
      <c r="D90" s="22"/>
      <c r="E90" s="19"/>
      <c r="F90" s="24"/>
      <c r="G90" s="25"/>
      <c r="H90" s="26"/>
      <c r="I90" s="27"/>
      <c r="J90" s="28"/>
      <c r="K90" s="28"/>
      <c r="L90" s="24"/>
      <c r="M90" s="29"/>
      <c r="N90" s="29"/>
      <c r="O90" s="24"/>
      <c r="P90" s="4"/>
      <c r="Q90" s="16"/>
    </row>
    <row r="91" customFormat="false" ht="12.8" hidden="false" customHeight="false" outlineLevel="0" collapsed="false">
      <c r="A91" s="22"/>
      <c r="B91" s="23" t="n">
        <v>575141000</v>
      </c>
      <c r="C91" s="24" t="n">
        <v>75</v>
      </c>
      <c r="D91" s="54" t="s">
        <v>108</v>
      </c>
      <c r="E91" s="19" t="s">
        <v>96</v>
      </c>
      <c r="F91" s="24" t="s">
        <v>23</v>
      </c>
      <c r="G91" s="25" t="n">
        <v>0.725</v>
      </c>
      <c r="H91" s="26"/>
      <c r="I91" s="27" t="n">
        <v>75</v>
      </c>
      <c r="J91" s="28" t="n">
        <v>12</v>
      </c>
      <c r="K91" s="28" t="n">
        <v>5</v>
      </c>
      <c r="L91" s="24" t="s">
        <v>24</v>
      </c>
      <c r="M91" s="29" t="n">
        <f aca="false">IF("oui" = "oui",19.56*(1-disc),19.56)</f>
        <v>19.56</v>
      </c>
      <c r="N91" s="29" t="n">
        <f aca="false">IF("oui" = "oui",19.56*(1-disc)*1.2,19.56*1.2)</f>
        <v>23.472</v>
      </c>
      <c r="O91" s="24" t="s">
        <v>25</v>
      </c>
      <c r="P91" s="7" t="s">
        <v>26</v>
      </c>
      <c r="Q91" s="16"/>
    </row>
    <row r="92" customFormat="false" ht="12.8" hidden="false" customHeight="false" outlineLevel="0" collapsed="false">
      <c r="A92" s="22"/>
      <c r="B92" s="23"/>
      <c r="C92" s="24"/>
      <c r="D92" s="22"/>
      <c r="E92" s="19"/>
      <c r="F92" s="24"/>
      <c r="G92" s="25"/>
      <c r="H92" s="26"/>
      <c r="I92" s="27"/>
      <c r="J92" s="28"/>
      <c r="K92" s="28"/>
      <c r="L92" s="24"/>
      <c r="M92" s="29"/>
      <c r="N92" s="29"/>
      <c r="O92" s="24"/>
      <c r="P92" s="4"/>
      <c r="Q92" s="16"/>
    </row>
    <row r="93" customFormat="false" ht="12.8" hidden="false" customHeight="false" outlineLevel="0" collapsed="false">
      <c r="A93" s="42" t="s">
        <v>109</v>
      </c>
      <c r="B93" s="43"/>
      <c r="C93" s="44"/>
      <c r="D93" s="45"/>
      <c r="E93" s="46"/>
      <c r="F93" s="44"/>
      <c r="G93" s="47"/>
      <c r="H93" s="48"/>
      <c r="I93" s="49"/>
      <c r="J93" s="50"/>
      <c r="K93" s="50"/>
      <c r="L93" s="44"/>
      <c r="M93" s="51"/>
      <c r="N93" s="51"/>
      <c r="O93" s="44"/>
      <c r="P93" s="52"/>
      <c r="Q93" s="53"/>
    </row>
    <row r="94" customFormat="false" ht="12.8" hidden="false" customHeight="false" outlineLevel="0" collapsed="false">
      <c r="A94" s="60"/>
      <c r="B94" s="61"/>
      <c r="C94" s="62"/>
      <c r="D94" s="63"/>
      <c r="E94" s="64"/>
      <c r="F94" s="62"/>
      <c r="G94" s="65"/>
      <c r="H94" s="66"/>
      <c r="I94" s="67"/>
      <c r="J94" s="68"/>
      <c r="K94" s="68"/>
      <c r="L94" s="62"/>
      <c r="M94" s="69"/>
      <c r="N94" s="69"/>
      <c r="O94" s="62"/>
      <c r="P94" s="70"/>
      <c r="Q94" s="71"/>
    </row>
    <row r="95" customFormat="false" ht="12.8" hidden="false" customHeight="false" outlineLevel="0" collapsed="false">
      <c r="A95" s="22"/>
      <c r="B95" s="23" t="n">
        <v>575138000</v>
      </c>
      <c r="C95" s="24" t="n">
        <v>75</v>
      </c>
      <c r="D95" s="54" t="s">
        <v>110</v>
      </c>
      <c r="E95" s="19" t="s">
        <v>78</v>
      </c>
      <c r="F95" s="24" t="s">
        <v>23</v>
      </c>
      <c r="G95" s="25" t="n">
        <v>0.133</v>
      </c>
      <c r="H95" s="26"/>
      <c r="I95" s="27" t="n">
        <v>75</v>
      </c>
      <c r="J95" s="28" t="n">
        <v>60</v>
      </c>
      <c r="K95" s="28" t="n">
        <v>1</v>
      </c>
      <c r="L95" s="24" t="s">
        <v>24</v>
      </c>
      <c r="M95" s="29" t="n">
        <f aca="false">IF("oui" = "oui",5.22*(1-disc),5.22)</f>
        <v>5.22</v>
      </c>
      <c r="N95" s="29" t="n">
        <f aca="false">IF("oui" = "oui",5.22*(1-disc)*1.2,5.22*1.2)</f>
        <v>6.264</v>
      </c>
      <c r="O95" s="24" t="s">
        <v>25</v>
      </c>
      <c r="P95" s="7" t="s">
        <v>26</v>
      </c>
      <c r="Q95" s="16"/>
    </row>
    <row r="96" customFormat="false" ht="12.8" hidden="false" customHeight="false" outlineLevel="0" collapsed="false">
      <c r="A96" s="22"/>
      <c r="B96" s="23" t="n">
        <v>575137000</v>
      </c>
      <c r="C96" s="24" t="n">
        <v>75</v>
      </c>
      <c r="D96" s="54" t="s">
        <v>111</v>
      </c>
      <c r="E96" s="19" t="s">
        <v>78</v>
      </c>
      <c r="F96" s="24" t="s">
        <v>23</v>
      </c>
      <c r="G96" s="25" t="n">
        <v>0.133</v>
      </c>
      <c r="H96" s="26"/>
      <c r="I96" s="27" t="n">
        <v>75</v>
      </c>
      <c r="J96" s="28" t="n">
        <v>60</v>
      </c>
      <c r="K96" s="28" t="n">
        <v>1</v>
      </c>
      <c r="L96" s="24" t="s">
        <v>24</v>
      </c>
      <c r="M96" s="29" t="n">
        <f aca="false">IF("oui" = "oui",5.22*(1-disc),5.22)</f>
        <v>5.22</v>
      </c>
      <c r="N96" s="29" t="n">
        <f aca="false">IF("oui" = "oui",5.22*(1-disc)*1.2,5.22*1.2)</f>
        <v>6.264</v>
      </c>
      <c r="O96" s="24" t="s">
        <v>25</v>
      </c>
      <c r="P96" s="7" t="s">
        <v>26</v>
      </c>
      <c r="Q96" s="16"/>
    </row>
    <row r="97" customFormat="false" ht="12.8" hidden="false" customHeight="false" outlineLevel="0" collapsed="false">
      <c r="A97" s="22"/>
      <c r="B97" s="23" t="n">
        <v>575136000</v>
      </c>
      <c r="C97" s="24" t="n">
        <v>75</v>
      </c>
      <c r="D97" s="54" t="s">
        <v>112</v>
      </c>
      <c r="E97" s="19" t="s">
        <v>78</v>
      </c>
      <c r="F97" s="24" t="s">
        <v>23</v>
      </c>
      <c r="G97" s="25" t="n">
        <v>0.133</v>
      </c>
      <c r="H97" s="26"/>
      <c r="I97" s="27" t="n">
        <v>75</v>
      </c>
      <c r="J97" s="28" t="n">
        <v>60</v>
      </c>
      <c r="K97" s="28" t="n">
        <v>1</v>
      </c>
      <c r="L97" s="24" t="s">
        <v>24</v>
      </c>
      <c r="M97" s="29" t="n">
        <f aca="false">IF("oui" = "oui",5.22*(1-disc),5.22)</f>
        <v>5.22</v>
      </c>
      <c r="N97" s="29" t="n">
        <f aca="false">IF("oui" = "oui",5.22*(1-disc)*1.2,5.22*1.2)</f>
        <v>6.264</v>
      </c>
      <c r="O97" s="24" t="s">
        <v>25</v>
      </c>
      <c r="P97" s="55" t="s">
        <v>113</v>
      </c>
      <c r="Q97" s="16"/>
    </row>
    <row r="98" customFormat="false" ht="12.8" hidden="false" customHeight="false" outlineLevel="0" collapsed="false">
      <c r="A98" s="22"/>
      <c r="B98" s="23" t="n">
        <v>575135000</v>
      </c>
      <c r="C98" s="24" t="n">
        <v>75</v>
      </c>
      <c r="D98" s="54" t="s">
        <v>114</v>
      </c>
      <c r="E98" s="19" t="s">
        <v>78</v>
      </c>
      <c r="F98" s="24" t="s">
        <v>23</v>
      </c>
      <c r="G98" s="25" t="n">
        <v>0.133</v>
      </c>
      <c r="H98" s="26"/>
      <c r="I98" s="27" t="n">
        <v>75</v>
      </c>
      <c r="J98" s="28" t="n">
        <v>60</v>
      </c>
      <c r="K98" s="28" t="n">
        <v>1</v>
      </c>
      <c r="L98" s="24" t="s">
        <v>24</v>
      </c>
      <c r="M98" s="29" t="n">
        <f aca="false">IF("oui" = "oui",5.22*(1-disc),5.22)</f>
        <v>5.22</v>
      </c>
      <c r="N98" s="29" t="n">
        <f aca="false">IF("oui" = "oui",5.22*(1-disc)*1.2,5.22*1.2)</f>
        <v>6.264</v>
      </c>
      <c r="O98" s="24" t="s">
        <v>25</v>
      </c>
      <c r="P98" s="7" t="s">
        <v>26</v>
      </c>
      <c r="Q98" s="16"/>
    </row>
    <row r="99" customFormat="false" ht="12.8" hidden="false" customHeight="false" outlineLevel="0" collapsed="false">
      <c r="A99" s="22"/>
      <c r="B99" s="23" t="n">
        <v>575134000</v>
      </c>
      <c r="C99" s="24" t="n">
        <v>75</v>
      </c>
      <c r="D99" s="54" t="s">
        <v>115</v>
      </c>
      <c r="E99" s="19" t="s">
        <v>78</v>
      </c>
      <c r="F99" s="24" t="s">
        <v>23</v>
      </c>
      <c r="G99" s="25" t="n">
        <v>0.133</v>
      </c>
      <c r="H99" s="26"/>
      <c r="I99" s="27" t="n">
        <v>75</v>
      </c>
      <c r="J99" s="28" t="n">
        <v>60</v>
      </c>
      <c r="K99" s="28" t="n">
        <v>1</v>
      </c>
      <c r="L99" s="24" t="s">
        <v>24</v>
      </c>
      <c r="M99" s="29" t="n">
        <f aca="false">IF("oui" = "oui",5.22*(1-disc),5.22)</f>
        <v>5.22</v>
      </c>
      <c r="N99" s="29" t="n">
        <f aca="false">IF("oui" = "oui",5.22*(1-disc)*1.2,5.22*1.2)</f>
        <v>6.264</v>
      </c>
      <c r="O99" s="24" t="s">
        <v>25</v>
      </c>
      <c r="P99" s="7" t="s">
        <v>26</v>
      </c>
      <c r="Q99" s="16"/>
    </row>
    <row r="100" customFormat="false" ht="12.8" hidden="false" customHeight="false" outlineLevel="0" collapsed="false">
      <c r="A100" s="22"/>
      <c r="B100" s="23" t="n">
        <v>575133000</v>
      </c>
      <c r="C100" s="24" t="n">
        <v>75</v>
      </c>
      <c r="D100" s="54" t="s">
        <v>116</v>
      </c>
      <c r="E100" s="19" t="s">
        <v>78</v>
      </c>
      <c r="F100" s="24" t="s">
        <v>23</v>
      </c>
      <c r="G100" s="25" t="n">
        <v>0.133</v>
      </c>
      <c r="H100" s="26"/>
      <c r="I100" s="27" t="n">
        <v>75</v>
      </c>
      <c r="J100" s="28" t="n">
        <v>60</v>
      </c>
      <c r="K100" s="28" t="n">
        <v>1</v>
      </c>
      <c r="L100" s="24" t="s">
        <v>24</v>
      </c>
      <c r="M100" s="29" t="n">
        <f aca="false">IF("oui" = "oui",5.22*(1-disc),5.22)</f>
        <v>5.22</v>
      </c>
      <c r="N100" s="29" t="n">
        <f aca="false">IF("oui" = "oui",5.22*(1-disc)*1.2,5.22*1.2)</f>
        <v>6.264</v>
      </c>
      <c r="O100" s="24" t="s">
        <v>25</v>
      </c>
      <c r="P100" s="7" t="s">
        <v>26</v>
      </c>
      <c r="Q100" s="16"/>
    </row>
    <row r="101" customFormat="false" ht="12.8" hidden="false" customHeight="false" outlineLevel="0" collapsed="false">
      <c r="A101" s="22"/>
      <c r="B101" s="23" t="n">
        <v>575132000</v>
      </c>
      <c r="C101" s="24" t="n">
        <v>75</v>
      </c>
      <c r="D101" s="54" t="s">
        <v>117</v>
      </c>
      <c r="E101" s="19" t="s">
        <v>78</v>
      </c>
      <c r="F101" s="24" t="s">
        <v>23</v>
      </c>
      <c r="G101" s="25" t="n">
        <v>0.133</v>
      </c>
      <c r="H101" s="26"/>
      <c r="I101" s="27" t="n">
        <v>75</v>
      </c>
      <c r="J101" s="28" t="n">
        <v>60</v>
      </c>
      <c r="K101" s="28" t="n">
        <v>1</v>
      </c>
      <c r="L101" s="24" t="s">
        <v>24</v>
      </c>
      <c r="M101" s="29" t="n">
        <f aca="false">IF("oui" = "oui",5.22*(1-disc),5.22)</f>
        <v>5.22</v>
      </c>
      <c r="N101" s="29" t="n">
        <f aca="false">IF("oui" = "oui",5.22*(1-disc)*1.2,5.22*1.2)</f>
        <v>6.264</v>
      </c>
      <c r="O101" s="24" t="s">
        <v>25</v>
      </c>
      <c r="P101" s="7" t="s">
        <v>26</v>
      </c>
      <c r="Q101" s="16"/>
    </row>
    <row r="102" customFormat="false" ht="12.8" hidden="false" customHeight="false" outlineLevel="0" collapsed="false">
      <c r="A102" s="22"/>
      <c r="B102" s="23" t="n">
        <v>575131000</v>
      </c>
      <c r="C102" s="24" t="n">
        <v>75</v>
      </c>
      <c r="D102" s="54" t="s">
        <v>118</v>
      </c>
      <c r="E102" s="19" t="s">
        <v>78</v>
      </c>
      <c r="F102" s="24" t="s">
        <v>23</v>
      </c>
      <c r="G102" s="25" t="n">
        <v>0.133</v>
      </c>
      <c r="H102" s="26"/>
      <c r="I102" s="27" t="n">
        <v>75</v>
      </c>
      <c r="J102" s="28" t="n">
        <v>60</v>
      </c>
      <c r="K102" s="28" t="n">
        <v>1</v>
      </c>
      <c r="L102" s="24" t="s">
        <v>24</v>
      </c>
      <c r="M102" s="29" t="n">
        <f aca="false">IF("oui" = "oui",5.22*(1-disc),5.22)</f>
        <v>5.22</v>
      </c>
      <c r="N102" s="29" t="n">
        <f aca="false">IF("oui" = "oui",5.22*(1-disc)*1.2,5.22*1.2)</f>
        <v>6.264</v>
      </c>
      <c r="O102" s="24" t="s">
        <v>25</v>
      </c>
      <c r="P102" s="7" t="s">
        <v>26</v>
      </c>
      <c r="Q102" s="16"/>
    </row>
    <row r="103" customFormat="false" ht="12.8" hidden="false" customHeight="false" outlineLevel="0" collapsed="false">
      <c r="A103" s="22"/>
      <c r="B103" s="23" t="n">
        <v>575130000</v>
      </c>
      <c r="C103" s="24" t="n">
        <v>75</v>
      </c>
      <c r="D103" s="54" t="s">
        <v>119</v>
      </c>
      <c r="E103" s="19" t="s">
        <v>78</v>
      </c>
      <c r="F103" s="24" t="s">
        <v>23</v>
      </c>
      <c r="G103" s="25" t="n">
        <v>0.133</v>
      </c>
      <c r="H103" s="26"/>
      <c r="I103" s="27" t="n">
        <v>75</v>
      </c>
      <c r="J103" s="28" t="n">
        <v>60</v>
      </c>
      <c r="K103" s="28" t="n">
        <v>1</v>
      </c>
      <c r="L103" s="24" t="s">
        <v>24</v>
      </c>
      <c r="M103" s="29" t="n">
        <f aca="false">IF("oui" = "oui",5.22*(1-disc),5.22)</f>
        <v>5.22</v>
      </c>
      <c r="N103" s="29" t="n">
        <f aca="false">IF("oui" = "oui",5.22*(1-disc)*1.2,5.22*1.2)</f>
        <v>6.264</v>
      </c>
      <c r="O103" s="24" t="s">
        <v>25</v>
      </c>
      <c r="P103" s="7" t="s">
        <v>26</v>
      </c>
      <c r="Q103" s="16"/>
    </row>
    <row r="104" customFormat="false" ht="12.8" hidden="false" customHeight="false" outlineLevel="0" collapsed="false">
      <c r="A104" s="22"/>
      <c r="B104" s="23" t="n">
        <v>575129000</v>
      </c>
      <c r="C104" s="24" t="n">
        <v>75</v>
      </c>
      <c r="D104" s="54" t="s">
        <v>120</v>
      </c>
      <c r="E104" s="19" t="s">
        <v>78</v>
      </c>
      <c r="F104" s="24" t="s">
        <v>23</v>
      </c>
      <c r="G104" s="25" t="n">
        <v>0.133</v>
      </c>
      <c r="H104" s="26"/>
      <c r="I104" s="27" t="n">
        <v>75</v>
      </c>
      <c r="J104" s="28" t="n">
        <v>60</v>
      </c>
      <c r="K104" s="28" t="n">
        <v>1</v>
      </c>
      <c r="L104" s="24" t="s">
        <v>24</v>
      </c>
      <c r="M104" s="29" t="n">
        <f aca="false">IF("oui" = "oui",5.22*(1-disc),5.22)</f>
        <v>5.22</v>
      </c>
      <c r="N104" s="29" t="n">
        <f aca="false">IF("oui" = "oui",5.22*(1-disc)*1.2,5.22*1.2)</f>
        <v>6.264</v>
      </c>
      <c r="O104" s="24" t="s">
        <v>25</v>
      </c>
      <c r="P104" s="7" t="s">
        <v>26</v>
      </c>
      <c r="Q104" s="16"/>
    </row>
    <row r="105" customFormat="false" ht="12.8" hidden="false" customHeight="false" outlineLevel="0" collapsed="false">
      <c r="A105" s="22"/>
      <c r="B105" s="23" t="n">
        <v>575128000</v>
      </c>
      <c r="C105" s="24" t="n">
        <v>75</v>
      </c>
      <c r="D105" s="54" t="s">
        <v>121</v>
      </c>
      <c r="E105" s="19" t="s">
        <v>78</v>
      </c>
      <c r="F105" s="24" t="s">
        <v>23</v>
      </c>
      <c r="G105" s="25" t="n">
        <v>0.133</v>
      </c>
      <c r="H105" s="26"/>
      <c r="I105" s="27" t="n">
        <v>75</v>
      </c>
      <c r="J105" s="28" t="n">
        <v>60</v>
      </c>
      <c r="K105" s="28" t="n">
        <v>1</v>
      </c>
      <c r="L105" s="24" t="s">
        <v>24</v>
      </c>
      <c r="M105" s="29" t="n">
        <f aca="false">IF("oui" = "oui",5.22*(1-disc),5.22)</f>
        <v>5.22</v>
      </c>
      <c r="N105" s="29" t="n">
        <f aca="false">IF("oui" = "oui",5.22*(1-disc)*1.2,5.22*1.2)</f>
        <v>6.264</v>
      </c>
      <c r="O105" s="24" t="s">
        <v>25</v>
      </c>
      <c r="P105" s="55" t="s">
        <v>122</v>
      </c>
      <c r="Q105" s="16"/>
    </row>
    <row r="106" customFormat="false" ht="12.8" hidden="false" customHeight="false" outlineLevel="0" collapsed="false">
      <c r="A106" s="22"/>
      <c r="B106" s="23"/>
      <c r="C106" s="24"/>
      <c r="D106" s="22"/>
      <c r="E106" s="19"/>
      <c r="F106" s="24"/>
      <c r="G106" s="25"/>
      <c r="H106" s="26"/>
      <c r="I106" s="27"/>
      <c r="J106" s="28"/>
      <c r="K106" s="28"/>
      <c r="L106" s="24"/>
      <c r="M106" s="29"/>
      <c r="N106" s="29"/>
      <c r="O106" s="24"/>
      <c r="P106" s="4"/>
      <c r="Q106" s="16"/>
    </row>
    <row r="107" customFormat="false" ht="12.8" hidden="false" customHeight="false" outlineLevel="0" collapsed="false">
      <c r="A107" s="22"/>
      <c r="B107" s="23" t="n">
        <v>575139000</v>
      </c>
      <c r="C107" s="24" t="n">
        <v>75</v>
      </c>
      <c r="D107" s="22" t="s">
        <v>123</v>
      </c>
      <c r="E107" s="19" t="s">
        <v>78</v>
      </c>
      <c r="F107" s="24" t="s">
        <v>23</v>
      </c>
      <c r="G107" s="25" t="n">
        <v>0.665</v>
      </c>
      <c r="H107" s="26"/>
      <c r="I107" s="27" t="n">
        <v>75</v>
      </c>
      <c r="J107" s="28" t="n">
        <v>12</v>
      </c>
      <c r="K107" s="28" t="n">
        <v>5</v>
      </c>
      <c r="L107" s="24" t="s">
        <v>24</v>
      </c>
      <c r="M107" s="29" t="n">
        <f aca="false">IF("oui" = "oui",26.08*(1-disc),26.08)</f>
        <v>26.08</v>
      </c>
      <c r="N107" s="29" t="n">
        <f aca="false">IF("oui" = "oui",26.08*(1-disc)*1.2,26.08*1.2)</f>
        <v>31.296</v>
      </c>
      <c r="O107" s="24" t="s">
        <v>25</v>
      </c>
      <c r="P107" s="7" t="s">
        <v>26</v>
      </c>
      <c r="Q107" s="16"/>
    </row>
    <row r="108" customFormat="false" ht="12.8" hidden="false" customHeight="false" outlineLevel="0" collapsed="false">
      <c r="A108" s="22"/>
      <c r="B108" s="23"/>
      <c r="C108" s="24"/>
      <c r="D108" s="22"/>
      <c r="E108" s="19"/>
      <c r="F108" s="24"/>
      <c r="G108" s="25"/>
      <c r="H108" s="26"/>
      <c r="I108" s="27"/>
      <c r="J108" s="28"/>
      <c r="K108" s="28"/>
      <c r="L108" s="24"/>
      <c r="M108" s="29"/>
      <c r="N108" s="29"/>
      <c r="O108" s="24"/>
      <c r="P108" s="4"/>
      <c r="Q108" s="16"/>
    </row>
    <row r="109" customFormat="false" ht="12.8" hidden="false" customHeight="false" outlineLevel="0" collapsed="false">
      <c r="A109" s="42" t="s">
        <v>124</v>
      </c>
      <c r="B109" s="43"/>
      <c r="C109" s="44"/>
      <c r="D109" s="45"/>
      <c r="E109" s="46"/>
      <c r="F109" s="44"/>
      <c r="G109" s="47"/>
      <c r="H109" s="48"/>
      <c r="I109" s="49"/>
      <c r="J109" s="50"/>
      <c r="K109" s="50"/>
      <c r="L109" s="44"/>
      <c r="M109" s="51"/>
      <c r="N109" s="51"/>
      <c r="O109" s="44"/>
      <c r="P109" s="52"/>
      <c r="Q109" s="53"/>
    </row>
    <row r="110" customFormat="false" ht="12.8" hidden="false" customHeight="false" outlineLevel="0" collapsed="false">
      <c r="A110" s="22"/>
      <c r="B110" s="23"/>
      <c r="C110" s="24"/>
      <c r="D110" s="22"/>
      <c r="E110" s="19"/>
      <c r="F110" s="24"/>
      <c r="G110" s="25"/>
      <c r="H110" s="26"/>
      <c r="I110" s="27"/>
      <c r="J110" s="28"/>
      <c r="K110" s="28"/>
      <c r="L110" s="24"/>
      <c r="M110" s="29"/>
      <c r="N110" s="29"/>
      <c r="O110" s="24"/>
      <c r="P110" s="4"/>
      <c r="Q110" s="16"/>
    </row>
    <row r="111" customFormat="false" ht="12.8" hidden="false" customHeight="false" outlineLevel="0" collapsed="false">
      <c r="A111" s="22"/>
      <c r="B111" s="23" t="n">
        <v>575063000</v>
      </c>
      <c r="C111" s="24" t="n">
        <v>75</v>
      </c>
      <c r="D111" s="54" t="s">
        <v>125</v>
      </c>
      <c r="E111" s="19" t="s">
        <v>126</v>
      </c>
      <c r="F111" s="24" t="s">
        <v>23</v>
      </c>
      <c r="G111" s="25" t="n">
        <v>0.157</v>
      </c>
      <c r="H111" s="26"/>
      <c r="I111" s="27" t="n">
        <v>75</v>
      </c>
      <c r="J111" s="28" t="n">
        <v>60</v>
      </c>
      <c r="K111" s="28" t="n">
        <v>1</v>
      </c>
      <c r="L111" s="24" t="s">
        <v>24</v>
      </c>
      <c r="M111" s="29" t="n">
        <f aca="false">IF("oui" = "oui",5.22*(1-disc),5.22)</f>
        <v>5.22</v>
      </c>
      <c r="N111" s="29" t="n">
        <f aca="false">IF("oui" = "oui",5.22*(1-disc)*1.2,5.22*1.2)</f>
        <v>6.264</v>
      </c>
      <c r="O111" s="24" t="s">
        <v>25</v>
      </c>
      <c r="P111" s="55" t="s">
        <v>127</v>
      </c>
      <c r="Q111" s="16"/>
    </row>
    <row r="112" customFormat="false" ht="12.8" hidden="false" customHeight="false" outlineLevel="0" collapsed="false">
      <c r="A112" s="22"/>
      <c r="B112" s="23" t="n">
        <v>575064000</v>
      </c>
      <c r="C112" s="24" t="n">
        <v>75</v>
      </c>
      <c r="D112" s="54" t="s">
        <v>128</v>
      </c>
      <c r="E112" s="19" t="s">
        <v>126</v>
      </c>
      <c r="F112" s="24" t="s">
        <v>23</v>
      </c>
      <c r="G112" s="25" t="n">
        <v>0.157</v>
      </c>
      <c r="H112" s="26"/>
      <c r="I112" s="27" t="n">
        <v>75</v>
      </c>
      <c r="J112" s="28" t="n">
        <v>60</v>
      </c>
      <c r="K112" s="28" t="n">
        <v>1</v>
      </c>
      <c r="L112" s="24" t="s">
        <v>24</v>
      </c>
      <c r="M112" s="29" t="n">
        <f aca="false">IF("oui" = "oui",5.22*(1-disc),5.22)</f>
        <v>5.22</v>
      </c>
      <c r="N112" s="29" t="n">
        <f aca="false">IF("oui" = "oui",5.22*(1-disc)*1.2,5.22*1.2)</f>
        <v>6.264</v>
      </c>
      <c r="O112" s="24" t="s">
        <v>25</v>
      </c>
      <c r="P112" s="7" t="s">
        <v>26</v>
      </c>
      <c r="Q112" s="16"/>
    </row>
    <row r="113" customFormat="false" ht="12.8" hidden="false" customHeight="false" outlineLevel="0" collapsed="false">
      <c r="A113" s="22"/>
      <c r="B113" s="23" t="n">
        <v>575067000</v>
      </c>
      <c r="C113" s="24" t="n">
        <v>75</v>
      </c>
      <c r="D113" s="54" t="s">
        <v>129</v>
      </c>
      <c r="E113" s="19" t="s">
        <v>126</v>
      </c>
      <c r="F113" s="24" t="s">
        <v>23</v>
      </c>
      <c r="G113" s="25" t="n">
        <v>0.157</v>
      </c>
      <c r="H113" s="26"/>
      <c r="I113" s="27" t="n">
        <v>75</v>
      </c>
      <c r="J113" s="28" t="n">
        <v>60</v>
      </c>
      <c r="K113" s="28" t="n">
        <v>1</v>
      </c>
      <c r="L113" s="24" t="s">
        <v>24</v>
      </c>
      <c r="M113" s="29" t="n">
        <f aca="false">IF("oui" = "oui",5.22*(1-disc),5.22)</f>
        <v>5.22</v>
      </c>
      <c r="N113" s="29" t="n">
        <f aca="false">IF("oui" = "oui",5.22*(1-disc)*1.2,5.22*1.2)</f>
        <v>6.264</v>
      </c>
      <c r="O113" s="24" t="s">
        <v>25</v>
      </c>
      <c r="P113" s="7" t="s">
        <v>26</v>
      </c>
      <c r="Q113" s="16"/>
    </row>
    <row r="114" customFormat="false" ht="12.8" hidden="false" customHeight="false" outlineLevel="0" collapsed="false">
      <c r="A114" s="22"/>
      <c r="B114" s="23" t="n">
        <v>575068000</v>
      </c>
      <c r="C114" s="24" t="n">
        <v>75</v>
      </c>
      <c r="D114" s="54" t="s">
        <v>130</v>
      </c>
      <c r="E114" s="19" t="s">
        <v>126</v>
      </c>
      <c r="F114" s="24" t="s">
        <v>23</v>
      </c>
      <c r="G114" s="25" t="n">
        <v>0.157</v>
      </c>
      <c r="H114" s="26"/>
      <c r="I114" s="27" t="n">
        <v>75</v>
      </c>
      <c r="J114" s="28" t="n">
        <v>60</v>
      </c>
      <c r="K114" s="28" t="n">
        <v>1</v>
      </c>
      <c r="L114" s="24" t="s">
        <v>24</v>
      </c>
      <c r="M114" s="29" t="n">
        <f aca="false">IF("oui" = "oui",5.22*(1-disc),5.22)</f>
        <v>5.22</v>
      </c>
      <c r="N114" s="29" t="n">
        <f aca="false">IF("oui" = "oui",5.22*(1-disc)*1.2,5.22*1.2)</f>
        <v>6.264</v>
      </c>
      <c r="O114" s="24" t="s">
        <v>25</v>
      </c>
      <c r="P114" s="55" t="s">
        <v>131</v>
      </c>
      <c r="Q114" s="16"/>
    </row>
    <row r="115" customFormat="false" ht="12.8" hidden="false" customHeight="false" outlineLevel="0" collapsed="false">
      <c r="A115" s="22"/>
      <c r="B115" s="23" t="n">
        <v>575069000</v>
      </c>
      <c r="C115" s="24" t="n">
        <v>75</v>
      </c>
      <c r="D115" s="54" t="s">
        <v>132</v>
      </c>
      <c r="E115" s="19" t="s">
        <v>126</v>
      </c>
      <c r="F115" s="24" t="s">
        <v>23</v>
      </c>
      <c r="G115" s="25" t="n">
        <v>0.157</v>
      </c>
      <c r="H115" s="26"/>
      <c r="I115" s="27" t="n">
        <v>75</v>
      </c>
      <c r="J115" s="28" t="n">
        <v>60</v>
      </c>
      <c r="K115" s="28" t="n">
        <v>1</v>
      </c>
      <c r="L115" s="24" t="s">
        <v>24</v>
      </c>
      <c r="M115" s="29" t="n">
        <f aca="false">IF("oui" = "oui",5.22*(1-disc),5.22)</f>
        <v>5.22</v>
      </c>
      <c r="N115" s="29" t="n">
        <f aca="false">IF("oui" = "oui",5.22*(1-disc)*1.2,5.22*1.2)</f>
        <v>6.264</v>
      </c>
      <c r="O115" s="24" t="s">
        <v>25</v>
      </c>
      <c r="P115" s="7" t="s">
        <v>26</v>
      </c>
      <c r="Q115" s="16"/>
    </row>
    <row r="116" customFormat="false" ht="12.8" hidden="false" customHeight="false" outlineLevel="0" collapsed="false">
      <c r="A116" s="22"/>
      <c r="B116" s="23" t="n">
        <v>575070000</v>
      </c>
      <c r="C116" s="24" t="n">
        <v>75</v>
      </c>
      <c r="D116" s="54" t="s">
        <v>133</v>
      </c>
      <c r="E116" s="19" t="s">
        <v>126</v>
      </c>
      <c r="F116" s="24" t="s">
        <v>23</v>
      </c>
      <c r="G116" s="25" t="n">
        <v>0.157</v>
      </c>
      <c r="H116" s="26"/>
      <c r="I116" s="27" t="n">
        <v>75</v>
      </c>
      <c r="J116" s="28" t="n">
        <v>60</v>
      </c>
      <c r="K116" s="28" t="n">
        <v>1</v>
      </c>
      <c r="L116" s="24" t="s">
        <v>24</v>
      </c>
      <c r="M116" s="29" t="n">
        <f aca="false">IF("oui" = "oui",5.22*(1-disc),5.22)</f>
        <v>5.22</v>
      </c>
      <c r="N116" s="29" t="n">
        <f aca="false">IF("oui" = "oui",5.22*(1-disc)*1.2,5.22*1.2)</f>
        <v>6.264</v>
      </c>
      <c r="O116" s="24" t="s">
        <v>25</v>
      </c>
      <c r="P116" s="7" t="s">
        <v>26</v>
      </c>
      <c r="Q116" s="16"/>
    </row>
    <row r="117" customFormat="false" ht="12.8" hidden="false" customHeight="false" outlineLevel="0" collapsed="false">
      <c r="A117" s="22"/>
      <c r="B117" s="23" t="n">
        <v>575071000</v>
      </c>
      <c r="C117" s="24" t="n">
        <v>75</v>
      </c>
      <c r="D117" s="54" t="s">
        <v>134</v>
      </c>
      <c r="E117" s="19" t="s">
        <v>126</v>
      </c>
      <c r="F117" s="24" t="s">
        <v>23</v>
      </c>
      <c r="G117" s="25" t="n">
        <v>0.157</v>
      </c>
      <c r="H117" s="26"/>
      <c r="I117" s="27" t="n">
        <v>75</v>
      </c>
      <c r="J117" s="28" t="n">
        <v>60</v>
      </c>
      <c r="K117" s="28" t="n">
        <v>1</v>
      </c>
      <c r="L117" s="24" t="s">
        <v>24</v>
      </c>
      <c r="M117" s="29" t="n">
        <f aca="false">IF("oui" = "oui",5.22*(1-disc),5.22)</f>
        <v>5.22</v>
      </c>
      <c r="N117" s="29" t="n">
        <f aca="false">IF("oui" = "oui",5.22*(1-disc)*1.2,5.22*1.2)</f>
        <v>6.264</v>
      </c>
      <c r="O117" s="24" t="s">
        <v>25</v>
      </c>
      <c r="P117" s="7" t="s">
        <v>26</v>
      </c>
      <c r="Q117" s="16"/>
    </row>
    <row r="118" customFormat="false" ht="12.8" hidden="false" customHeight="false" outlineLevel="0" collapsed="false">
      <c r="A118" s="22"/>
      <c r="B118" s="23" t="n">
        <v>575072000</v>
      </c>
      <c r="C118" s="24" t="n">
        <v>75</v>
      </c>
      <c r="D118" s="54" t="s">
        <v>135</v>
      </c>
      <c r="E118" s="19" t="s">
        <v>126</v>
      </c>
      <c r="F118" s="24" t="s">
        <v>23</v>
      </c>
      <c r="G118" s="25" t="n">
        <v>0.157</v>
      </c>
      <c r="H118" s="26"/>
      <c r="I118" s="27" t="n">
        <v>75</v>
      </c>
      <c r="J118" s="28" t="n">
        <v>60</v>
      </c>
      <c r="K118" s="28" t="n">
        <v>1</v>
      </c>
      <c r="L118" s="24" t="s">
        <v>24</v>
      </c>
      <c r="M118" s="29" t="n">
        <f aca="false">IF("oui" = "oui",5.22*(1-disc),5.22)</f>
        <v>5.22</v>
      </c>
      <c r="N118" s="29" t="n">
        <f aca="false">IF("oui" = "oui",5.22*(1-disc)*1.2,5.22*1.2)</f>
        <v>6.264</v>
      </c>
      <c r="O118" s="24" t="s">
        <v>25</v>
      </c>
      <c r="P118" s="7" t="s">
        <v>26</v>
      </c>
      <c r="Q118" s="16"/>
    </row>
    <row r="119" customFormat="false" ht="12.8" hidden="false" customHeight="false" outlineLevel="0" collapsed="false">
      <c r="A119" s="22"/>
      <c r="B119" s="56"/>
      <c r="C119" s="24"/>
      <c r="D119" s="22"/>
      <c r="E119" s="19"/>
      <c r="F119" s="24"/>
      <c r="G119" s="25"/>
      <c r="H119" s="26"/>
      <c r="I119" s="27"/>
      <c r="J119" s="28"/>
      <c r="K119" s="28"/>
      <c r="L119" s="24"/>
      <c r="M119" s="29"/>
      <c r="N119" s="29"/>
      <c r="O119" s="24"/>
      <c r="P119" s="4"/>
      <c r="Q119" s="16"/>
    </row>
    <row r="120" customFormat="false" ht="12.8" hidden="false" customHeight="false" outlineLevel="0" collapsed="false">
      <c r="A120" s="22"/>
      <c r="B120" s="23" t="n">
        <v>575149000</v>
      </c>
      <c r="C120" s="24" t="n">
        <v>75</v>
      </c>
      <c r="D120" s="54" t="s">
        <v>136</v>
      </c>
      <c r="E120" s="19" t="s">
        <v>126</v>
      </c>
      <c r="F120" s="24" t="s">
        <v>23</v>
      </c>
      <c r="G120" s="25" t="n">
        <v>0.785</v>
      </c>
      <c r="H120" s="26"/>
      <c r="I120" s="27" t="n">
        <v>75</v>
      </c>
      <c r="J120" s="28" t="n">
        <v>12</v>
      </c>
      <c r="K120" s="28" t="n">
        <v>5</v>
      </c>
      <c r="L120" s="24" t="s">
        <v>24</v>
      </c>
      <c r="M120" s="29" t="n">
        <f aca="false">IF("oui" = "oui",26.08*(1-disc),26.08)</f>
        <v>26.08</v>
      </c>
      <c r="N120" s="29" t="n">
        <f aca="false">IF("oui" = "oui",26.08*(1-disc)*1.2,26.08*1.2)</f>
        <v>31.296</v>
      </c>
      <c r="O120" s="24" t="s">
        <v>25</v>
      </c>
      <c r="P120" s="7" t="s">
        <v>26</v>
      </c>
      <c r="Q120" s="16"/>
    </row>
    <row r="121" customFormat="false" ht="12.8" hidden="false" customHeight="false" outlineLevel="0" collapsed="false">
      <c r="A121" s="22"/>
      <c r="B121" s="23"/>
      <c r="C121" s="24"/>
      <c r="D121" s="22"/>
      <c r="E121" s="19"/>
      <c r="F121" s="24"/>
      <c r="G121" s="25"/>
      <c r="H121" s="26"/>
      <c r="I121" s="27"/>
      <c r="J121" s="28"/>
      <c r="K121" s="28"/>
      <c r="L121" s="24"/>
      <c r="M121" s="29"/>
      <c r="N121" s="29"/>
      <c r="O121" s="24"/>
      <c r="P121" s="4"/>
      <c r="Q121" s="16"/>
    </row>
    <row r="122" customFormat="false" ht="12.8" hidden="false" customHeight="false" outlineLevel="0" collapsed="false">
      <c r="A122" s="42" t="s">
        <v>137</v>
      </c>
      <c r="B122" s="43"/>
      <c r="C122" s="44"/>
      <c r="D122" s="45"/>
      <c r="E122" s="46"/>
      <c r="F122" s="44"/>
      <c r="G122" s="47"/>
      <c r="H122" s="48"/>
      <c r="I122" s="49"/>
      <c r="J122" s="50"/>
      <c r="K122" s="50"/>
      <c r="L122" s="44"/>
      <c r="M122" s="51"/>
      <c r="N122" s="51"/>
      <c r="O122" s="44"/>
      <c r="P122" s="52"/>
      <c r="Q122" s="53"/>
    </row>
    <row r="123" customFormat="false" ht="12.8" hidden="false" customHeight="false" outlineLevel="0" collapsed="false">
      <c r="A123" s="22"/>
      <c r="B123" s="23"/>
      <c r="C123" s="24"/>
      <c r="D123" s="22"/>
      <c r="E123" s="19"/>
      <c r="F123" s="24"/>
      <c r="G123" s="25"/>
      <c r="H123" s="26"/>
      <c r="I123" s="27"/>
      <c r="J123" s="28"/>
      <c r="K123" s="28"/>
      <c r="L123" s="24"/>
      <c r="M123" s="29"/>
      <c r="N123" s="29"/>
      <c r="O123" s="24"/>
      <c r="P123" s="4"/>
      <c r="Q123" s="16"/>
    </row>
    <row r="124" customFormat="false" ht="12.8" hidden="false" customHeight="false" outlineLevel="0" collapsed="false">
      <c r="A124" s="22"/>
      <c r="B124" s="23" t="n">
        <v>575076000</v>
      </c>
      <c r="C124" s="24" t="n">
        <v>75</v>
      </c>
      <c r="D124" s="54" t="s">
        <v>138</v>
      </c>
      <c r="E124" s="19" t="s">
        <v>139</v>
      </c>
      <c r="F124" s="24" t="s">
        <v>23</v>
      </c>
      <c r="G124" s="25" t="n">
        <v>0.165</v>
      </c>
      <c r="H124" s="26"/>
      <c r="I124" s="27" t="n">
        <v>75</v>
      </c>
      <c r="J124" s="28" t="n">
        <v>60</v>
      </c>
      <c r="K124" s="28" t="n">
        <v>1</v>
      </c>
      <c r="L124" s="24" t="s">
        <v>24</v>
      </c>
      <c r="M124" s="29" t="n">
        <f aca="false">IF("oui" = "oui",5.22*(1-disc),5.22)</f>
        <v>5.22</v>
      </c>
      <c r="N124" s="29" t="n">
        <f aca="false">IF("oui" = "oui",5.22*(1-disc)*1.2,5.22*1.2)</f>
        <v>6.264</v>
      </c>
      <c r="O124" s="24" t="s">
        <v>25</v>
      </c>
      <c r="P124" s="55" t="s">
        <v>45</v>
      </c>
      <c r="Q124" s="16"/>
    </row>
    <row r="125" customFormat="false" ht="12.8" hidden="false" customHeight="false" outlineLevel="0" collapsed="false">
      <c r="A125" s="22"/>
      <c r="B125" s="23" t="n">
        <v>575077000</v>
      </c>
      <c r="C125" s="24" t="n">
        <v>75</v>
      </c>
      <c r="D125" s="54" t="s">
        <v>140</v>
      </c>
      <c r="E125" s="19" t="s">
        <v>139</v>
      </c>
      <c r="F125" s="24" t="s">
        <v>23</v>
      </c>
      <c r="G125" s="25" t="n">
        <v>0.165</v>
      </c>
      <c r="H125" s="26"/>
      <c r="I125" s="27" t="n">
        <v>75</v>
      </c>
      <c r="J125" s="28" t="n">
        <v>60</v>
      </c>
      <c r="K125" s="28" t="n">
        <v>1</v>
      </c>
      <c r="L125" s="24" t="s">
        <v>24</v>
      </c>
      <c r="M125" s="29" t="n">
        <f aca="false">IF("oui" = "oui",5.22*(1-disc),5.22)</f>
        <v>5.22</v>
      </c>
      <c r="N125" s="29" t="n">
        <f aca="false">IF("oui" = "oui",5.22*(1-disc)*1.2,5.22*1.2)</f>
        <v>6.264</v>
      </c>
      <c r="O125" s="24" t="s">
        <v>25</v>
      </c>
      <c r="P125" s="55" t="s">
        <v>141</v>
      </c>
      <c r="Q125" s="16"/>
    </row>
    <row r="126" customFormat="false" ht="12.8" hidden="false" customHeight="false" outlineLevel="0" collapsed="false">
      <c r="A126" s="22"/>
      <c r="B126" s="23" t="n">
        <v>575078000</v>
      </c>
      <c r="C126" s="24" t="n">
        <v>75</v>
      </c>
      <c r="D126" s="54" t="s">
        <v>142</v>
      </c>
      <c r="E126" s="19" t="s">
        <v>139</v>
      </c>
      <c r="F126" s="24" t="s">
        <v>23</v>
      </c>
      <c r="G126" s="25" t="n">
        <v>0.165</v>
      </c>
      <c r="H126" s="26"/>
      <c r="I126" s="27" t="n">
        <v>75</v>
      </c>
      <c r="J126" s="28" t="n">
        <v>60</v>
      </c>
      <c r="K126" s="28" t="n">
        <v>1</v>
      </c>
      <c r="L126" s="24" t="s">
        <v>24</v>
      </c>
      <c r="M126" s="29" t="n">
        <f aca="false">IF("oui" = "oui",5.22*(1-disc),5.22)</f>
        <v>5.22</v>
      </c>
      <c r="N126" s="29" t="n">
        <f aca="false">IF("oui" = "oui",5.22*(1-disc)*1.2,5.22*1.2)</f>
        <v>6.264</v>
      </c>
      <c r="O126" s="24" t="s">
        <v>25</v>
      </c>
      <c r="P126" s="7" t="s">
        <v>26</v>
      </c>
      <c r="Q126" s="16"/>
    </row>
    <row r="127" customFormat="false" ht="12.8" hidden="false" customHeight="false" outlineLevel="0" collapsed="false">
      <c r="A127" s="22"/>
      <c r="B127" s="23" t="n">
        <v>575079000</v>
      </c>
      <c r="C127" s="24" t="n">
        <v>75</v>
      </c>
      <c r="D127" s="54" t="s">
        <v>143</v>
      </c>
      <c r="E127" s="19" t="s">
        <v>139</v>
      </c>
      <c r="F127" s="24" t="s">
        <v>23</v>
      </c>
      <c r="G127" s="25" t="n">
        <v>0.165</v>
      </c>
      <c r="H127" s="26"/>
      <c r="I127" s="27" t="n">
        <v>75</v>
      </c>
      <c r="J127" s="28" t="n">
        <v>60</v>
      </c>
      <c r="K127" s="28" t="n">
        <v>1</v>
      </c>
      <c r="L127" s="24" t="s">
        <v>24</v>
      </c>
      <c r="M127" s="29" t="n">
        <f aca="false">IF("oui" = "oui",5.22*(1-disc),5.22)</f>
        <v>5.22</v>
      </c>
      <c r="N127" s="29" t="n">
        <f aca="false">IF("oui" = "oui",5.22*(1-disc)*1.2,5.22*1.2)</f>
        <v>6.264</v>
      </c>
      <c r="O127" s="24" t="s">
        <v>25</v>
      </c>
      <c r="P127" s="7" t="s">
        <v>26</v>
      </c>
      <c r="Q127" s="16"/>
    </row>
    <row r="128" customFormat="false" ht="12.8" hidden="false" customHeight="false" outlineLevel="0" collapsed="false">
      <c r="A128" s="22"/>
      <c r="B128" s="23" t="n">
        <v>575081000</v>
      </c>
      <c r="C128" s="24" t="n">
        <v>75</v>
      </c>
      <c r="D128" s="54" t="s">
        <v>144</v>
      </c>
      <c r="E128" s="19" t="s">
        <v>139</v>
      </c>
      <c r="F128" s="24" t="s">
        <v>23</v>
      </c>
      <c r="G128" s="25" t="n">
        <v>0.165</v>
      </c>
      <c r="H128" s="26"/>
      <c r="I128" s="27" t="n">
        <v>75</v>
      </c>
      <c r="J128" s="28" t="n">
        <v>60</v>
      </c>
      <c r="K128" s="28" t="n">
        <v>1</v>
      </c>
      <c r="L128" s="24" t="s">
        <v>24</v>
      </c>
      <c r="M128" s="29" t="n">
        <f aca="false">IF("oui" = "oui",5.22*(1-disc),5.22)</f>
        <v>5.22</v>
      </c>
      <c r="N128" s="29" t="n">
        <f aca="false">IF("oui" = "oui",5.22*(1-disc)*1.2,5.22*1.2)</f>
        <v>6.264</v>
      </c>
      <c r="O128" s="24" t="s">
        <v>25</v>
      </c>
      <c r="P128" s="55" t="s">
        <v>45</v>
      </c>
      <c r="Q128" s="16"/>
    </row>
    <row r="129" customFormat="false" ht="12.8" hidden="false" customHeight="false" outlineLevel="0" collapsed="false">
      <c r="A129" s="22"/>
      <c r="B129" s="23" t="n">
        <v>575082000</v>
      </c>
      <c r="C129" s="24" t="n">
        <v>75</v>
      </c>
      <c r="D129" s="54" t="s">
        <v>145</v>
      </c>
      <c r="E129" s="19" t="s">
        <v>139</v>
      </c>
      <c r="F129" s="24" t="s">
        <v>23</v>
      </c>
      <c r="G129" s="25" t="n">
        <v>0.165</v>
      </c>
      <c r="H129" s="26"/>
      <c r="I129" s="27" t="n">
        <v>75</v>
      </c>
      <c r="J129" s="28" t="n">
        <v>60</v>
      </c>
      <c r="K129" s="28" t="n">
        <v>1</v>
      </c>
      <c r="L129" s="24" t="s">
        <v>24</v>
      </c>
      <c r="M129" s="29" t="n">
        <f aca="false">IF("oui" = "oui",5.22*(1-disc),5.22)</f>
        <v>5.22</v>
      </c>
      <c r="N129" s="29" t="n">
        <f aca="false">IF("oui" = "oui",5.22*(1-disc)*1.2,5.22*1.2)</f>
        <v>6.264</v>
      </c>
      <c r="O129" s="24" t="s">
        <v>25</v>
      </c>
      <c r="P129" s="7" t="s">
        <v>26</v>
      </c>
      <c r="Q129" s="16"/>
    </row>
    <row r="130" customFormat="false" ht="12.8" hidden="false" customHeight="false" outlineLevel="0" collapsed="false">
      <c r="A130" s="22"/>
      <c r="B130" s="23" t="n">
        <v>575083000</v>
      </c>
      <c r="C130" s="24" t="n">
        <v>75</v>
      </c>
      <c r="D130" s="54" t="s">
        <v>146</v>
      </c>
      <c r="E130" s="19" t="s">
        <v>139</v>
      </c>
      <c r="F130" s="24" t="s">
        <v>23</v>
      </c>
      <c r="G130" s="25" t="n">
        <v>0.165</v>
      </c>
      <c r="H130" s="26"/>
      <c r="I130" s="27" t="n">
        <v>75</v>
      </c>
      <c r="J130" s="28" t="n">
        <v>60</v>
      </c>
      <c r="K130" s="28" t="n">
        <v>1</v>
      </c>
      <c r="L130" s="24" t="s">
        <v>24</v>
      </c>
      <c r="M130" s="29" t="n">
        <f aca="false">IF("oui" = "oui",5.22*(1-disc),5.22)</f>
        <v>5.22</v>
      </c>
      <c r="N130" s="29" t="n">
        <f aca="false">IF("oui" = "oui",5.22*(1-disc)*1.2,5.22*1.2)</f>
        <v>6.264</v>
      </c>
      <c r="O130" s="24" t="s">
        <v>25</v>
      </c>
      <c r="P130" s="55" t="s">
        <v>45</v>
      </c>
      <c r="Q130" s="16"/>
    </row>
    <row r="131" customFormat="false" ht="12.8" hidden="false" customHeight="false" outlineLevel="0" collapsed="false">
      <c r="A131" s="22"/>
      <c r="B131" s="23" t="n">
        <v>575165000</v>
      </c>
      <c r="C131" s="24" t="n">
        <v>75</v>
      </c>
      <c r="D131" s="54" t="s">
        <v>147</v>
      </c>
      <c r="E131" s="19" t="s">
        <v>139</v>
      </c>
      <c r="F131" s="24" t="s">
        <v>23</v>
      </c>
      <c r="G131" s="25" t="n">
        <v>0.165</v>
      </c>
      <c r="H131" s="26"/>
      <c r="I131" s="27" t="n">
        <v>75</v>
      </c>
      <c r="J131" s="28" t="n">
        <v>60</v>
      </c>
      <c r="K131" s="28" t="n">
        <v>1</v>
      </c>
      <c r="L131" s="24" t="s">
        <v>24</v>
      </c>
      <c r="M131" s="29" t="n">
        <f aca="false">IF("oui" = "oui",5.22*(1-disc),5.22)</f>
        <v>5.22</v>
      </c>
      <c r="N131" s="29" t="n">
        <f aca="false">IF("oui" = "oui",5.22*(1-disc)*1.2,5.22*1.2)</f>
        <v>6.264</v>
      </c>
      <c r="O131" s="24" t="s">
        <v>25</v>
      </c>
      <c r="P131" s="7" t="s">
        <v>26</v>
      </c>
      <c r="Q131" s="16"/>
    </row>
    <row r="132" customFormat="false" ht="12.8" hidden="false" customHeight="false" outlineLevel="0" collapsed="false">
      <c r="A132" s="22"/>
      <c r="B132" s="23"/>
      <c r="C132" s="24"/>
      <c r="D132" s="22"/>
      <c r="E132" s="19"/>
      <c r="F132" s="24"/>
      <c r="G132" s="25"/>
      <c r="H132" s="26"/>
      <c r="I132" s="27"/>
      <c r="J132" s="28"/>
      <c r="K132" s="28"/>
      <c r="L132" s="24"/>
      <c r="M132" s="29"/>
      <c r="N132" s="29"/>
      <c r="O132" s="24"/>
      <c r="P132" s="4"/>
      <c r="Q132" s="16"/>
    </row>
    <row r="133" customFormat="false" ht="12.8" hidden="false" customHeight="false" outlineLevel="0" collapsed="false">
      <c r="A133" s="22"/>
      <c r="B133" s="23" t="n">
        <v>575464000</v>
      </c>
      <c r="C133" s="24" t="n">
        <v>75</v>
      </c>
      <c r="D133" s="22" t="s">
        <v>148</v>
      </c>
      <c r="E133" s="19" t="s">
        <v>139</v>
      </c>
      <c r="F133" s="24" t="s">
        <v>23</v>
      </c>
      <c r="G133" s="25" t="n">
        <v>0.825</v>
      </c>
      <c r="H133" s="26"/>
      <c r="I133" s="27" t="n">
        <v>75</v>
      </c>
      <c r="J133" s="28" t="n">
        <v>12</v>
      </c>
      <c r="K133" s="28" t="n">
        <v>5</v>
      </c>
      <c r="L133" s="24" t="s">
        <v>24</v>
      </c>
      <c r="M133" s="29" t="n">
        <f aca="false">IF("oui" = "oui",26.08*(1-disc),26.08)</f>
        <v>26.08</v>
      </c>
      <c r="N133" s="29" t="n">
        <f aca="false">IF("oui" = "oui",26.08*(1-disc)*1.2,26.08*1.2)</f>
        <v>31.296</v>
      </c>
      <c r="O133" s="24" t="s">
        <v>25</v>
      </c>
      <c r="P133" s="7" t="s">
        <v>26</v>
      </c>
      <c r="Q133" s="16"/>
    </row>
    <row r="134" customFormat="false" ht="12.8" hidden="false" customHeight="false" outlineLevel="0" collapsed="false">
      <c r="A134" s="22"/>
      <c r="B134" s="23"/>
      <c r="C134" s="24"/>
      <c r="D134" s="22"/>
      <c r="E134" s="19"/>
      <c r="F134" s="24"/>
      <c r="G134" s="25"/>
      <c r="H134" s="26"/>
      <c r="I134" s="27"/>
      <c r="J134" s="28"/>
      <c r="K134" s="28"/>
      <c r="L134" s="24"/>
      <c r="M134" s="29"/>
      <c r="N134" s="29"/>
      <c r="O134" s="24"/>
      <c r="P134" s="4"/>
      <c r="Q134" s="16"/>
    </row>
    <row r="135" customFormat="false" ht="12.8" hidden="false" customHeight="false" outlineLevel="0" collapsed="false">
      <c r="A135" s="42" t="s">
        <v>34</v>
      </c>
      <c r="B135" s="43"/>
      <c r="C135" s="44"/>
      <c r="D135" s="45"/>
      <c r="E135" s="46"/>
      <c r="F135" s="44"/>
      <c r="G135" s="47"/>
      <c r="H135" s="48"/>
      <c r="I135" s="49"/>
      <c r="J135" s="50"/>
      <c r="K135" s="50"/>
      <c r="L135" s="44"/>
      <c r="M135" s="51"/>
      <c r="N135" s="51"/>
      <c r="O135" s="44"/>
      <c r="P135" s="52"/>
      <c r="Q135" s="53"/>
    </row>
    <row r="136" customFormat="false" ht="12.8" hidden="false" customHeight="false" outlineLevel="0" collapsed="false">
      <c r="A136" s="22"/>
      <c r="B136" s="23"/>
      <c r="C136" s="24"/>
      <c r="D136" s="22"/>
      <c r="E136" s="19"/>
      <c r="F136" s="24"/>
      <c r="G136" s="25"/>
      <c r="H136" s="26"/>
      <c r="I136" s="27"/>
      <c r="J136" s="28"/>
      <c r="K136" s="28"/>
      <c r="L136" s="24"/>
      <c r="M136" s="29"/>
      <c r="N136" s="29"/>
      <c r="O136" s="24"/>
      <c r="P136" s="4"/>
      <c r="Q136" s="16"/>
    </row>
    <row r="137" customFormat="false" ht="12.8" hidden="false" customHeight="false" outlineLevel="0" collapsed="false">
      <c r="A137" s="22"/>
      <c r="B137" s="23" t="n">
        <v>575087000</v>
      </c>
      <c r="C137" s="24" t="n">
        <v>75</v>
      </c>
      <c r="D137" s="54" t="s">
        <v>149</v>
      </c>
      <c r="E137" s="19" t="s">
        <v>150</v>
      </c>
      <c r="F137" s="24" t="s">
        <v>23</v>
      </c>
      <c r="G137" s="25" t="n">
        <v>0.164</v>
      </c>
      <c r="H137" s="26"/>
      <c r="I137" s="27" t="n">
        <v>75</v>
      </c>
      <c r="J137" s="28" t="n">
        <v>60</v>
      </c>
      <c r="K137" s="28" t="n">
        <v>1</v>
      </c>
      <c r="L137" s="24" t="s">
        <v>24</v>
      </c>
      <c r="M137" s="29" t="n">
        <f aca="false">IF("oui" = "oui",5.22*(1-disc),5.22)</f>
        <v>5.22</v>
      </c>
      <c r="N137" s="29" t="n">
        <f aca="false">IF("oui" = "oui",5.22*(1-disc)*1.2,5.22*1.2)</f>
        <v>6.264</v>
      </c>
      <c r="O137" s="24" t="s">
        <v>25</v>
      </c>
      <c r="P137" s="7" t="s">
        <v>26</v>
      </c>
      <c r="Q137" s="16"/>
    </row>
    <row r="138" customFormat="false" ht="12.8" hidden="false" customHeight="false" outlineLevel="0" collapsed="false">
      <c r="A138" s="22"/>
      <c r="B138" s="23" t="n">
        <v>575088000</v>
      </c>
      <c r="C138" s="24" t="n">
        <v>75</v>
      </c>
      <c r="D138" s="54" t="s">
        <v>151</v>
      </c>
      <c r="E138" s="19" t="s">
        <v>150</v>
      </c>
      <c r="F138" s="24" t="s">
        <v>23</v>
      </c>
      <c r="G138" s="25" t="n">
        <v>0.164</v>
      </c>
      <c r="H138" s="26"/>
      <c r="I138" s="27" t="n">
        <v>75</v>
      </c>
      <c r="J138" s="28" t="n">
        <v>60</v>
      </c>
      <c r="K138" s="28" t="n">
        <v>1</v>
      </c>
      <c r="L138" s="24" t="s">
        <v>24</v>
      </c>
      <c r="M138" s="29" t="n">
        <f aca="false">IF("oui" = "oui",5.22*(1-disc),5.22)</f>
        <v>5.22</v>
      </c>
      <c r="N138" s="29" t="n">
        <f aca="false">IF("oui" = "oui",5.22*(1-disc)*1.2,5.22*1.2)</f>
        <v>6.264</v>
      </c>
      <c r="O138" s="24" t="s">
        <v>25</v>
      </c>
      <c r="P138" s="7" t="s">
        <v>26</v>
      </c>
      <c r="Q138" s="16"/>
    </row>
    <row r="139" customFormat="false" ht="12.8" hidden="false" customHeight="false" outlineLevel="0" collapsed="false">
      <c r="A139" s="22"/>
      <c r="B139" s="23" t="n">
        <v>575089000</v>
      </c>
      <c r="C139" s="24" t="n">
        <v>75</v>
      </c>
      <c r="D139" s="54" t="s">
        <v>152</v>
      </c>
      <c r="E139" s="19" t="s">
        <v>150</v>
      </c>
      <c r="F139" s="24" t="s">
        <v>23</v>
      </c>
      <c r="G139" s="25" t="n">
        <v>0.164</v>
      </c>
      <c r="H139" s="26"/>
      <c r="I139" s="27" t="n">
        <v>75</v>
      </c>
      <c r="J139" s="28" t="n">
        <v>60</v>
      </c>
      <c r="K139" s="28" t="n">
        <v>1</v>
      </c>
      <c r="L139" s="24" t="s">
        <v>24</v>
      </c>
      <c r="M139" s="29" t="n">
        <f aca="false">IF("oui" = "oui",5.22*(1-disc),5.22)</f>
        <v>5.22</v>
      </c>
      <c r="N139" s="29" t="n">
        <f aca="false">IF("oui" = "oui",5.22*(1-disc)*1.2,5.22*1.2)</f>
        <v>6.264</v>
      </c>
      <c r="O139" s="24" t="s">
        <v>25</v>
      </c>
      <c r="P139" s="7" t="s">
        <v>26</v>
      </c>
      <c r="Q139" s="16"/>
    </row>
    <row r="140" customFormat="false" ht="12.8" hidden="false" customHeight="false" outlineLevel="0" collapsed="false">
      <c r="A140" s="22"/>
      <c r="B140" s="23" t="n">
        <v>575090000</v>
      </c>
      <c r="C140" s="24" t="n">
        <v>75</v>
      </c>
      <c r="D140" s="54" t="s">
        <v>153</v>
      </c>
      <c r="E140" s="19" t="s">
        <v>150</v>
      </c>
      <c r="F140" s="24" t="s">
        <v>23</v>
      </c>
      <c r="G140" s="25" t="n">
        <v>0.164</v>
      </c>
      <c r="H140" s="26"/>
      <c r="I140" s="27" t="n">
        <v>75</v>
      </c>
      <c r="J140" s="28" t="n">
        <v>60</v>
      </c>
      <c r="K140" s="28" t="n">
        <v>1</v>
      </c>
      <c r="L140" s="24" t="s">
        <v>24</v>
      </c>
      <c r="M140" s="29" t="n">
        <f aca="false">IF("oui" = "oui",5.22*(1-disc),5.22)</f>
        <v>5.22</v>
      </c>
      <c r="N140" s="29" t="n">
        <f aca="false">IF("oui" = "oui",5.22*(1-disc)*1.2,5.22*1.2)</f>
        <v>6.264</v>
      </c>
      <c r="O140" s="24" t="s">
        <v>25</v>
      </c>
      <c r="P140" s="7" t="s">
        <v>26</v>
      </c>
      <c r="Q140" s="16"/>
    </row>
    <row r="141" customFormat="false" ht="12.8" hidden="false" customHeight="false" outlineLevel="0" collapsed="false">
      <c r="A141" s="22"/>
      <c r="B141" s="23" t="n">
        <v>575091000</v>
      </c>
      <c r="C141" s="24" t="n">
        <v>75</v>
      </c>
      <c r="D141" s="54" t="s">
        <v>154</v>
      </c>
      <c r="E141" s="19" t="s">
        <v>150</v>
      </c>
      <c r="F141" s="24" t="s">
        <v>23</v>
      </c>
      <c r="G141" s="25" t="n">
        <v>0.164</v>
      </c>
      <c r="H141" s="26"/>
      <c r="I141" s="27" t="n">
        <v>75</v>
      </c>
      <c r="J141" s="28" t="n">
        <v>60</v>
      </c>
      <c r="K141" s="28" t="n">
        <v>1</v>
      </c>
      <c r="L141" s="24" t="s">
        <v>24</v>
      </c>
      <c r="M141" s="29" t="n">
        <f aca="false">IF("oui" = "oui",5.22*(1-disc),5.22)</f>
        <v>5.22</v>
      </c>
      <c r="N141" s="29" t="n">
        <f aca="false">IF("oui" = "oui",5.22*(1-disc)*1.2,5.22*1.2)</f>
        <v>6.264</v>
      </c>
      <c r="O141" s="24" t="s">
        <v>25</v>
      </c>
      <c r="P141" s="55" t="s">
        <v>141</v>
      </c>
      <c r="Q141" s="16"/>
    </row>
    <row r="142" customFormat="false" ht="12.8" hidden="false" customHeight="false" outlineLevel="0" collapsed="false">
      <c r="A142" s="22"/>
      <c r="B142" s="23" t="n">
        <v>575092000</v>
      </c>
      <c r="C142" s="24" t="n">
        <v>75</v>
      </c>
      <c r="D142" s="54" t="s">
        <v>155</v>
      </c>
      <c r="E142" s="19" t="s">
        <v>150</v>
      </c>
      <c r="F142" s="24" t="s">
        <v>23</v>
      </c>
      <c r="G142" s="25" t="n">
        <v>0.164</v>
      </c>
      <c r="H142" s="26"/>
      <c r="I142" s="27" t="n">
        <v>75</v>
      </c>
      <c r="J142" s="28" t="n">
        <v>60</v>
      </c>
      <c r="K142" s="28" t="n">
        <v>1</v>
      </c>
      <c r="L142" s="24" t="s">
        <v>24</v>
      </c>
      <c r="M142" s="29" t="n">
        <f aca="false">IF("oui" = "oui",5.22*(1-disc),5.22)</f>
        <v>5.22</v>
      </c>
      <c r="N142" s="29" t="n">
        <f aca="false">IF("oui" = "oui",5.22*(1-disc)*1.2,5.22*1.2)</f>
        <v>6.264</v>
      </c>
      <c r="O142" s="24" t="s">
        <v>25</v>
      </c>
      <c r="P142" s="7" t="s">
        <v>26</v>
      </c>
      <c r="Q142" s="16"/>
    </row>
    <row r="143" customFormat="false" ht="12.8" hidden="false" customHeight="false" outlineLevel="0" collapsed="false">
      <c r="A143" s="22"/>
      <c r="B143" s="23" t="n">
        <v>575093000</v>
      </c>
      <c r="C143" s="24" t="n">
        <v>75</v>
      </c>
      <c r="D143" s="54" t="s">
        <v>156</v>
      </c>
      <c r="E143" s="19" t="s">
        <v>150</v>
      </c>
      <c r="F143" s="24" t="s">
        <v>23</v>
      </c>
      <c r="G143" s="25" t="n">
        <v>0.164</v>
      </c>
      <c r="H143" s="26"/>
      <c r="I143" s="27" t="n">
        <v>75</v>
      </c>
      <c r="J143" s="28" t="n">
        <v>60</v>
      </c>
      <c r="K143" s="28" t="n">
        <v>1</v>
      </c>
      <c r="L143" s="24" t="s">
        <v>24</v>
      </c>
      <c r="M143" s="29" t="n">
        <f aca="false">IF("oui" = "oui",5.22*(1-disc),5.22)</f>
        <v>5.22</v>
      </c>
      <c r="N143" s="29" t="n">
        <f aca="false">IF("oui" = "oui",5.22*(1-disc)*1.2,5.22*1.2)</f>
        <v>6.264</v>
      </c>
      <c r="O143" s="24" t="s">
        <v>25</v>
      </c>
      <c r="P143" s="7" t="s">
        <v>26</v>
      </c>
      <c r="Q143" s="16"/>
    </row>
    <row r="144" customFormat="false" ht="12.8" hidden="false" customHeight="false" outlineLevel="0" collapsed="false">
      <c r="A144" s="22"/>
      <c r="B144" s="23" t="n">
        <v>575094000</v>
      </c>
      <c r="C144" s="24" t="n">
        <v>75</v>
      </c>
      <c r="D144" s="54" t="s">
        <v>157</v>
      </c>
      <c r="E144" s="19" t="s">
        <v>150</v>
      </c>
      <c r="F144" s="24" t="s">
        <v>23</v>
      </c>
      <c r="G144" s="25" t="n">
        <v>0.164</v>
      </c>
      <c r="H144" s="26"/>
      <c r="I144" s="27" t="n">
        <v>75</v>
      </c>
      <c r="J144" s="28" t="n">
        <v>60</v>
      </c>
      <c r="K144" s="28" t="n">
        <v>1</v>
      </c>
      <c r="L144" s="24" t="s">
        <v>24</v>
      </c>
      <c r="M144" s="29" t="n">
        <f aca="false">IF("oui" = "oui",5.22*(1-disc),5.22)</f>
        <v>5.22</v>
      </c>
      <c r="N144" s="29" t="n">
        <f aca="false">IF("oui" = "oui",5.22*(1-disc)*1.2,5.22*1.2)</f>
        <v>6.264</v>
      </c>
      <c r="O144" s="24" t="s">
        <v>25</v>
      </c>
      <c r="P144" s="55" t="s">
        <v>131</v>
      </c>
      <c r="Q144" s="16"/>
    </row>
    <row r="145" customFormat="false" ht="12.8" hidden="false" customHeight="false" outlineLevel="0" collapsed="false">
      <c r="A145" s="22"/>
      <c r="B145" s="23" t="n">
        <v>575095000</v>
      </c>
      <c r="C145" s="24" t="n">
        <v>75</v>
      </c>
      <c r="D145" s="54" t="s">
        <v>158</v>
      </c>
      <c r="E145" s="19" t="s">
        <v>150</v>
      </c>
      <c r="F145" s="24" t="s">
        <v>23</v>
      </c>
      <c r="G145" s="25" t="n">
        <v>0.164</v>
      </c>
      <c r="H145" s="26"/>
      <c r="I145" s="27" t="n">
        <v>75</v>
      </c>
      <c r="J145" s="28" t="n">
        <v>60</v>
      </c>
      <c r="K145" s="28" t="n">
        <v>1</v>
      </c>
      <c r="L145" s="24" t="s">
        <v>24</v>
      </c>
      <c r="M145" s="29" t="n">
        <f aca="false">IF("oui" = "oui",5.22*(1-disc),5.22)</f>
        <v>5.22</v>
      </c>
      <c r="N145" s="29" t="n">
        <f aca="false">IF("oui" = "oui",5.22*(1-disc)*1.2,5.22*1.2)</f>
        <v>6.264</v>
      </c>
      <c r="O145" s="24" t="s">
        <v>25</v>
      </c>
      <c r="P145" s="7" t="s">
        <v>26</v>
      </c>
      <c r="Q145" s="16"/>
    </row>
    <row r="146" customFormat="false" ht="12.8" hidden="false" customHeight="false" outlineLevel="0" collapsed="false">
      <c r="A146" s="22"/>
      <c r="B146" s="23" t="n">
        <v>575096000</v>
      </c>
      <c r="C146" s="24" t="n">
        <v>75</v>
      </c>
      <c r="D146" s="54" t="s">
        <v>159</v>
      </c>
      <c r="E146" s="19" t="s">
        <v>150</v>
      </c>
      <c r="F146" s="24" t="s">
        <v>23</v>
      </c>
      <c r="G146" s="25" t="n">
        <v>0.164</v>
      </c>
      <c r="H146" s="26"/>
      <c r="I146" s="27" t="n">
        <v>75</v>
      </c>
      <c r="J146" s="28" t="n">
        <v>60</v>
      </c>
      <c r="K146" s="28" t="n">
        <v>1</v>
      </c>
      <c r="L146" s="24" t="s">
        <v>24</v>
      </c>
      <c r="M146" s="29" t="n">
        <f aca="false">IF("oui" = "oui",5.22*(1-disc),5.22)</f>
        <v>5.22</v>
      </c>
      <c r="N146" s="29" t="n">
        <f aca="false">IF("oui" = "oui",5.22*(1-disc)*1.2,5.22*1.2)</f>
        <v>6.264</v>
      </c>
      <c r="O146" s="24" t="s">
        <v>25</v>
      </c>
      <c r="P146" s="7" t="s">
        <v>26</v>
      </c>
      <c r="Q146" s="16"/>
    </row>
    <row r="147" customFormat="false" ht="12.8" hidden="false" customHeight="false" outlineLevel="0" collapsed="false">
      <c r="A147" s="22"/>
      <c r="B147" s="23" t="n">
        <v>575154000</v>
      </c>
      <c r="C147" s="24" t="n">
        <v>75</v>
      </c>
      <c r="D147" s="54" t="s">
        <v>160</v>
      </c>
      <c r="E147" s="19" t="s">
        <v>150</v>
      </c>
      <c r="F147" s="24" t="s">
        <v>23</v>
      </c>
      <c r="G147" s="25" t="n">
        <v>0.164</v>
      </c>
      <c r="H147" s="26"/>
      <c r="I147" s="27" t="n">
        <v>75</v>
      </c>
      <c r="J147" s="28" t="n">
        <v>60</v>
      </c>
      <c r="K147" s="28" t="n">
        <v>1</v>
      </c>
      <c r="L147" s="24" t="s">
        <v>24</v>
      </c>
      <c r="M147" s="29" t="n">
        <f aca="false">IF("oui" = "oui",5.22*(1-disc),5.22)</f>
        <v>5.22</v>
      </c>
      <c r="N147" s="29" t="n">
        <f aca="false">IF("oui" = "oui",5.22*(1-disc)*1.2,5.22*1.2)</f>
        <v>6.264</v>
      </c>
      <c r="O147" s="24" t="s">
        <v>25</v>
      </c>
      <c r="P147" s="7" t="s">
        <v>26</v>
      </c>
      <c r="Q147" s="16"/>
    </row>
    <row r="148" customFormat="false" ht="12.8" hidden="false" customHeight="false" outlineLevel="0" collapsed="false">
      <c r="A148" s="22"/>
      <c r="B148" s="23"/>
      <c r="C148" s="24"/>
      <c r="D148" s="22"/>
      <c r="E148" s="19"/>
      <c r="F148" s="24"/>
      <c r="G148" s="25"/>
      <c r="H148" s="26"/>
      <c r="I148" s="27"/>
      <c r="J148" s="28"/>
      <c r="K148" s="28"/>
      <c r="L148" s="24"/>
      <c r="M148" s="29"/>
      <c r="N148" s="29"/>
      <c r="O148" s="24"/>
      <c r="P148" s="4"/>
      <c r="Q148" s="16"/>
    </row>
    <row r="149" customFormat="false" ht="12.8" hidden="false" customHeight="false" outlineLevel="0" collapsed="false">
      <c r="A149" s="22"/>
      <c r="B149" s="23" t="n">
        <v>575143000</v>
      </c>
      <c r="C149" s="24" t="n">
        <v>75</v>
      </c>
      <c r="D149" s="54" t="s">
        <v>161</v>
      </c>
      <c r="E149" s="19" t="s">
        <v>150</v>
      </c>
      <c r="F149" s="24" t="s">
        <v>23</v>
      </c>
      <c r="G149" s="25" t="n">
        <v>0.821</v>
      </c>
      <c r="H149" s="26"/>
      <c r="I149" s="27" t="n">
        <v>75</v>
      </c>
      <c r="J149" s="28" t="n">
        <v>12</v>
      </c>
      <c r="K149" s="28" t="n">
        <v>5</v>
      </c>
      <c r="L149" s="24" t="s">
        <v>24</v>
      </c>
      <c r="M149" s="29" t="n">
        <f aca="false">IF("oui" = "oui",26.08*(1-disc),26.08)</f>
        <v>26.08</v>
      </c>
      <c r="N149" s="29" t="n">
        <f aca="false">IF("oui" = "oui",26.08*(1-disc)*1.2,26.08*1.2)</f>
        <v>31.296</v>
      </c>
      <c r="O149" s="24" t="s">
        <v>25</v>
      </c>
      <c r="P149" s="7" t="s">
        <v>26</v>
      </c>
      <c r="Q149" s="16"/>
    </row>
    <row r="150" customFormat="false" ht="12.8" hidden="false" customHeight="false" outlineLevel="0" collapsed="false">
      <c r="A150" s="22"/>
      <c r="B150" s="23"/>
      <c r="C150" s="24"/>
      <c r="D150" s="22"/>
      <c r="E150" s="19"/>
      <c r="F150" s="24"/>
      <c r="G150" s="25"/>
      <c r="H150" s="26"/>
      <c r="I150" s="27"/>
      <c r="J150" s="28"/>
      <c r="K150" s="28"/>
      <c r="L150" s="24"/>
      <c r="M150" s="29"/>
      <c r="N150" s="29"/>
      <c r="O150" s="24"/>
      <c r="P150" s="4"/>
      <c r="Q150" s="16"/>
    </row>
    <row r="151" customFormat="false" ht="12.8" hidden="false" customHeight="false" outlineLevel="0" collapsed="false">
      <c r="A151" s="42" t="s">
        <v>162</v>
      </c>
      <c r="B151" s="43"/>
      <c r="C151" s="44"/>
      <c r="D151" s="45"/>
      <c r="E151" s="46"/>
      <c r="F151" s="44"/>
      <c r="G151" s="47"/>
      <c r="H151" s="48"/>
      <c r="I151" s="49"/>
      <c r="J151" s="50"/>
      <c r="K151" s="50"/>
      <c r="L151" s="44"/>
      <c r="M151" s="51"/>
      <c r="N151" s="51"/>
      <c r="O151" s="44"/>
      <c r="P151" s="52"/>
      <c r="Q151" s="53"/>
    </row>
    <row r="152" customFormat="false" ht="12.8" hidden="false" customHeight="false" outlineLevel="0" collapsed="false">
      <c r="A152" s="22"/>
      <c r="B152" s="23"/>
      <c r="C152" s="24"/>
      <c r="D152" s="22"/>
      <c r="E152" s="19"/>
      <c r="F152" s="24"/>
      <c r="G152" s="25"/>
      <c r="H152" s="26"/>
      <c r="I152" s="27"/>
      <c r="J152" s="28"/>
      <c r="K152" s="28"/>
      <c r="L152" s="24"/>
      <c r="M152" s="29"/>
      <c r="N152" s="29"/>
      <c r="O152" s="24"/>
      <c r="P152" s="4"/>
      <c r="Q152" s="16"/>
    </row>
    <row r="153" customFormat="false" ht="12.8" hidden="false" customHeight="false" outlineLevel="0" collapsed="false">
      <c r="A153" s="22"/>
      <c r="B153" s="23" t="n">
        <v>575099000</v>
      </c>
      <c r="C153" s="24" t="n">
        <v>75</v>
      </c>
      <c r="D153" s="54" t="s">
        <v>163</v>
      </c>
      <c r="E153" s="19" t="s">
        <v>164</v>
      </c>
      <c r="F153" s="24" t="s">
        <v>23</v>
      </c>
      <c r="G153" s="25" t="n">
        <v>0.146</v>
      </c>
      <c r="H153" s="26"/>
      <c r="I153" s="27" t="n">
        <v>75</v>
      </c>
      <c r="J153" s="28" t="n">
        <v>60</v>
      </c>
      <c r="K153" s="28" t="n">
        <v>1</v>
      </c>
      <c r="L153" s="24" t="s">
        <v>24</v>
      </c>
      <c r="M153" s="29" t="n">
        <f aca="false">IF("oui" = "oui",5.22*(1-disc),5.22)</f>
        <v>5.22</v>
      </c>
      <c r="N153" s="29" t="n">
        <f aca="false">IF("oui" = "oui",5.22*(1-disc)*1.2,5.22*1.2)</f>
        <v>6.264</v>
      </c>
      <c r="O153" s="24" t="s">
        <v>25</v>
      </c>
      <c r="P153" s="4" t="s">
        <v>25</v>
      </c>
      <c r="Q153" s="16"/>
    </row>
    <row r="154" customFormat="false" ht="12.8" hidden="false" customHeight="false" outlineLevel="0" collapsed="false">
      <c r="A154" s="22"/>
      <c r="B154" s="23" t="n">
        <v>575100000</v>
      </c>
      <c r="C154" s="24" t="n">
        <v>75</v>
      </c>
      <c r="D154" s="54" t="s">
        <v>165</v>
      </c>
      <c r="E154" s="19" t="s">
        <v>164</v>
      </c>
      <c r="F154" s="24" t="s">
        <v>23</v>
      </c>
      <c r="G154" s="25" t="n">
        <v>0.146</v>
      </c>
      <c r="H154" s="26"/>
      <c r="I154" s="27" t="n">
        <v>75</v>
      </c>
      <c r="J154" s="28" t="n">
        <v>60</v>
      </c>
      <c r="K154" s="28" t="n">
        <v>1</v>
      </c>
      <c r="L154" s="24" t="s">
        <v>24</v>
      </c>
      <c r="M154" s="29" t="n">
        <f aca="false">IF("oui" = "oui",5.22*(1-disc),5.22)</f>
        <v>5.22</v>
      </c>
      <c r="N154" s="29" t="n">
        <f aca="false">IF("oui" = "oui",5.22*(1-disc)*1.2,5.22*1.2)</f>
        <v>6.264</v>
      </c>
      <c r="O154" s="24" t="s">
        <v>25</v>
      </c>
      <c r="P154" s="4" t="s">
        <v>25</v>
      </c>
      <c r="Q154" s="16"/>
    </row>
    <row r="155" customFormat="false" ht="12.8" hidden="false" customHeight="false" outlineLevel="0" collapsed="false">
      <c r="A155" s="22"/>
      <c r="B155" s="23" t="n">
        <v>575103000</v>
      </c>
      <c r="C155" s="24" t="n">
        <v>75</v>
      </c>
      <c r="D155" s="54" t="s">
        <v>166</v>
      </c>
      <c r="E155" s="19" t="s">
        <v>164</v>
      </c>
      <c r="F155" s="24" t="s">
        <v>23</v>
      </c>
      <c r="G155" s="25" t="n">
        <v>0.146</v>
      </c>
      <c r="H155" s="26"/>
      <c r="I155" s="27" t="n">
        <v>75</v>
      </c>
      <c r="J155" s="28" t="n">
        <v>60</v>
      </c>
      <c r="K155" s="28" t="n">
        <v>1</v>
      </c>
      <c r="L155" s="24" t="s">
        <v>24</v>
      </c>
      <c r="M155" s="29" t="n">
        <f aca="false">IF("oui" = "oui",5.22*(1-disc),5.22)</f>
        <v>5.22</v>
      </c>
      <c r="N155" s="29" t="n">
        <f aca="false">IF("oui" = "oui",5.22*(1-disc)*1.2,5.22*1.2)</f>
        <v>6.264</v>
      </c>
      <c r="O155" s="24" t="s">
        <v>25</v>
      </c>
      <c r="P155" s="4" t="s">
        <v>25</v>
      </c>
      <c r="Q155" s="16"/>
    </row>
    <row r="156" customFormat="false" ht="12.8" hidden="false" customHeight="false" outlineLevel="0" collapsed="false">
      <c r="A156" s="22"/>
      <c r="B156" s="23" t="n">
        <v>575104000</v>
      </c>
      <c r="C156" s="24" t="n">
        <v>75</v>
      </c>
      <c r="D156" s="54" t="s">
        <v>167</v>
      </c>
      <c r="E156" s="19" t="s">
        <v>164</v>
      </c>
      <c r="F156" s="24" t="s">
        <v>23</v>
      </c>
      <c r="G156" s="25" t="n">
        <v>0.146</v>
      </c>
      <c r="H156" s="26"/>
      <c r="I156" s="27" t="n">
        <v>75</v>
      </c>
      <c r="J156" s="28" t="n">
        <v>60</v>
      </c>
      <c r="K156" s="28" t="n">
        <v>1</v>
      </c>
      <c r="L156" s="24" t="s">
        <v>24</v>
      </c>
      <c r="M156" s="29" t="n">
        <f aca="false">IF("oui" = "oui",5.22*(1-disc),5.22)</f>
        <v>5.22</v>
      </c>
      <c r="N156" s="29" t="n">
        <f aca="false">IF("oui" = "oui",5.22*(1-disc)*1.2,5.22*1.2)</f>
        <v>6.264</v>
      </c>
      <c r="O156" s="24" t="s">
        <v>25</v>
      </c>
      <c r="P156" s="4" t="s">
        <v>25</v>
      </c>
      <c r="Q156" s="16"/>
    </row>
    <row r="157" customFormat="false" ht="12.8" hidden="false" customHeight="false" outlineLevel="0" collapsed="false">
      <c r="A157" s="22"/>
      <c r="B157" s="23" t="n">
        <v>575107000</v>
      </c>
      <c r="C157" s="24" t="n">
        <v>75</v>
      </c>
      <c r="D157" s="54" t="s">
        <v>168</v>
      </c>
      <c r="E157" s="19" t="s">
        <v>164</v>
      </c>
      <c r="F157" s="24" t="s">
        <v>23</v>
      </c>
      <c r="G157" s="25" t="n">
        <v>0.146</v>
      </c>
      <c r="H157" s="26"/>
      <c r="I157" s="27" t="n">
        <v>75</v>
      </c>
      <c r="J157" s="28" t="n">
        <v>60</v>
      </c>
      <c r="K157" s="28" t="n">
        <v>1</v>
      </c>
      <c r="L157" s="24" t="s">
        <v>24</v>
      </c>
      <c r="M157" s="29" t="n">
        <f aca="false">IF("oui" = "oui",5.22*(1-disc),5.22)</f>
        <v>5.22</v>
      </c>
      <c r="N157" s="29" t="n">
        <f aca="false">IF("oui" = "oui",5.22*(1-disc)*1.2,5.22*1.2)</f>
        <v>6.264</v>
      </c>
      <c r="O157" s="24" t="s">
        <v>25</v>
      </c>
      <c r="P157" s="4" t="s">
        <v>25</v>
      </c>
      <c r="Q157" s="16"/>
    </row>
    <row r="158" customFormat="false" ht="12.8" hidden="false" customHeight="false" outlineLevel="0" collapsed="false">
      <c r="A158" s="22"/>
      <c r="B158" s="23" t="n">
        <v>575108000</v>
      </c>
      <c r="C158" s="24" t="n">
        <v>75</v>
      </c>
      <c r="D158" s="54" t="s">
        <v>169</v>
      </c>
      <c r="E158" s="19" t="s">
        <v>164</v>
      </c>
      <c r="F158" s="24" t="s">
        <v>23</v>
      </c>
      <c r="G158" s="25" t="n">
        <v>0.146</v>
      </c>
      <c r="H158" s="26"/>
      <c r="I158" s="27" t="n">
        <v>75</v>
      </c>
      <c r="J158" s="28" t="n">
        <v>60</v>
      </c>
      <c r="K158" s="28" t="n">
        <v>1</v>
      </c>
      <c r="L158" s="24" t="s">
        <v>24</v>
      </c>
      <c r="M158" s="29" t="n">
        <f aca="false">IF("oui" = "oui",5.22*(1-disc),5.22)</f>
        <v>5.22</v>
      </c>
      <c r="N158" s="29" t="n">
        <f aca="false">IF("oui" = "oui",5.22*(1-disc)*1.2,5.22*1.2)</f>
        <v>6.264</v>
      </c>
      <c r="O158" s="24" t="s">
        <v>25</v>
      </c>
      <c r="P158" s="4" t="s">
        <v>25</v>
      </c>
      <c r="Q158" s="16"/>
    </row>
    <row r="159" customFormat="false" ht="12.8" hidden="false" customHeight="false" outlineLevel="0" collapsed="false">
      <c r="A159" s="22"/>
      <c r="B159" s="23"/>
      <c r="C159" s="24"/>
      <c r="D159" s="22"/>
      <c r="E159" s="19"/>
      <c r="F159" s="24"/>
      <c r="G159" s="25"/>
      <c r="H159" s="26"/>
      <c r="I159" s="27"/>
      <c r="J159" s="28"/>
      <c r="K159" s="28"/>
      <c r="L159" s="24"/>
      <c r="M159" s="29"/>
      <c r="N159" s="29"/>
      <c r="O159" s="24"/>
      <c r="P159" s="4"/>
      <c r="Q159" s="16"/>
    </row>
    <row r="160" customFormat="false" ht="12.8" hidden="false" customHeight="false" outlineLevel="0" collapsed="false">
      <c r="A160" s="22"/>
      <c r="B160" s="23" t="n">
        <v>575148000</v>
      </c>
      <c r="C160" s="24" t="n">
        <v>75</v>
      </c>
      <c r="D160" s="54" t="s">
        <v>170</v>
      </c>
      <c r="E160" s="19" t="s">
        <v>164</v>
      </c>
      <c r="F160" s="24" t="s">
        <v>23</v>
      </c>
      <c r="G160" s="25" t="n">
        <v>0.73</v>
      </c>
      <c r="H160" s="26"/>
      <c r="I160" s="27" t="n">
        <v>75</v>
      </c>
      <c r="J160" s="28" t="n">
        <v>12</v>
      </c>
      <c r="K160" s="28" t="n">
        <v>5</v>
      </c>
      <c r="L160" s="24" t="s">
        <v>24</v>
      </c>
      <c r="M160" s="29" t="n">
        <f aca="false">IF("oui" = "oui",26.08*(1-disc),26.08)</f>
        <v>26.08</v>
      </c>
      <c r="N160" s="29" t="n">
        <f aca="false">IF("oui" = "oui",26.08*(1-disc)*1.2,26.08*1.2)</f>
        <v>31.296</v>
      </c>
      <c r="O160" s="24" t="s">
        <v>25</v>
      </c>
      <c r="P160" s="4" t="s">
        <v>25</v>
      </c>
      <c r="Q160" s="16"/>
    </row>
    <row r="161" customFormat="false" ht="12.8" hidden="false" customHeight="false" outlineLevel="0" collapsed="false">
      <c r="A161" s="22"/>
      <c r="B161" s="23"/>
      <c r="C161" s="24"/>
      <c r="D161" s="22"/>
      <c r="E161" s="19"/>
      <c r="F161" s="24"/>
      <c r="G161" s="25"/>
      <c r="H161" s="26"/>
      <c r="I161" s="27"/>
      <c r="J161" s="28"/>
      <c r="K161" s="28"/>
      <c r="L161" s="24"/>
      <c r="M161" s="29"/>
      <c r="N161" s="29"/>
      <c r="O161" s="24"/>
      <c r="P161" s="4"/>
      <c r="Q161" s="16"/>
    </row>
    <row r="162" customFormat="false" ht="12.8" hidden="false" customHeight="false" outlineLevel="0" collapsed="false">
      <c r="A162" s="42" t="s">
        <v>171</v>
      </c>
      <c r="B162" s="43"/>
      <c r="C162" s="44"/>
      <c r="D162" s="45"/>
      <c r="E162" s="46"/>
      <c r="F162" s="44"/>
      <c r="G162" s="47"/>
      <c r="H162" s="48"/>
      <c r="I162" s="49"/>
      <c r="J162" s="50"/>
      <c r="K162" s="50"/>
      <c r="L162" s="44"/>
      <c r="M162" s="51"/>
      <c r="N162" s="51"/>
      <c r="O162" s="44"/>
      <c r="P162" s="52"/>
      <c r="Q162" s="53"/>
    </row>
    <row r="163" customFormat="false" ht="12.8" hidden="false" customHeight="false" outlineLevel="0" collapsed="false">
      <c r="A163" s="22"/>
      <c r="B163" s="23"/>
      <c r="C163" s="24"/>
      <c r="D163" s="22"/>
      <c r="E163" s="19"/>
      <c r="F163" s="24"/>
      <c r="G163" s="25"/>
      <c r="H163" s="26"/>
      <c r="I163" s="27"/>
      <c r="J163" s="28"/>
      <c r="K163" s="28"/>
      <c r="L163" s="24"/>
      <c r="M163" s="29"/>
      <c r="N163" s="29"/>
      <c r="O163" s="24"/>
      <c r="P163" s="4"/>
      <c r="Q163" s="16"/>
    </row>
    <row r="164" customFormat="false" ht="12.8" hidden="false" customHeight="false" outlineLevel="0" collapsed="false">
      <c r="A164" s="22"/>
      <c r="B164" s="23" t="n">
        <v>575164000</v>
      </c>
      <c r="C164" s="24" t="n">
        <v>75</v>
      </c>
      <c r="D164" s="54" t="s">
        <v>172</v>
      </c>
      <c r="E164" s="19" t="s">
        <v>96</v>
      </c>
      <c r="F164" s="24" t="s">
        <v>23</v>
      </c>
      <c r="G164" s="25" t="n">
        <v>0.156</v>
      </c>
      <c r="H164" s="26"/>
      <c r="I164" s="27" t="n">
        <v>75</v>
      </c>
      <c r="J164" s="28" t="n">
        <v>60</v>
      </c>
      <c r="K164" s="28" t="n">
        <v>1</v>
      </c>
      <c r="L164" s="24" t="s">
        <v>24</v>
      </c>
      <c r="M164" s="29" t="n">
        <f aca="false">IF("oui" = "oui",5.22*(1-disc),5.22)</f>
        <v>5.22</v>
      </c>
      <c r="N164" s="29" t="n">
        <f aca="false">IF("oui" = "oui",5.22*(1-disc)*1.2,5.22*1.2)</f>
        <v>6.264</v>
      </c>
      <c r="O164" s="24" t="s">
        <v>25</v>
      </c>
      <c r="P164" s="7" t="s">
        <v>26</v>
      </c>
      <c r="Q164" s="16"/>
    </row>
    <row r="165" customFormat="false" ht="12.8" hidden="false" customHeight="false" outlineLevel="0" collapsed="false">
      <c r="A165" s="22"/>
      <c r="B165" s="23" t="n">
        <v>575114000</v>
      </c>
      <c r="C165" s="24" t="n">
        <v>75</v>
      </c>
      <c r="D165" s="54" t="s">
        <v>173</v>
      </c>
      <c r="E165" s="19" t="s">
        <v>96</v>
      </c>
      <c r="F165" s="24" t="s">
        <v>23</v>
      </c>
      <c r="G165" s="25" t="n">
        <v>0.156</v>
      </c>
      <c r="H165" s="26"/>
      <c r="I165" s="27" t="n">
        <v>75</v>
      </c>
      <c r="J165" s="28" t="n">
        <v>60</v>
      </c>
      <c r="K165" s="28" t="n">
        <v>1</v>
      </c>
      <c r="L165" s="24" t="s">
        <v>24</v>
      </c>
      <c r="M165" s="29" t="n">
        <f aca="false">IF("oui" = "oui",5.22*(1-disc),5.22)</f>
        <v>5.22</v>
      </c>
      <c r="N165" s="29" t="n">
        <f aca="false">IF("oui" = "oui",5.22*(1-disc)*1.2,5.22*1.2)</f>
        <v>6.264</v>
      </c>
      <c r="O165" s="24" t="s">
        <v>25</v>
      </c>
      <c r="P165" s="7" t="s">
        <v>26</v>
      </c>
      <c r="Q165" s="16"/>
    </row>
    <row r="166" customFormat="false" ht="12.8" hidden="false" customHeight="false" outlineLevel="0" collapsed="false">
      <c r="A166" s="22"/>
      <c r="B166" s="23" t="n">
        <v>575112000</v>
      </c>
      <c r="C166" s="24" t="n">
        <v>75</v>
      </c>
      <c r="D166" s="54" t="s">
        <v>174</v>
      </c>
      <c r="E166" s="19" t="s">
        <v>96</v>
      </c>
      <c r="F166" s="24" t="s">
        <v>23</v>
      </c>
      <c r="G166" s="25" t="n">
        <v>0.156</v>
      </c>
      <c r="H166" s="26"/>
      <c r="I166" s="27" t="n">
        <v>75</v>
      </c>
      <c r="J166" s="28" t="n">
        <v>60</v>
      </c>
      <c r="K166" s="28" t="n">
        <v>1</v>
      </c>
      <c r="L166" s="24" t="s">
        <v>24</v>
      </c>
      <c r="M166" s="29" t="n">
        <f aca="false">IF("oui" = "oui",5.22*(1-disc),5.22)</f>
        <v>5.22</v>
      </c>
      <c r="N166" s="29" t="n">
        <f aca="false">IF("oui" = "oui",5.22*(1-disc)*1.2,5.22*1.2)</f>
        <v>6.264</v>
      </c>
      <c r="O166" s="24" t="s">
        <v>25</v>
      </c>
      <c r="P166" s="7" t="s">
        <v>26</v>
      </c>
      <c r="Q166" s="16"/>
    </row>
    <row r="167" customFormat="false" ht="12.8" hidden="false" customHeight="false" outlineLevel="0" collapsed="false">
      <c r="A167" s="22"/>
      <c r="B167" s="23" t="n">
        <v>575111000</v>
      </c>
      <c r="C167" s="24" t="n">
        <v>75</v>
      </c>
      <c r="D167" s="54" t="s">
        <v>175</v>
      </c>
      <c r="E167" s="19" t="s">
        <v>96</v>
      </c>
      <c r="F167" s="24" t="s">
        <v>23</v>
      </c>
      <c r="G167" s="25" t="n">
        <v>0.156</v>
      </c>
      <c r="H167" s="26"/>
      <c r="I167" s="27" t="n">
        <v>75</v>
      </c>
      <c r="J167" s="28" t="n">
        <v>60</v>
      </c>
      <c r="K167" s="28" t="n">
        <v>1</v>
      </c>
      <c r="L167" s="24" t="s">
        <v>24</v>
      </c>
      <c r="M167" s="29" t="n">
        <f aca="false">IF("oui" = "oui",5.22*(1-disc),5.22)</f>
        <v>5.22</v>
      </c>
      <c r="N167" s="29" t="n">
        <f aca="false">IF("oui" = "oui",5.22*(1-disc)*1.2,5.22*1.2)</f>
        <v>6.264</v>
      </c>
      <c r="O167" s="24" t="s">
        <v>25</v>
      </c>
      <c r="P167" s="55" t="s">
        <v>176</v>
      </c>
      <c r="Q167" s="16"/>
    </row>
    <row r="168" customFormat="false" ht="12.8" hidden="false" customHeight="false" outlineLevel="0" collapsed="false">
      <c r="A168" s="22"/>
      <c r="B168" s="23" t="n">
        <v>575113000</v>
      </c>
      <c r="C168" s="24" t="n">
        <v>75</v>
      </c>
      <c r="D168" s="54" t="s">
        <v>177</v>
      </c>
      <c r="E168" s="19" t="s">
        <v>96</v>
      </c>
      <c r="F168" s="24" t="s">
        <v>23</v>
      </c>
      <c r="G168" s="25" t="n">
        <v>0.156</v>
      </c>
      <c r="H168" s="26"/>
      <c r="I168" s="27" t="n">
        <v>75</v>
      </c>
      <c r="J168" s="28" t="n">
        <v>60</v>
      </c>
      <c r="K168" s="28" t="n">
        <v>1</v>
      </c>
      <c r="L168" s="24" t="s">
        <v>24</v>
      </c>
      <c r="M168" s="29" t="n">
        <f aca="false">IF("oui" = "oui",5.22*(1-disc),5.22)</f>
        <v>5.22</v>
      </c>
      <c r="N168" s="29" t="n">
        <f aca="false">IF("oui" = "oui",5.22*(1-disc)*1.2,5.22*1.2)</f>
        <v>6.264</v>
      </c>
      <c r="O168" s="24" t="s">
        <v>25</v>
      </c>
      <c r="P168" s="7" t="s">
        <v>26</v>
      </c>
      <c r="Q168" s="16"/>
    </row>
    <row r="169" customFormat="false" ht="12.8" hidden="false" customHeight="false" outlineLevel="0" collapsed="false">
      <c r="A169" s="22"/>
      <c r="B169" s="23"/>
      <c r="C169" s="24"/>
      <c r="D169" s="22"/>
      <c r="E169" s="19"/>
      <c r="F169" s="24"/>
      <c r="G169" s="25"/>
      <c r="H169" s="26"/>
      <c r="I169" s="27"/>
      <c r="J169" s="28"/>
      <c r="K169" s="28"/>
      <c r="L169" s="24"/>
      <c r="M169" s="29"/>
      <c r="N169" s="29"/>
      <c r="O169" s="24"/>
      <c r="P169" s="4"/>
      <c r="Q169" s="16"/>
    </row>
    <row r="170" customFormat="false" ht="12.8" hidden="false" customHeight="false" outlineLevel="0" collapsed="false">
      <c r="A170" s="22"/>
      <c r="B170" s="23" t="n">
        <v>575151000</v>
      </c>
      <c r="C170" s="24" t="n">
        <v>75</v>
      </c>
      <c r="D170" s="54" t="s">
        <v>178</v>
      </c>
      <c r="E170" s="19" t="s">
        <v>179</v>
      </c>
      <c r="F170" s="24" t="s">
        <v>23</v>
      </c>
      <c r="G170" s="25" t="n">
        <v>0.78</v>
      </c>
      <c r="H170" s="26"/>
      <c r="I170" s="27" t="n">
        <v>75</v>
      </c>
      <c r="J170" s="28" t="n">
        <v>12</v>
      </c>
      <c r="K170" s="28" t="n">
        <v>5</v>
      </c>
      <c r="L170" s="24" t="s">
        <v>24</v>
      </c>
      <c r="M170" s="29" t="n">
        <f aca="false">IF("oui" = "oui",26.08*(1-disc),26.08)</f>
        <v>26.08</v>
      </c>
      <c r="N170" s="29" t="n">
        <f aca="false">IF("oui" = "oui",26.08*(1-disc)*1.2,26.08*1.2)</f>
        <v>31.296</v>
      </c>
      <c r="O170" s="24" t="s">
        <v>25</v>
      </c>
      <c r="P170" s="7" t="s">
        <v>26</v>
      </c>
      <c r="Q170" s="16"/>
    </row>
    <row r="171" customFormat="false" ht="12.8" hidden="false" customHeight="false" outlineLevel="0" collapsed="false">
      <c r="A171" s="22"/>
      <c r="B171" s="23"/>
      <c r="C171" s="24"/>
      <c r="D171" s="22"/>
      <c r="E171" s="19"/>
      <c r="F171" s="24"/>
      <c r="G171" s="25"/>
      <c r="H171" s="26"/>
      <c r="I171" s="27"/>
      <c r="J171" s="28"/>
      <c r="K171" s="28"/>
      <c r="L171" s="24"/>
      <c r="M171" s="29"/>
      <c r="N171" s="29"/>
      <c r="O171" s="24"/>
      <c r="P171" s="4"/>
      <c r="Q171" s="16"/>
    </row>
    <row r="172" customFormat="false" ht="12.8" hidden="false" customHeight="false" outlineLevel="0" collapsed="false">
      <c r="A172" s="42" t="s">
        <v>55</v>
      </c>
      <c r="B172" s="43"/>
      <c r="C172" s="44"/>
      <c r="D172" s="45"/>
      <c r="E172" s="46"/>
      <c r="F172" s="44"/>
      <c r="G172" s="47"/>
      <c r="H172" s="48"/>
      <c r="I172" s="49"/>
      <c r="J172" s="50"/>
      <c r="K172" s="50"/>
      <c r="L172" s="44"/>
      <c r="M172" s="51"/>
      <c r="N172" s="51"/>
      <c r="O172" s="44"/>
      <c r="P172" s="52"/>
      <c r="Q172" s="53"/>
    </row>
    <row r="173" customFormat="false" ht="12.8" hidden="false" customHeight="false" outlineLevel="0" collapsed="false">
      <c r="A173" s="22"/>
      <c r="B173" s="23"/>
      <c r="C173" s="24"/>
      <c r="D173" s="22"/>
      <c r="E173" s="19"/>
      <c r="F173" s="24"/>
      <c r="G173" s="25"/>
      <c r="H173" s="26"/>
      <c r="I173" s="27"/>
      <c r="J173" s="28"/>
      <c r="K173" s="28"/>
      <c r="L173" s="24"/>
      <c r="M173" s="29"/>
      <c r="N173" s="29"/>
      <c r="O173" s="24"/>
      <c r="P173" s="4"/>
      <c r="Q173" s="16"/>
    </row>
    <row r="174" customFormat="false" ht="12.8" hidden="false" customHeight="false" outlineLevel="0" collapsed="false">
      <c r="A174" s="22"/>
      <c r="B174" s="23" t="n">
        <v>575125000</v>
      </c>
      <c r="C174" s="24" t="n">
        <v>75</v>
      </c>
      <c r="D174" s="54" t="s">
        <v>180</v>
      </c>
      <c r="E174" s="19" t="s">
        <v>126</v>
      </c>
      <c r="F174" s="24" t="s">
        <v>23</v>
      </c>
      <c r="G174" s="25" t="n">
        <v>0.146</v>
      </c>
      <c r="H174" s="26"/>
      <c r="I174" s="27" t="n">
        <v>75</v>
      </c>
      <c r="J174" s="28" t="n">
        <v>60</v>
      </c>
      <c r="K174" s="28" t="n">
        <v>1</v>
      </c>
      <c r="L174" s="24" t="s">
        <v>24</v>
      </c>
      <c r="M174" s="29" t="n">
        <f aca="false">IF("oui" = "oui",5.22*(1-disc),5.22)</f>
        <v>5.22</v>
      </c>
      <c r="N174" s="29" t="n">
        <f aca="false">IF("oui" = "oui",5.22*(1-disc)*1.2,5.22*1.2)</f>
        <v>6.264</v>
      </c>
      <c r="O174" s="24" t="s">
        <v>25</v>
      </c>
      <c r="P174" s="7" t="s">
        <v>26</v>
      </c>
      <c r="Q174" s="16"/>
    </row>
    <row r="175" customFormat="false" ht="12.8" hidden="false" customHeight="false" outlineLevel="0" collapsed="false">
      <c r="A175" s="22"/>
      <c r="B175" s="23" t="n">
        <v>575001000</v>
      </c>
      <c r="C175" s="24" t="n">
        <v>75</v>
      </c>
      <c r="D175" s="54" t="s">
        <v>181</v>
      </c>
      <c r="E175" s="19" t="s">
        <v>182</v>
      </c>
      <c r="F175" s="24" t="s">
        <v>23</v>
      </c>
      <c r="G175" s="25" t="n">
        <v>0.131</v>
      </c>
      <c r="H175" s="26"/>
      <c r="I175" s="27" t="n">
        <v>75</v>
      </c>
      <c r="J175" s="28" t="n">
        <v>60</v>
      </c>
      <c r="K175" s="28" t="n">
        <v>1</v>
      </c>
      <c r="L175" s="24" t="s">
        <v>24</v>
      </c>
      <c r="M175" s="29" t="n">
        <f aca="false">IF("oui" = "oui",5.22*(1-disc),5.22)</f>
        <v>5.22</v>
      </c>
      <c r="N175" s="29" t="n">
        <f aca="false">IF("oui" = "oui",5.22*(1-disc)*1.2,5.22*1.2)</f>
        <v>6.264</v>
      </c>
      <c r="O175" s="24" t="s">
        <v>25</v>
      </c>
      <c r="P175" s="7" t="s">
        <v>26</v>
      </c>
      <c r="Q175" s="16"/>
    </row>
    <row r="176" customFormat="false" ht="12.8" hidden="false" customHeight="false" outlineLevel="0" collapsed="false">
      <c r="A176" s="22"/>
      <c r="B176" s="23" t="n">
        <v>575545000</v>
      </c>
      <c r="C176" s="24" t="n">
        <v>75</v>
      </c>
      <c r="D176" s="54" t="s">
        <v>183</v>
      </c>
      <c r="E176" s="19" t="s">
        <v>184</v>
      </c>
      <c r="F176" s="24" t="s">
        <v>23</v>
      </c>
      <c r="G176" s="25" t="n">
        <v>0.145</v>
      </c>
      <c r="H176" s="26"/>
      <c r="I176" s="27" t="n">
        <v>75</v>
      </c>
      <c r="J176" s="28" t="n">
        <v>60</v>
      </c>
      <c r="K176" s="28" t="n">
        <v>1</v>
      </c>
      <c r="L176" s="24" t="s">
        <v>24</v>
      </c>
      <c r="M176" s="29" t="n">
        <f aca="false">IF("oui" = "oui",5.22*(1-disc),5.22)</f>
        <v>5.22</v>
      </c>
      <c r="N176" s="29" t="n">
        <f aca="false">IF("oui" = "oui",5.22*(1-disc)*1.2,5.22*1.2)</f>
        <v>6.264</v>
      </c>
      <c r="O176" s="24" t="s">
        <v>25</v>
      </c>
      <c r="P176" s="7" t="s">
        <v>26</v>
      </c>
      <c r="Q176" s="16"/>
    </row>
    <row r="177" customFormat="false" ht="12.8" hidden="false" customHeight="false" outlineLevel="0" collapsed="false">
      <c r="A177" s="22"/>
      <c r="B177" s="23" t="n">
        <v>575025000</v>
      </c>
      <c r="C177" s="24" t="n">
        <v>75</v>
      </c>
      <c r="D177" s="54" t="s">
        <v>185</v>
      </c>
      <c r="E177" s="19" t="s">
        <v>96</v>
      </c>
      <c r="F177" s="24" t="s">
        <v>23</v>
      </c>
      <c r="G177" s="25" t="n">
        <v>0.145</v>
      </c>
      <c r="H177" s="26"/>
      <c r="I177" s="27" t="n">
        <v>75</v>
      </c>
      <c r="J177" s="28" t="n">
        <v>60</v>
      </c>
      <c r="K177" s="28" t="n">
        <v>1</v>
      </c>
      <c r="L177" s="24" t="s">
        <v>24</v>
      </c>
      <c r="M177" s="29" t="n">
        <f aca="false">IF("oui" = "oui",5.22*(1-disc),5.22)</f>
        <v>5.22</v>
      </c>
      <c r="N177" s="29" t="n">
        <f aca="false">IF("oui" = "oui",5.22*(1-disc)*1.2,5.22*1.2)</f>
        <v>6.264</v>
      </c>
      <c r="O177" s="24" t="s">
        <v>25</v>
      </c>
      <c r="P177" s="7" t="s">
        <v>26</v>
      </c>
      <c r="Q177" s="16"/>
    </row>
    <row r="178" customFormat="false" ht="12.8" hidden="false" customHeight="false" outlineLevel="0" collapsed="false">
      <c r="A178" s="22"/>
      <c r="B178" s="23" t="n">
        <v>575123000</v>
      </c>
      <c r="C178" s="24" t="n">
        <v>75</v>
      </c>
      <c r="D178" s="54" t="s">
        <v>186</v>
      </c>
      <c r="E178" s="19" t="s">
        <v>126</v>
      </c>
      <c r="F178" s="24" t="s">
        <v>23</v>
      </c>
      <c r="G178" s="25" t="n">
        <v>0.146</v>
      </c>
      <c r="H178" s="26"/>
      <c r="I178" s="27" t="n">
        <v>75</v>
      </c>
      <c r="J178" s="28" t="n">
        <v>60</v>
      </c>
      <c r="K178" s="28" t="n">
        <v>1</v>
      </c>
      <c r="L178" s="24" t="s">
        <v>24</v>
      </c>
      <c r="M178" s="29" t="n">
        <f aca="false">IF("oui" = "oui",5.22*(1-disc),5.22)</f>
        <v>5.22</v>
      </c>
      <c r="N178" s="29" t="n">
        <f aca="false">IF("oui" = "oui",5.22*(1-disc)*1.2,5.22*1.2)</f>
        <v>6.264</v>
      </c>
      <c r="O178" s="24" t="s">
        <v>25</v>
      </c>
      <c r="P178" s="7" t="s">
        <v>26</v>
      </c>
      <c r="Q178" s="16"/>
    </row>
    <row r="179" customFormat="false" ht="12.8" hidden="false" customHeight="false" outlineLevel="0" collapsed="false">
      <c r="A179" s="22"/>
      <c r="B179" s="23" t="n">
        <v>575524000</v>
      </c>
      <c r="C179" s="24" t="n">
        <v>75</v>
      </c>
      <c r="D179" s="54" t="s">
        <v>187</v>
      </c>
      <c r="E179" s="19" t="s">
        <v>188</v>
      </c>
      <c r="F179" s="24" t="s">
        <v>23</v>
      </c>
      <c r="G179" s="25" t="n">
        <v>0.106</v>
      </c>
      <c r="H179" s="26"/>
      <c r="I179" s="27" t="n">
        <v>75</v>
      </c>
      <c r="J179" s="28" t="n">
        <v>60</v>
      </c>
      <c r="K179" s="28" t="n">
        <v>1</v>
      </c>
      <c r="L179" s="24" t="s">
        <v>24</v>
      </c>
      <c r="M179" s="29" t="n">
        <f aca="false">IF("oui" = "oui",5.22*(1-disc),5.22)</f>
        <v>5.22</v>
      </c>
      <c r="N179" s="29" t="n">
        <f aca="false">IF("oui" = "oui",5.22*(1-disc)*1.2,5.22*1.2)</f>
        <v>6.264</v>
      </c>
      <c r="O179" s="24" t="s">
        <v>25</v>
      </c>
      <c r="P179" s="7" t="s">
        <v>26</v>
      </c>
      <c r="Q179" s="16"/>
    </row>
    <row r="180" customFormat="false" ht="12.8" hidden="false" customHeight="false" outlineLevel="0" collapsed="false">
      <c r="A180" s="22"/>
      <c r="B180" s="23" t="n">
        <v>575525000</v>
      </c>
      <c r="C180" s="24" t="n">
        <v>75</v>
      </c>
      <c r="D180" s="54" t="s">
        <v>189</v>
      </c>
      <c r="E180" s="19" t="s">
        <v>188</v>
      </c>
      <c r="F180" s="24" t="s">
        <v>23</v>
      </c>
      <c r="G180" s="25" t="n">
        <v>0.128</v>
      </c>
      <c r="H180" s="26"/>
      <c r="I180" s="27" t="n">
        <v>75</v>
      </c>
      <c r="J180" s="28" t="n">
        <v>60</v>
      </c>
      <c r="K180" s="28" t="n">
        <v>1</v>
      </c>
      <c r="L180" s="24" t="s">
        <v>24</v>
      </c>
      <c r="M180" s="29" t="n">
        <f aca="false">IF("oui" = "oui",5.22*(1-disc),5.22)</f>
        <v>5.22</v>
      </c>
      <c r="N180" s="29" t="n">
        <f aca="false">IF("oui" = "oui",5.22*(1-disc)*1.2,5.22*1.2)</f>
        <v>6.264</v>
      </c>
      <c r="O180" s="24" t="s">
        <v>25</v>
      </c>
      <c r="P180" s="7" t="s">
        <v>26</v>
      </c>
      <c r="Q180" s="16"/>
    </row>
    <row r="181" customFormat="false" ht="12.8" hidden="false" customHeight="false" outlineLevel="0" collapsed="false">
      <c r="A181" s="22"/>
      <c r="B181" s="23" t="n">
        <v>575526000</v>
      </c>
      <c r="C181" s="24" t="n">
        <v>75</v>
      </c>
      <c r="D181" s="54" t="s">
        <v>190</v>
      </c>
      <c r="E181" s="19" t="s">
        <v>188</v>
      </c>
      <c r="F181" s="24" t="s">
        <v>23</v>
      </c>
      <c r="G181" s="25" t="n">
        <v>0.135</v>
      </c>
      <c r="H181" s="26"/>
      <c r="I181" s="27" t="n">
        <v>75</v>
      </c>
      <c r="J181" s="28" t="n">
        <v>60</v>
      </c>
      <c r="K181" s="28" t="n">
        <v>1</v>
      </c>
      <c r="L181" s="24" t="s">
        <v>24</v>
      </c>
      <c r="M181" s="29" t="n">
        <f aca="false">IF("oui" = "oui",5.22*(1-disc),5.22)</f>
        <v>5.22</v>
      </c>
      <c r="N181" s="29" t="n">
        <f aca="false">IF("oui" = "oui",5.22*(1-disc)*1.2,5.22*1.2)</f>
        <v>6.264</v>
      </c>
      <c r="O181" s="24" t="s">
        <v>25</v>
      </c>
      <c r="P181" s="7" t="s">
        <v>26</v>
      </c>
      <c r="Q181" s="16"/>
    </row>
    <row r="182" customFormat="false" ht="12.8" hidden="false" customHeight="false" outlineLevel="0" collapsed="false">
      <c r="A182" s="22"/>
      <c r="B182" s="23" t="n">
        <v>575528000</v>
      </c>
      <c r="C182" s="24" t="n">
        <v>75</v>
      </c>
      <c r="D182" s="54" t="s">
        <v>191</v>
      </c>
      <c r="E182" s="19" t="s">
        <v>188</v>
      </c>
      <c r="F182" s="24" t="s">
        <v>23</v>
      </c>
      <c r="G182" s="25" t="n">
        <v>0.153</v>
      </c>
      <c r="H182" s="26"/>
      <c r="I182" s="27" t="n">
        <v>75</v>
      </c>
      <c r="J182" s="28" t="n">
        <v>60</v>
      </c>
      <c r="K182" s="28" t="n">
        <v>1</v>
      </c>
      <c r="L182" s="24" t="s">
        <v>24</v>
      </c>
      <c r="M182" s="29" t="n">
        <f aca="false">IF("oui" = "oui",5.22*(1-disc),5.22)</f>
        <v>5.22</v>
      </c>
      <c r="N182" s="29" t="n">
        <f aca="false">IF("oui" = "oui",5.22*(1-disc)*1.2,5.22*1.2)</f>
        <v>6.264</v>
      </c>
      <c r="O182" s="24" t="s">
        <v>25</v>
      </c>
      <c r="P182" s="7" t="s">
        <v>26</v>
      </c>
      <c r="Q182" s="16"/>
    </row>
    <row r="183" customFormat="false" ht="12.8" hidden="false" customHeight="false" outlineLevel="0" collapsed="false">
      <c r="A183" s="22"/>
      <c r="B183" s="56" t="n">
        <v>575546000</v>
      </c>
      <c r="C183" s="24" t="n">
        <v>75</v>
      </c>
      <c r="D183" s="54" t="s">
        <v>192</v>
      </c>
      <c r="E183" s="19" t="s">
        <v>184</v>
      </c>
      <c r="F183" s="24" t="s">
        <v>23</v>
      </c>
      <c r="G183" s="25" t="n">
        <v>0.13</v>
      </c>
      <c r="H183" s="26"/>
      <c r="I183" s="27" t="n">
        <v>75</v>
      </c>
      <c r="J183" s="28" t="n">
        <v>60</v>
      </c>
      <c r="K183" s="28" t="n">
        <v>1</v>
      </c>
      <c r="L183" s="24" t="s">
        <v>24</v>
      </c>
      <c r="M183" s="29" t="n">
        <f aca="false">IF("oui" = "oui",5.22*(1-disc),5.22)</f>
        <v>5.22</v>
      </c>
      <c r="N183" s="29" t="n">
        <f aca="false">IF("oui" = "oui",5.22*(1-disc)*1.2,5.22*1.2)</f>
        <v>6.264</v>
      </c>
      <c r="O183" s="24" t="s">
        <v>25</v>
      </c>
      <c r="P183" s="7" t="s">
        <v>26</v>
      </c>
      <c r="Q183" s="16"/>
    </row>
    <row r="184" customFormat="false" ht="12.8" hidden="false" customHeight="false" outlineLevel="0" collapsed="false">
      <c r="A184" s="22"/>
      <c r="B184" s="56" t="n">
        <v>575547000</v>
      </c>
      <c r="C184" s="24" t="n">
        <v>75</v>
      </c>
      <c r="D184" s="54" t="s">
        <v>193</v>
      </c>
      <c r="E184" s="19" t="s">
        <v>194</v>
      </c>
      <c r="F184" s="24" t="s">
        <v>23</v>
      </c>
      <c r="G184" s="25" t="n">
        <v>0.096</v>
      </c>
      <c r="H184" s="26"/>
      <c r="I184" s="27" t="n">
        <v>75</v>
      </c>
      <c r="J184" s="28" t="n">
        <v>60</v>
      </c>
      <c r="K184" s="28" t="n">
        <v>1</v>
      </c>
      <c r="L184" s="24" t="s">
        <v>24</v>
      </c>
      <c r="M184" s="29" t="n">
        <f aca="false">IF("oui" = "oui",5.22*(1-disc),5.22)</f>
        <v>5.22</v>
      </c>
      <c r="N184" s="29" t="n">
        <f aca="false">IF("oui" = "oui",5.22*(1-disc)*1.2,5.22*1.2)</f>
        <v>6.264</v>
      </c>
      <c r="O184" s="24" t="s">
        <v>25</v>
      </c>
      <c r="P184" s="4" t="s">
        <v>25</v>
      </c>
      <c r="Q184" s="16"/>
    </row>
    <row r="185" customFormat="false" ht="12.8" hidden="false" customHeight="false" outlineLevel="0" collapsed="false">
      <c r="A185" s="22"/>
      <c r="B185" s="56" t="n">
        <v>575554000</v>
      </c>
      <c r="C185" s="24" t="n">
        <v>75</v>
      </c>
      <c r="D185" s="54" t="s">
        <v>195</v>
      </c>
      <c r="E185" s="19" t="s">
        <v>196</v>
      </c>
      <c r="F185" s="24" t="s">
        <v>23</v>
      </c>
      <c r="G185" s="25" t="n">
        <v>0.168</v>
      </c>
      <c r="H185" s="26"/>
      <c r="I185" s="27" t="n">
        <v>75</v>
      </c>
      <c r="J185" s="28" t="n">
        <v>60</v>
      </c>
      <c r="K185" s="28" t="n">
        <v>1</v>
      </c>
      <c r="L185" s="24" t="s">
        <v>24</v>
      </c>
      <c r="M185" s="29" t="n">
        <f aca="false">IF("oui" = "oui",5.22*(1-disc),5.22)</f>
        <v>5.22</v>
      </c>
      <c r="N185" s="29" t="n">
        <f aca="false">IF("oui" = "oui",5.22*(1-disc)*1.2,5.22*1.2)</f>
        <v>6.264</v>
      </c>
      <c r="O185" s="24" t="s">
        <v>25</v>
      </c>
      <c r="P185" s="7" t="s">
        <v>26</v>
      </c>
      <c r="Q185" s="16"/>
    </row>
    <row r="186" customFormat="false" ht="12.8" hidden="false" customHeight="false" outlineLevel="0" collapsed="false">
      <c r="A186" s="22"/>
      <c r="B186" s="23" t="n">
        <v>575555000</v>
      </c>
      <c r="C186" s="24" t="n">
        <v>75</v>
      </c>
      <c r="D186" s="54" t="s">
        <v>197</v>
      </c>
      <c r="E186" s="19" t="s">
        <v>198</v>
      </c>
      <c r="F186" s="24" t="s">
        <v>23</v>
      </c>
      <c r="G186" s="25" t="n">
        <v>0.147</v>
      </c>
      <c r="H186" s="26"/>
      <c r="I186" s="27" t="n">
        <v>75</v>
      </c>
      <c r="J186" s="28" t="n">
        <v>60</v>
      </c>
      <c r="K186" s="28" t="n">
        <v>1</v>
      </c>
      <c r="L186" s="24" t="s">
        <v>24</v>
      </c>
      <c r="M186" s="29" t="n">
        <f aca="false">IF("oui" = "oui",5.22*(1-disc),5.22)</f>
        <v>5.22</v>
      </c>
      <c r="N186" s="29" t="n">
        <f aca="false">IF("oui" = "oui",5.22*(1-disc)*1.2,5.22*1.2)</f>
        <v>6.264</v>
      </c>
      <c r="O186" s="24" t="s">
        <v>25</v>
      </c>
      <c r="P186" s="7" t="s">
        <v>26</v>
      </c>
      <c r="Q186" s="16"/>
    </row>
    <row r="187" customFormat="false" ht="12.8" hidden="false" customHeight="false" outlineLevel="0" collapsed="false">
      <c r="A187" s="22"/>
      <c r="B187" s="23"/>
      <c r="C187" s="24"/>
      <c r="D187" s="22"/>
      <c r="E187" s="19"/>
      <c r="F187" s="24"/>
      <c r="G187" s="25"/>
      <c r="H187" s="26"/>
      <c r="I187" s="27"/>
      <c r="J187" s="28"/>
      <c r="K187" s="28"/>
      <c r="L187" s="24"/>
      <c r="M187" s="29"/>
      <c r="N187" s="29"/>
      <c r="O187" s="24"/>
      <c r="P187" s="4"/>
      <c r="Q187" s="16"/>
    </row>
    <row r="188" customFormat="false" ht="12.8" hidden="false" customHeight="false" outlineLevel="0" collapsed="false">
      <c r="A188" s="42" t="s">
        <v>199</v>
      </c>
      <c r="B188" s="43"/>
      <c r="C188" s="44"/>
      <c r="D188" s="45"/>
      <c r="E188" s="46"/>
      <c r="F188" s="44"/>
      <c r="G188" s="47"/>
      <c r="H188" s="48"/>
      <c r="I188" s="49"/>
      <c r="J188" s="50"/>
      <c r="K188" s="50"/>
      <c r="L188" s="44"/>
      <c r="M188" s="51"/>
      <c r="N188" s="51"/>
      <c r="O188" s="44"/>
      <c r="P188" s="52"/>
      <c r="Q188" s="53"/>
    </row>
    <row r="189" customFormat="false" ht="12.8" hidden="false" customHeight="false" outlineLevel="0" collapsed="false">
      <c r="A189" s="22"/>
      <c r="B189" s="23"/>
      <c r="C189" s="24"/>
      <c r="D189" s="22"/>
      <c r="E189" s="19"/>
      <c r="F189" s="24"/>
      <c r="G189" s="25"/>
      <c r="H189" s="26"/>
      <c r="I189" s="27"/>
      <c r="J189" s="28"/>
      <c r="K189" s="28"/>
      <c r="L189" s="24"/>
      <c r="M189" s="29"/>
      <c r="N189" s="29"/>
      <c r="O189" s="24"/>
      <c r="P189" s="4"/>
      <c r="Q189" s="16"/>
    </row>
    <row r="190" customFormat="false" ht="12.8" hidden="false" customHeight="false" outlineLevel="0" collapsed="false">
      <c r="A190" s="22"/>
      <c r="B190" s="23" t="n">
        <v>575116000</v>
      </c>
      <c r="C190" s="24" t="n">
        <v>75</v>
      </c>
      <c r="D190" s="54" t="s">
        <v>200</v>
      </c>
      <c r="E190" s="19" t="s">
        <v>126</v>
      </c>
      <c r="F190" s="24" t="s">
        <v>23</v>
      </c>
      <c r="G190" s="25" t="n">
        <v>0.146</v>
      </c>
      <c r="H190" s="26"/>
      <c r="I190" s="27" t="n">
        <v>75</v>
      </c>
      <c r="J190" s="28" t="n">
        <v>60</v>
      </c>
      <c r="K190" s="28" t="n">
        <v>1</v>
      </c>
      <c r="L190" s="24" t="s">
        <v>24</v>
      </c>
      <c r="M190" s="29" t="n">
        <f aca="false">IF("oui" = "oui",5.22*(1-disc),5.22)</f>
        <v>5.22</v>
      </c>
      <c r="N190" s="29" t="n">
        <f aca="false">IF("oui" = "oui",5.22*(1-disc)*1.2,5.22*1.2)</f>
        <v>6.264</v>
      </c>
      <c r="O190" s="24" t="s">
        <v>25</v>
      </c>
      <c r="P190" s="7" t="s">
        <v>26</v>
      </c>
      <c r="Q190" s="16"/>
    </row>
    <row r="191" customFormat="false" ht="12.8" hidden="false" customHeight="false" outlineLevel="0" collapsed="false">
      <c r="A191" s="22"/>
      <c r="B191" s="23" t="n">
        <v>575117000</v>
      </c>
      <c r="C191" s="24" t="n">
        <v>75</v>
      </c>
      <c r="D191" s="54" t="s">
        <v>201</v>
      </c>
      <c r="E191" s="19" t="s">
        <v>126</v>
      </c>
      <c r="F191" s="24" t="s">
        <v>23</v>
      </c>
      <c r="G191" s="25" t="n">
        <v>0.146</v>
      </c>
      <c r="H191" s="26"/>
      <c r="I191" s="27" t="n">
        <v>75</v>
      </c>
      <c r="J191" s="28" t="n">
        <v>60</v>
      </c>
      <c r="K191" s="28" t="n">
        <v>1</v>
      </c>
      <c r="L191" s="24" t="s">
        <v>24</v>
      </c>
      <c r="M191" s="29" t="n">
        <f aca="false">IF("oui" = "oui",5.22*(1-disc),5.22)</f>
        <v>5.22</v>
      </c>
      <c r="N191" s="29" t="n">
        <f aca="false">IF("oui" = "oui",5.22*(1-disc)*1.2,5.22*1.2)</f>
        <v>6.264</v>
      </c>
      <c r="O191" s="24" t="s">
        <v>25</v>
      </c>
      <c r="P191" s="55" t="s">
        <v>202</v>
      </c>
      <c r="Q191" s="16"/>
    </row>
    <row r="192" customFormat="false" ht="12.8" hidden="false" customHeight="false" outlineLevel="0" collapsed="false">
      <c r="A192" s="22"/>
      <c r="B192" s="23" t="n">
        <v>575119000</v>
      </c>
      <c r="C192" s="24" t="n">
        <v>75</v>
      </c>
      <c r="D192" s="54" t="s">
        <v>203</v>
      </c>
      <c r="E192" s="19" t="s">
        <v>126</v>
      </c>
      <c r="F192" s="24" t="s">
        <v>23</v>
      </c>
      <c r="G192" s="25" t="n">
        <v>0.146</v>
      </c>
      <c r="H192" s="26"/>
      <c r="I192" s="27" t="n">
        <v>75</v>
      </c>
      <c r="J192" s="28" t="n">
        <v>60</v>
      </c>
      <c r="K192" s="28" t="n">
        <v>1</v>
      </c>
      <c r="L192" s="24" t="s">
        <v>24</v>
      </c>
      <c r="M192" s="29" t="n">
        <f aca="false">IF("oui" = "oui",5.22*(1-disc),5.22)</f>
        <v>5.22</v>
      </c>
      <c r="N192" s="29" t="n">
        <f aca="false">IF("oui" = "oui",5.22*(1-disc)*1.2,5.22*1.2)</f>
        <v>6.264</v>
      </c>
      <c r="O192" s="24" t="s">
        <v>25</v>
      </c>
      <c r="P192" s="7" t="s">
        <v>26</v>
      </c>
      <c r="Q192" s="16"/>
    </row>
    <row r="193" customFormat="false" ht="12.8" hidden="false" customHeight="false" outlineLevel="0" collapsed="false">
      <c r="A193" s="22"/>
      <c r="B193" s="23" t="n">
        <v>575120000</v>
      </c>
      <c r="C193" s="24" t="n">
        <v>75</v>
      </c>
      <c r="D193" s="54" t="s">
        <v>204</v>
      </c>
      <c r="E193" s="19" t="s">
        <v>126</v>
      </c>
      <c r="F193" s="24" t="s">
        <v>23</v>
      </c>
      <c r="G193" s="25" t="n">
        <v>0.146</v>
      </c>
      <c r="H193" s="26"/>
      <c r="I193" s="27" t="n">
        <v>75</v>
      </c>
      <c r="J193" s="28" t="n">
        <v>60</v>
      </c>
      <c r="K193" s="28" t="n">
        <v>1</v>
      </c>
      <c r="L193" s="24" t="s">
        <v>24</v>
      </c>
      <c r="M193" s="29" t="n">
        <f aca="false">IF("oui" = "oui",5.22*(1-disc),5.22)</f>
        <v>5.22</v>
      </c>
      <c r="N193" s="29" t="n">
        <f aca="false">IF("oui" = "oui",5.22*(1-disc)*1.2,5.22*1.2)</f>
        <v>6.264</v>
      </c>
      <c r="O193" s="24" t="s">
        <v>25</v>
      </c>
      <c r="P193" s="7" t="s">
        <v>26</v>
      </c>
      <c r="Q193" s="16"/>
    </row>
    <row r="194" customFormat="false" ht="12.8" hidden="false" customHeight="false" outlineLevel="0" collapsed="false">
      <c r="A194" s="22"/>
      <c r="B194" s="23" t="n">
        <v>575121000</v>
      </c>
      <c r="C194" s="24" t="n">
        <v>75</v>
      </c>
      <c r="D194" s="54" t="s">
        <v>205</v>
      </c>
      <c r="E194" s="19" t="s">
        <v>126</v>
      </c>
      <c r="F194" s="24" t="s">
        <v>23</v>
      </c>
      <c r="G194" s="25" t="n">
        <v>0.146</v>
      </c>
      <c r="H194" s="26"/>
      <c r="I194" s="27" t="n">
        <v>75</v>
      </c>
      <c r="J194" s="28" t="n">
        <v>60</v>
      </c>
      <c r="K194" s="28" t="n">
        <v>1</v>
      </c>
      <c r="L194" s="24" t="s">
        <v>24</v>
      </c>
      <c r="M194" s="29" t="n">
        <f aca="false">IF("oui" = "oui",5.22*(1-disc),5.22)</f>
        <v>5.22</v>
      </c>
      <c r="N194" s="29" t="n">
        <f aca="false">IF("oui" = "oui",5.22*(1-disc)*1.2,5.22*1.2)</f>
        <v>6.264</v>
      </c>
      <c r="O194" s="24" t="s">
        <v>25</v>
      </c>
      <c r="P194" s="7" t="s">
        <v>26</v>
      </c>
      <c r="Q194" s="16"/>
    </row>
    <row r="195" customFormat="false" ht="12.8" hidden="false" customHeight="false" outlineLevel="0" collapsed="false">
      <c r="A195" s="22"/>
      <c r="B195" s="23" t="n">
        <v>575122000</v>
      </c>
      <c r="C195" s="24" t="n">
        <v>75</v>
      </c>
      <c r="D195" s="54" t="s">
        <v>206</v>
      </c>
      <c r="E195" s="19" t="s">
        <v>126</v>
      </c>
      <c r="F195" s="24" t="s">
        <v>23</v>
      </c>
      <c r="G195" s="25" t="n">
        <v>0.146</v>
      </c>
      <c r="H195" s="26"/>
      <c r="I195" s="27" t="n">
        <v>75</v>
      </c>
      <c r="J195" s="28" t="n">
        <v>60</v>
      </c>
      <c r="K195" s="28" t="n">
        <v>1</v>
      </c>
      <c r="L195" s="24" t="s">
        <v>24</v>
      </c>
      <c r="M195" s="29" t="n">
        <f aca="false">IF("oui" = "oui",5.22*(1-disc),5.22)</f>
        <v>5.22</v>
      </c>
      <c r="N195" s="29" t="n">
        <f aca="false">IF("oui" = "oui",5.22*(1-disc)*1.2,5.22*1.2)</f>
        <v>6.264</v>
      </c>
      <c r="O195" s="24" t="s">
        <v>25</v>
      </c>
      <c r="P195" s="7" t="s">
        <v>26</v>
      </c>
      <c r="Q195" s="16"/>
    </row>
    <row r="196" customFormat="false" ht="12.8" hidden="false" customHeight="false" outlineLevel="0" collapsed="false">
      <c r="A196" s="22"/>
      <c r="B196" s="23" t="n">
        <v>575124000</v>
      </c>
      <c r="C196" s="24" t="n">
        <v>75</v>
      </c>
      <c r="D196" s="54" t="s">
        <v>207</v>
      </c>
      <c r="E196" s="19" t="s">
        <v>126</v>
      </c>
      <c r="F196" s="24" t="s">
        <v>23</v>
      </c>
      <c r="G196" s="25" t="n">
        <v>0.146</v>
      </c>
      <c r="H196" s="26"/>
      <c r="I196" s="27" t="n">
        <v>75</v>
      </c>
      <c r="J196" s="28" t="n">
        <v>60</v>
      </c>
      <c r="K196" s="28" t="n">
        <v>1</v>
      </c>
      <c r="L196" s="24" t="s">
        <v>24</v>
      </c>
      <c r="M196" s="29" t="n">
        <f aca="false">IF("oui" = "oui",5.22*(1-disc),5.22)</f>
        <v>5.22</v>
      </c>
      <c r="N196" s="29" t="n">
        <f aca="false">IF("oui" = "oui",5.22*(1-disc)*1.2,5.22*1.2)</f>
        <v>6.264</v>
      </c>
      <c r="O196" s="24" t="s">
        <v>25</v>
      </c>
      <c r="P196" s="55" t="s">
        <v>106</v>
      </c>
      <c r="Q196" s="16"/>
    </row>
    <row r="197" customFormat="false" ht="12.8" hidden="false" customHeight="false" outlineLevel="0" collapsed="false">
      <c r="A197" s="22"/>
      <c r="B197" s="23" t="n">
        <v>575290000</v>
      </c>
      <c r="C197" s="24" t="n">
        <v>75</v>
      </c>
      <c r="D197" s="54" t="s">
        <v>208</v>
      </c>
      <c r="E197" s="19" t="s">
        <v>126</v>
      </c>
      <c r="F197" s="24" t="s">
        <v>23</v>
      </c>
      <c r="G197" s="25" t="n">
        <v>0.146</v>
      </c>
      <c r="H197" s="26"/>
      <c r="I197" s="27" t="n">
        <v>75</v>
      </c>
      <c r="J197" s="28" t="n">
        <v>60</v>
      </c>
      <c r="K197" s="28" t="n">
        <v>1</v>
      </c>
      <c r="L197" s="24" t="s">
        <v>24</v>
      </c>
      <c r="M197" s="29" t="n">
        <f aca="false">IF("oui" = "oui",5.22*(1-disc),5.22)</f>
        <v>5.22</v>
      </c>
      <c r="N197" s="29" t="n">
        <f aca="false">IF("oui" = "oui",5.22*(1-disc)*1.2,5.22*1.2)</f>
        <v>6.264</v>
      </c>
      <c r="O197" s="24" t="s">
        <v>25</v>
      </c>
      <c r="P197" s="7" t="s">
        <v>26</v>
      </c>
      <c r="Q197" s="16"/>
    </row>
    <row r="198" customFormat="false" ht="12.8" hidden="false" customHeight="false" outlineLevel="0" collapsed="false">
      <c r="A198" s="22"/>
      <c r="B198" s="23" t="n">
        <v>575452000</v>
      </c>
      <c r="C198" s="24" t="n">
        <v>75</v>
      </c>
      <c r="D198" s="54" t="s">
        <v>209</v>
      </c>
      <c r="E198" s="19" t="s">
        <v>126</v>
      </c>
      <c r="F198" s="24" t="s">
        <v>23</v>
      </c>
      <c r="G198" s="25" t="n">
        <v>0.146</v>
      </c>
      <c r="H198" s="26"/>
      <c r="I198" s="27" t="n">
        <v>75</v>
      </c>
      <c r="J198" s="28" t="n">
        <v>60</v>
      </c>
      <c r="K198" s="28" t="n">
        <v>1</v>
      </c>
      <c r="L198" s="24" t="s">
        <v>24</v>
      </c>
      <c r="M198" s="29" t="n">
        <f aca="false">IF("oui" = "oui",5.22*(1-disc),5.22)</f>
        <v>5.22</v>
      </c>
      <c r="N198" s="29" t="n">
        <f aca="false">IF("oui" = "oui",5.22*(1-disc)*1.2,5.22*1.2)</f>
        <v>6.264</v>
      </c>
      <c r="O198" s="24" t="s">
        <v>25</v>
      </c>
      <c r="P198" s="7" t="s">
        <v>26</v>
      </c>
      <c r="Q198" s="16"/>
    </row>
    <row r="199" customFormat="false" ht="12.8" hidden="false" customHeight="false" outlineLevel="0" collapsed="false">
      <c r="A199" s="22"/>
      <c r="B199" s="23" t="n">
        <v>575453000</v>
      </c>
      <c r="C199" s="24" t="n">
        <v>75</v>
      </c>
      <c r="D199" s="54" t="s">
        <v>210</v>
      </c>
      <c r="E199" s="19" t="s">
        <v>126</v>
      </c>
      <c r="F199" s="24" t="s">
        <v>23</v>
      </c>
      <c r="G199" s="25" t="n">
        <v>0.146</v>
      </c>
      <c r="H199" s="26"/>
      <c r="I199" s="27" t="n">
        <v>75</v>
      </c>
      <c r="J199" s="28" t="n">
        <v>60</v>
      </c>
      <c r="K199" s="28" t="n">
        <v>1</v>
      </c>
      <c r="L199" s="24" t="s">
        <v>24</v>
      </c>
      <c r="M199" s="29" t="n">
        <f aca="false">IF("oui" = "oui",5.22*(1-disc),5.22)</f>
        <v>5.22</v>
      </c>
      <c r="N199" s="29" t="n">
        <f aca="false">IF("oui" = "oui",5.22*(1-disc)*1.2,5.22*1.2)</f>
        <v>6.264</v>
      </c>
      <c r="O199" s="24" t="s">
        <v>25</v>
      </c>
      <c r="P199" s="55" t="s">
        <v>45</v>
      </c>
      <c r="Q199" s="16"/>
    </row>
    <row r="200" customFormat="false" ht="12.8" hidden="false" customHeight="false" outlineLevel="0" collapsed="false">
      <c r="A200" s="22"/>
      <c r="B200" s="23" t="n">
        <v>575454000</v>
      </c>
      <c r="C200" s="24" t="n">
        <v>75</v>
      </c>
      <c r="D200" s="54" t="s">
        <v>211</v>
      </c>
      <c r="E200" s="19" t="s">
        <v>126</v>
      </c>
      <c r="F200" s="24" t="s">
        <v>23</v>
      </c>
      <c r="G200" s="25" t="n">
        <v>0.146</v>
      </c>
      <c r="H200" s="26"/>
      <c r="I200" s="27" t="n">
        <v>75</v>
      </c>
      <c r="J200" s="28" t="n">
        <v>60</v>
      </c>
      <c r="K200" s="28" t="n">
        <v>1</v>
      </c>
      <c r="L200" s="24" t="s">
        <v>24</v>
      </c>
      <c r="M200" s="29" t="n">
        <f aca="false">IF("oui" = "oui",5.22*(1-disc),5.22)</f>
        <v>5.22</v>
      </c>
      <c r="N200" s="29" t="n">
        <f aca="false">IF("oui" = "oui",5.22*(1-disc)*1.2,5.22*1.2)</f>
        <v>6.264</v>
      </c>
      <c r="O200" s="24" t="s">
        <v>25</v>
      </c>
      <c r="P200" s="7" t="s">
        <v>26</v>
      </c>
      <c r="Q200" s="16"/>
    </row>
    <row r="201" customFormat="false" ht="12.8" hidden="false" customHeight="false" outlineLevel="0" collapsed="false">
      <c r="A201" s="22"/>
      <c r="B201" s="23" t="n">
        <v>575292000</v>
      </c>
      <c r="C201" s="24" t="n">
        <v>75</v>
      </c>
      <c r="D201" s="54" t="s">
        <v>212</v>
      </c>
      <c r="E201" s="19" t="s">
        <v>126</v>
      </c>
      <c r="F201" s="24" t="s">
        <v>23</v>
      </c>
      <c r="G201" s="25" t="n">
        <v>0.151</v>
      </c>
      <c r="H201" s="26"/>
      <c r="I201" s="27" t="n">
        <v>75</v>
      </c>
      <c r="J201" s="28" t="n">
        <v>60</v>
      </c>
      <c r="K201" s="28" t="n">
        <v>1</v>
      </c>
      <c r="L201" s="24" t="s">
        <v>24</v>
      </c>
      <c r="M201" s="29" t="n">
        <f aca="false">IF("oui" = "oui",5.22*(1-disc),5.22)</f>
        <v>5.22</v>
      </c>
      <c r="N201" s="29" t="n">
        <f aca="false">IF("oui" = "oui",5.22*(1-disc)*1.2,5.22*1.2)</f>
        <v>6.264</v>
      </c>
      <c r="O201" s="24" t="s">
        <v>25</v>
      </c>
      <c r="P201" s="7" t="s">
        <v>26</v>
      </c>
      <c r="Q201" s="16"/>
    </row>
    <row r="202" customFormat="false" ht="12.8" hidden="false" customHeight="false" outlineLevel="0" collapsed="false">
      <c r="A202" s="22"/>
      <c r="B202" s="23" t="n">
        <v>575291000</v>
      </c>
      <c r="C202" s="24" t="n">
        <v>75</v>
      </c>
      <c r="D202" s="54" t="s">
        <v>213</v>
      </c>
      <c r="E202" s="19" t="s">
        <v>126</v>
      </c>
      <c r="F202" s="24" t="s">
        <v>23</v>
      </c>
      <c r="G202" s="25" t="n">
        <v>0.151</v>
      </c>
      <c r="H202" s="26"/>
      <c r="I202" s="27" t="n">
        <v>75</v>
      </c>
      <c r="J202" s="28" t="n">
        <v>60</v>
      </c>
      <c r="K202" s="28" t="n">
        <v>1</v>
      </c>
      <c r="L202" s="24" t="s">
        <v>24</v>
      </c>
      <c r="M202" s="29" t="n">
        <f aca="false">IF("oui" = "oui",5.22*(1-disc),5.22)</f>
        <v>5.22</v>
      </c>
      <c r="N202" s="29" t="n">
        <f aca="false">IF("oui" = "oui",5.22*(1-disc)*1.2,5.22*1.2)</f>
        <v>6.264</v>
      </c>
      <c r="O202" s="24" t="s">
        <v>25</v>
      </c>
      <c r="P202" s="55" t="s">
        <v>63</v>
      </c>
      <c r="Q202" s="16"/>
    </row>
    <row r="203" customFormat="false" ht="12.8" hidden="false" customHeight="false" outlineLevel="0" collapsed="false">
      <c r="A203" s="22"/>
      <c r="B203" s="23"/>
      <c r="C203" s="24"/>
      <c r="D203" s="22"/>
      <c r="E203" s="19"/>
      <c r="F203" s="24"/>
      <c r="G203" s="25"/>
      <c r="H203" s="26"/>
      <c r="I203" s="27"/>
      <c r="J203" s="28"/>
      <c r="K203" s="28"/>
      <c r="L203" s="24"/>
      <c r="M203" s="29"/>
      <c r="N203" s="29"/>
      <c r="O203" s="24"/>
      <c r="P203" s="4"/>
      <c r="Q203" s="16"/>
    </row>
    <row r="204" customFormat="false" ht="12.8" hidden="false" customHeight="false" outlineLevel="0" collapsed="false">
      <c r="A204" s="22"/>
      <c r="B204" s="23" t="n">
        <v>575147000</v>
      </c>
      <c r="C204" s="24" t="n">
        <v>75</v>
      </c>
      <c r="D204" s="54" t="s">
        <v>214</v>
      </c>
      <c r="E204" s="19" t="s">
        <v>126</v>
      </c>
      <c r="F204" s="24" t="s">
        <v>23</v>
      </c>
      <c r="G204" s="25" t="n">
        <v>0.73</v>
      </c>
      <c r="H204" s="26"/>
      <c r="I204" s="27" t="n">
        <v>75</v>
      </c>
      <c r="J204" s="28" t="n">
        <v>12</v>
      </c>
      <c r="K204" s="28" t="n">
        <v>5</v>
      </c>
      <c r="L204" s="24" t="s">
        <v>24</v>
      </c>
      <c r="M204" s="29" t="n">
        <f aca="false">IF("oui" = "oui",26.08*(1-disc),26.08)</f>
        <v>26.08</v>
      </c>
      <c r="N204" s="29" t="n">
        <f aca="false">IF("oui" = "oui",26.08*(1-disc)*1.2,26.08*1.2)</f>
        <v>31.296</v>
      </c>
      <c r="O204" s="24" t="s">
        <v>25</v>
      </c>
      <c r="P204" s="7" t="s">
        <v>26</v>
      </c>
      <c r="Q204" s="16"/>
    </row>
    <row r="205" customFormat="false" ht="12.8" hidden="false" customHeight="false" outlineLevel="0" collapsed="false">
      <c r="A205" s="22"/>
      <c r="B205" s="23"/>
      <c r="C205" s="24"/>
      <c r="D205" s="22"/>
      <c r="E205" s="19"/>
      <c r="F205" s="24"/>
      <c r="G205" s="25"/>
      <c r="H205" s="26"/>
      <c r="I205" s="27"/>
      <c r="J205" s="28"/>
      <c r="K205" s="28"/>
      <c r="L205" s="24"/>
      <c r="M205" s="29"/>
      <c r="N205" s="29"/>
      <c r="O205" s="24"/>
      <c r="P205" s="4"/>
      <c r="Q205" s="16"/>
    </row>
    <row r="206" customFormat="false" ht="12.8" hidden="false" customHeight="false" outlineLevel="0" collapsed="false">
      <c r="A206" s="42" t="s">
        <v>215</v>
      </c>
      <c r="B206" s="43"/>
      <c r="C206" s="44"/>
      <c r="D206" s="45"/>
      <c r="E206" s="46"/>
      <c r="F206" s="44"/>
      <c r="G206" s="47"/>
      <c r="H206" s="48"/>
      <c r="I206" s="49"/>
      <c r="J206" s="50"/>
      <c r="K206" s="50"/>
      <c r="L206" s="44"/>
      <c r="M206" s="51"/>
      <c r="N206" s="51"/>
      <c r="O206" s="44"/>
      <c r="P206" s="52"/>
      <c r="Q206" s="53"/>
    </row>
    <row r="207" customFormat="false" ht="12.8" hidden="false" customHeight="false" outlineLevel="0" collapsed="false">
      <c r="A207" s="22"/>
      <c r="B207" s="23"/>
      <c r="C207" s="24"/>
      <c r="D207" s="22"/>
      <c r="E207" s="19"/>
      <c r="F207" s="24"/>
      <c r="G207" s="25"/>
      <c r="H207" s="26"/>
      <c r="I207" s="27"/>
      <c r="J207" s="28"/>
      <c r="K207" s="28"/>
      <c r="L207" s="24"/>
      <c r="M207" s="29"/>
      <c r="N207" s="29"/>
      <c r="O207" s="24"/>
      <c r="P207" s="4"/>
      <c r="Q207" s="16"/>
    </row>
    <row r="208" customFormat="false" ht="12.8" hidden="false" customHeight="false" outlineLevel="0" collapsed="false">
      <c r="A208" s="22"/>
      <c r="B208" s="23" t="n">
        <v>575033000</v>
      </c>
      <c r="C208" s="24" t="n">
        <v>75</v>
      </c>
      <c r="D208" s="54" t="s">
        <v>216</v>
      </c>
      <c r="E208" s="19" t="s">
        <v>217</v>
      </c>
      <c r="F208" s="24" t="s">
        <v>23</v>
      </c>
      <c r="G208" s="25" t="n">
        <v>0.15</v>
      </c>
      <c r="H208" s="26"/>
      <c r="I208" s="27" t="n">
        <v>75</v>
      </c>
      <c r="J208" s="28" t="n">
        <v>60</v>
      </c>
      <c r="K208" s="28" t="n">
        <v>1</v>
      </c>
      <c r="L208" s="24" t="s">
        <v>24</v>
      </c>
      <c r="M208" s="29" t="n">
        <f aca="false">IF("oui" = "oui",5.22*(1-disc),5.22)</f>
        <v>5.22</v>
      </c>
      <c r="N208" s="29" t="n">
        <f aca="false">IF("oui" = "oui",5.22*(1-disc)*1.2,5.22*1.2)</f>
        <v>6.264</v>
      </c>
      <c r="O208" s="24" t="s">
        <v>25</v>
      </c>
      <c r="P208" s="7" t="s">
        <v>26</v>
      </c>
      <c r="Q208" s="16"/>
    </row>
    <row r="209" customFormat="false" ht="12.8" hidden="false" customHeight="false" outlineLevel="0" collapsed="false">
      <c r="A209" s="22"/>
      <c r="B209" s="23" t="n">
        <v>575034000</v>
      </c>
      <c r="C209" s="24" t="n">
        <v>75</v>
      </c>
      <c r="D209" s="54" t="s">
        <v>218</v>
      </c>
      <c r="E209" s="19" t="s">
        <v>217</v>
      </c>
      <c r="F209" s="24" t="s">
        <v>23</v>
      </c>
      <c r="G209" s="25" t="n">
        <v>0.15</v>
      </c>
      <c r="H209" s="26"/>
      <c r="I209" s="27" t="n">
        <v>75</v>
      </c>
      <c r="J209" s="28" t="n">
        <v>60</v>
      </c>
      <c r="K209" s="28" t="n">
        <v>1</v>
      </c>
      <c r="L209" s="24" t="s">
        <v>24</v>
      </c>
      <c r="M209" s="29" t="n">
        <f aca="false">IF("oui" = "oui",5.22*(1-disc),5.22)</f>
        <v>5.22</v>
      </c>
      <c r="N209" s="29" t="n">
        <f aca="false">IF("oui" = "oui",5.22*(1-disc)*1.2,5.22*1.2)</f>
        <v>6.264</v>
      </c>
      <c r="O209" s="24" t="s">
        <v>25</v>
      </c>
      <c r="P209" s="7" t="s">
        <v>26</v>
      </c>
      <c r="Q209" s="16"/>
    </row>
    <row r="210" customFormat="false" ht="12.8" hidden="false" customHeight="false" outlineLevel="0" collapsed="false">
      <c r="A210" s="22"/>
      <c r="B210" s="23" t="n">
        <v>575035000</v>
      </c>
      <c r="C210" s="24" t="n">
        <v>75</v>
      </c>
      <c r="D210" s="54" t="s">
        <v>219</v>
      </c>
      <c r="E210" s="19" t="s">
        <v>217</v>
      </c>
      <c r="F210" s="24" t="s">
        <v>23</v>
      </c>
      <c r="G210" s="25" t="n">
        <v>0.15</v>
      </c>
      <c r="H210" s="26"/>
      <c r="I210" s="27" t="n">
        <v>75</v>
      </c>
      <c r="J210" s="28" t="n">
        <v>60</v>
      </c>
      <c r="K210" s="28" t="n">
        <v>1</v>
      </c>
      <c r="L210" s="24" t="s">
        <v>24</v>
      </c>
      <c r="M210" s="29" t="n">
        <f aca="false">IF("oui" = "oui",5.22*(1-disc),5.22)</f>
        <v>5.22</v>
      </c>
      <c r="N210" s="29" t="n">
        <f aca="false">IF("oui" = "oui",5.22*(1-disc)*1.2,5.22*1.2)</f>
        <v>6.264</v>
      </c>
      <c r="O210" s="24" t="s">
        <v>25</v>
      </c>
      <c r="P210" s="7" t="s">
        <v>26</v>
      </c>
      <c r="Q210" s="16"/>
    </row>
    <row r="211" customFormat="false" ht="12.8" hidden="false" customHeight="false" outlineLevel="0" collapsed="false">
      <c r="A211" s="22"/>
      <c r="B211" s="23" t="n">
        <v>575036000</v>
      </c>
      <c r="C211" s="24" t="n">
        <v>75</v>
      </c>
      <c r="D211" s="54" t="s">
        <v>220</v>
      </c>
      <c r="E211" s="19" t="s">
        <v>217</v>
      </c>
      <c r="F211" s="24" t="s">
        <v>23</v>
      </c>
      <c r="G211" s="25" t="n">
        <v>0.15</v>
      </c>
      <c r="H211" s="26"/>
      <c r="I211" s="27" t="n">
        <v>75</v>
      </c>
      <c r="J211" s="28" t="n">
        <v>60</v>
      </c>
      <c r="K211" s="28" t="n">
        <v>1</v>
      </c>
      <c r="L211" s="24" t="s">
        <v>24</v>
      </c>
      <c r="M211" s="29" t="n">
        <f aca="false">IF("oui" = "oui",5.22*(1-disc),5.22)</f>
        <v>5.22</v>
      </c>
      <c r="N211" s="29" t="n">
        <f aca="false">IF("oui" = "oui",5.22*(1-disc)*1.2,5.22*1.2)</f>
        <v>6.264</v>
      </c>
      <c r="O211" s="24" t="s">
        <v>25</v>
      </c>
      <c r="P211" s="55" t="s">
        <v>141</v>
      </c>
      <c r="Q211" s="16"/>
    </row>
    <row r="212" customFormat="false" ht="12.8" hidden="false" customHeight="false" outlineLevel="0" collapsed="false">
      <c r="A212" s="22"/>
      <c r="B212" s="23" t="n">
        <v>575038000</v>
      </c>
      <c r="C212" s="24" t="n">
        <v>75</v>
      </c>
      <c r="D212" s="54" t="s">
        <v>221</v>
      </c>
      <c r="E212" s="19" t="s">
        <v>217</v>
      </c>
      <c r="F212" s="24" t="s">
        <v>23</v>
      </c>
      <c r="G212" s="25" t="n">
        <v>0.15</v>
      </c>
      <c r="H212" s="26"/>
      <c r="I212" s="27" t="n">
        <v>75</v>
      </c>
      <c r="J212" s="28" t="n">
        <v>60</v>
      </c>
      <c r="K212" s="28" t="n">
        <v>1</v>
      </c>
      <c r="L212" s="24" t="s">
        <v>24</v>
      </c>
      <c r="M212" s="29" t="n">
        <f aca="false">IF("oui" = "oui",5.22*(1-disc),5.22)</f>
        <v>5.22</v>
      </c>
      <c r="N212" s="29" t="n">
        <f aca="false">IF("oui" = "oui",5.22*(1-disc)*1.2,5.22*1.2)</f>
        <v>6.264</v>
      </c>
      <c r="O212" s="24" t="s">
        <v>25</v>
      </c>
      <c r="P212" s="7" t="s">
        <v>26</v>
      </c>
      <c r="Q212" s="16"/>
    </row>
    <row r="213" customFormat="false" ht="12.8" hidden="false" customHeight="false" outlineLevel="0" collapsed="false">
      <c r="A213" s="22"/>
      <c r="B213" s="23" t="n">
        <v>575039000</v>
      </c>
      <c r="C213" s="24" t="n">
        <v>75</v>
      </c>
      <c r="D213" s="54" t="s">
        <v>222</v>
      </c>
      <c r="E213" s="19" t="s">
        <v>217</v>
      </c>
      <c r="F213" s="24" t="s">
        <v>23</v>
      </c>
      <c r="G213" s="25" t="n">
        <v>0.15</v>
      </c>
      <c r="H213" s="26"/>
      <c r="I213" s="27" t="n">
        <v>75</v>
      </c>
      <c r="J213" s="28" t="n">
        <v>60</v>
      </c>
      <c r="K213" s="28" t="n">
        <v>1</v>
      </c>
      <c r="L213" s="24" t="s">
        <v>24</v>
      </c>
      <c r="M213" s="29" t="n">
        <f aca="false">IF("oui" = "oui",5.22*(1-disc),5.22)</f>
        <v>5.22</v>
      </c>
      <c r="N213" s="29" t="n">
        <f aca="false">IF("oui" = "oui",5.22*(1-disc)*1.2,5.22*1.2)</f>
        <v>6.264</v>
      </c>
      <c r="O213" s="24" t="s">
        <v>25</v>
      </c>
      <c r="P213" s="7" t="s">
        <v>26</v>
      </c>
      <c r="Q213" s="16"/>
    </row>
    <row r="214" customFormat="false" ht="12.8" hidden="false" customHeight="false" outlineLevel="0" collapsed="false">
      <c r="A214" s="22"/>
      <c r="B214" s="23" t="n">
        <v>575159000</v>
      </c>
      <c r="C214" s="24" t="n">
        <v>75</v>
      </c>
      <c r="D214" s="54" t="s">
        <v>223</v>
      </c>
      <c r="E214" s="19" t="s">
        <v>217</v>
      </c>
      <c r="F214" s="24" t="s">
        <v>23</v>
      </c>
      <c r="G214" s="25" t="n">
        <v>0.15</v>
      </c>
      <c r="H214" s="26"/>
      <c r="I214" s="27" t="n">
        <v>75</v>
      </c>
      <c r="J214" s="28" t="n">
        <v>60</v>
      </c>
      <c r="K214" s="28" t="n">
        <v>1</v>
      </c>
      <c r="L214" s="24" t="s">
        <v>24</v>
      </c>
      <c r="M214" s="29" t="n">
        <f aca="false">IF("oui" = "oui",5.22*(1-disc),5.22)</f>
        <v>5.22</v>
      </c>
      <c r="N214" s="29" t="n">
        <f aca="false">IF("oui" = "oui",5.22*(1-disc)*1.2,5.22*1.2)</f>
        <v>6.264</v>
      </c>
      <c r="O214" s="24" t="s">
        <v>25</v>
      </c>
      <c r="P214" s="7" t="s">
        <v>26</v>
      </c>
      <c r="Q214" s="16"/>
    </row>
    <row r="215" customFormat="false" ht="12.8" hidden="false" customHeight="false" outlineLevel="0" collapsed="false">
      <c r="A215" s="22"/>
      <c r="B215" s="23" t="n">
        <v>575160000</v>
      </c>
      <c r="C215" s="24" t="n">
        <v>75</v>
      </c>
      <c r="D215" s="54" t="s">
        <v>224</v>
      </c>
      <c r="E215" s="19" t="s">
        <v>217</v>
      </c>
      <c r="F215" s="24" t="s">
        <v>23</v>
      </c>
      <c r="G215" s="25" t="n">
        <v>0.15</v>
      </c>
      <c r="H215" s="26"/>
      <c r="I215" s="27" t="n">
        <v>75</v>
      </c>
      <c r="J215" s="28" t="n">
        <v>60</v>
      </c>
      <c r="K215" s="28" t="n">
        <v>1</v>
      </c>
      <c r="L215" s="24" t="s">
        <v>24</v>
      </c>
      <c r="M215" s="29" t="n">
        <f aca="false">IF("oui" = "oui",5.22*(1-disc),5.22)</f>
        <v>5.22</v>
      </c>
      <c r="N215" s="29" t="n">
        <f aca="false">IF("oui" = "oui",5.22*(1-disc)*1.2,5.22*1.2)</f>
        <v>6.264</v>
      </c>
      <c r="O215" s="24" t="s">
        <v>25</v>
      </c>
      <c r="P215" s="7" t="s">
        <v>26</v>
      </c>
      <c r="Q215" s="16"/>
    </row>
    <row r="216" customFormat="false" ht="12.8" hidden="false" customHeight="false" outlineLevel="0" collapsed="false">
      <c r="A216" s="22"/>
      <c r="B216" s="23" t="n">
        <v>575161000</v>
      </c>
      <c r="C216" s="24" t="n">
        <v>75</v>
      </c>
      <c r="D216" s="54" t="s">
        <v>225</v>
      </c>
      <c r="E216" s="19" t="s">
        <v>217</v>
      </c>
      <c r="F216" s="24" t="s">
        <v>23</v>
      </c>
      <c r="G216" s="25" t="n">
        <v>0.15</v>
      </c>
      <c r="H216" s="26"/>
      <c r="I216" s="27" t="n">
        <v>75</v>
      </c>
      <c r="J216" s="28" t="n">
        <v>60</v>
      </c>
      <c r="K216" s="28" t="n">
        <v>1</v>
      </c>
      <c r="L216" s="24" t="s">
        <v>24</v>
      </c>
      <c r="M216" s="29" t="n">
        <f aca="false">IF("oui" = "oui",5.22*(1-disc),5.22)</f>
        <v>5.22</v>
      </c>
      <c r="N216" s="29" t="n">
        <f aca="false">IF("oui" = "oui",5.22*(1-disc)*1.2,5.22*1.2)</f>
        <v>6.264</v>
      </c>
      <c r="O216" s="24" t="s">
        <v>25</v>
      </c>
      <c r="P216" s="7" t="s">
        <v>26</v>
      </c>
      <c r="Q216" s="16"/>
    </row>
    <row r="217" customFormat="false" ht="12.8" hidden="false" customHeight="false" outlineLevel="0" collapsed="false">
      <c r="A217" s="22"/>
      <c r="B217" s="23" t="n">
        <v>575162000</v>
      </c>
      <c r="C217" s="24" t="n">
        <v>75</v>
      </c>
      <c r="D217" s="22" t="s">
        <v>226</v>
      </c>
      <c r="E217" s="19" t="s">
        <v>217</v>
      </c>
      <c r="F217" s="24" t="s">
        <v>23</v>
      </c>
      <c r="G217" s="25" t="n">
        <v>0.15</v>
      </c>
      <c r="H217" s="26"/>
      <c r="I217" s="27" t="n">
        <v>75</v>
      </c>
      <c r="J217" s="28" t="n">
        <v>60</v>
      </c>
      <c r="K217" s="28" t="n">
        <v>1</v>
      </c>
      <c r="L217" s="24" t="s">
        <v>24</v>
      </c>
      <c r="M217" s="29" t="n">
        <f aca="false">IF("oui" = "oui",5.22*(1-disc),5.22)</f>
        <v>5.22</v>
      </c>
      <c r="N217" s="29" t="n">
        <f aca="false">IF("oui" = "oui",5.22*(1-disc)*1.2,5.22*1.2)</f>
        <v>6.264</v>
      </c>
      <c r="O217" s="24" t="s">
        <v>25</v>
      </c>
      <c r="P217" s="7" t="s">
        <v>26</v>
      </c>
      <c r="Q217" s="16"/>
    </row>
    <row r="218" customFormat="false" ht="12.8" hidden="false" customHeight="false" outlineLevel="0" collapsed="false">
      <c r="A218" s="22"/>
      <c r="B218" s="23"/>
      <c r="C218" s="24"/>
      <c r="D218" s="22"/>
      <c r="E218" s="19"/>
      <c r="F218" s="24"/>
      <c r="G218" s="25"/>
      <c r="H218" s="26"/>
      <c r="I218" s="27"/>
      <c r="J218" s="28"/>
      <c r="K218" s="28"/>
      <c r="L218" s="24"/>
      <c r="M218" s="29"/>
      <c r="N218" s="29"/>
      <c r="O218" s="24"/>
      <c r="P218" s="4"/>
      <c r="Q218" s="16"/>
    </row>
    <row r="219" customFormat="false" ht="12.8" hidden="false" customHeight="false" outlineLevel="0" collapsed="false">
      <c r="A219" s="22"/>
      <c r="B219" s="23" t="n">
        <v>575373000</v>
      </c>
      <c r="C219" s="24" t="n">
        <v>75</v>
      </c>
      <c r="D219" s="54" t="s">
        <v>227</v>
      </c>
      <c r="E219" s="19" t="s">
        <v>217</v>
      </c>
      <c r="F219" s="24" t="s">
        <v>23</v>
      </c>
      <c r="G219" s="25" t="n">
        <v>0.75</v>
      </c>
      <c r="H219" s="26"/>
      <c r="I219" s="27" t="n">
        <v>75</v>
      </c>
      <c r="J219" s="28" t="n">
        <v>12</v>
      </c>
      <c r="K219" s="28" t="n">
        <v>5</v>
      </c>
      <c r="L219" s="24" t="s">
        <v>24</v>
      </c>
      <c r="M219" s="29" t="n">
        <f aca="false">IF("oui" = "oui",26.08*(1-disc),26.08)</f>
        <v>26.08</v>
      </c>
      <c r="N219" s="29" t="n">
        <f aca="false">IF("oui" = "oui",26.08*(1-disc)*1.2,26.08*1.2)</f>
        <v>31.296</v>
      </c>
      <c r="O219" s="24" t="s">
        <v>25</v>
      </c>
      <c r="P219" s="7" t="s">
        <v>26</v>
      </c>
      <c r="Q219" s="16"/>
    </row>
    <row r="220" customFormat="false" ht="12.8" hidden="false" customHeight="false" outlineLevel="0" collapsed="false">
      <c r="A220" s="22"/>
      <c r="B220" s="23"/>
      <c r="C220" s="24"/>
      <c r="D220" s="22"/>
      <c r="E220" s="19"/>
      <c r="F220" s="24"/>
      <c r="G220" s="25"/>
      <c r="H220" s="26"/>
      <c r="I220" s="27"/>
      <c r="J220" s="28"/>
      <c r="K220" s="28"/>
      <c r="L220" s="24"/>
      <c r="M220" s="29"/>
      <c r="N220" s="29"/>
      <c r="O220" s="24"/>
      <c r="P220" s="4"/>
      <c r="Q220" s="16"/>
    </row>
    <row r="221" customFormat="false" ht="12.8" hidden="false" customHeight="false" outlineLevel="0" collapsed="false">
      <c r="A221" s="42" t="s">
        <v>228</v>
      </c>
      <c r="B221" s="43"/>
      <c r="C221" s="44"/>
      <c r="D221" s="45"/>
      <c r="E221" s="46"/>
      <c r="F221" s="44"/>
      <c r="G221" s="47"/>
      <c r="H221" s="48"/>
      <c r="I221" s="49"/>
      <c r="J221" s="50"/>
      <c r="K221" s="50"/>
      <c r="L221" s="44"/>
      <c r="M221" s="51"/>
      <c r="N221" s="51"/>
      <c r="O221" s="44"/>
      <c r="P221" s="52"/>
      <c r="Q221" s="53"/>
    </row>
    <row r="222" customFormat="false" ht="12.8" hidden="false" customHeight="false" outlineLevel="0" collapsed="false">
      <c r="A222" s="22"/>
      <c r="B222" s="23"/>
      <c r="C222" s="24"/>
      <c r="D222" s="22"/>
      <c r="E222" s="19"/>
      <c r="F222" s="24"/>
      <c r="G222" s="25"/>
      <c r="H222" s="26"/>
      <c r="I222" s="27"/>
      <c r="J222" s="28"/>
      <c r="K222" s="28"/>
      <c r="L222" s="24"/>
      <c r="M222" s="29"/>
      <c r="N222" s="29"/>
      <c r="O222" s="24"/>
      <c r="P222" s="4"/>
      <c r="Q222" s="16"/>
    </row>
    <row r="223" customFormat="false" ht="12.8" hidden="false" customHeight="false" outlineLevel="0" collapsed="false">
      <c r="A223" s="22"/>
      <c r="B223" s="56" t="n">
        <v>575157000</v>
      </c>
      <c r="C223" s="24" t="n">
        <v>75</v>
      </c>
      <c r="D223" s="54" t="s">
        <v>229</v>
      </c>
      <c r="E223" s="19" t="s">
        <v>150</v>
      </c>
      <c r="F223" s="24" t="s">
        <v>23</v>
      </c>
      <c r="G223" s="25" t="n">
        <v>0.159</v>
      </c>
      <c r="H223" s="26"/>
      <c r="I223" s="27" t="n">
        <v>75</v>
      </c>
      <c r="J223" s="28" t="n">
        <v>60</v>
      </c>
      <c r="K223" s="28" t="n">
        <v>1</v>
      </c>
      <c r="L223" s="24" t="s">
        <v>24</v>
      </c>
      <c r="M223" s="29" t="n">
        <f aca="false">IF("oui" = "oui",5.22*(1-disc),5.22)</f>
        <v>5.22</v>
      </c>
      <c r="N223" s="29" t="n">
        <f aca="false">IF("oui" = "oui",5.22*(1-disc)*1.2,5.22*1.2)</f>
        <v>6.264</v>
      </c>
      <c r="O223" s="24" t="s">
        <v>25</v>
      </c>
      <c r="P223" s="7" t="s">
        <v>26</v>
      </c>
      <c r="Q223" s="16"/>
    </row>
    <row r="224" customFormat="false" ht="12.8" hidden="false" customHeight="false" outlineLevel="0" collapsed="false">
      <c r="A224" s="22"/>
      <c r="B224" s="23" t="n">
        <v>575158000</v>
      </c>
      <c r="C224" s="24" t="n">
        <v>75</v>
      </c>
      <c r="D224" s="54" t="s">
        <v>230</v>
      </c>
      <c r="E224" s="19" t="s">
        <v>150</v>
      </c>
      <c r="F224" s="24" t="s">
        <v>23</v>
      </c>
      <c r="G224" s="25" t="n">
        <v>0.159</v>
      </c>
      <c r="H224" s="26"/>
      <c r="I224" s="27" t="n">
        <v>75</v>
      </c>
      <c r="J224" s="28" t="n">
        <v>60</v>
      </c>
      <c r="K224" s="28" t="n">
        <v>1</v>
      </c>
      <c r="L224" s="24" t="s">
        <v>24</v>
      </c>
      <c r="M224" s="29" t="n">
        <f aca="false">IF("oui" = "oui",5.22*(1-disc),5.22)</f>
        <v>5.22</v>
      </c>
      <c r="N224" s="29" t="n">
        <f aca="false">IF("oui" = "oui",5.22*(1-disc)*1.2,5.22*1.2)</f>
        <v>6.264</v>
      </c>
      <c r="O224" s="24" t="s">
        <v>25</v>
      </c>
      <c r="P224" s="7" t="s">
        <v>26</v>
      </c>
      <c r="Q224" s="16"/>
    </row>
    <row r="225" customFormat="false" ht="12.8" hidden="false" customHeight="false" outlineLevel="0" collapsed="false">
      <c r="A225" s="22"/>
      <c r="B225" s="23"/>
      <c r="C225" s="24"/>
      <c r="D225" s="22"/>
      <c r="E225" s="19"/>
      <c r="F225" s="24"/>
      <c r="G225" s="25"/>
      <c r="H225" s="26"/>
      <c r="I225" s="27"/>
      <c r="J225" s="28"/>
      <c r="K225" s="28"/>
      <c r="L225" s="24"/>
      <c r="M225" s="29"/>
      <c r="N225" s="29"/>
      <c r="O225" s="24"/>
      <c r="P225" s="4"/>
      <c r="Q225" s="16"/>
    </row>
    <row r="226" customFormat="false" ht="12.8" hidden="false" customHeight="false" outlineLevel="0" collapsed="false">
      <c r="A226" s="42" t="s">
        <v>231</v>
      </c>
      <c r="B226" s="43"/>
      <c r="C226" s="44"/>
      <c r="D226" s="45"/>
      <c r="E226" s="46"/>
      <c r="F226" s="44"/>
      <c r="G226" s="47"/>
      <c r="H226" s="48"/>
      <c r="I226" s="49"/>
      <c r="J226" s="50"/>
      <c r="K226" s="50"/>
      <c r="L226" s="44"/>
      <c r="M226" s="51"/>
      <c r="N226" s="51"/>
      <c r="O226" s="44"/>
      <c r="P226" s="52"/>
      <c r="Q226" s="53"/>
    </row>
    <row r="227" customFormat="false" ht="12.8" hidden="false" customHeight="false" outlineLevel="0" collapsed="false">
      <c r="A227" s="22"/>
      <c r="B227" s="23"/>
      <c r="C227" s="24"/>
      <c r="D227" s="22"/>
      <c r="E227" s="19"/>
      <c r="F227" s="24"/>
      <c r="G227" s="25"/>
      <c r="H227" s="26"/>
      <c r="I227" s="27"/>
      <c r="J227" s="28"/>
      <c r="K227" s="28"/>
      <c r="L227" s="24"/>
      <c r="M227" s="29"/>
      <c r="N227" s="29"/>
      <c r="O227" s="24"/>
      <c r="P227" s="4"/>
      <c r="Q227" s="16"/>
    </row>
    <row r="228" customFormat="false" ht="12.8" hidden="false" customHeight="false" outlineLevel="0" collapsed="false">
      <c r="A228" s="22"/>
      <c r="B228" s="23" t="n">
        <v>575430000</v>
      </c>
      <c r="C228" s="24" t="n">
        <v>75</v>
      </c>
      <c r="D228" s="54" t="s">
        <v>232</v>
      </c>
      <c r="E228" s="19" t="s">
        <v>96</v>
      </c>
      <c r="F228" s="24" t="s">
        <v>23</v>
      </c>
      <c r="G228" s="25" t="n">
        <v>0.15</v>
      </c>
      <c r="H228" s="26"/>
      <c r="I228" s="27" t="n">
        <v>75</v>
      </c>
      <c r="J228" s="28" t="n">
        <v>60</v>
      </c>
      <c r="K228" s="28" t="n">
        <v>1</v>
      </c>
      <c r="L228" s="24" t="s">
        <v>24</v>
      </c>
      <c r="M228" s="29" t="n">
        <f aca="false">IF("oui" = "oui",5.22*(1-disc),5.22)</f>
        <v>5.22</v>
      </c>
      <c r="N228" s="29" t="n">
        <f aca="false">IF("oui" = "oui",5.22*(1-disc)*1.2,5.22*1.2)</f>
        <v>6.264</v>
      </c>
      <c r="O228" s="24" t="s">
        <v>25</v>
      </c>
      <c r="P228" s="55" t="s">
        <v>176</v>
      </c>
      <c r="Q228" s="16"/>
    </row>
    <row r="229" customFormat="false" ht="12.8" hidden="false" customHeight="false" outlineLevel="0" collapsed="false">
      <c r="A229" s="22"/>
      <c r="B229" s="23" t="n">
        <v>575432000</v>
      </c>
      <c r="C229" s="24" t="n">
        <v>75</v>
      </c>
      <c r="D229" s="54" t="s">
        <v>233</v>
      </c>
      <c r="E229" s="19" t="s">
        <v>96</v>
      </c>
      <c r="F229" s="24" t="s">
        <v>23</v>
      </c>
      <c r="G229" s="25" t="n">
        <v>0.15</v>
      </c>
      <c r="H229" s="26"/>
      <c r="I229" s="27" t="n">
        <v>75</v>
      </c>
      <c r="J229" s="28" t="n">
        <v>60</v>
      </c>
      <c r="K229" s="28" t="n">
        <v>1</v>
      </c>
      <c r="L229" s="24" t="s">
        <v>24</v>
      </c>
      <c r="M229" s="29" t="n">
        <f aca="false">IF("oui" = "oui",5.22*(1-disc),5.22)</f>
        <v>5.22</v>
      </c>
      <c r="N229" s="29" t="n">
        <f aca="false">IF("oui" = "oui",5.22*(1-disc)*1.2,5.22*1.2)</f>
        <v>6.264</v>
      </c>
      <c r="O229" s="24" t="s">
        <v>25</v>
      </c>
      <c r="P229" s="7" t="s">
        <v>26</v>
      </c>
      <c r="Q229" s="16"/>
    </row>
    <row r="230" customFormat="false" ht="12.8" hidden="false" customHeight="false" outlineLevel="0" collapsed="false">
      <c r="A230" s="22"/>
      <c r="B230" s="23" t="n">
        <v>575434000</v>
      </c>
      <c r="C230" s="24" t="n">
        <v>75</v>
      </c>
      <c r="D230" s="54" t="s">
        <v>234</v>
      </c>
      <c r="E230" s="19" t="s">
        <v>96</v>
      </c>
      <c r="F230" s="24" t="s">
        <v>23</v>
      </c>
      <c r="G230" s="25" t="n">
        <v>0.15</v>
      </c>
      <c r="H230" s="26"/>
      <c r="I230" s="27" t="n">
        <v>75</v>
      </c>
      <c r="J230" s="28" t="n">
        <v>60</v>
      </c>
      <c r="K230" s="28" t="n">
        <v>1</v>
      </c>
      <c r="L230" s="24" t="s">
        <v>24</v>
      </c>
      <c r="M230" s="29" t="n">
        <f aca="false">IF("oui" = "oui",5.22*(1-disc),5.22)</f>
        <v>5.22</v>
      </c>
      <c r="N230" s="29" t="n">
        <f aca="false">IF("oui" = "oui",5.22*(1-disc)*1.2,5.22*1.2)</f>
        <v>6.264</v>
      </c>
      <c r="O230" s="24" t="s">
        <v>25</v>
      </c>
      <c r="P230" s="55" t="s">
        <v>235</v>
      </c>
      <c r="Q230" s="16"/>
    </row>
    <row r="231" customFormat="false" ht="12.8" hidden="false" customHeight="false" outlineLevel="0" collapsed="false">
      <c r="A231" s="22"/>
      <c r="B231" s="23" t="n">
        <v>575435000</v>
      </c>
      <c r="C231" s="24" t="n">
        <v>75</v>
      </c>
      <c r="D231" s="54" t="s">
        <v>236</v>
      </c>
      <c r="E231" s="19" t="s">
        <v>96</v>
      </c>
      <c r="F231" s="24" t="s">
        <v>23</v>
      </c>
      <c r="G231" s="25" t="n">
        <v>0.15</v>
      </c>
      <c r="H231" s="26"/>
      <c r="I231" s="27" t="n">
        <v>75</v>
      </c>
      <c r="J231" s="28" t="n">
        <v>60</v>
      </c>
      <c r="K231" s="28" t="n">
        <v>1</v>
      </c>
      <c r="L231" s="24" t="s">
        <v>24</v>
      </c>
      <c r="M231" s="29" t="n">
        <f aca="false">IF("oui" = "oui",5.22*(1-disc),5.22)</f>
        <v>5.22</v>
      </c>
      <c r="N231" s="29" t="n">
        <f aca="false">IF("oui" = "oui",5.22*(1-disc)*1.2,5.22*1.2)</f>
        <v>6.264</v>
      </c>
      <c r="O231" s="24" t="s">
        <v>25</v>
      </c>
      <c r="P231" s="7" t="s">
        <v>26</v>
      </c>
      <c r="Q231" s="16"/>
    </row>
    <row r="232" customFormat="false" ht="12.8" hidden="false" customHeight="false" outlineLevel="0" collapsed="false">
      <c r="A232" s="22"/>
      <c r="B232" s="23" t="n">
        <v>575436000</v>
      </c>
      <c r="C232" s="24" t="n">
        <v>75</v>
      </c>
      <c r="D232" s="54" t="s">
        <v>237</v>
      </c>
      <c r="E232" s="19" t="s">
        <v>96</v>
      </c>
      <c r="F232" s="24" t="s">
        <v>23</v>
      </c>
      <c r="G232" s="25" t="n">
        <v>0.15</v>
      </c>
      <c r="H232" s="26"/>
      <c r="I232" s="27" t="n">
        <v>75</v>
      </c>
      <c r="J232" s="28" t="n">
        <v>60</v>
      </c>
      <c r="K232" s="28" t="n">
        <v>1</v>
      </c>
      <c r="L232" s="24" t="s">
        <v>24</v>
      </c>
      <c r="M232" s="29" t="n">
        <f aca="false">IF("oui" = "oui",5.22*(1-disc),5.22)</f>
        <v>5.22</v>
      </c>
      <c r="N232" s="29" t="n">
        <f aca="false">IF("oui" = "oui",5.22*(1-disc)*1.2,5.22*1.2)</f>
        <v>6.264</v>
      </c>
      <c r="O232" s="24" t="s">
        <v>25</v>
      </c>
      <c r="P232" s="7" t="s">
        <v>26</v>
      </c>
      <c r="Q232" s="16"/>
    </row>
    <row r="233" customFormat="false" ht="12.8" hidden="false" customHeight="false" outlineLevel="0" collapsed="false">
      <c r="A233" s="22"/>
      <c r="B233" s="23" t="n">
        <v>575437000</v>
      </c>
      <c r="C233" s="24" t="n">
        <v>75</v>
      </c>
      <c r="D233" s="54" t="s">
        <v>238</v>
      </c>
      <c r="E233" s="19" t="s">
        <v>96</v>
      </c>
      <c r="F233" s="24" t="s">
        <v>23</v>
      </c>
      <c r="G233" s="25" t="n">
        <v>0.15</v>
      </c>
      <c r="H233" s="26"/>
      <c r="I233" s="27" t="n">
        <v>75</v>
      </c>
      <c r="J233" s="28" t="n">
        <v>60</v>
      </c>
      <c r="K233" s="28" t="n">
        <v>1</v>
      </c>
      <c r="L233" s="24" t="s">
        <v>24</v>
      </c>
      <c r="M233" s="29" t="n">
        <f aca="false">IF("oui" = "oui",5.22*(1-disc),5.22)</f>
        <v>5.22</v>
      </c>
      <c r="N233" s="29" t="n">
        <f aca="false">IF("oui" = "oui",5.22*(1-disc)*1.2,5.22*1.2)</f>
        <v>6.264</v>
      </c>
      <c r="O233" s="24" t="s">
        <v>25</v>
      </c>
      <c r="P233" s="7" t="s">
        <v>26</v>
      </c>
      <c r="Q233" s="16"/>
    </row>
    <row r="234" customFormat="false" ht="12.8" hidden="false" customHeight="false" outlineLevel="0" collapsed="false">
      <c r="A234" s="22"/>
      <c r="B234" s="23"/>
      <c r="C234" s="24"/>
      <c r="D234" s="22"/>
      <c r="E234" s="19"/>
      <c r="F234" s="24"/>
      <c r="G234" s="25"/>
      <c r="H234" s="26"/>
      <c r="I234" s="27"/>
      <c r="J234" s="28"/>
      <c r="K234" s="28"/>
      <c r="L234" s="24"/>
      <c r="M234" s="29"/>
      <c r="N234" s="29"/>
      <c r="O234" s="24"/>
      <c r="P234" s="4"/>
      <c r="Q234" s="16"/>
    </row>
    <row r="235" customFormat="false" ht="12.8" hidden="false" customHeight="false" outlineLevel="0" collapsed="false">
      <c r="A235" s="22"/>
      <c r="B235" s="23" t="n">
        <v>575509000</v>
      </c>
      <c r="C235" s="24" t="n">
        <v>75</v>
      </c>
      <c r="D235" s="54" t="s">
        <v>239</v>
      </c>
      <c r="E235" s="19" t="s">
        <v>96</v>
      </c>
      <c r="F235" s="24" t="s">
        <v>23</v>
      </c>
      <c r="G235" s="25" t="n">
        <v>0.75</v>
      </c>
      <c r="H235" s="26"/>
      <c r="I235" s="27" t="n">
        <v>75</v>
      </c>
      <c r="J235" s="28" t="n">
        <v>12</v>
      </c>
      <c r="K235" s="28" t="n">
        <v>5</v>
      </c>
      <c r="L235" s="24" t="s">
        <v>24</v>
      </c>
      <c r="M235" s="29" t="n">
        <f aca="false">IF("oui" = "oui",26.08*(1-disc),26.08)</f>
        <v>26.08</v>
      </c>
      <c r="N235" s="29" t="n">
        <f aca="false">IF("oui" = "oui",26.08*(1-disc)*1.2,26.08*1.2)</f>
        <v>31.296</v>
      </c>
      <c r="O235" s="24" t="s">
        <v>25</v>
      </c>
      <c r="P235" s="7" t="s">
        <v>26</v>
      </c>
      <c r="Q235" s="16"/>
    </row>
    <row r="236" customFormat="false" ht="12.8" hidden="false" customHeight="false" outlineLevel="0" collapsed="false">
      <c r="A236" s="22"/>
      <c r="B236" s="23"/>
      <c r="C236" s="24"/>
      <c r="D236" s="22"/>
      <c r="E236" s="19"/>
      <c r="F236" s="24"/>
      <c r="G236" s="25"/>
      <c r="H236" s="26"/>
      <c r="I236" s="27"/>
      <c r="J236" s="28"/>
      <c r="K236" s="28"/>
      <c r="L236" s="24"/>
      <c r="M236" s="29"/>
      <c r="N236" s="29"/>
      <c r="O236" s="24"/>
      <c r="P236" s="4"/>
      <c r="Q236" s="16"/>
    </row>
    <row r="237" customFormat="false" ht="12.8" hidden="false" customHeight="false" outlineLevel="0" collapsed="false">
      <c r="A237" s="42" t="s">
        <v>240</v>
      </c>
      <c r="B237" s="43"/>
      <c r="C237" s="44"/>
      <c r="D237" s="45"/>
      <c r="E237" s="46"/>
      <c r="F237" s="44"/>
      <c r="G237" s="47"/>
      <c r="H237" s="48"/>
      <c r="I237" s="49"/>
      <c r="J237" s="50"/>
      <c r="K237" s="50"/>
      <c r="L237" s="44"/>
      <c r="M237" s="51"/>
      <c r="N237" s="51"/>
      <c r="O237" s="44"/>
      <c r="P237" s="52"/>
      <c r="Q237" s="53"/>
    </row>
    <row r="238" customFormat="false" ht="12.8" hidden="false" customHeight="false" outlineLevel="0" collapsed="false">
      <c r="A238" s="22"/>
      <c r="B238" s="23"/>
      <c r="C238" s="24"/>
      <c r="D238" s="22"/>
      <c r="E238" s="19"/>
      <c r="F238" s="24"/>
      <c r="G238" s="25"/>
      <c r="H238" s="26"/>
      <c r="I238" s="27"/>
      <c r="J238" s="28"/>
      <c r="K238" s="28"/>
      <c r="L238" s="24"/>
      <c r="M238" s="29"/>
      <c r="N238" s="29"/>
      <c r="O238" s="24"/>
      <c r="P238" s="4"/>
      <c r="Q238" s="16"/>
    </row>
    <row r="239" customFormat="false" ht="12.8" hidden="false" customHeight="false" outlineLevel="0" collapsed="false">
      <c r="A239" s="22"/>
      <c r="B239" s="23" t="n">
        <v>575490000</v>
      </c>
      <c r="C239" s="24" t="n">
        <v>75</v>
      </c>
      <c r="D239" s="54" t="s">
        <v>241</v>
      </c>
      <c r="E239" s="19" t="s">
        <v>242</v>
      </c>
      <c r="F239" s="24" t="s">
        <v>23</v>
      </c>
      <c r="G239" s="25" t="n">
        <v>0.099</v>
      </c>
      <c r="H239" s="26"/>
      <c r="I239" s="27" t="n">
        <v>75</v>
      </c>
      <c r="J239" s="28" t="n">
        <v>60</v>
      </c>
      <c r="K239" s="28" t="n">
        <v>1</v>
      </c>
      <c r="L239" s="24" t="s">
        <v>24</v>
      </c>
      <c r="M239" s="29" t="n">
        <f aca="false">IF("oui" = "oui",5.22*(1-disc),5.22)</f>
        <v>5.22</v>
      </c>
      <c r="N239" s="29" t="n">
        <f aca="false">IF("oui" = "oui",5.22*(1-disc)*1.2,5.22*1.2)</f>
        <v>6.264</v>
      </c>
      <c r="O239" s="24" t="s">
        <v>25</v>
      </c>
      <c r="P239" s="7" t="s">
        <v>26</v>
      </c>
      <c r="Q239" s="16"/>
    </row>
    <row r="240" customFormat="false" ht="12.8" hidden="false" customHeight="false" outlineLevel="0" collapsed="false">
      <c r="A240" s="22"/>
      <c r="B240" s="23" t="n">
        <v>575491000</v>
      </c>
      <c r="C240" s="24" t="n">
        <v>75</v>
      </c>
      <c r="D240" s="54" t="s">
        <v>243</v>
      </c>
      <c r="E240" s="19" t="s">
        <v>242</v>
      </c>
      <c r="F240" s="24" t="s">
        <v>23</v>
      </c>
      <c r="G240" s="25" t="n">
        <v>0.099</v>
      </c>
      <c r="H240" s="26"/>
      <c r="I240" s="27" t="n">
        <v>75</v>
      </c>
      <c r="J240" s="28" t="n">
        <v>60</v>
      </c>
      <c r="K240" s="28" t="n">
        <v>1</v>
      </c>
      <c r="L240" s="24" t="s">
        <v>24</v>
      </c>
      <c r="M240" s="29" t="n">
        <f aca="false">IF("oui" = "oui",5.22*(1-disc),5.22)</f>
        <v>5.22</v>
      </c>
      <c r="N240" s="29" t="n">
        <f aca="false">IF("oui" = "oui",5.22*(1-disc)*1.2,5.22*1.2)</f>
        <v>6.264</v>
      </c>
      <c r="O240" s="24" t="s">
        <v>25</v>
      </c>
      <c r="P240" s="7" t="s">
        <v>26</v>
      </c>
      <c r="Q240" s="16"/>
    </row>
    <row r="241" customFormat="false" ht="12.8" hidden="false" customHeight="false" outlineLevel="0" collapsed="false">
      <c r="A241" s="22"/>
      <c r="B241" s="23" t="n">
        <v>575492000</v>
      </c>
      <c r="C241" s="24" t="n">
        <v>75</v>
      </c>
      <c r="D241" s="54" t="s">
        <v>244</v>
      </c>
      <c r="E241" s="19" t="s">
        <v>242</v>
      </c>
      <c r="F241" s="24" t="s">
        <v>23</v>
      </c>
      <c r="G241" s="25" t="n">
        <v>0.099</v>
      </c>
      <c r="H241" s="26"/>
      <c r="I241" s="27" t="n">
        <v>75</v>
      </c>
      <c r="J241" s="28" t="n">
        <v>60</v>
      </c>
      <c r="K241" s="28" t="n">
        <v>1</v>
      </c>
      <c r="L241" s="24" t="s">
        <v>24</v>
      </c>
      <c r="M241" s="29" t="n">
        <f aca="false">IF("oui" = "oui",5.22*(1-disc),5.22)</f>
        <v>5.22</v>
      </c>
      <c r="N241" s="29" t="n">
        <f aca="false">IF("oui" = "oui",5.22*(1-disc)*1.2,5.22*1.2)</f>
        <v>6.264</v>
      </c>
      <c r="O241" s="24" t="s">
        <v>25</v>
      </c>
      <c r="P241" s="7" t="s">
        <v>26</v>
      </c>
      <c r="Q241" s="16"/>
    </row>
    <row r="242" customFormat="false" ht="12.8" hidden="false" customHeight="false" outlineLevel="0" collapsed="false">
      <c r="A242" s="22"/>
      <c r="B242" s="23" t="n">
        <v>575493000</v>
      </c>
      <c r="C242" s="24" t="n">
        <v>75</v>
      </c>
      <c r="D242" s="54" t="s">
        <v>245</v>
      </c>
      <c r="E242" s="19" t="s">
        <v>242</v>
      </c>
      <c r="F242" s="24" t="s">
        <v>23</v>
      </c>
      <c r="G242" s="25" t="n">
        <v>0.104</v>
      </c>
      <c r="H242" s="26"/>
      <c r="I242" s="27" t="n">
        <v>75</v>
      </c>
      <c r="J242" s="28" t="n">
        <v>60</v>
      </c>
      <c r="K242" s="28" t="n">
        <v>1</v>
      </c>
      <c r="L242" s="24" t="s">
        <v>24</v>
      </c>
      <c r="M242" s="29" t="n">
        <f aca="false">IF("oui" = "oui",5.22*(1-disc),5.22)</f>
        <v>5.22</v>
      </c>
      <c r="N242" s="29" t="n">
        <f aca="false">IF("oui" = "oui",5.22*(1-disc)*1.2,5.22*1.2)</f>
        <v>6.264</v>
      </c>
      <c r="O242" s="24" t="s">
        <v>25</v>
      </c>
      <c r="P242" s="7" t="s">
        <v>26</v>
      </c>
      <c r="Q242" s="16"/>
    </row>
    <row r="243" customFormat="false" ht="12.8" hidden="false" customHeight="false" outlineLevel="0" collapsed="false">
      <c r="A243" s="22"/>
      <c r="B243" s="23" t="n">
        <v>575494000</v>
      </c>
      <c r="C243" s="24" t="n">
        <v>75</v>
      </c>
      <c r="D243" s="54" t="s">
        <v>246</v>
      </c>
      <c r="E243" s="19" t="s">
        <v>242</v>
      </c>
      <c r="F243" s="24" t="s">
        <v>23</v>
      </c>
      <c r="G243" s="25" t="n">
        <v>0.099</v>
      </c>
      <c r="H243" s="26"/>
      <c r="I243" s="27" t="n">
        <v>75</v>
      </c>
      <c r="J243" s="28" t="n">
        <v>60</v>
      </c>
      <c r="K243" s="28" t="n">
        <v>1</v>
      </c>
      <c r="L243" s="24" t="s">
        <v>24</v>
      </c>
      <c r="M243" s="29" t="n">
        <f aca="false">IF("oui" = "oui",5.22*(1-disc),5.22)</f>
        <v>5.22</v>
      </c>
      <c r="N243" s="29" t="n">
        <f aca="false">IF("oui" = "oui",5.22*(1-disc)*1.2,5.22*1.2)</f>
        <v>6.264</v>
      </c>
      <c r="O243" s="24" t="s">
        <v>25</v>
      </c>
      <c r="P243" s="55" t="s">
        <v>122</v>
      </c>
      <c r="Q243" s="16"/>
    </row>
    <row r="244" customFormat="false" ht="12.8" hidden="false" customHeight="false" outlineLevel="0" collapsed="false">
      <c r="A244" s="22"/>
      <c r="B244" s="23" t="n">
        <v>575495000</v>
      </c>
      <c r="C244" s="24" t="n">
        <v>75</v>
      </c>
      <c r="D244" s="54" t="s">
        <v>247</v>
      </c>
      <c r="E244" s="19" t="s">
        <v>242</v>
      </c>
      <c r="F244" s="24" t="s">
        <v>23</v>
      </c>
      <c r="G244" s="25" t="n">
        <v>0.099</v>
      </c>
      <c r="H244" s="26"/>
      <c r="I244" s="27" t="n">
        <v>75</v>
      </c>
      <c r="J244" s="28" t="n">
        <v>60</v>
      </c>
      <c r="K244" s="28" t="n">
        <v>1</v>
      </c>
      <c r="L244" s="24" t="s">
        <v>24</v>
      </c>
      <c r="M244" s="29" t="n">
        <f aca="false">IF("oui" = "oui",5.22*(1-disc),5.22)</f>
        <v>5.22</v>
      </c>
      <c r="N244" s="29" t="n">
        <f aca="false">IF("oui" = "oui",5.22*(1-disc)*1.2,5.22*1.2)</f>
        <v>6.264</v>
      </c>
      <c r="O244" s="24" t="s">
        <v>25</v>
      </c>
      <c r="P244" s="7" t="s">
        <v>26</v>
      </c>
      <c r="Q244" s="16"/>
    </row>
    <row r="245" customFormat="false" ht="12.8" hidden="false" customHeight="false" outlineLevel="0" collapsed="false">
      <c r="A245" s="22"/>
      <c r="B245" s="23" t="n">
        <v>575496000</v>
      </c>
      <c r="C245" s="24" t="n">
        <v>75</v>
      </c>
      <c r="D245" s="54" t="s">
        <v>248</v>
      </c>
      <c r="E245" s="19" t="s">
        <v>242</v>
      </c>
      <c r="F245" s="24" t="s">
        <v>23</v>
      </c>
      <c r="G245" s="25" t="n">
        <v>0.099</v>
      </c>
      <c r="H245" s="26"/>
      <c r="I245" s="27" t="n">
        <v>75</v>
      </c>
      <c r="J245" s="28" t="n">
        <v>60</v>
      </c>
      <c r="K245" s="28" t="n">
        <v>1</v>
      </c>
      <c r="L245" s="24" t="s">
        <v>24</v>
      </c>
      <c r="M245" s="29" t="n">
        <f aca="false">IF("oui" = "oui",5.22*(1-disc),5.22)</f>
        <v>5.22</v>
      </c>
      <c r="N245" s="29" t="n">
        <f aca="false">IF("oui" = "oui",5.22*(1-disc)*1.2,5.22*1.2)</f>
        <v>6.264</v>
      </c>
      <c r="O245" s="24" t="s">
        <v>25</v>
      </c>
      <c r="P245" s="7" t="s">
        <v>26</v>
      </c>
      <c r="Q245" s="16"/>
    </row>
    <row r="246" customFormat="false" ht="12.8" hidden="false" customHeight="false" outlineLevel="0" collapsed="false">
      <c r="A246" s="22"/>
      <c r="B246" s="23" t="n">
        <v>575497000</v>
      </c>
      <c r="C246" s="24" t="n">
        <v>75</v>
      </c>
      <c r="D246" s="54" t="s">
        <v>249</v>
      </c>
      <c r="E246" s="19" t="s">
        <v>242</v>
      </c>
      <c r="F246" s="24" t="s">
        <v>23</v>
      </c>
      <c r="G246" s="25" t="n">
        <v>0.099</v>
      </c>
      <c r="H246" s="26"/>
      <c r="I246" s="27" t="n">
        <v>75</v>
      </c>
      <c r="J246" s="28" t="n">
        <v>60</v>
      </c>
      <c r="K246" s="28" t="n">
        <v>1</v>
      </c>
      <c r="L246" s="24" t="s">
        <v>24</v>
      </c>
      <c r="M246" s="29" t="n">
        <f aca="false">IF("oui" = "oui",5.22*(1-disc),5.22)</f>
        <v>5.22</v>
      </c>
      <c r="N246" s="29" t="n">
        <f aca="false">IF("oui" = "oui",5.22*(1-disc)*1.2,5.22*1.2)</f>
        <v>6.264</v>
      </c>
      <c r="O246" s="24" t="s">
        <v>25</v>
      </c>
      <c r="P246" s="7" t="s">
        <v>26</v>
      </c>
      <c r="Q246" s="16"/>
    </row>
    <row r="247" customFormat="false" ht="12.8" hidden="false" customHeight="false" outlineLevel="0" collapsed="false">
      <c r="A247" s="22"/>
      <c r="B247" s="23"/>
      <c r="C247" s="24"/>
      <c r="D247" s="22"/>
      <c r="E247" s="19"/>
      <c r="F247" s="24"/>
      <c r="G247" s="25"/>
      <c r="H247" s="26"/>
      <c r="I247" s="27"/>
      <c r="J247" s="28"/>
      <c r="K247" s="28"/>
      <c r="L247" s="24"/>
      <c r="M247" s="29"/>
      <c r="N247" s="29"/>
      <c r="O247" s="24"/>
      <c r="P247" s="4"/>
      <c r="Q247" s="16"/>
    </row>
    <row r="248" customFormat="false" ht="12.8" hidden="false" customHeight="false" outlineLevel="0" collapsed="false">
      <c r="A248" s="22"/>
      <c r="B248" s="23" t="n">
        <v>575552000</v>
      </c>
      <c r="C248" s="24" t="n">
        <v>75</v>
      </c>
      <c r="D248" s="22" t="s">
        <v>250</v>
      </c>
      <c r="E248" s="19" t="s">
        <v>242</v>
      </c>
      <c r="F248" s="24" t="s">
        <v>23</v>
      </c>
      <c r="G248" s="25" t="n">
        <v>0.5</v>
      </c>
      <c r="H248" s="26"/>
      <c r="I248" s="27" t="n">
        <v>75</v>
      </c>
      <c r="J248" s="28" t="n">
        <v>12</v>
      </c>
      <c r="K248" s="28" t="n">
        <v>5</v>
      </c>
      <c r="L248" s="24" t="s">
        <v>24</v>
      </c>
      <c r="M248" s="29" t="n">
        <f aca="false">IF("oui" = "oui",26.08*(1-disc),26.08)</f>
        <v>26.08</v>
      </c>
      <c r="N248" s="29" t="n">
        <f aca="false">IF("oui" = "oui",26.08*(1-disc)*1.2,26.08*1.2)</f>
        <v>31.296</v>
      </c>
      <c r="O248" s="24" t="s">
        <v>25</v>
      </c>
      <c r="P248" s="7" t="s">
        <v>26</v>
      </c>
      <c r="Q248" s="16"/>
    </row>
    <row r="249" customFormat="false" ht="12.8" hidden="false" customHeight="false" outlineLevel="0" collapsed="false">
      <c r="A249" s="22"/>
      <c r="B249" s="23"/>
      <c r="C249" s="24"/>
      <c r="D249" s="22"/>
      <c r="E249" s="19"/>
      <c r="F249" s="24"/>
      <c r="G249" s="25"/>
      <c r="H249" s="26"/>
      <c r="I249" s="27"/>
      <c r="J249" s="28"/>
      <c r="K249" s="28"/>
      <c r="L249" s="24"/>
      <c r="M249" s="29"/>
      <c r="N249" s="29"/>
      <c r="O249" s="24"/>
      <c r="P249" s="4"/>
      <c r="Q249" s="16"/>
    </row>
    <row r="250" customFormat="false" ht="12.8" hidden="false" customHeight="false" outlineLevel="0" collapsed="false">
      <c r="A250" s="42" t="s">
        <v>251</v>
      </c>
      <c r="B250" s="43"/>
      <c r="C250" s="44"/>
      <c r="D250" s="45"/>
      <c r="E250" s="46"/>
      <c r="F250" s="44"/>
      <c r="G250" s="47"/>
      <c r="H250" s="48"/>
      <c r="I250" s="49"/>
      <c r="J250" s="50"/>
      <c r="K250" s="50"/>
      <c r="L250" s="44"/>
      <c r="M250" s="51"/>
      <c r="N250" s="51"/>
      <c r="O250" s="44"/>
      <c r="P250" s="52"/>
      <c r="Q250" s="53"/>
    </row>
    <row r="251" customFormat="false" ht="12.8" hidden="false" customHeight="false" outlineLevel="0" collapsed="false">
      <c r="A251" s="72"/>
      <c r="B251" s="56"/>
      <c r="C251" s="24"/>
      <c r="D251" s="22"/>
      <c r="E251" s="19"/>
      <c r="F251" s="24"/>
      <c r="G251" s="25"/>
      <c r="H251" s="26"/>
      <c r="I251" s="27"/>
      <c r="J251" s="28"/>
      <c r="K251" s="28"/>
      <c r="L251" s="24"/>
      <c r="M251" s="29"/>
      <c r="N251" s="29"/>
      <c r="O251" s="24"/>
      <c r="P251" s="4"/>
      <c r="Q251" s="16"/>
    </row>
    <row r="252" customFormat="false" ht="12.8" hidden="false" customHeight="false" outlineLevel="0" collapsed="false">
      <c r="A252" s="22"/>
      <c r="B252" s="23" t="n">
        <v>575532000</v>
      </c>
      <c r="C252" s="24" t="n">
        <v>75</v>
      </c>
      <c r="D252" s="54" t="s">
        <v>252</v>
      </c>
      <c r="E252" s="19" t="s">
        <v>253</v>
      </c>
      <c r="F252" s="24" t="s">
        <v>23</v>
      </c>
      <c r="G252" s="25" t="n">
        <v>0.17</v>
      </c>
      <c r="H252" s="26"/>
      <c r="I252" s="27" t="n">
        <v>75</v>
      </c>
      <c r="J252" s="28" t="n">
        <v>60</v>
      </c>
      <c r="K252" s="28" t="n">
        <v>1</v>
      </c>
      <c r="L252" s="24" t="s">
        <v>24</v>
      </c>
      <c r="M252" s="29" t="n">
        <f aca="false">IF("oui" = "oui",5.22*(1-disc),5.22)</f>
        <v>5.22</v>
      </c>
      <c r="N252" s="29" t="n">
        <f aca="false">IF("oui" = "oui",5.22*(1-disc)*1.2,5.22*1.2)</f>
        <v>6.264</v>
      </c>
      <c r="O252" s="24" t="s">
        <v>25</v>
      </c>
      <c r="P252" s="55" t="s">
        <v>45</v>
      </c>
      <c r="Q252" s="16"/>
    </row>
    <row r="253" customFormat="false" ht="12.8" hidden="false" customHeight="false" outlineLevel="0" collapsed="false">
      <c r="A253" s="22"/>
      <c r="B253" s="23" t="n">
        <v>575533000</v>
      </c>
      <c r="C253" s="24" t="n">
        <v>75</v>
      </c>
      <c r="D253" s="54" t="s">
        <v>254</v>
      </c>
      <c r="E253" s="19" t="s">
        <v>253</v>
      </c>
      <c r="F253" s="24" t="s">
        <v>23</v>
      </c>
      <c r="G253" s="25" t="n">
        <v>0.17</v>
      </c>
      <c r="H253" s="26"/>
      <c r="I253" s="27" t="n">
        <v>75</v>
      </c>
      <c r="J253" s="28" t="n">
        <v>60</v>
      </c>
      <c r="K253" s="28" t="n">
        <v>1</v>
      </c>
      <c r="L253" s="24" t="s">
        <v>24</v>
      </c>
      <c r="M253" s="29" t="n">
        <f aca="false">IF("oui" = "oui",5.22*(1-disc),5.22)</f>
        <v>5.22</v>
      </c>
      <c r="N253" s="29" t="n">
        <f aca="false">IF("oui" = "oui",5.22*(1-disc)*1.2,5.22*1.2)</f>
        <v>6.264</v>
      </c>
      <c r="O253" s="24" t="s">
        <v>25</v>
      </c>
      <c r="P253" s="7" t="s">
        <v>26</v>
      </c>
      <c r="Q253" s="16"/>
    </row>
    <row r="254" customFormat="false" ht="12.8" hidden="false" customHeight="false" outlineLevel="0" collapsed="false">
      <c r="A254" s="22"/>
      <c r="B254" s="23" t="n">
        <v>575534000</v>
      </c>
      <c r="C254" s="24" t="n">
        <v>75</v>
      </c>
      <c r="D254" s="54" t="s">
        <v>255</v>
      </c>
      <c r="E254" s="19" t="s">
        <v>253</v>
      </c>
      <c r="F254" s="24" t="s">
        <v>23</v>
      </c>
      <c r="G254" s="25" t="n">
        <v>0.17</v>
      </c>
      <c r="H254" s="26"/>
      <c r="I254" s="27" t="n">
        <v>75</v>
      </c>
      <c r="J254" s="28" t="n">
        <v>60</v>
      </c>
      <c r="K254" s="28" t="n">
        <v>1</v>
      </c>
      <c r="L254" s="24" t="s">
        <v>24</v>
      </c>
      <c r="M254" s="29" t="n">
        <f aca="false">IF("oui" = "oui",5.22*(1-disc),5.22)</f>
        <v>5.22</v>
      </c>
      <c r="N254" s="29" t="n">
        <f aca="false">IF("oui" = "oui",5.22*(1-disc)*1.2,5.22*1.2)</f>
        <v>6.264</v>
      </c>
      <c r="O254" s="24" t="s">
        <v>25</v>
      </c>
      <c r="P254" s="7" t="s">
        <v>26</v>
      </c>
      <c r="Q254" s="16"/>
    </row>
    <row r="255" customFormat="false" ht="12.8" hidden="false" customHeight="false" outlineLevel="0" collapsed="false">
      <c r="A255" s="22"/>
      <c r="B255" s="23" t="n">
        <v>575535000</v>
      </c>
      <c r="C255" s="24" t="n">
        <v>75</v>
      </c>
      <c r="D255" s="54" t="s">
        <v>256</v>
      </c>
      <c r="E255" s="19" t="s">
        <v>253</v>
      </c>
      <c r="F255" s="24" t="s">
        <v>23</v>
      </c>
      <c r="G255" s="25" t="n">
        <v>0.17</v>
      </c>
      <c r="H255" s="26"/>
      <c r="I255" s="27" t="n">
        <v>75</v>
      </c>
      <c r="J255" s="28" t="n">
        <v>60</v>
      </c>
      <c r="K255" s="28" t="n">
        <v>1</v>
      </c>
      <c r="L255" s="24" t="s">
        <v>24</v>
      </c>
      <c r="M255" s="29" t="n">
        <f aca="false">IF("oui" = "oui",5.22*(1-disc),5.22)</f>
        <v>5.22</v>
      </c>
      <c r="N255" s="29" t="n">
        <f aca="false">IF("oui" = "oui",5.22*(1-disc)*1.2,5.22*1.2)</f>
        <v>6.264</v>
      </c>
      <c r="O255" s="24" t="s">
        <v>25</v>
      </c>
      <c r="P255" s="7" t="s">
        <v>26</v>
      </c>
      <c r="Q255" s="16"/>
    </row>
    <row r="256" customFormat="false" ht="12.8" hidden="false" customHeight="false" outlineLevel="0" collapsed="false">
      <c r="A256" s="22"/>
      <c r="B256" s="23" t="n">
        <v>575536000</v>
      </c>
      <c r="C256" s="24" t="n">
        <v>75</v>
      </c>
      <c r="D256" s="54" t="s">
        <v>257</v>
      </c>
      <c r="E256" s="19" t="s">
        <v>253</v>
      </c>
      <c r="F256" s="24" t="s">
        <v>23</v>
      </c>
      <c r="G256" s="25" t="n">
        <v>0.17</v>
      </c>
      <c r="H256" s="26"/>
      <c r="I256" s="27" t="n">
        <v>75</v>
      </c>
      <c r="J256" s="28" t="n">
        <v>60</v>
      </c>
      <c r="K256" s="28" t="n">
        <v>1</v>
      </c>
      <c r="L256" s="24" t="s">
        <v>24</v>
      </c>
      <c r="M256" s="29" t="n">
        <f aca="false">IF("oui" = "oui",5.22*(1-disc),5.22)</f>
        <v>5.22</v>
      </c>
      <c r="N256" s="29" t="n">
        <f aca="false">IF("oui" = "oui",5.22*(1-disc)*1.2,5.22*1.2)</f>
        <v>6.264</v>
      </c>
      <c r="O256" s="24" t="s">
        <v>25</v>
      </c>
      <c r="P256" s="7" t="s">
        <v>26</v>
      </c>
      <c r="Q256" s="16"/>
    </row>
    <row r="257" customFormat="false" ht="12.8" hidden="false" customHeight="false" outlineLevel="0" collapsed="false">
      <c r="A257" s="22"/>
      <c r="B257" s="23" t="n">
        <v>575537000</v>
      </c>
      <c r="C257" s="24" t="n">
        <v>75</v>
      </c>
      <c r="D257" s="54" t="s">
        <v>258</v>
      </c>
      <c r="E257" s="19" t="s">
        <v>253</v>
      </c>
      <c r="F257" s="24" t="s">
        <v>23</v>
      </c>
      <c r="G257" s="25" t="n">
        <v>0.17</v>
      </c>
      <c r="H257" s="26"/>
      <c r="I257" s="27" t="n">
        <v>75</v>
      </c>
      <c r="J257" s="28" t="n">
        <v>60</v>
      </c>
      <c r="K257" s="28" t="n">
        <v>1</v>
      </c>
      <c r="L257" s="24" t="s">
        <v>24</v>
      </c>
      <c r="M257" s="29" t="n">
        <f aca="false">IF("oui" = "oui",5.22*(1-disc),5.22)</f>
        <v>5.22</v>
      </c>
      <c r="N257" s="29" t="n">
        <f aca="false">IF("oui" = "oui",5.22*(1-disc)*1.2,5.22*1.2)</f>
        <v>6.264</v>
      </c>
      <c r="O257" s="24" t="s">
        <v>25</v>
      </c>
      <c r="P257" s="7" t="s">
        <v>26</v>
      </c>
      <c r="Q257" s="16"/>
    </row>
    <row r="258" customFormat="false" ht="12.8" hidden="false" customHeight="false" outlineLevel="0" collapsed="false">
      <c r="A258" s="22"/>
      <c r="B258" s="23" t="n">
        <v>575538000</v>
      </c>
      <c r="C258" s="24" t="n">
        <v>75</v>
      </c>
      <c r="D258" s="54" t="s">
        <v>259</v>
      </c>
      <c r="E258" s="19" t="s">
        <v>253</v>
      </c>
      <c r="F258" s="24" t="s">
        <v>23</v>
      </c>
      <c r="G258" s="25" t="n">
        <v>0.17</v>
      </c>
      <c r="H258" s="26"/>
      <c r="I258" s="27" t="n">
        <v>75</v>
      </c>
      <c r="J258" s="28" t="n">
        <v>60</v>
      </c>
      <c r="K258" s="28" t="n">
        <v>1</v>
      </c>
      <c r="L258" s="24" t="s">
        <v>24</v>
      </c>
      <c r="M258" s="29" t="n">
        <f aca="false">IF("oui" = "oui",5.22*(1-disc),5.22)</f>
        <v>5.22</v>
      </c>
      <c r="N258" s="29" t="n">
        <f aca="false">IF("oui" = "oui",5.22*(1-disc)*1.2,5.22*1.2)</f>
        <v>6.264</v>
      </c>
      <c r="O258" s="24" t="s">
        <v>25</v>
      </c>
      <c r="P258" s="7" t="s">
        <v>26</v>
      </c>
      <c r="Q258" s="16"/>
    </row>
    <row r="259" customFormat="false" ht="12.8" hidden="false" customHeight="false" outlineLevel="0" collapsed="false">
      <c r="A259" s="22"/>
      <c r="B259" s="23"/>
      <c r="C259" s="24"/>
      <c r="D259" s="22"/>
      <c r="E259" s="19"/>
      <c r="F259" s="24"/>
      <c r="G259" s="25"/>
      <c r="H259" s="26"/>
      <c r="I259" s="27"/>
      <c r="J259" s="28"/>
      <c r="K259" s="28"/>
      <c r="L259" s="24"/>
      <c r="M259" s="29"/>
      <c r="N259" s="29"/>
      <c r="O259" s="24"/>
      <c r="P259" s="4"/>
      <c r="Q259" s="16"/>
    </row>
    <row r="260" customFormat="false" ht="12.8" hidden="false" customHeight="false" outlineLevel="0" collapsed="false">
      <c r="A260" s="22"/>
      <c r="B260" s="23" t="n">
        <v>575551000</v>
      </c>
      <c r="C260" s="24" t="n">
        <v>75</v>
      </c>
      <c r="D260" s="22" t="s">
        <v>260</v>
      </c>
      <c r="E260" s="19" t="s">
        <v>253</v>
      </c>
      <c r="F260" s="24" t="s">
        <v>23</v>
      </c>
      <c r="G260" s="25" t="n">
        <v>0.85</v>
      </c>
      <c r="H260" s="26"/>
      <c r="I260" s="27" t="n">
        <v>75</v>
      </c>
      <c r="J260" s="28" t="n">
        <v>12</v>
      </c>
      <c r="K260" s="28" t="n">
        <v>5</v>
      </c>
      <c r="L260" s="24" t="s">
        <v>24</v>
      </c>
      <c r="M260" s="29" t="n">
        <f aca="false">IF("oui" = "oui",26.08*(1-disc),26.08)</f>
        <v>26.08</v>
      </c>
      <c r="N260" s="29" t="n">
        <f aca="false">IF("oui" = "oui",26.08*(1-disc)*1.2,26.08*1.2)</f>
        <v>31.296</v>
      </c>
      <c r="O260" s="24" t="s">
        <v>25</v>
      </c>
      <c r="P260" s="7" t="s">
        <v>26</v>
      </c>
      <c r="Q260" s="16"/>
    </row>
    <row r="261" customFormat="false" ht="12.8" hidden="false" customHeight="false" outlineLevel="0" collapsed="false">
      <c r="A261" s="22"/>
      <c r="B261" s="23"/>
      <c r="C261" s="24"/>
      <c r="D261" s="22"/>
      <c r="E261" s="19"/>
      <c r="F261" s="24"/>
      <c r="G261" s="25"/>
      <c r="H261" s="26"/>
      <c r="I261" s="27"/>
      <c r="J261" s="28"/>
      <c r="K261" s="28"/>
      <c r="L261" s="24"/>
      <c r="M261" s="29"/>
      <c r="N261" s="29"/>
      <c r="O261" s="24"/>
      <c r="P261" s="4"/>
      <c r="Q261" s="16"/>
    </row>
    <row r="262" customFormat="false" ht="12.8" hidden="false" customHeight="false" outlineLevel="0" collapsed="false">
      <c r="A262" s="42" t="s">
        <v>261</v>
      </c>
      <c r="B262" s="43"/>
      <c r="C262" s="44"/>
      <c r="D262" s="45"/>
      <c r="E262" s="46"/>
      <c r="F262" s="44"/>
      <c r="G262" s="47"/>
      <c r="H262" s="48"/>
      <c r="I262" s="49"/>
      <c r="J262" s="50"/>
      <c r="K262" s="50"/>
      <c r="L262" s="44"/>
      <c r="M262" s="51"/>
      <c r="N262" s="51"/>
      <c r="O262" s="44"/>
      <c r="P262" s="52"/>
      <c r="Q262" s="53"/>
    </row>
    <row r="263" customFormat="false" ht="12.8" hidden="false" customHeight="false" outlineLevel="0" collapsed="false">
      <c r="A263" s="22"/>
      <c r="B263" s="23"/>
      <c r="C263" s="24"/>
      <c r="D263" s="22"/>
      <c r="E263" s="19"/>
      <c r="F263" s="24"/>
      <c r="G263" s="25"/>
      <c r="H263" s="26"/>
      <c r="I263" s="27"/>
      <c r="J263" s="28"/>
      <c r="K263" s="28"/>
      <c r="L263" s="24"/>
      <c r="M263" s="29"/>
      <c r="N263" s="29"/>
      <c r="O263" s="24"/>
      <c r="P263" s="4"/>
      <c r="Q263" s="16"/>
    </row>
    <row r="264" customFormat="false" ht="12.8" hidden="false" customHeight="false" outlineLevel="0" collapsed="false">
      <c r="A264" s="22"/>
      <c r="B264" s="56" t="n">
        <v>575539000</v>
      </c>
      <c r="C264" s="24" t="n">
        <v>75</v>
      </c>
      <c r="D264" s="54" t="s">
        <v>262</v>
      </c>
      <c r="E264" s="19" t="s">
        <v>263</v>
      </c>
      <c r="F264" s="24" t="s">
        <v>23</v>
      </c>
      <c r="G264" s="25" t="n">
        <v>0.153</v>
      </c>
      <c r="H264" s="26"/>
      <c r="I264" s="27" t="n">
        <v>75</v>
      </c>
      <c r="J264" s="28" t="n">
        <v>60</v>
      </c>
      <c r="K264" s="28" t="n">
        <v>1</v>
      </c>
      <c r="L264" s="24" t="s">
        <v>24</v>
      </c>
      <c r="M264" s="29" t="n">
        <f aca="false">IF("oui" = "oui",5.22*(1-disc),5.22)</f>
        <v>5.22</v>
      </c>
      <c r="N264" s="29" t="n">
        <f aca="false">IF("oui" = "oui",5.22*(1-disc)*1.2,5.22*1.2)</f>
        <v>6.264</v>
      </c>
      <c r="O264" s="24" t="s">
        <v>25</v>
      </c>
      <c r="P264" s="7" t="s">
        <v>26</v>
      </c>
      <c r="Q264" s="16"/>
    </row>
    <row r="265" customFormat="false" ht="12.8" hidden="false" customHeight="false" outlineLevel="0" collapsed="false">
      <c r="A265" s="22"/>
      <c r="B265" s="56" t="n">
        <v>575540000</v>
      </c>
      <c r="C265" s="24" t="n">
        <v>75</v>
      </c>
      <c r="D265" s="54" t="s">
        <v>264</v>
      </c>
      <c r="E265" s="19" t="s">
        <v>263</v>
      </c>
      <c r="F265" s="24" t="s">
        <v>23</v>
      </c>
      <c r="G265" s="25" t="n">
        <v>0.153</v>
      </c>
      <c r="H265" s="26"/>
      <c r="I265" s="27" t="n">
        <v>75</v>
      </c>
      <c r="J265" s="28" t="n">
        <v>60</v>
      </c>
      <c r="K265" s="28" t="n">
        <v>1</v>
      </c>
      <c r="L265" s="24" t="s">
        <v>24</v>
      </c>
      <c r="M265" s="29" t="n">
        <f aca="false">IF("oui" = "oui",5.22*(1-disc),5.22)</f>
        <v>5.22</v>
      </c>
      <c r="N265" s="29" t="n">
        <f aca="false">IF("oui" = "oui",5.22*(1-disc)*1.2,5.22*1.2)</f>
        <v>6.264</v>
      </c>
      <c r="O265" s="24" t="s">
        <v>25</v>
      </c>
      <c r="P265" s="55" t="s">
        <v>122</v>
      </c>
      <c r="Q265" s="16"/>
    </row>
    <row r="266" customFormat="false" ht="12.8" hidden="false" customHeight="false" outlineLevel="0" collapsed="false">
      <c r="A266" s="22"/>
      <c r="B266" s="56" t="n">
        <v>575541000</v>
      </c>
      <c r="C266" s="24" t="n">
        <v>75</v>
      </c>
      <c r="D266" s="54" t="s">
        <v>265</v>
      </c>
      <c r="E266" s="19" t="s">
        <v>263</v>
      </c>
      <c r="F266" s="24" t="s">
        <v>23</v>
      </c>
      <c r="G266" s="25" t="n">
        <v>0.153</v>
      </c>
      <c r="H266" s="26"/>
      <c r="I266" s="27" t="n">
        <v>75</v>
      </c>
      <c r="J266" s="28" t="n">
        <v>60</v>
      </c>
      <c r="K266" s="28" t="n">
        <v>1</v>
      </c>
      <c r="L266" s="24" t="s">
        <v>24</v>
      </c>
      <c r="M266" s="29" t="n">
        <f aca="false">IF("oui" = "oui",5.22*(1-disc),5.22)</f>
        <v>5.22</v>
      </c>
      <c r="N266" s="29" t="n">
        <f aca="false">IF("oui" = "oui",5.22*(1-disc)*1.2,5.22*1.2)</f>
        <v>6.264</v>
      </c>
      <c r="O266" s="24" t="s">
        <v>25</v>
      </c>
      <c r="P266" s="7" t="s">
        <v>26</v>
      </c>
      <c r="Q266" s="16"/>
    </row>
    <row r="267" customFormat="false" ht="12.8" hidden="false" customHeight="false" outlineLevel="0" collapsed="false">
      <c r="A267" s="22"/>
      <c r="B267" s="56" t="n">
        <v>575542000</v>
      </c>
      <c r="C267" s="24" t="n">
        <v>75</v>
      </c>
      <c r="D267" s="54" t="s">
        <v>266</v>
      </c>
      <c r="E267" s="19" t="s">
        <v>263</v>
      </c>
      <c r="F267" s="24" t="s">
        <v>23</v>
      </c>
      <c r="G267" s="25" t="n">
        <v>0.153</v>
      </c>
      <c r="H267" s="26"/>
      <c r="I267" s="27" t="n">
        <v>75</v>
      </c>
      <c r="J267" s="28" t="n">
        <v>60</v>
      </c>
      <c r="K267" s="28" t="n">
        <v>1</v>
      </c>
      <c r="L267" s="24" t="s">
        <v>24</v>
      </c>
      <c r="M267" s="29" t="n">
        <f aca="false">IF("oui" = "oui",5.22*(1-disc),5.22)</f>
        <v>5.22</v>
      </c>
      <c r="N267" s="29" t="n">
        <f aca="false">IF("oui" = "oui",5.22*(1-disc)*1.2,5.22*1.2)</f>
        <v>6.264</v>
      </c>
      <c r="O267" s="24" t="s">
        <v>25</v>
      </c>
      <c r="P267" s="7" t="s">
        <v>26</v>
      </c>
      <c r="Q267" s="16"/>
    </row>
    <row r="268" customFormat="false" ht="12.8" hidden="false" customHeight="false" outlineLevel="0" collapsed="false">
      <c r="A268" s="22"/>
      <c r="B268" s="56" t="n">
        <v>575543000</v>
      </c>
      <c r="C268" s="24" t="n">
        <v>75</v>
      </c>
      <c r="D268" s="54" t="s">
        <v>267</v>
      </c>
      <c r="E268" s="19" t="s">
        <v>263</v>
      </c>
      <c r="F268" s="24" t="s">
        <v>23</v>
      </c>
      <c r="G268" s="25" t="n">
        <v>0.153</v>
      </c>
      <c r="H268" s="26"/>
      <c r="I268" s="27" t="n">
        <v>75</v>
      </c>
      <c r="J268" s="28" t="n">
        <v>60</v>
      </c>
      <c r="K268" s="28" t="n">
        <v>1</v>
      </c>
      <c r="L268" s="24" t="s">
        <v>24</v>
      </c>
      <c r="M268" s="29" t="n">
        <f aca="false">IF("oui" = "oui",5.22*(1-disc),5.22)</f>
        <v>5.22</v>
      </c>
      <c r="N268" s="29" t="n">
        <f aca="false">IF("oui" = "oui",5.22*(1-disc)*1.2,5.22*1.2)</f>
        <v>6.264</v>
      </c>
      <c r="O268" s="24" t="s">
        <v>25</v>
      </c>
      <c r="P268" s="7" t="s">
        <v>26</v>
      </c>
      <c r="Q268" s="16"/>
    </row>
    <row r="269" customFormat="false" ht="12.8" hidden="false" customHeight="false" outlineLevel="0" collapsed="false">
      <c r="A269" s="22"/>
      <c r="B269" s="56" t="n">
        <v>575544000</v>
      </c>
      <c r="C269" s="24" t="n">
        <v>75</v>
      </c>
      <c r="D269" s="54" t="s">
        <v>268</v>
      </c>
      <c r="E269" s="19" t="s">
        <v>263</v>
      </c>
      <c r="F269" s="24" t="s">
        <v>23</v>
      </c>
      <c r="G269" s="25" t="n">
        <v>0.153</v>
      </c>
      <c r="H269" s="26"/>
      <c r="I269" s="27" t="n">
        <v>75</v>
      </c>
      <c r="J269" s="28" t="n">
        <v>60</v>
      </c>
      <c r="K269" s="28" t="n">
        <v>1</v>
      </c>
      <c r="L269" s="24" t="s">
        <v>24</v>
      </c>
      <c r="M269" s="29" t="n">
        <f aca="false">IF("oui" = "oui",5.22*(1-disc),5.22)</f>
        <v>5.22</v>
      </c>
      <c r="N269" s="29" t="n">
        <f aca="false">IF("oui" = "oui",5.22*(1-disc)*1.2,5.22*1.2)</f>
        <v>6.264</v>
      </c>
      <c r="O269" s="24" t="s">
        <v>25</v>
      </c>
      <c r="P269" s="7" t="s">
        <v>26</v>
      </c>
      <c r="Q269" s="16"/>
    </row>
    <row r="270" customFormat="false" ht="12.8" hidden="false" customHeight="false" outlineLevel="0" collapsed="false">
      <c r="A270" s="22"/>
      <c r="B270" s="56"/>
      <c r="C270" s="24"/>
      <c r="D270" s="22"/>
      <c r="E270" s="19"/>
      <c r="F270" s="24"/>
      <c r="G270" s="25"/>
      <c r="H270" s="26"/>
      <c r="I270" s="27"/>
      <c r="J270" s="28"/>
      <c r="K270" s="28"/>
      <c r="L270" s="24"/>
      <c r="M270" s="29"/>
      <c r="N270" s="29"/>
      <c r="O270" s="24"/>
      <c r="P270" s="4"/>
      <c r="Q270" s="16"/>
    </row>
    <row r="271" customFormat="false" ht="12.8" hidden="false" customHeight="false" outlineLevel="0" collapsed="false">
      <c r="A271" s="22"/>
      <c r="B271" s="56" t="n">
        <v>575550000</v>
      </c>
      <c r="C271" s="24" t="n">
        <v>75</v>
      </c>
      <c r="D271" s="22" t="s">
        <v>269</v>
      </c>
      <c r="E271" s="19" t="s">
        <v>263</v>
      </c>
      <c r="F271" s="24" t="s">
        <v>23</v>
      </c>
      <c r="G271" s="25" t="n">
        <v>0.745</v>
      </c>
      <c r="H271" s="26"/>
      <c r="I271" s="27" t="n">
        <v>75</v>
      </c>
      <c r="J271" s="28" t="n">
        <v>12</v>
      </c>
      <c r="K271" s="28" t="n">
        <v>5</v>
      </c>
      <c r="L271" s="24" t="s">
        <v>24</v>
      </c>
      <c r="M271" s="29" t="n">
        <f aca="false">IF("oui" = "oui",26.08*(1-disc),26.08)</f>
        <v>26.08</v>
      </c>
      <c r="N271" s="29" t="n">
        <f aca="false">IF("oui" = "oui",26.08*(1-disc)*1.2,26.08*1.2)</f>
        <v>31.296</v>
      </c>
      <c r="O271" s="24" t="s">
        <v>25</v>
      </c>
      <c r="P271" s="7" t="s">
        <v>26</v>
      </c>
      <c r="Q271" s="16"/>
    </row>
    <row r="272" customFormat="false" ht="12.8" hidden="false" customHeight="false" outlineLevel="0" collapsed="false">
      <c r="A272" s="22"/>
      <c r="B272" s="23"/>
      <c r="C272" s="24"/>
      <c r="D272" s="22"/>
      <c r="E272" s="19"/>
      <c r="F272" s="24"/>
      <c r="G272" s="25"/>
      <c r="H272" s="26"/>
      <c r="I272" s="27"/>
      <c r="J272" s="28"/>
      <c r="K272" s="28"/>
      <c r="L272" s="24"/>
      <c r="M272" s="29"/>
      <c r="N272" s="29"/>
      <c r="O272" s="24"/>
      <c r="P272" s="4"/>
      <c r="Q272" s="16"/>
    </row>
    <row r="273" customFormat="false" ht="12.8" hidden="false" customHeight="false" outlineLevel="0" collapsed="false">
      <c r="A273" s="42" t="s">
        <v>270</v>
      </c>
      <c r="B273" s="43"/>
      <c r="C273" s="44"/>
      <c r="D273" s="45"/>
      <c r="E273" s="46"/>
      <c r="F273" s="44"/>
      <c r="G273" s="47"/>
      <c r="H273" s="48"/>
      <c r="I273" s="49"/>
      <c r="J273" s="50"/>
      <c r="K273" s="50"/>
      <c r="L273" s="44"/>
      <c r="M273" s="51"/>
      <c r="N273" s="51"/>
      <c r="O273" s="44"/>
      <c r="P273" s="52"/>
      <c r="Q273" s="53"/>
    </row>
    <row r="274" customFormat="false" ht="12.8" hidden="false" customHeight="false" outlineLevel="0" collapsed="false">
      <c r="A274" s="22"/>
      <c r="B274" s="23"/>
      <c r="C274" s="24"/>
      <c r="D274" s="22"/>
      <c r="E274" s="19"/>
      <c r="F274" s="24"/>
      <c r="G274" s="25"/>
      <c r="H274" s="26"/>
      <c r="I274" s="27"/>
      <c r="J274" s="28"/>
      <c r="K274" s="28"/>
      <c r="L274" s="24"/>
      <c r="M274" s="29"/>
      <c r="N274" s="29"/>
      <c r="O274" s="24"/>
      <c r="P274" s="4"/>
      <c r="Q274" s="16"/>
    </row>
    <row r="275" customFormat="false" ht="12.8" hidden="false" customHeight="false" outlineLevel="0" collapsed="false">
      <c r="A275" s="22"/>
      <c r="B275" s="23" t="n">
        <v>575477000</v>
      </c>
      <c r="C275" s="24" t="n">
        <v>75</v>
      </c>
      <c r="D275" s="54" t="s">
        <v>271</v>
      </c>
      <c r="E275" s="19" t="s">
        <v>272</v>
      </c>
      <c r="F275" s="24" t="s">
        <v>23</v>
      </c>
      <c r="G275" s="25" t="n">
        <v>0.202</v>
      </c>
      <c r="H275" s="26"/>
      <c r="I275" s="27" t="n">
        <v>75</v>
      </c>
      <c r="J275" s="28" t="n">
        <v>60</v>
      </c>
      <c r="K275" s="28" t="n">
        <v>1</v>
      </c>
      <c r="L275" s="24" t="s">
        <v>24</v>
      </c>
      <c r="M275" s="29" t="n">
        <f aca="false">IF("oui" = "oui",5.76*(1-disc),5.76)</f>
        <v>5.76</v>
      </c>
      <c r="N275" s="29" t="n">
        <f aca="false">IF("oui" = "oui",5.76*(1-disc)*1.2,5.76*1.2)</f>
        <v>6.912</v>
      </c>
      <c r="O275" s="24" t="s">
        <v>25</v>
      </c>
      <c r="P275" s="4" t="s">
        <v>25</v>
      </c>
      <c r="Q275" s="16"/>
    </row>
    <row r="276" customFormat="false" ht="12.8" hidden="false" customHeight="false" outlineLevel="0" collapsed="false">
      <c r="A276" s="22"/>
      <c r="B276" s="23" t="n">
        <v>575478000</v>
      </c>
      <c r="C276" s="24" t="n">
        <v>75</v>
      </c>
      <c r="D276" s="54" t="s">
        <v>273</v>
      </c>
      <c r="E276" s="19" t="s">
        <v>272</v>
      </c>
      <c r="F276" s="24" t="s">
        <v>23</v>
      </c>
      <c r="G276" s="25" t="n">
        <v>0.202</v>
      </c>
      <c r="H276" s="26"/>
      <c r="I276" s="27" t="n">
        <v>75</v>
      </c>
      <c r="J276" s="28" t="n">
        <v>60</v>
      </c>
      <c r="K276" s="28" t="n">
        <v>1</v>
      </c>
      <c r="L276" s="24" t="s">
        <v>24</v>
      </c>
      <c r="M276" s="29" t="n">
        <f aca="false">IF("oui" = "oui",5.76*(1-disc),5.76)</f>
        <v>5.76</v>
      </c>
      <c r="N276" s="29" t="n">
        <f aca="false">IF("oui" = "oui",5.76*(1-disc)*1.2,5.76*1.2)</f>
        <v>6.912</v>
      </c>
      <c r="O276" s="24" t="s">
        <v>25</v>
      </c>
      <c r="P276" s="7" t="s">
        <v>26</v>
      </c>
      <c r="Q276" s="16"/>
    </row>
    <row r="277" customFormat="false" ht="12.8" hidden="false" customHeight="false" outlineLevel="0" collapsed="false">
      <c r="A277" s="22"/>
      <c r="B277" s="23" t="n">
        <v>575480000</v>
      </c>
      <c r="C277" s="24" t="n">
        <v>75</v>
      </c>
      <c r="D277" s="54" t="s">
        <v>274</v>
      </c>
      <c r="E277" s="19" t="s">
        <v>272</v>
      </c>
      <c r="F277" s="24" t="s">
        <v>23</v>
      </c>
      <c r="G277" s="25" t="n">
        <v>0.202</v>
      </c>
      <c r="H277" s="26"/>
      <c r="I277" s="27" t="n">
        <v>75</v>
      </c>
      <c r="J277" s="28" t="n">
        <v>60</v>
      </c>
      <c r="K277" s="28" t="n">
        <v>1</v>
      </c>
      <c r="L277" s="24" t="s">
        <v>24</v>
      </c>
      <c r="M277" s="29" t="n">
        <f aca="false">IF("oui" = "oui",5.76*(1-disc),5.76)</f>
        <v>5.76</v>
      </c>
      <c r="N277" s="29" t="n">
        <f aca="false">IF("oui" = "oui",5.76*(1-disc)*1.2,5.76*1.2)</f>
        <v>6.912</v>
      </c>
      <c r="O277" s="24" t="s">
        <v>25</v>
      </c>
      <c r="P277" s="4" t="s">
        <v>25</v>
      </c>
      <c r="Q277" s="16"/>
    </row>
    <row r="278" customFormat="false" ht="12.8" hidden="false" customHeight="false" outlineLevel="0" collapsed="false">
      <c r="A278" s="22"/>
      <c r="B278" s="23" t="n">
        <v>575481000</v>
      </c>
      <c r="C278" s="24" t="n">
        <v>75</v>
      </c>
      <c r="D278" s="54" t="s">
        <v>275</v>
      </c>
      <c r="E278" s="19" t="s">
        <v>272</v>
      </c>
      <c r="F278" s="24" t="s">
        <v>23</v>
      </c>
      <c r="G278" s="25" t="n">
        <v>0.202</v>
      </c>
      <c r="H278" s="26"/>
      <c r="I278" s="27" t="n">
        <v>75</v>
      </c>
      <c r="J278" s="28" t="n">
        <v>60</v>
      </c>
      <c r="K278" s="28" t="n">
        <v>1</v>
      </c>
      <c r="L278" s="24" t="s">
        <v>24</v>
      </c>
      <c r="M278" s="29" t="n">
        <f aca="false">IF("oui" = "oui",5.76*(1-disc),5.76)</f>
        <v>5.76</v>
      </c>
      <c r="N278" s="29" t="n">
        <f aca="false">IF("oui" = "oui",5.76*(1-disc)*1.2,5.76*1.2)</f>
        <v>6.912</v>
      </c>
      <c r="O278" s="24" t="s">
        <v>25</v>
      </c>
      <c r="P278" s="55" t="s">
        <v>276</v>
      </c>
      <c r="Q278" s="16"/>
    </row>
    <row r="279" customFormat="false" ht="12.8" hidden="false" customHeight="false" outlineLevel="0" collapsed="false">
      <c r="A279" s="22"/>
      <c r="B279" s="23" t="n">
        <v>575482000</v>
      </c>
      <c r="C279" s="24" t="n">
        <v>75</v>
      </c>
      <c r="D279" s="54" t="s">
        <v>277</v>
      </c>
      <c r="E279" s="19" t="s">
        <v>272</v>
      </c>
      <c r="F279" s="24" t="s">
        <v>23</v>
      </c>
      <c r="G279" s="25" t="n">
        <v>0.202</v>
      </c>
      <c r="H279" s="26"/>
      <c r="I279" s="27" t="n">
        <v>75</v>
      </c>
      <c r="J279" s="28" t="n">
        <v>60</v>
      </c>
      <c r="K279" s="28" t="n">
        <v>1</v>
      </c>
      <c r="L279" s="24" t="s">
        <v>24</v>
      </c>
      <c r="M279" s="29" t="n">
        <f aca="false">IF("oui" = "oui",5.76*(1-disc),5.76)</f>
        <v>5.76</v>
      </c>
      <c r="N279" s="29" t="n">
        <f aca="false">IF("oui" = "oui",5.76*(1-disc)*1.2,5.76*1.2)</f>
        <v>6.912</v>
      </c>
      <c r="O279" s="24" t="s">
        <v>25</v>
      </c>
      <c r="P279" s="4" t="s">
        <v>25</v>
      </c>
      <c r="Q279" s="16"/>
    </row>
    <row r="280" customFormat="false" ht="12.8" hidden="false" customHeight="false" outlineLevel="0" collapsed="false">
      <c r="A280" s="22"/>
      <c r="B280" s="23" t="n">
        <v>575484000</v>
      </c>
      <c r="C280" s="24" t="n">
        <v>75</v>
      </c>
      <c r="D280" s="54" t="s">
        <v>278</v>
      </c>
      <c r="E280" s="19" t="s">
        <v>272</v>
      </c>
      <c r="F280" s="24" t="s">
        <v>23</v>
      </c>
      <c r="G280" s="25" t="n">
        <v>0.202</v>
      </c>
      <c r="H280" s="26"/>
      <c r="I280" s="27" t="n">
        <v>75</v>
      </c>
      <c r="J280" s="28" t="n">
        <v>60</v>
      </c>
      <c r="K280" s="28" t="n">
        <v>1</v>
      </c>
      <c r="L280" s="24" t="s">
        <v>24</v>
      </c>
      <c r="M280" s="29" t="n">
        <f aca="false">IF("oui" = "oui",5.76*(1-disc),5.76)</f>
        <v>5.76</v>
      </c>
      <c r="N280" s="29" t="n">
        <f aca="false">IF("oui" = "oui",5.76*(1-disc)*1.2,5.76*1.2)</f>
        <v>6.912</v>
      </c>
      <c r="O280" s="24" t="s">
        <v>25</v>
      </c>
      <c r="P280" s="4" t="s">
        <v>25</v>
      </c>
      <c r="Q280" s="16"/>
    </row>
    <row r="281" customFormat="false" ht="12.8" hidden="false" customHeight="false" outlineLevel="0" collapsed="false">
      <c r="A281" s="22"/>
      <c r="B281" s="23" t="n">
        <v>575485000</v>
      </c>
      <c r="C281" s="24" t="n">
        <v>75</v>
      </c>
      <c r="D281" s="54" t="s">
        <v>279</v>
      </c>
      <c r="E281" s="19" t="s">
        <v>272</v>
      </c>
      <c r="F281" s="24" t="s">
        <v>23</v>
      </c>
      <c r="G281" s="25" t="n">
        <v>0.202</v>
      </c>
      <c r="H281" s="26"/>
      <c r="I281" s="27" t="n">
        <v>75</v>
      </c>
      <c r="J281" s="28" t="n">
        <v>60</v>
      </c>
      <c r="K281" s="28" t="n">
        <v>1</v>
      </c>
      <c r="L281" s="24" t="s">
        <v>24</v>
      </c>
      <c r="M281" s="29" t="n">
        <f aca="false">IF("oui" = "oui",5.76*(1-disc),5.76)</f>
        <v>5.76</v>
      </c>
      <c r="N281" s="29" t="n">
        <f aca="false">IF("oui" = "oui",5.76*(1-disc)*1.2,5.76*1.2)</f>
        <v>6.912</v>
      </c>
      <c r="O281" s="24" t="s">
        <v>25</v>
      </c>
      <c r="P281" s="7" t="s">
        <v>26</v>
      </c>
      <c r="Q281" s="16"/>
    </row>
    <row r="282" customFormat="false" ht="12.8" hidden="false" customHeight="false" outlineLevel="0" collapsed="false">
      <c r="A282" s="22"/>
      <c r="B282" s="23" t="n">
        <v>575487000</v>
      </c>
      <c r="C282" s="24" t="n">
        <v>75</v>
      </c>
      <c r="D282" s="54" t="s">
        <v>280</v>
      </c>
      <c r="E282" s="19" t="s">
        <v>272</v>
      </c>
      <c r="F282" s="24" t="s">
        <v>23</v>
      </c>
      <c r="G282" s="25" t="n">
        <v>0.202</v>
      </c>
      <c r="H282" s="26"/>
      <c r="I282" s="27" t="n">
        <v>75</v>
      </c>
      <c r="J282" s="28" t="n">
        <v>60</v>
      </c>
      <c r="K282" s="28" t="n">
        <v>1</v>
      </c>
      <c r="L282" s="24" t="s">
        <v>24</v>
      </c>
      <c r="M282" s="29" t="n">
        <f aca="false">IF("oui" = "oui",5.76*(1-disc),5.76)</f>
        <v>5.76</v>
      </c>
      <c r="N282" s="29" t="n">
        <f aca="false">IF("oui" = "oui",5.76*(1-disc)*1.2,5.76*1.2)</f>
        <v>6.912</v>
      </c>
      <c r="O282" s="24" t="s">
        <v>25</v>
      </c>
      <c r="P282" s="4" t="s">
        <v>25</v>
      </c>
      <c r="Q282" s="16"/>
    </row>
    <row r="283" customFormat="false" ht="12.8" hidden="false" customHeight="false" outlineLevel="0" collapsed="false">
      <c r="A283" s="22"/>
      <c r="B283" s="23" t="n">
        <v>575488000</v>
      </c>
      <c r="C283" s="24" t="n">
        <v>75</v>
      </c>
      <c r="D283" s="54" t="s">
        <v>281</v>
      </c>
      <c r="E283" s="19" t="s">
        <v>272</v>
      </c>
      <c r="F283" s="24" t="s">
        <v>23</v>
      </c>
      <c r="G283" s="25" t="n">
        <v>0.202</v>
      </c>
      <c r="H283" s="26"/>
      <c r="I283" s="27" t="n">
        <v>75</v>
      </c>
      <c r="J283" s="28" t="n">
        <v>60</v>
      </c>
      <c r="K283" s="28" t="n">
        <v>1</v>
      </c>
      <c r="L283" s="24" t="s">
        <v>24</v>
      </c>
      <c r="M283" s="29" t="n">
        <f aca="false">IF("oui" = "oui",5.76*(1-disc),5.76)</f>
        <v>5.76</v>
      </c>
      <c r="N283" s="29" t="n">
        <f aca="false">IF("oui" = "oui",5.76*(1-disc)*1.2,5.76*1.2)</f>
        <v>6.912</v>
      </c>
      <c r="O283" s="24" t="s">
        <v>25</v>
      </c>
      <c r="P283" s="4" t="s">
        <v>25</v>
      </c>
      <c r="Q283" s="16"/>
    </row>
    <row r="284" customFormat="false" ht="12.8" hidden="false" customHeight="false" outlineLevel="0" collapsed="false">
      <c r="A284" s="22"/>
      <c r="B284" s="23" t="n">
        <v>575483000</v>
      </c>
      <c r="C284" s="24" t="n">
        <v>75</v>
      </c>
      <c r="D284" s="22" t="s">
        <v>282</v>
      </c>
      <c r="E284" s="19" t="s">
        <v>272</v>
      </c>
      <c r="F284" s="24" t="s">
        <v>23</v>
      </c>
      <c r="G284" s="25" t="n">
        <v>0.202</v>
      </c>
      <c r="H284" s="26"/>
      <c r="I284" s="27" t="n">
        <v>75</v>
      </c>
      <c r="J284" s="28" t="n">
        <v>60</v>
      </c>
      <c r="K284" s="28" t="n">
        <v>1</v>
      </c>
      <c r="L284" s="24" t="s">
        <v>24</v>
      </c>
      <c r="M284" s="29" t="n">
        <f aca="false">IF("oui" = "oui",5.76*(1-disc),5.76)</f>
        <v>5.76</v>
      </c>
      <c r="N284" s="29" t="n">
        <f aca="false">IF("oui" = "oui",5.76*(1-disc)*1.2,5.76*1.2)</f>
        <v>6.912</v>
      </c>
      <c r="O284" s="24" t="s">
        <v>25</v>
      </c>
      <c r="P284" s="4" t="s">
        <v>25</v>
      </c>
      <c r="Q284" s="16"/>
    </row>
    <row r="285" customFormat="false" ht="12.8" hidden="false" customHeight="false" outlineLevel="0" collapsed="false">
      <c r="A285" s="22"/>
      <c r="B285" s="23" t="n">
        <v>575486000</v>
      </c>
      <c r="C285" s="24" t="n">
        <v>75</v>
      </c>
      <c r="D285" s="54" t="s">
        <v>283</v>
      </c>
      <c r="E285" s="19" t="s">
        <v>272</v>
      </c>
      <c r="F285" s="24" t="s">
        <v>23</v>
      </c>
      <c r="G285" s="25" t="n">
        <v>0.202</v>
      </c>
      <c r="H285" s="26"/>
      <c r="I285" s="27" t="n">
        <v>75</v>
      </c>
      <c r="J285" s="28" t="n">
        <v>60</v>
      </c>
      <c r="K285" s="28" t="n">
        <v>1</v>
      </c>
      <c r="L285" s="24" t="s">
        <v>24</v>
      </c>
      <c r="M285" s="29" t="n">
        <f aca="false">IF("oui" = "oui",5.76*(1-disc),5.76)</f>
        <v>5.76</v>
      </c>
      <c r="N285" s="29" t="n">
        <f aca="false">IF("oui" = "oui",5.76*(1-disc)*1.2,5.76*1.2)</f>
        <v>6.912</v>
      </c>
      <c r="O285" s="24" t="s">
        <v>25</v>
      </c>
      <c r="P285" s="4" t="s">
        <v>25</v>
      </c>
      <c r="Q285" s="16"/>
    </row>
    <row r="286" customFormat="false" ht="12.8" hidden="false" customHeight="false" outlineLevel="0" collapsed="false">
      <c r="A286" s="22"/>
      <c r="B286" s="23"/>
      <c r="C286" s="24"/>
      <c r="D286" s="22"/>
      <c r="E286" s="19"/>
      <c r="F286" s="24"/>
      <c r="G286" s="25"/>
      <c r="H286" s="26"/>
      <c r="I286" s="27"/>
      <c r="J286" s="28"/>
      <c r="K286" s="28"/>
      <c r="L286" s="24"/>
      <c r="M286" s="29"/>
      <c r="N286" s="29"/>
      <c r="O286" s="24"/>
      <c r="P286" s="4"/>
      <c r="Q286" s="16"/>
    </row>
    <row r="287" customFormat="false" ht="12.8" hidden="false" customHeight="false" outlineLevel="0" collapsed="false">
      <c r="A287" s="22"/>
      <c r="B287" s="23" t="n">
        <v>575553000</v>
      </c>
      <c r="C287" s="24" t="n">
        <v>75</v>
      </c>
      <c r="D287" s="22" t="s">
        <v>284</v>
      </c>
      <c r="E287" s="19" t="s">
        <v>272</v>
      </c>
      <c r="F287" s="24" t="s">
        <v>23</v>
      </c>
      <c r="G287" s="25" t="n">
        <v>0.5</v>
      </c>
      <c r="H287" s="26"/>
      <c r="I287" s="27" t="n">
        <v>75</v>
      </c>
      <c r="J287" s="28" t="n">
        <v>12</v>
      </c>
      <c r="K287" s="28" t="n">
        <v>5</v>
      </c>
      <c r="L287" s="24" t="s">
        <v>24</v>
      </c>
      <c r="M287" s="29" t="n">
        <f aca="false">IF("oui" = "oui",28.79*(1-disc),28.79)</f>
        <v>28.79</v>
      </c>
      <c r="N287" s="29" t="n">
        <f aca="false">IF("oui" = "oui",28.79*(1-disc)*1.2,28.79*1.2)</f>
        <v>34.548</v>
      </c>
      <c r="O287" s="24" t="s">
        <v>25</v>
      </c>
      <c r="P287" s="4" t="s">
        <v>25</v>
      </c>
      <c r="Q287" s="16"/>
    </row>
    <row r="288" customFormat="false" ht="12.8" hidden="false" customHeight="false" outlineLevel="0" collapsed="false">
      <c r="A288" s="22"/>
      <c r="B288" s="56"/>
      <c r="C288" s="24"/>
      <c r="D288" s="22"/>
      <c r="E288" s="19"/>
      <c r="F288" s="24"/>
      <c r="G288" s="25"/>
      <c r="H288" s="26"/>
      <c r="I288" s="27"/>
      <c r="J288" s="28"/>
      <c r="K288" s="28"/>
      <c r="L288" s="24"/>
      <c r="M288" s="29"/>
      <c r="N288" s="29"/>
      <c r="O288" s="24"/>
      <c r="P288" s="4"/>
      <c r="Q288" s="16"/>
    </row>
    <row r="289" customFormat="false" ht="12.8" hidden="false" customHeight="false" outlineLevel="0" collapsed="false">
      <c r="A289" s="42" t="s">
        <v>64</v>
      </c>
      <c r="B289" s="43"/>
      <c r="C289" s="44"/>
      <c r="D289" s="45"/>
      <c r="E289" s="46"/>
      <c r="F289" s="44"/>
      <c r="G289" s="47"/>
      <c r="H289" s="48"/>
      <c r="I289" s="49"/>
      <c r="J289" s="50"/>
      <c r="K289" s="50"/>
      <c r="L289" s="44"/>
      <c r="M289" s="51"/>
      <c r="N289" s="51"/>
      <c r="O289" s="44"/>
      <c r="P289" s="52"/>
      <c r="Q289" s="53"/>
    </row>
    <row r="290" customFormat="false" ht="12.8" hidden="false" customHeight="false" outlineLevel="0" collapsed="false">
      <c r="A290" s="22"/>
      <c r="B290" s="56"/>
      <c r="C290" s="24"/>
      <c r="D290" s="22"/>
      <c r="E290" s="19"/>
      <c r="F290" s="24"/>
      <c r="G290" s="25"/>
      <c r="H290" s="26"/>
      <c r="I290" s="27"/>
      <c r="J290" s="28"/>
      <c r="K290" s="28"/>
      <c r="L290" s="24"/>
      <c r="M290" s="29"/>
      <c r="N290" s="29"/>
      <c r="O290" s="24"/>
      <c r="P290" s="4"/>
      <c r="Q290" s="16"/>
    </row>
    <row r="291" customFormat="false" ht="12.8" hidden="false" customHeight="false" outlineLevel="0" collapsed="false">
      <c r="A291" s="22"/>
      <c r="B291" s="56" t="n">
        <v>602075010</v>
      </c>
      <c r="C291" s="24" t="n">
        <v>75</v>
      </c>
      <c r="D291" s="54" t="s">
        <v>285</v>
      </c>
      <c r="E291" s="19" t="s">
        <v>286</v>
      </c>
      <c r="F291" s="24" t="s">
        <v>23</v>
      </c>
      <c r="G291" s="25" t="n">
        <v>0.063</v>
      </c>
      <c r="H291" s="26"/>
      <c r="I291" s="27" t="n">
        <v>140</v>
      </c>
      <c r="J291" s="28" t="n">
        <v>60</v>
      </c>
      <c r="K291" s="28" t="n">
        <v>1</v>
      </c>
      <c r="L291" s="24" t="s">
        <v>24</v>
      </c>
      <c r="M291" s="57" t="n">
        <f aca="false">IF("non" = "oui",8.69*(1-disc),8.69)</f>
        <v>8.69</v>
      </c>
      <c r="N291" s="57" t="n">
        <f aca="false">IF("non" = "oui",8.69*(1-disc)*1.2,8.69*1.2)</f>
        <v>10.428</v>
      </c>
      <c r="O291" s="58" t="s">
        <v>26</v>
      </c>
      <c r="P291" s="7" t="s">
        <v>26</v>
      </c>
      <c r="Q291" s="59" t="s">
        <v>87</v>
      </c>
    </row>
    <row r="292" customFormat="false" ht="12.8" hidden="false" customHeight="false" outlineLevel="0" collapsed="false">
      <c r="A292" s="22"/>
      <c r="B292" s="56"/>
      <c r="C292" s="24"/>
      <c r="D292" s="22"/>
      <c r="E292" s="19"/>
      <c r="F292" s="24"/>
      <c r="G292" s="25"/>
      <c r="H292" s="26"/>
      <c r="I292" s="27"/>
      <c r="J292" s="28"/>
      <c r="K292" s="28"/>
      <c r="L292" s="24"/>
      <c r="M292" s="29"/>
      <c r="N292" s="29"/>
      <c r="O292" s="24"/>
      <c r="P292" s="4"/>
      <c r="Q292" s="16"/>
    </row>
    <row r="293" customFormat="false" ht="12.8" hidden="false" customHeight="false" outlineLevel="0" collapsed="false">
      <c r="A293" s="22" t="s">
        <v>69</v>
      </c>
      <c r="B293" s="56" t="n">
        <v>602075011</v>
      </c>
      <c r="C293" s="24" t="n">
        <v>75</v>
      </c>
      <c r="D293" s="54" t="s">
        <v>287</v>
      </c>
      <c r="E293" s="19" t="s">
        <v>288</v>
      </c>
      <c r="F293" s="24" t="s">
        <v>23</v>
      </c>
      <c r="G293" s="25" t="n">
        <v>0.165</v>
      </c>
      <c r="H293" s="26"/>
      <c r="I293" s="27" t="n">
        <v>75</v>
      </c>
      <c r="J293" s="28" t="n">
        <v>60</v>
      </c>
      <c r="K293" s="28" t="n">
        <v>1</v>
      </c>
      <c r="L293" s="24" t="s">
        <v>24</v>
      </c>
      <c r="M293" s="57" t="n">
        <f aca="false">IF("non" = "oui",9.78*(1-disc),9.78)</f>
        <v>9.78</v>
      </c>
      <c r="N293" s="57" t="n">
        <f aca="false">IF("non" = "oui",9.78*(1-disc)*1.2,9.78*1.2)</f>
        <v>11.736</v>
      </c>
      <c r="O293" s="58" t="s">
        <v>26</v>
      </c>
      <c r="P293" s="4" t="s">
        <v>25</v>
      </c>
      <c r="Q293" s="16"/>
    </row>
    <row r="294" customFormat="false" ht="12.8" hidden="false" customHeight="false" outlineLevel="0" collapsed="false">
      <c r="A294" s="22"/>
      <c r="B294" s="56"/>
      <c r="C294" s="24"/>
      <c r="D294" s="22"/>
      <c r="E294" s="19"/>
      <c r="F294" s="24"/>
      <c r="G294" s="25"/>
      <c r="H294" s="26"/>
      <c r="I294" s="27"/>
      <c r="J294" s="28"/>
      <c r="K294" s="28"/>
      <c r="L294" s="24"/>
      <c r="M294" s="29"/>
      <c r="N294" s="29"/>
      <c r="O294" s="24"/>
      <c r="P294" s="4"/>
      <c r="Q294" s="16"/>
    </row>
    <row r="295" customFormat="false" ht="12.8" hidden="false" customHeight="false" outlineLevel="0" collapsed="false">
      <c r="A295" s="22"/>
      <c r="B295" s="56" t="n">
        <v>602075001</v>
      </c>
      <c r="C295" s="24" t="n">
        <v>75</v>
      </c>
      <c r="D295" s="54" t="s">
        <v>289</v>
      </c>
      <c r="E295" s="19" t="s">
        <v>290</v>
      </c>
      <c r="F295" s="24" t="s">
        <v>23</v>
      </c>
      <c r="G295" s="25" t="n">
        <v>0.225</v>
      </c>
      <c r="H295" s="26"/>
      <c r="I295" s="27" t="n">
        <v>60</v>
      </c>
      <c r="J295" s="28" t="n">
        <v>60</v>
      </c>
      <c r="K295" s="28" t="n">
        <v>1</v>
      </c>
      <c r="L295" s="24" t="s">
        <v>24</v>
      </c>
      <c r="M295" s="57" t="n">
        <f aca="false">IF("non" = "oui",9.78*(1-disc),9.78)</f>
        <v>9.78</v>
      </c>
      <c r="N295" s="57" t="n">
        <f aca="false">IF("non" = "oui",9.78*(1-disc)*1.2,9.78*1.2)</f>
        <v>11.736</v>
      </c>
      <c r="O295" s="58" t="s">
        <v>26</v>
      </c>
      <c r="P295" s="7" t="s">
        <v>26</v>
      </c>
      <c r="Q295" s="59" t="s">
        <v>87</v>
      </c>
    </row>
    <row r="296" customFormat="false" ht="12.8" hidden="false" customHeight="false" outlineLevel="0" collapsed="false">
      <c r="A296" s="22"/>
      <c r="B296" s="56" t="n">
        <v>602075002</v>
      </c>
      <c r="C296" s="24" t="n">
        <v>75</v>
      </c>
      <c r="D296" s="54" t="s">
        <v>291</v>
      </c>
      <c r="E296" s="19" t="s">
        <v>290</v>
      </c>
      <c r="F296" s="24" t="s">
        <v>23</v>
      </c>
      <c r="G296" s="25" t="n">
        <v>0.225</v>
      </c>
      <c r="H296" s="26"/>
      <c r="I296" s="27" t="n">
        <v>60</v>
      </c>
      <c r="J296" s="28" t="n">
        <v>60</v>
      </c>
      <c r="K296" s="28" t="n">
        <v>1</v>
      </c>
      <c r="L296" s="24" t="s">
        <v>24</v>
      </c>
      <c r="M296" s="57" t="n">
        <f aca="false">IF("non" = "oui",9.78*(1-disc),9.78)</f>
        <v>9.78</v>
      </c>
      <c r="N296" s="57" t="n">
        <f aca="false">IF("non" = "oui",9.78*(1-disc)*1.2,9.78*1.2)</f>
        <v>11.736</v>
      </c>
      <c r="O296" s="58" t="s">
        <v>26</v>
      </c>
      <c r="P296" s="7" t="s">
        <v>26</v>
      </c>
      <c r="Q296" s="59" t="s">
        <v>87</v>
      </c>
    </row>
    <row r="297" customFormat="false" ht="12.8" hidden="false" customHeight="false" outlineLevel="0" collapsed="false">
      <c r="A297" s="22"/>
      <c r="B297" s="56" t="n">
        <v>602075003</v>
      </c>
      <c r="C297" s="24" t="n">
        <v>75</v>
      </c>
      <c r="D297" s="54" t="s">
        <v>292</v>
      </c>
      <c r="E297" s="19" t="s">
        <v>290</v>
      </c>
      <c r="F297" s="24" t="s">
        <v>23</v>
      </c>
      <c r="G297" s="25" t="n">
        <v>0.201</v>
      </c>
      <c r="H297" s="26"/>
      <c r="I297" s="27" t="n">
        <v>75</v>
      </c>
      <c r="J297" s="28" t="n">
        <v>60</v>
      </c>
      <c r="K297" s="28" t="n">
        <v>1</v>
      </c>
      <c r="L297" s="24" t="s">
        <v>24</v>
      </c>
      <c r="M297" s="57" t="n">
        <f aca="false">IF("non" = "oui",9.78*(1-disc),9.78)</f>
        <v>9.78</v>
      </c>
      <c r="N297" s="57" t="n">
        <f aca="false">IF("non" = "oui",9.78*(1-disc)*1.2,9.78*1.2)</f>
        <v>11.736</v>
      </c>
      <c r="O297" s="58" t="s">
        <v>26</v>
      </c>
      <c r="P297" s="7" t="s">
        <v>26</v>
      </c>
      <c r="Q297" s="59" t="s">
        <v>87</v>
      </c>
    </row>
    <row r="298" customFormat="false" ht="12.8" hidden="false" customHeight="false" outlineLevel="0" collapsed="false">
      <c r="A298" s="22"/>
      <c r="B298" s="56" t="n">
        <v>602075004</v>
      </c>
      <c r="C298" s="24" t="n">
        <v>75</v>
      </c>
      <c r="D298" s="54" t="s">
        <v>293</v>
      </c>
      <c r="E298" s="19" t="s">
        <v>290</v>
      </c>
      <c r="F298" s="24" t="s">
        <v>23</v>
      </c>
      <c r="G298" s="25" t="n">
        <v>0.225</v>
      </c>
      <c r="H298" s="26"/>
      <c r="I298" s="27" t="n">
        <v>60</v>
      </c>
      <c r="J298" s="28" t="n">
        <v>60</v>
      </c>
      <c r="K298" s="28" t="n">
        <v>1</v>
      </c>
      <c r="L298" s="24" t="s">
        <v>24</v>
      </c>
      <c r="M298" s="57" t="n">
        <f aca="false">IF("non" = "oui",9.78*(1-disc),9.78)</f>
        <v>9.78</v>
      </c>
      <c r="N298" s="57" t="n">
        <f aca="false">IF("non" = "oui",9.78*(1-disc)*1.2,9.78*1.2)</f>
        <v>11.736</v>
      </c>
      <c r="O298" s="58" t="s">
        <v>26</v>
      </c>
      <c r="P298" s="55" t="s">
        <v>294</v>
      </c>
      <c r="Q298" s="16"/>
    </row>
    <row r="299" customFormat="false" ht="12.8" hidden="false" customHeight="false" outlineLevel="0" collapsed="false">
      <c r="A299" s="22"/>
      <c r="B299" s="56" t="n">
        <v>602075005</v>
      </c>
      <c r="C299" s="24" t="n">
        <v>75</v>
      </c>
      <c r="D299" s="54" t="s">
        <v>295</v>
      </c>
      <c r="E299" s="19" t="s">
        <v>290</v>
      </c>
      <c r="F299" s="24" t="s">
        <v>23</v>
      </c>
      <c r="G299" s="25" t="n">
        <v>0.225</v>
      </c>
      <c r="H299" s="26"/>
      <c r="I299" s="27" t="n">
        <v>60</v>
      </c>
      <c r="J299" s="28" t="n">
        <v>60</v>
      </c>
      <c r="K299" s="28" t="n">
        <v>1</v>
      </c>
      <c r="L299" s="24" t="s">
        <v>24</v>
      </c>
      <c r="M299" s="57" t="n">
        <f aca="false">IF("non" = "oui",9.78*(1-disc),9.78)</f>
        <v>9.78</v>
      </c>
      <c r="N299" s="57" t="n">
        <f aca="false">IF("non" = "oui",9.78*(1-disc)*1.2,9.78*1.2)</f>
        <v>11.736</v>
      </c>
      <c r="O299" s="58" t="s">
        <v>26</v>
      </c>
      <c r="P299" s="7" t="s">
        <v>26</v>
      </c>
      <c r="Q299" s="59" t="s">
        <v>87</v>
      </c>
    </row>
    <row r="300" customFormat="false" ht="12.8" hidden="false" customHeight="false" outlineLevel="0" collapsed="false">
      <c r="A300" s="22"/>
      <c r="B300" s="56" t="n">
        <v>602075006</v>
      </c>
      <c r="C300" s="24" t="n">
        <v>75</v>
      </c>
      <c r="D300" s="54" t="s">
        <v>296</v>
      </c>
      <c r="E300" s="19" t="s">
        <v>290</v>
      </c>
      <c r="F300" s="24" t="s">
        <v>23</v>
      </c>
      <c r="G300" s="25" t="n">
        <v>0.201</v>
      </c>
      <c r="H300" s="26"/>
      <c r="I300" s="27" t="n">
        <v>75</v>
      </c>
      <c r="J300" s="28" t="n">
        <v>60</v>
      </c>
      <c r="K300" s="28" t="n">
        <v>1</v>
      </c>
      <c r="L300" s="24" t="s">
        <v>24</v>
      </c>
      <c r="M300" s="57" t="n">
        <f aca="false">IF("non" = "oui",9.78*(1-disc),9.78)</f>
        <v>9.78</v>
      </c>
      <c r="N300" s="57" t="n">
        <f aca="false">IF("non" = "oui",9.78*(1-disc)*1.2,9.78*1.2)</f>
        <v>11.736</v>
      </c>
      <c r="O300" s="58" t="s">
        <v>26</v>
      </c>
      <c r="P300" s="7" t="s">
        <v>26</v>
      </c>
      <c r="Q300" s="59" t="s">
        <v>87</v>
      </c>
    </row>
    <row r="301" customFormat="false" ht="12.8" hidden="false" customHeight="false" outlineLevel="0" collapsed="false">
      <c r="A301" s="22"/>
      <c r="B301" s="56"/>
      <c r="C301" s="24"/>
      <c r="D301" s="22"/>
      <c r="E301" s="19"/>
      <c r="F301" s="24"/>
      <c r="G301" s="25"/>
      <c r="H301" s="26"/>
      <c r="I301" s="27"/>
      <c r="J301" s="28"/>
      <c r="K301" s="28"/>
      <c r="L301" s="24"/>
      <c r="M301" s="29"/>
      <c r="N301" s="29"/>
      <c r="O301" s="24"/>
      <c r="P301" s="4"/>
      <c r="Q301" s="16"/>
    </row>
    <row r="302" customFormat="false" ht="12.8" hidden="false" customHeight="false" outlineLevel="0" collapsed="false">
      <c r="A302" s="22"/>
      <c r="B302" s="56" t="n">
        <v>602075008</v>
      </c>
      <c r="C302" s="24" t="n">
        <v>75</v>
      </c>
      <c r="D302" s="22" t="s">
        <v>297</v>
      </c>
      <c r="E302" s="19" t="s">
        <v>290</v>
      </c>
      <c r="F302" s="24" t="s">
        <v>23</v>
      </c>
      <c r="G302" s="25" t="n">
        <v>1.077</v>
      </c>
      <c r="H302" s="26"/>
      <c r="I302" s="27" t="n">
        <v>60</v>
      </c>
      <c r="J302" s="28" t="n">
        <v>12</v>
      </c>
      <c r="K302" s="28" t="n">
        <v>5</v>
      </c>
      <c r="L302" s="24" t="s">
        <v>24</v>
      </c>
      <c r="M302" s="57" t="n">
        <f aca="false">IF("non" = "oui",48.89*(1-disc),48.89)</f>
        <v>48.89</v>
      </c>
      <c r="N302" s="57" t="n">
        <f aca="false">IF("non" = "oui",48.89*(1-disc)*1.2,48.89*1.2)</f>
        <v>58.668</v>
      </c>
      <c r="O302" s="58" t="s">
        <v>26</v>
      </c>
      <c r="P302" s="7" t="s">
        <v>26</v>
      </c>
      <c r="Q302" s="16"/>
    </row>
    <row r="303" customFormat="false" ht="12.8" hidden="false" customHeight="false" outlineLevel="0" collapsed="false">
      <c r="A303" s="22"/>
      <c r="B303" s="56"/>
      <c r="C303" s="24"/>
      <c r="D303" s="22"/>
      <c r="E303" s="19"/>
      <c r="F303" s="24"/>
      <c r="G303" s="25"/>
      <c r="H303" s="26"/>
      <c r="I303" s="27"/>
      <c r="J303" s="28"/>
      <c r="K303" s="28"/>
      <c r="L303" s="24"/>
      <c r="M303" s="29"/>
      <c r="N303" s="29"/>
      <c r="O303" s="24"/>
      <c r="P303" s="4"/>
      <c r="Q303" s="16"/>
    </row>
    <row r="304" customFormat="false" ht="12.8" hidden="false" customHeight="false" outlineLevel="0" collapsed="false">
      <c r="A304" s="22"/>
      <c r="B304" s="56" t="n">
        <v>602075020</v>
      </c>
      <c r="C304" s="24" t="n">
        <v>75</v>
      </c>
      <c r="D304" s="54" t="s">
        <v>298</v>
      </c>
      <c r="E304" s="19" t="s">
        <v>290</v>
      </c>
      <c r="F304" s="24" t="s">
        <v>23</v>
      </c>
      <c r="G304" s="25" t="n">
        <v>0.155</v>
      </c>
      <c r="H304" s="26"/>
      <c r="I304" s="27" t="n">
        <v>60</v>
      </c>
      <c r="J304" s="28" t="n">
        <v>60</v>
      </c>
      <c r="K304" s="28" t="n">
        <v>1</v>
      </c>
      <c r="L304" s="24" t="s">
        <v>24</v>
      </c>
      <c r="M304" s="57" t="n">
        <f aca="false">IF("non" = "oui",9.78*(1-disc),9.78)</f>
        <v>9.78</v>
      </c>
      <c r="N304" s="57" t="n">
        <f aca="false">IF("non" = "oui",9.78*(1-disc)*1.2,9.78*1.2)</f>
        <v>11.736</v>
      </c>
      <c r="O304" s="58" t="s">
        <v>26</v>
      </c>
      <c r="P304" s="7" t="s">
        <v>26</v>
      </c>
      <c r="Q304" s="59" t="s">
        <v>87</v>
      </c>
    </row>
    <row r="305" customFormat="false" ht="12.8" hidden="false" customHeight="false" outlineLevel="0" collapsed="false">
      <c r="A305" s="22"/>
      <c r="B305" s="56" t="n">
        <v>602075021</v>
      </c>
      <c r="C305" s="24" t="n">
        <v>75</v>
      </c>
      <c r="D305" s="54" t="s">
        <v>299</v>
      </c>
      <c r="E305" s="19" t="s">
        <v>288</v>
      </c>
      <c r="F305" s="24" t="s">
        <v>23</v>
      </c>
      <c r="G305" s="25" t="n">
        <v>0.165</v>
      </c>
      <c r="H305" s="26"/>
      <c r="I305" s="27" t="n">
        <v>75</v>
      </c>
      <c r="J305" s="28" t="n">
        <v>60</v>
      </c>
      <c r="K305" s="28" t="n">
        <v>1</v>
      </c>
      <c r="L305" s="24" t="s">
        <v>24</v>
      </c>
      <c r="M305" s="57" t="n">
        <f aca="false">IF("non" = "oui",9.78*(1-disc),9.78)</f>
        <v>9.78</v>
      </c>
      <c r="N305" s="57" t="n">
        <f aca="false">IF("non" = "oui",9.78*(1-disc)*1.2,9.78*1.2)</f>
        <v>11.736</v>
      </c>
      <c r="O305" s="58" t="s">
        <v>26</v>
      </c>
      <c r="P305" s="55" t="s">
        <v>45</v>
      </c>
      <c r="Q305" s="16"/>
    </row>
    <row r="306" customFormat="false" ht="12.8" hidden="false" customHeight="false" outlineLevel="0" collapsed="false">
      <c r="A306" s="22"/>
      <c r="B306" s="56" t="n">
        <v>602075022</v>
      </c>
      <c r="C306" s="24" t="n">
        <v>75</v>
      </c>
      <c r="D306" s="54" t="s">
        <v>300</v>
      </c>
      <c r="E306" s="19" t="s">
        <v>290</v>
      </c>
      <c r="F306" s="24" t="s">
        <v>23</v>
      </c>
      <c r="G306" s="25" t="n">
        <v>0.155</v>
      </c>
      <c r="H306" s="26"/>
      <c r="I306" s="27" t="n">
        <v>60</v>
      </c>
      <c r="J306" s="28" t="n">
        <v>60</v>
      </c>
      <c r="K306" s="28" t="n">
        <v>1</v>
      </c>
      <c r="L306" s="24" t="s">
        <v>24</v>
      </c>
      <c r="M306" s="57" t="n">
        <f aca="false">IF("non" = "oui",9.78*(1-disc),9.78)</f>
        <v>9.78</v>
      </c>
      <c r="N306" s="57" t="n">
        <f aca="false">IF("non" = "oui",9.78*(1-disc)*1.2,9.78*1.2)</f>
        <v>11.736</v>
      </c>
      <c r="O306" s="58" t="s">
        <v>26</v>
      </c>
      <c r="P306" s="7" t="s">
        <v>26</v>
      </c>
      <c r="Q306" s="59" t="s">
        <v>87</v>
      </c>
    </row>
    <row r="307" customFormat="false" ht="12.8" hidden="false" customHeight="false" outlineLevel="0" collapsed="false">
      <c r="A307" s="22"/>
      <c r="B307" s="56" t="n">
        <v>602075023</v>
      </c>
      <c r="C307" s="24" t="n">
        <v>75</v>
      </c>
      <c r="D307" s="54" t="s">
        <v>301</v>
      </c>
      <c r="E307" s="19" t="s">
        <v>290</v>
      </c>
      <c r="F307" s="24" t="s">
        <v>23</v>
      </c>
      <c r="G307" s="25" t="n">
        <v>0.155</v>
      </c>
      <c r="H307" s="26"/>
      <c r="I307" s="27" t="n">
        <v>60</v>
      </c>
      <c r="J307" s="28" t="n">
        <v>60</v>
      </c>
      <c r="K307" s="28" t="n">
        <v>1</v>
      </c>
      <c r="L307" s="24" t="s">
        <v>24</v>
      </c>
      <c r="M307" s="57" t="n">
        <f aca="false">IF("non" = "oui",9.78*(1-disc),9.78)</f>
        <v>9.78</v>
      </c>
      <c r="N307" s="57" t="n">
        <f aca="false">IF("non" = "oui",9.78*(1-disc)*1.2,9.78*1.2)</f>
        <v>11.736</v>
      </c>
      <c r="O307" s="58" t="s">
        <v>26</v>
      </c>
      <c r="P307" s="7" t="s">
        <v>26</v>
      </c>
      <c r="Q307" s="16"/>
    </row>
    <row r="308" customFormat="false" ht="12.8" hidden="false" customHeight="false" outlineLevel="0" collapsed="false">
      <c r="A308" s="22"/>
      <c r="B308" s="56" t="n">
        <v>602075024</v>
      </c>
      <c r="C308" s="24" t="n">
        <v>75</v>
      </c>
      <c r="D308" s="54" t="s">
        <v>302</v>
      </c>
      <c r="E308" s="19" t="s">
        <v>290</v>
      </c>
      <c r="F308" s="24" t="s">
        <v>23</v>
      </c>
      <c r="G308" s="25" t="n">
        <v>0.155</v>
      </c>
      <c r="H308" s="26"/>
      <c r="I308" s="27" t="n">
        <v>60</v>
      </c>
      <c r="J308" s="28" t="n">
        <v>60</v>
      </c>
      <c r="K308" s="28" t="n">
        <v>1</v>
      </c>
      <c r="L308" s="24" t="s">
        <v>24</v>
      </c>
      <c r="M308" s="57" t="n">
        <f aca="false">IF("non" = "oui",9.78*(1-disc),9.78)</f>
        <v>9.78</v>
      </c>
      <c r="N308" s="57" t="n">
        <f aca="false">IF("non" = "oui",9.78*(1-disc)*1.2,9.78*1.2)</f>
        <v>11.736</v>
      </c>
      <c r="O308" s="58" t="s">
        <v>26</v>
      </c>
      <c r="P308" s="7" t="s">
        <v>26</v>
      </c>
      <c r="Q308" s="59" t="s">
        <v>87</v>
      </c>
    </row>
    <row r="309" customFormat="false" ht="12.8" hidden="false" customHeight="false" outlineLevel="0" collapsed="false">
      <c r="A309" s="22"/>
      <c r="B309" s="56" t="n">
        <v>602075025</v>
      </c>
      <c r="C309" s="24" t="n">
        <v>75</v>
      </c>
      <c r="D309" s="22" t="s">
        <v>303</v>
      </c>
      <c r="E309" s="19" t="s">
        <v>288</v>
      </c>
      <c r="F309" s="24" t="s">
        <v>23</v>
      </c>
      <c r="G309" s="25" t="n">
        <v>0.165</v>
      </c>
      <c r="H309" s="26"/>
      <c r="I309" s="27" t="n">
        <v>75</v>
      </c>
      <c r="J309" s="28" t="n">
        <v>60</v>
      </c>
      <c r="K309" s="28" t="n">
        <v>1</v>
      </c>
      <c r="L309" s="24" t="s">
        <v>24</v>
      </c>
      <c r="M309" s="57" t="n">
        <f aca="false">IF("non" = "oui",9.78*(1-disc),9.78)</f>
        <v>9.78</v>
      </c>
      <c r="N309" s="57" t="n">
        <f aca="false">IF("non" = "oui",9.78*(1-disc)*1.2,9.78*1.2)</f>
        <v>11.736</v>
      </c>
      <c r="O309" s="58" t="s">
        <v>26</v>
      </c>
      <c r="P309" s="55" t="s">
        <v>45</v>
      </c>
      <c r="Q309" s="16"/>
    </row>
    <row r="310" customFormat="false" ht="12.8" hidden="false" customHeight="false" outlineLevel="0" collapsed="false">
      <c r="A310" s="22"/>
      <c r="B310" s="56"/>
      <c r="C310" s="24"/>
      <c r="D310" s="22"/>
      <c r="E310" s="19"/>
      <c r="F310" s="24"/>
      <c r="G310" s="25"/>
      <c r="H310" s="26"/>
      <c r="I310" s="27"/>
      <c r="J310" s="28"/>
      <c r="K310" s="28"/>
      <c r="L310" s="24"/>
      <c r="M310" s="29"/>
      <c r="N310" s="29"/>
      <c r="O310" s="24"/>
      <c r="P310" s="4"/>
      <c r="Q310" s="16"/>
    </row>
    <row r="311" customFormat="false" ht="12.8" hidden="false" customHeight="false" outlineLevel="0" collapsed="false">
      <c r="A311" s="22"/>
      <c r="B311" s="56" t="n">
        <v>602075028</v>
      </c>
      <c r="C311" s="24" t="n">
        <v>75</v>
      </c>
      <c r="D311" s="22" t="s">
        <v>304</v>
      </c>
      <c r="E311" s="19" t="s">
        <v>290</v>
      </c>
      <c r="F311" s="24" t="s">
        <v>23</v>
      </c>
      <c r="G311" s="25" t="n">
        <v>0.62</v>
      </c>
      <c r="H311" s="26"/>
      <c r="I311" s="27" t="n">
        <v>60</v>
      </c>
      <c r="J311" s="28" t="n">
        <v>12</v>
      </c>
      <c r="K311" s="28" t="n">
        <v>5</v>
      </c>
      <c r="L311" s="24" t="s">
        <v>24</v>
      </c>
      <c r="M311" s="57" t="n">
        <f aca="false">IF("non" = "oui",48.89*(1-disc),48.89)</f>
        <v>48.89</v>
      </c>
      <c r="N311" s="57" t="n">
        <f aca="false">IF("non" = "oui",48.89*(1-disc)*1.2,48.89*1.2)</f>
        <v>58.668</v>
      </c>
      <c r="O311" s="58" t="s">
        <v>26</v>
      </c>
      <c r="P311" s="7" t="s">
        <v>26</v>
      </c>
      <c r="Q311" s="16"/>
    </row>
    <row r="312" customFormat="false" ht="12.8" hidden="false" customHeight="false" outlineLevel="0" collapsed="false">
      <c r="A312" s="22"/>
      <c r="B312" s="23"/>
      <c r="C312" s="24"/>
      <c r="D312" s="22"/>
      <c r="E312" s="19"/>
      <c r="F312" s="24"/>
      <c r="G312" s="25"/>
      <c r="H312" s="26"/>
      <c r="I312" s="27"/>
      <c r="J312" s="28"/>
      <c r="K312" s="28"/>
      <c r="L312" s="24"/>
      <c r="M312" s="29"/>
      <c r="N312" s="29"/>
      <c r="O312" s="24"/>
      <c r="P312" s="4"/>
      <c r="Q312" s="16"/>
    </row>
    <row r="313" customFormat="false" ht="12.8" hidden="false" customHeight="false" outlineLevel="0" collapsed="false">
      <c r="A313" s="30" t="s">
        <v>305</v>
      </c>
      <c r="B313" s="31"/>
      <c r="C313" s="32"/>
      <c r="D313" s="33"/>
      <c r="E313" s="34"/>
      <c r="F313" s="32"/>
      <c r="G313" s="35"/>
      <c r="H313" s="36"/>
      <c r="I313" s="37"/>
      <c r="J313" s="38"/>
      <c r="K313" s="38"/>
      <c r="L313" s="32"/>
      <c r="M313" s="39"/>
      <c r="N313" s="39"/>
      <c r="O313" s="32"/>
      <c r="P313" s="40"/>
      <c r="Q313" s="41"/>
    </row>
    <row r="314" customFormat="false" ht="12.8" hidden="false" customHeight="false" outlineLevel="0" collapsed="false">
      <c r="A314" s="22"/>
      <c r="B314" s="23"/>
      <c r="C314" s="24"/>
      <c r="D314" s="22"/>
      <c r="E314" s="19"/>
      <c r="F314" s="24"/>
      <c r="G314" s="25"/>
      <c r="H314" s="26"/>
      <c r="I314" s="27"/>
      <c r="J314" s="28"/>
      <c r="K314" s="28"/>
      <c r="L314" s="24"/>
      <c r="M314" s="29"/>
      <c r="N314" s="29"/>
      <c r="O314" s="24"/>
      <c r="P314" s="4"/>
      <c r="Q314" s="16"/>
    </row>
    <row r="315" customFormat="false" ht="12.8" hidden="false" customHeight="false" outlineLevel="0" collapsed="false">
      <c r="A315" s="42" t="s">
        <v>94</v>
      </c>
      <c r="B315" s="43"/>
      <c r="C315" s="44"/>
      <c r="D315" s="45"/>
      <c r="E315" s="46"/>
      <c r="F315" s="44"/>
      <c r="G315" s="47"/>
      <c r="H315" s="48"/>
      <c r="I315" s="49"/>
      <c r="J315" s="50"/>
      <c r="K315" s="50"/>
      <c r="L315" s="44"/>
      <c r="M315" s="51"/>
      <c r="N315" s="51"/>
      <c r="O315" s="44"/>
      <c r="P315" s="52"/>
      <c r="Q315" s="53"/>
    </row>
    <row r="316" customFormat="false" ht="12.8" hidden="false" customHeight="false" outlineLevel="0" collapsed="false">
      <c r="A316" s="22"/>
      <c r="B316" s="23"/>
      <c r="C316" s="24"/>
      <c r="D316" s="22"/>
      <c r="E316" s="19"/>
      <c r="F316" s="24"/>
      <c r="G316" s="25"/>
      <c r="H316" s="26"/>
      <c r="I316" s="27"/>
      <c r="J316" s="28"/>
      <c r="K316" s="28"/>
      <c r="L316" s="24"/>
      <c r="M316" s="29"/>
      <c r="N316" s="29"/>
      <c r="O316" s="24"/>
      <c r="P316" s="4"/>
      <c r="Q316" s="16"/>
    </row>
    <row r="317" customFormat="false" ht="12.8" hidden="false" customHeight="false" outlineLevel="0" collapsed="false">
      <c r="A317" s="22"/>
      <c r="B317" s="23" t="n">
        <v>510107000</v>
      </c>
      <c r="C317" s="24" t="n">
        <v>100</v>
      </c>
      <c r="D317" s="54" t="s">
        <v>306</v>
      </c>
      <c r="E317" s="19" t="s">
        <v>179</v>
      </c>
      <c r="F317" s="24" t="s">
        <v>23</v>
      </c>
      <c r="G317" s="25" t="n">
        <v>0.311</v>
      </c>
      <c r="H317" s="26"/>
      <c r="I317" s="27" t="n">
        <v>100</v>
      </c>
      <c r="J317" s="28" t="n">
        <v>30</v>
      </c>
      <c r="K317" s="28" t="n">
        <v>1</v>
      </c>
      <c r="L317" s="24" t="s">
        <v>24</v>
      </c>
      <c r="M317" s="29" t="n">
        <f aca="false">IF("oui" = "oui",7.82*(1-disc),7.82)</f>
        <v>7.82</v>
      </c>
      <c r="N317" s="29" t="n">
        <f aca="false">IF("oui" = "oui",7.82*(1-disc)*1.2,7.82*1.2)</f>
        <v>9.384</v>
      </c>
      <c r="O317" s="24" t="s">
        <v>25</v>
      </c>
      <c r="P317" s="4" t="s">
        <v>25</v>
      </c>
      <c r="Q317" s="16"/>
    </row>
    <row r="318" customFormat="false" ht="12.8" hidden="false" customHeight="false" outlineLevel="0" collapsed="false">
      <c r="A318" s="22"/>
      <c r="B318" s="23" t="n">
        <v>510108000</v>
      </c>
      <c r="C318" s="24" t="n">
        <v>100</v>
      </c>
      <c r="D318" s="54" t="s">
        <v>307</v>
      </c>
      <c r="E318" s="19" t="s">
        <v>179</v>
      </c>
      <c r="F318" s="24" t="s">
        <v>23</v>
      </c>
      <c r="G318" s="25" t="n">
        <v>0.311</v>
      </c>
      <c r="H318" s="26"/>
      <c r="I318" s="27" t="n">
        <v>100</v>
      </c>
      <c r="J318" s="28" t="n">
        <v>30</v>
      </c>
      <c r="K318" s="28" t="n">
        <v>1</v>
      </c>
      <c r="L318" s="24" t="s">
        <v>24</v>
      </c>
      <c r="M318" s="29" t="n">
        <f aca="false">IF("oui" = "oui",7.82*(1-disc),7.82)</f>
        <v>7.82</v>
      </c>
      <c r="N318" s="29" t="n">
        <f aca="false">IF("oui" = "oui",7.82*(1-disc)*1.2,7.82*1.2)</f>
        <v>9.384</v>
      </c>
      <c r="O318" s="24" t="s">
        <v>25</v>
      </c>
      <c r="P318" s="4" t="s">
        <v>25</v>
      </c>
      <c r="Q318" s="16"/>
    </row>
    <row r="319" customFormat="false" ht="12.8" hidden="false" customHeight="false" outlineLevel="0" collapsed="false">
      <c r="A319" s="22"/>
      <c r="B319" s="23" t="n">
        <v>510109000</v>
      </c>
      <c r="C319" s="24" t="n">
        <v>100</v>
      </c>
      <c r="D319" s="54" t="s">
        <v>308</v>
      </c>
      <c r="E319" s="19" t="s">
        <v>179</v>
      </c>
      <c r="F319" s="24" t="s">
        <v>23</v>
      </c>
      <c r="G319" s="25" t="n">
        <v>0.311</v>
      </c>
      <c r="H319" s="26"/>
      <c r="I319" s="27" t="n">
        <v>100</v>
      </c>
      <c r="J319" s="28" t="n">
        <v>30</v>
      </c>
      <c r="K319" s="28" t="n">
        <v>1</v>
      </c>
      <c r="L319" s="24" t="s">
        <v>24</v>
      </c>
      <c r="M319" s="29" t="n">
        <f aca="false">IF("oui" = "oui",7.82*(1-disc),7.82)</f>
        <v>7.82</v>
      </c>
      <c r="N319" s="29" t="n">
        <f aca="false">IF("oui" = "oui",7.82*(1-disc)*1.2,7.82*1.2)</f>
        <v>9.384</v>
      </c>
      <c r="O319" s="24" t="s">
        <v>25</v>
      </c>
      <c r="P319" s="55" t="s">
        <v>45</v>
      </c>
      <c r="Q319" s="16"/>
    </row>
    <row r="320" customFormat="false" ht="12.8" hidden="false" customHeight="false" outlineLevel="0" collapsed="false">
      <c r="A320" s="22"/>
      <c r="B320" s="23" t="n">
        <v>510111000</v>
      </c>
      <c r="C320" s="24" t="n">
        <v>100</v>
      </c>
      <c r="D320" s="54" t="s">
        <v>309</v>
      </c>
      <c r="E320" s="19" t="s">
        <v>179</v>
      </c>
      <c r="F320" s="24" t="s">
        <v>23</v>
      </c>
      <c r="G320" s="25" t="n">
        <v>0.311</v>
      </c>
      <c r="H320" s="26"/>
      <c r="I320" s="27" t="n">
        <v>100</v>
      </c>
      <c r="J320" s="28" t="n">
        <v>30</v>
      </c>
      <c r="K320" s="28" t="n">
        <v>1</v>
      </c>
      <c r="L320" s="24" t="s">
        <v>24</v>
      </c>
      <c r="M320" s="29" t="n">
        <f aca="false">IF("oui" = "oui",7.82*(1-disc),7.82)</f>
        <v>7.82</v>
      </c>
      <c r="N320" s="29" t="n">
        <f aca="false">IF("oui" = "oui",7.82*(1-disc)*1.2,7.82*1.2)</f>
        <v>9.384</v>
      </c>
      <c r="O320" s="24" t="s">
        <v>25</v>
      </c>
      <c r="P320" s="4" t="s">
        <v>25</v>
      </c>
      <c r="Q320" s="16"/>
    </row>
    <row r="321" customFormat="false" ht="12.8" hidden="false" customHeight="false" outlineLevel="0" collapsed="false">
      <c r="A321" s="22"/>
      <c r="B321" s="23" t="n">
        <v>510113000</v>
      </c>
      <c r="C321" s="24" t="n">
        <v>100</v>
      </c>
      <c r="D321" s="54" t="s">
        <v>310</v>
      </c>
      <c r="E321" s="19" t="s">
        <v>179</v>
      </c>
      <c r="F321" s="24" t="s">
        <v>23</v>
      </c>
      <c r="G321" s="25" t="n">
        <v>0.311</v>
      </c>
      <c r="H321" s="26"/>
      <c r="I321" s="27" t="n">
        <v>100</v>
      </c>
      <c r="J321" s="28" t="n">
        <v>30</v>
      </c>
      <c r="K321" s="28" t="n">
        <v>1</v>
      </c>
      <c r="L321" s="24" t="s">
        <v>24</v>
      </c>
      <c r="M321" s="29" t="n">
        <f aca="false">IF("oui" = "oui",7.82*(1-disc),7.82)</f>
        <v>7.82</v>
      </c>
      <c r="N321" s="29" t="n">
        <f aca="false">IF("oui" = "oui",7.82*(1-disc)*1.2,7.82*1.2)</f>
        <v>9.384</v>
      </c>
      <c r="O321" s="24" t="s">
        <v>25</v>
      </c>
      <c r="P321" s="55" t="s">
        <v>311</v>
      </c>
      <c r="Q321" s="16"/>
    </row>
    <row r="322" customFormat="false" ht="12.8" hidden="false" customHeight="false" outlineLevel="0" collapsed="false">
      <c r="A322" s="22"/>
      <c r="B322" s="23" t="n">
        <v>510114000</v>
      </c>
      <c r="C322" s="24" t="n">
        <v>100</v>
      </c>
      <c r="D322" s="54" t="s">
        <v>312</v>
      </c>
      <c r="E322" s="19" t="s">
        <v>179</v>
      </c>
      <c r="F322" s="24" t="s">
        <v>23</v>
      </c>
      <c r="G322" s="25" t="n">
        <v>0.311</v>
      </c>
      <c r="H322" s="26"/>
      <c r="I322" s="27" t="n">
        <v>100</v>
      </c>
      <c r="J322" s="28" t="n">
        <v>30</v>
      </c>
      <c r="K322" s="28" t="n">
        <v>1</v>
      </c>
      <c r="L322" s="24" t="s">
        <v>24</v>
      </c>
      <c r="M322" s="29" t="n">
        <f aca="false">IF("oui" = "oui",7.82*(1-disc),7.82)</f>
        <v>7.82</v>
      </c>
      <c r="N322" s="29" t="n">
        <f aca="false">IF("oui" = "oui",7.82*(1-disc)*1.2,7.82*1.2)</f>
        <v>9.384</v>
      </c>
      <c r="O322" s="24" t="s">
        <v>25</v>
      </c>
      <c r="P322" s="4" t="s">
        <v>25</v>
      </c>
      <c r="Q322" s="16"/>
    </row>
    <row r="323" customFormat="false" ht="12.8" hidden="false" customHeight="false" outlineLevel="0" collapsed="false">
      <c r="A323" s="22"/>
      <c r="B323" s="23" t="n">
        <v>510115000</v>
      </c>
      <c r="C323" s="24" t="n">
        <v>100</v>
      </c>
      <c r="D323" s="54" t="s">
        <v>313</v>
      </c>
      <c r="E323" s="19" t="s">
        <v>179</v>
      </c>
      <c r="F323" s="24" t="s">
        <v>23</v>
      </c>
      <c r="G323" s="25" t="n">
        <v>0.311</v>
      </c>
      <c r="H323" s="26"/>
      <c r="I323" s="27" t="n">
        <v>100</v>
      </c>
      <c r="J323" s="28" t="n">
        <v>30</v>
      </c>
      <c r="K323" s="28" t="n">
        <v>1</v>
      </c>
      <c r="L323" s="24" t="s">
        <v>24</v>
      </c>
      <c r="M323" s="29" t="n">
        <f aca="false">IF("oui" = "oui",7.82*(1-disc),7.82)</f>
        <v>7.82</v>
      </c>
      <c r="N323" s="29" t="n">
        <f aca="false">IF("oui" = "oui",7.82*(1-disc)*1.2,7.82*1.2)</f>
        <v>9.384</v>
      </c>
      <c r="O323" s="24" t="s">
        <v>25</v>
      </c>
      <c r="P323" s="55" t="s">
        <v>314</v>
      </c>
      <c r="Q323" s="16"/>
    </row>
    <row r="324" customFormat="false" ht="12.8" hidden="false" customHeight="false" outlineLevel="0" collapsed="false">
      <c r="A324" s="22"/>
      <c r="B324" s="23" t="n">
        <v>510116000</v>
      </c>
      <c r="C324" s="24" t="n">
        <v>100</v>
      </c>
      <c r="D324" s="54" t="s">
        <v>315</v>
      </c>
      <c r="E324" s="19" t="s">
        <v>179</v>
      </c>
      <c r="F324" s="24" t="s">
        <v>23</v>
      </c>
      <c r="G324" s="25" t="n">
        <v>0.311</v>
      </c>
      <c r="H324" s="26"/>
      <c r="I324" s="27" t="n">
        <v>100</v>
      </c>
      <c r="J324" s="28" t="n">
        <v>30</v>
      </c>
      <c r="K324" s="28" t="n">
        <v>1</v>
      </c>
      <c r="L324" s="24" t="s">
        <v>24</v>
      </c>
      <c r="M324" s="29" t="n">
        <f aca="false">IF("oui" = "oui",7.82*(1-disc),7.82)</f>
        <v>7.82</v>
      </c>
      <c r="N324" s="29" t="n">
        <f aca="false">IF("oui" = "oui",7.82*(1-disc)*1.2,7.82*1.2)</f>
        <v>9.384</v>
      </c>
      <c r="O324" s="24" t="s">
        <v>25</v>
      </c>
      <c r="P324" s="4" t="s">
        <v>25</v>
      </c>
      <c r="Q324" s="16"/>
    </row>
    <row r="325" customFormat="false" ht="12.8" hidden="false" customHeight="false" outlineLevel="0" collapsed="false">
      <c r="A325" s="22"/>
      <c r="B325" s="23" t="n">
        <v>510157000</v>
      </c>
      <c r="C325" s="24" t="n">
        <v>100</v>
      </c>
      <c r="D325" s="54" t="s">
        <v>316</v>
      </c>
      <c r="E325" s="19" t="s">
        <v>179</v>
      </c>
      <c r="F325" s="24" t="s">
        <v>23</v>
      </c>
      <c r="G325" s="25" t="n">
        <v>0.311</v>
      </c>
      <c r="H325" s="26"/>
      <c r="I325" s="27" t="n">
        <v>100</v>
      </c>
      <c r="J325" s="28" t="n">
        <v>30</v>
      </c>
      <c r="K325" s="28" t="n">
        <v>1</v>
      </c>
      <c r="L325" s="24" t="s">
        <v>24</v>
      </c>
      <c r="M325" s="29" t="n">
        <f aca="false">IF("oui" = "oui",7.82*(1-disc),7.82)</f>
        <v>7.82</v>
      </c>
      <c r="N325" s="29" t="n">
        <f aca="false">IF("oui" = "oui",7.82*(1-disc)*1.2,7.82*1.2)</f>
        <v>9.384</v>
      </c>
      <c r="O325" s="24" t="s">
        <v>25</v>
      </c>
      <c r="P325" s="4" t="s">
        <v>25</v>
      </c>
      <c r="Q325" s="16"/>
    </row>
    <row r="326" customFormat="false" ht="12.8" hidden="false" customHeight="false" outlineLevel="0" collapsed="false">
      <c r="A326" s="22"/>
      <c r="B326" s="23" t="n">
        <v>510117000</v>
      </c>
      <c r="C326" s="24" t="n">
        <v>100</v>
      </c>
      <c r="D326" s="54" t="s">
        <v>317</v>
      </c>
      <c r="E326" s="19" t="s">
        <v>179</v>
      </c>
      <c r="F326" s="24" t="s">
        <v>23</v>
      </c>
      <c r="G326" s="25" t="n">
        <v>0.311</v>
      </c>
      <c r="H326" s="26"/>
      <c r="I326" s="27" t="n">
        <v>100</v>
      </c>
      <c r="J326" s="28" t="n">
        <v>30</v>
      </c>
      <c r="K326" s="28" t="n">
        <v>1</v>
      </c>
      <c r="L326" s="24" t="s">
        <v>24</v>
      </c>
      <c r="M326" s="29" t="n">
        <f aca="false">IF("oui" = "oui",7.82*(1-disc),7.82)</f>
        <v>7.82</v>
      </c>
      <c r="N326" s="29" t="n">
        <f aca="false">IF("oui" = "oui",7.82*(1-disc)*1.2,7.82*1.2)</f>
        <v>9.384</v>
      </c>
      <c r="O326" s="24" t="s">
        <v>25</v>
      </c>
      <c r="P326" s="7" t="s">
        <v>26</v>
      </c>
      <c r="Q326" s="16"/>
    </row>
    <row r="327" customFormat="false" ht="12.8" hidden="false" customHeight="false" outlineLevel="0" collapsed="false">
      <c r="A327" s="22"/>
      <c r="B327" s="23" t="n">
        <v>510106000</v>
      </c>
      <c r="C327" s="24" t="n">
        <v>100</v>
      </c>
      <c r="D327" s="54" t="s">
        <v>318</v>
      </c>
      <c r="E327" s="19" t="s">
        <v>179</v>
      </c>
      <c r="F327" s="24" t="s">
        <v>23</v>
      </c>
      <c r="G327" s="25" t="n">
        <v>0.311</v>
      </c>
      <c r="H327" s="26"/>
      <c r="I327" s="27" t="n">
        <v>100</v>
      </c>
      <c r="J327" s="28" t="n">
        <v>30</v>
      </c>
      <c r="K327" s="28" t="n">
        <v>1</v>
      </c>
      <c r="L327" s="24" t="s">
        <v>24</v>
      </c>
      <c r="M327" s="29" t="n">
        <f aca="false">IF("oui" = "oui",7.82*(1-disc),7.82)</f>
        <v>7.82</v>
      </c>
      <c r="N327" s="29" t="n">
        <f aca="false">IF("oui" = "oui",7.82*(1-disc)*1.2,7.82*1.2)</f>
        <v>9.384</v>
      </c>
      <c r="O327" s="24" t="s">
        <v>25</v>
      </c>
      <c r="P327" s="4" t="s">
        <v>25</v>
      </c>
      <c r="Q327" s="16"/>
    </row>
    <row r="328" customFormat="false" ht="12.8" hidden="false" customHeight="false" outlineLevel="0" collapsed="false">
      <c r="A328" s="22"/>
      <c r="B328" s="23"/>
      <c r="C328" s="24"/>
      <c r="D328" s="22"/>
      <c r="E328" s="19"/>
      <c r="F328" s="24"/>
      <c r="G328" s="25"/>
      <c r="H328" s="26"/>
      <c r="I328" s="27"/>
      <c r="J328" s="28"/>
      <c r="K328" s="28"/>
      <c r="L328" s="24"/>
      <c r="M328" s="29"/>
      <c r="N328" s="29"/>
      <c r="O328" s="24"/>
      <c r="P328" s="4"/>
      <c r="Q328" s="16"/>
    </row>
    <row r="329" customFormat="false" ht="12.8" hidden="false" customHeight="false" outlineLevel="0" collapsed="false">
      <c r="A329" s="22"/>
      <c r="B329" s="23" t="n">
        <v>510131000</v>
      </c>
      <c r="C329" s="24" t="n">
        <v>100</v>
      </c>
      <c r="D329" s="22" t="s">
        <v>319</v>
      </c>
      <c r="E329" s="19" t="s">
        <v>179</v>
      </c>
      <c r="F329" s="24" t="s">
        <v>23</v>
      </c>
      <c r="G329" s="25" t="n">
        <v>1.535</v>
      </c>
      <c r="H329" s="26"/>
      <c r="I329" s="27" t="n">
        <v>100</v>
      </c>
      <c r="J329" s="28" t="n">
        <v>6</v>
      </c>
      <c r="K329" s="28" t="n">
        <v>5</v>
      </c>
      <c r="L329" s="24" t="s">
        <v>24</v>
      </c>
      <c r="M329" s="29" t="n">
        <f aca="false">IF("oui" = "oui",39.11*(1-disc),39.11)</f>
        <v>39.11</v>
      </c>
      <c r="N329" s="29" t="n">
        <f aca="false">IF("oui" = "oui",39.11*(1-disc)*1.2,39.11*1.2)</f>
        <v>46.932</v>
      </c>
      <c r="O329" s="24" t="s">
        <v>25</v>
      </c>
      <c r="P329" s="4" t="s">
        <v>25</v>
      </c>
      <c r="Q329" s="16"/>
    </row>
    <row r="330" customFormat="false" ht="12.8" hidden="false" customHeight="false" outlineLevel="0" collapsed="false">
      <c r="A330" s="22"/>
      <c r="B330" s="23"/>
      <c r="C330" s="24"/>
      <c r="D330" s="22"/>
      <c r="E330" s="19"/>
      <c r="F330" s="24"/>
      <c r="G330" s="25"/>
      <c r="H330" s="26"/>
      <c r="I330" s="27"/>
      <c r="J330" s="28"/>
      <c r="K330" s="28"/>
      <c r="L330" s="24"/>
      <c r="M330" s="29"/>
      <c r="N330" s="29"/>
      <c r="O330" s="24"/>
      <c r="P330" s="4"/>
      <c r="Q330" s="16"/>
    </row>
    <row r="331" customFormat="false" ht="12.8" hidden="false" customHeight="false" outlineLevel="0" collapsed="false">
      <c r="A331" s="42" t="s">
        <v>109</v>
      </c>
      <c r="B331" s="43"/>
      <c r="C331" s="44"/>
      <c r="D331" s="45"/>
      <c r="E331" s="46"/>
      <c r="F331" s="44"/>
      <c r="G331" s="47"/>
      <c r="H331" s="48"/>
      <c r="I331" s="49"/>
      <c r="J331" s="50"/>
      <c r="K331" s="50"/>
      <c r="L331" s="44"/>
      <c r="M331" s="51"/>
      <c r="N331" s="51"/>
      <c r="O331" s="44"/>
      <c r="P331" s="52"/>
      <c r="Q331" s="53"/>
    </row>
    <row r="332" customFormat="false" ht="12.8" hidden="false" customHeight="false" outlineLevel="0" collapsed="false">
      <c r="A332" s="22"/>
      <c r="B332" s="23"/>
      <c r="C332" s="24"/>
      <c r="D332" s="22"/>
      <c r="E332" s="19"/>
      <c r="F332" s="24"/>
      <c r="G332" s="25"/>
      <c r="H332" s="26"/>
      <c r="I332" s="27"/>
      <c r="J332" s="28"/>
      <c r="K332" s="28"/>
      <c r="L332" s="24"/>
      <c r="M332" s="29"/>
      <c r="N332" s="29"/>
      <c r="O332" s="24"/>
      <c r="P332" s="4"/>
      <c r="Q332" s="16"/>
    </row>
    <row r="333" customFormat="false" ht="12.8" hidden="false" customHeight="false" outlineLevel="0" collapsed="false">
      <c r="A333" s="22"/>
      <c r="B333" s="23" t="n">
        <v>510180000</v>
      </c>
      <c r="C333" s="24" t="n">
        <v>100</v>
      </c>
      <c r="D333" s="54" t="s">
        <v>320</v>
      </c>
      <c r="E333" s="19" t="s">
        <v>321</v>
      </c>
      <c r="F333" s="24" t="s">
        <v>23</v>
      </c>
      <c r="G333" s="25" t="n">
        <v>0.302</v>
      </c>
      <c r="H333" s="26"/>
      <c r="I333" s="27" t="n">
        <v>100</v>
      </c>
      <c r="J333" s="28" t="n">
        <v>30</v>
      </c>
      <c r="K333" s="28" t="n">
        <v>1</v>
      </c>
      <c r="L333" s="24" t="s">
        <v>24</v>
      </c>
      <c r="M333" s="29" t="n">
        <f aca="false">IF("oui" = "oui",9.02*(1-disc),9.02)</f>
        <v>9.02</v>
      </c>
      <c r="N333" s="29" t="n">
        <f aca="false">IF("oui" = "oui",9.02*(1-disc)*1.2,9.02*1.2)</f>
        <v>10.824</v>
      </c>
      <c r="O333" s="24" t="s">
        <v>25</v>
      </c>
      <c r="P333" s="4" t="s">
        <v>25</v>
      </c>
      <c r="Q333" s="16"/>
    </row>
    <row r="334" customFormat="false" ht="12.8" hidden="false" customHeight="false" outlineLevel="0" collapsed="false">
      <c r="A334" s="22"/>
      <c r="B334" s="23" t="n">
        <v>510179000</v>
      </c>
      <c r="C334" s="24" t="n">
        <v>100</v>
      </c>
      <c r="D334" s="54" t="s">
        <v>322</v>
      </c>
      <c r="E334" s="19" t="s">
        <v>321</v>
      </c>
      <c r="F334" s="24" t="s">
        <v>23</v>
      </c>
      <c r="G334" s="25" t="n">
        <v>0.302</v>
      </c>
      <c r="H334" s="26"/>
      <c r="I334" s="27" t="n">
        <v>100</v>
      </c>
      <c r="J334" s="28" t="n">
        <v>30</v>
      </c>
      <c r="K334" s="28" t="n">
        <v>1</v>
      </c>
      <c r="L334" s="24" t="s">
        <v>24</v>
      </c>
      <c r="M334" s="29" t="n">
        <f aca="false">IF("oui" = "oui",9.02*(1-disc),9.02)</f>
        <v>9.02</v>
      </c>
      <c r="N334" s="29" t="n">
        <f aca="false">IF("oui" = "oui",9.02*(1-disc)*1.2,9.02*1.2)</f>
        <v>10.824</v>
      </c>
      <c r="O334" s="24" t="s">
        <v>25</v>
      </c>
      <c r="P334" s="4" t="s">
        <v>25</v>
      </c>
      <c r="Q334" s="16"/>
    </row>
    <row r="335" customFormat="false" ht="12.8" hidden="false" customHeight="false" outlineLevel="0" collapsed="false">
      <c r="A335" s="22"/>
      <c r="B335" s="23" t="n">
        <v>510178000</v>
      </c>
      <c r="C335" s="24" t="n">
        <v>100</v>
      </c>
      <c r="D335" s="54" t="s">
        <v>323</v>
      </c>
      <c r="E335" s="19" t="s">
        <v>321</v>
      </c>
      <c r="F335" s="24" t="s">
        <v>23</v>
      </c>
      <c r="G335" s="25" t="n">
        <v>0.302</v>
      </c>
      <c r="H335" s="26"/>
      <c r="I335" s="27" t="n">
        <v>100</v>
      </c>
      <c r="J335" s="28" t="n">
        <v>30</v>
      </c>
      <c r="K335" s="28" t="n">
        <v>1</v>
      </c>
      <c r="L335" s="24" t="s">
        <v>24</v>
      </c>
      <c r="M335" s="29" t="n">
        <f aca="false">IF("oui" = "oui",9.02*(1-disc),9.02)</f>
        <v>9.02</v>
      </c>
      <c r="N335" s="29" t="n">
        <f aca="false">IF("oui" = "oui",9.02*(1-disc)*1.2,9.02*1.2)</f>
        <v>10.824</v>
      </c>
      <c r="O335" s="24" t="s">
        <v>25</v>
      </c>
      <c r="P335" s="55" t="s">
        <v>45</v>
      </c>
      <c r="Q335" s="16"/>
    </row>
    <row r="336" customFormat="false" ht="12.8" hidden="false" customHeight="false" outlineLevel="0" collapsed="false">
      <c r="A336" s="22"/>
      <c r="B336" s="23" t="n">
        <v>510177000</v>
      </c>
      <c r="C336" s="24" t="n">
        <v>100</v>
      </c>
      <c r="D336" s="54" t="s">
        <v>324</v>
      </c>
      <c r="E336" s="19" t="s">
        <v>321</v>
      </c>
      <c r="F336" s="24" t="s">
        <v>23</v>
      </c>
      <c r="G336" s="25" t="n">
        <v>0.302</v>
      </c>
      <c r="H336" s="26"/>
      <c r="I336" s="27" t="n">
        <v>100</v>
      </c>
      <c r="J336" s="28" t="n">
        <v>30</v>
      </c>
      <c r="K336" s="28" t="n">
        <v>1</v>
      </c>
      <c r="L336" s="24" t="s">
        <v>24</v>
      </c>
      <c r="M336" s="29" t="n">
        <f aca="false">IF("oui" = "oui",9.02*(1-disc),9.02)</f>
        <v>9.02</v>
      </c>
      <c r="N336" s="29" t="n">
        <f aca="false">IF("oui" = "oui",9.02*(1-disc)*1.2,9.02*1.2)</f>
        <v>10.824</v>
      </c>
      <c r="O336" s="24" t="s">
        <v>25</v>
      </c>
      <c r="P336" s="55" t="s">
        <v>141</v>
      </c>
      <c r="Q336" s="16"/>
    </row>
    <row r="337" customFormat="false" ht="12.8" hidden="false" customHeight="false" outlineLevel="0" collapsed="false">
      <c r="A337" s="22"/>
      <c r="B337" s="23" t="n">
        <v>510176000</v>
      </c>
      <c r="C337" s="24" t="n">
        <v>100</v>
      </c>
      <c r="D337" s="54" t="s">
        <v>325</v>
      </c>
      <c r="E337" s="19" t="s">
        <v>321</v>
      </c>
      <c r="F337" s="24" t="s">
        <v>23</v>
      </c>
      <c r="G337" s="25" t="n">
        <v>0.302</v>
      </c>
      <c r="H337" s="26"/>
      <c r="I337" s="27" t="n">
        <v>100</v>
      </c>
      <c r="J337" s="28" t="n">
        <v>30</v>
      </c>
      <c r="K337" s="28" t="n">
        <v>1</v>
      </c>
      <c r="L337" s="24" t="s">
        <v>24</v>
      </c>
      <c r="M337" s="29" t="n">
        <f aca="false">IF("oui" = "oui",9.02*(1-disc),9.02)</f>
        <v>9.02</v>
      </c>
      <c r="N337" s="29" t="n">
        <f aca="false">IF("oui" = "oui",9.02*(1-disc)*1.2,9.02*1.2)</f>
        <v>10.824</v>
      </c>
      <c r="O337" s="24" t="s">
        <v>25</v>
      </c>
      <c r="P337" s="4" t="s">
        <v>25</v>
      </c>
      <c r="Q337" s="16"/>
    </row>
    <row r="338" customFormat="false" ht="12.8" hidden="false" customHeight="false" outlineLevel="0" collapsed="false">
      <c r="A338" s="22"/>
      <c r="B338" s="23" t="n">
        <v>510175000</v>
      </c>
      <c r="C338" s="24" t="n">
        <v>100</v>
      </c>
      <c r="D338" s="54" t="s">
        <v>326</v>
      </c>
      <c r="E338" s="19" t="s">
        <v>321</v>
      </c>
      <c r="F338" s="24" t="s">
        <v>23</v>
      </c>
      <c r="G338" s="25" t="n">
        <v>0.302</v>
      </c>
      <c r="H338" s="26"/>
      <c r="I338" s="27" t="n">
        <v>100</v>
      </c>
      <c r="J338" s="28" t="n">
        <v>30</v>
      </c>
      <c r="K338" s="28" t="n">
        <v>1</v>
      </c>
      <c r="L338" s="24" t="s">
        <v>24</v>
      </c>
      <c r="M338" s="29" t="n">
        <f aca="false">IF("oui" = "oui",9.02*(1-disc),9.02)</f>
        <v>9.02</v>
      </c>
      <c r="N338" s="29" t="n">
        <f aca="false">IF("oui" = "oui",9.02*(1-disc)*1.2,9.02*1.2)</f>
        <v>10.824</v>
      </c>
      <c r="O338" s="24" t="s">
        <v>25</v>
      </c>
      <c r="P338" s="4" t="s">
        <v>25</v>
      </c>
      <c r="Q338" s="16"/>
    </row>
    <row r="339" customFormat="false" ht="12.8" hidden="false" customHeight="false" outlineLevel="0" collapsed="false">
      <c r="A339" s="22"/>
      <c r="B339" s="23" t="n">
        <v>510174000</v>
      </c>
      <c r="C339" s="24" t="n">
        <v>100</v>
      </c>
      <c r="D339" s="54" t="s">
        <v>327</v>
      </c>
      <c r="E339" s="19" t="s">
        <v>321</v>
      </c>
      <c r="F339" s="24" t="s">
        <v>23</v>
      </c>
      <c r="G339" s="25" t="n">
        <v>0.302</v>
      </c>
      <c r="H339" s="26"/>
      <c r="I339" s="27" t="n">
        <v>100</v>
      </c>
      <c r="J339" s="28" t="n">
        <v>30</v>
      </c>
      <c r="K339" s="28" t="n">
        <v>1</v>
      </c>
      <c r="L339" s="24" t="s">
        <v>24</v>
      </c>
      <c r="M339" s="29" t="n">
        <f aca="false">IF("oui" = "oui",9.02*(1-disc),9.02)</f>
        <v>9.02</v>
      </c>
      <c r="N339" s="29" t="n">
        <f aca="false">IF("oui" = "oui",9.02*(1-disc)*1.2,9.02*1.2)</f>
        <v>10.824</v>
      </c>
      <c r="O339" s="24" t="s">
        <v>25</v>
      </c>
      <c r="P339" s="4" t="s">
        <v>25</v>
      </c>
      <c r="Q339" s="16"/>
    </row>
    <row r="340" customFormat="false" ht="12.8" hidden="false" customHeight="false" outlineLevel="0" collapsed="false">
      <c r="A340" s="22"/>
      <c r="B340" s="23" t="n">
        <v>510173000</v>
      </c>
      <c r="C340" s="24" t="n">
        <v>100</v>
      </c>
      <c r="D340" s="54" t="s">
        <v>328</v>
      </c>
      <c r="E340" s="19" t="s">
        <v>321</v>
      </c>
      <c r="F340" s="24" t="s">
        <v>23</v>
      </c>
      <c r="G340" s="25" t="n">
        <v>0.302</v>
      </c>
      <c r="H340" s="26"/>
      <c r="I340" s="27" t="n">
        <v>100</v>
      </c>
      <c r="J340" s="28" t="n">
        <v>30</v>
      </c>
      <c r="K340" s="28" t="n">
        <v>1</v>
      </c>
      <c r="L340" s="24" t="s">
        <v>24</v>
      </c>
      <c r="M340" s="29" t="n">
        <f aca="false">IF("oui" = "oui",9.02*(1-disc),9.02)</f>
        <v>9.02</v>
      </c>
      <c r="N340" s="29" t="n">
        <f aca="false">IF("oui" = "oui",9.02*(1-disc)*1.2,9.02*1.2)</f>
        <v>10.824</v>
      </c>
      <c r="O340" s="24" t="s">
        <v>25</v>
      </c>
      <c r="P340" s="55" t="s">
        <v>63</v>
      </c>
      <c r="Q340" s="16"/>
    </row>
    <row r="341" customFormat="false" ht="12.8" hidden="false" customHeight="false" outlineLevel="0" collapsed="false">
      <c r="A341" s="22"/>
      <c r="B341" s="23" t="n">
        <v>510172000</v>
      </c>
      <c r="C341" s="24" t="n">
        <v>100</v>
      </c>
      <c r="D341" s="54" t="s">
        <v>329</v>
      </c>
      <c r="E341" s="19" t="s">
        <v>321</v>
      </c>
      <c r="F341" s="24" t="s">
        <v>23</v>
      </c>
      <c r="G341" s="25" t="n">
        <v>0.302</v>
      </c>
      <c r="H341" s="26"/>
      <c r="I341" s="27" t="n">
        <v>100</v>
      </c>
      <c r="J341" s="28" t="n">
        <v>30</v>
      </c>
      <c r="K341" s="28" t="n">
        <v>1</v>
      </c>
      <c r="L341" s="24" t="s">
        <v>24</v>
      </c>
      <c r="M341" s="29" t="n">
        <f aca="false">IF("oui" = "oui",9.02*(1-disc),9.02)</f>
        <v>9.02</v>
      </c>
      <c r="N341" s="29" t="n">
        <f aca="false">IF("oui" = "oui",9.02*(1-disc)*1.2,9.02*1.2)</f>
        <v>10.824</v>
      </c>
      <c r="O341" s="24" t="s">
        <v>25</v>
      </c>
      <c r="P341" s="4" t="s">
        <v>25</v>
      </c>
      <c r="Q341" s="16"/>
    </row>
    <row r="342" customFormat="false" ht="12.8" hidden="false" customHeight="false" outlineLevel="0" collapsed="false">
      <c r="A342" s="22"/>
      <c r="B342" s="23" t="n">
        <v>510171000</v>
      </c>
      <c r="C342" s="24" t="n">
        <v>100</v>
      </c>
      <c r="D342" s="54" t="s">
        <v>330</v>
      </c>
      <c r="E342" s="19" t="s">
        <v>321</v>
      </c>
      <c r="F342" s="24" t="s">
        <v>23</v>
      </c>
      <c r="G342" s="25" t="n">
        <v>0.302</v>
      </c>
      <c r="H342" s="26"/>
      <c r="I342" s="27" t="n">
        <v>100</v>
      </c>
      <c r="J342" s="28" t="n">
        <v>30</v>
      </c>
      <c r="K342" s="28" t="n">
        <v>1</v>
      </c>
      <c r="L342" s="24" t="s">
        <v>24</v>
      </c>
      <c r="M342" s="29" t="n">
        <f aca="false">IF("oui" = "oui",9.02*(1-disc),9.02)</f>
        <v>9.02</v>
      </c>
      <c r="N342" s="29" t="n">
        <f aca="false">IF("oui" = "oui",9.02*(1-disc)*1.2,9.02*1.2)</f>
        <v>10.824</v>
      </c>
      <c r="O342" s="24" t="s">
        <v>25</v>
      </c>
      <c r="P342" s="4" t="s">
        <v>25</v>
      </c>
      <c r="Q342" s="16"/>
    </row>
    <row r="343" customFormat="false" ht="12.8" hidden="false" customHeight="false" outlineLevel="0" collapsed="false">
      <c r="A343" s="22"/>
      <c r="B343" s="23" t="n">
        <v>510170000</v>
      </c>
      <c r="C343" s="24" t="n">
        <v>100</v>
      </c>
      <c r="D343" s="54" t="s">
        <v>331</v>
      </c>
      <c r="E343" s="19" t="s">
        <v>321</v>
      </c>
      <c r="F343" s="24" t="s">
        <v>23</v>
      </c>
      <c r="G343" s="25" t="n">
        <v>0.302</v>
      </c>
      <c r="H343" s="26"/>
      <c r="I343" s="27" t="n">
        <v>100</v>
      </c>
      <c r="J343" s="28" t="n">
        <v>30</v>
      </c>
      <c r="K343" s="28" t="n">
        <v>1</v>
      </c>
      <c r="L343" s="24" t="s">
        <v>24</v>
      </c>
      <c r="M343" s="29" t="n">
        <f aca="false">IF("oui" = "oui",9.02*(1-disc),9.02)</f>
        <v>9.02</v>
      </c>
      <c r="N343" s="29" t="n">
        <f aca="false">IF("oui" = "oui",9.02*(1-disc)*1.2,9.02*1.2)</f>
        <v>10.824</v>
      </c>
      <c r="O343" s="24" t="s">
        <v>25</v>
      </c>
      <c r="P343" s="4" t="s">
        <v>25</v>
      </c>
      <c r="Q343" s="16"/>
    </row>
    <row r="344" customFormat="false" ht="12.8" hidden="false" customHeight="false" outlineLevel="0" collapsed="false">
      <c r="A344" s="22"/>
      <c r="B344" s="23"/>
      <c r="C344" s="24"/>
      <c r="D344" s="22"/>
      <c r="E344" s="19"/>
      <c r="F344" s="24"/>
      <c r="G344" s="25"/>
      <c r="H344" s="26"/>
      <c r="I344" s="27"/>
      <c r="J344" s="28"/>
      <c r="K344" s="28"/>
      <c r="L344" s="24"/>
      <c r="M344" s="29"/>
      <c r="N344" s="29"/>
      <c r="O344" s="24"/>
      <c r="P344" s="4"/>
      <c r="Q344" s="16"/>
    </row>
    <row r="345" customFormat="false" ht="12.8" hidden="false" customHeight="false" outlineLevel="0" collapsed="false">
      <c r="A345" s="22"/>
      <c r="B345" s="23" t="n">
        <v>510181000</v>
      </c>
      <c r="C345" s="24" t="n">
        <v>100</v>
      </c>
      <c r="D345" s="22" t="s">
        <v>332</v>
      </c>
      <c r="E345" s="19" t="s">
        <v>321</v>
      </c>
      <c r="F345" s="24" t="s">
        <v>23</v>
      </c>
      <c r="G345" s="25" t="n">
        <v>1.51</v>
      </c>
      <c r="H345" s="26"/>
      <c r="I345" s="27" t="n">
        <v>100</v>
      </c>
      <c r="J345" s="28" t="n">
        <v>6</v>
      </c>
      <c r="K345" s="28" t="n">
        <v>5</v>
      </c>
      <c r="L345" s="24" t="s">
        <v>24</v>
      </c>
      <c r="M345" s="29" t="n">
        <f aca="false">IF("oui" = "oui",45.09*(1-disc),45.09)</f>
        <v>45.09</v>
      </c>
      <c r="N345" s="29" t="n">
        <f aca="false">IF("oui" = "oui",45.09*(1-disc)*1.2,45.09*1.2)</f>
        <v>54.108</v>
      </c>
      <c r="O345" s="24" t="s">
        <v>25</v>
      </c>
      <c r="P345" s="4" t="s">
        <v>25</v>
      </c>
      <c r="Q345" s="16"/>
    </row>
    <row r="346" customFormat="false" ht="12.8" hidden="false" customHeight="false" outlineLevel="0" collapsed="false">
      <c r="A346" s="22"/>
      <c r="B346" s="23"/>
      <c r="C346" s="24"/>
      <c r="D346" s="22"/>
      <c r="E346" s="19"/>
      <c r="F346" s="24"/>
      <c r="G346" s="25"/>
      <c r="H346" s="26"/>
      <c r="I346" s="27"/>
      <c r="J346" s="28"/>
      <c r="K346" s="28"/>
      <c r="L346" s="24"/>
      <c r="M346" s="29"/>
      <c r="N346" s="29"/>
      <c r="O346" s="24"/>
      <c r="P346" s="4"/>
      <c r="Q346" s="16"/>
    </row>
    <row r="347" customFormat="false" ht="12.8" hidden="false" customHeight="false" outlineLevel="0" collapsed="false">
      <c r="A347" s="42" t="s">
        <v>55</v>
      </c>
      <c r="B347" s="43"/>
      <c r="C347" s="44"/>
      <c r="D347" s="45"/>
      <c r="E347" s="46"/>
      <c r="F347" s="44"/>
      <c r="G347" s="47"/>
      <c r="H347" s="48"/>
      <c r="I347" s="49"/>
      <c r="J347" s="50"/>
      <c r="K347" s="50"/>
      <c r="L347" s="44"/>
      <c r="M347" s="51"/>
      <c r="N347" s="51"/>
      <c r="O347" s="44"/>
      <c r="P347" s="52"/>
      <c r="Q347" s="53"/>
    </row>
    <row r="348" customFormat="false" ht="12.8" hidden="false" customHeight="false" outlineLevel="0" collapsed="false">
      <c r="A348" s="22"/>
      <c r="B348" s="23"/>
      <c r="C348" s="24"/>
      <c r="D348" s="22"/>
      <c r="E348" s="19"/>
      <c r="F348" s="24"/>
      <c r="G348" s="25"/>
      <c r="H348" s="26"/>
      <c r="I348" s="27"/>
      <c r="J348" s="28"/>
      <c r="K348" s="28"/>
      <c r="L348" s="24"/>
      <c r="M348" s="29"/>
      <c r="N348" s="29"/>
      <c r="O348" s="24"/>
      <c r="P348" s="4"/>
      <c r="Q348" s="16"/>
    </row>
    <row r="349" customFormat="false" ht="12.8" hidden="false" customHeight="false" outlineLevel="0" collapsed="false">
      <c r="A349" s="22"/>
      <c r="B349" s="23" t="n">
        <v>510048000</v>
      </c>
      <c r="C349" s="24" t="n">
        <v>100</v>
      </c>
      <c r="D349" s="54" t="s">
        <v>333</v>
      </c>
      <c r="E349" s="19" t="s">
        <v>334</v>
      </c>
      <c r="F349" s="24" t="s">
        <v>23</v>
      </c>
      <c r="G349" s="25" t="n">
        <v>0.361</v>
      </c>
      <c r="H349" s="26"/>
      <c r="I349" s="27" t="n">
        <v>100</v>
      </c>
      <c r="J349" s="28" t="n">
        <v>30</v>
      </c>
      <c r="K349" s="28" t="n">
        <v>1</v>
      </c>
      <c r="L349" s="24" t="s">
        <v>24</v>
      </c>
      <c r="M349" s="29" t="n">
        <f aca="false">IF("oui" = "oui",9.02*(1-disc),9.02)</f>
        <v>9.02</v>
      </c>
      <c r="N349" s="29" t="n">
        <f aca="false">IF("oui" = "oui",9.02*(1-disc)*1.2,9.02*1.2)</f>
        <v>10.824</v>
      </c>
      <c r="O349" s="24" t="s">
        <v>25</v>
      </c>
      <c r="P349" s="7" t="s">
        <v>26</v>
      </c>
      <c r="Q349" s="16"/>
    </row>
    <row r="350" customFormat="false" ht="12.8" hidden="false" customHeight="false" outlineLevel="0" collapsed="false">
      <c r="A350" s="22"/>
      <c r="B350" s="23" t="n">
        <v>510477000</v>
      </c>
      <c r="C350" s="24" t="n">
        <v>100</v>
      </c>
      <c r="D350" s="54" t="s">
        <v>335</v>
      </c>
      <c r="E350" s="19" t="s">
        <v>336</v>
      </c>
      <c r="F350" s="24" t="s">
        <v>23</v>
      </c>
      <c r="G350" s="25" t="n">
        <v>0.311</v>
      </c>
      <c r="H350" s="26"/>
      <c r="I350" s="27" t="n">
        <v>100</v>
      </c>
      <c r="J350" s="28" t="n">
        <v>30</v>
      </c>
      <c r="K350" s="28" t="n">
        <v>1</v>
      </c>
      <c r="L350" s="24" t="s">
        <v>24</v>
      </c>
      <c r="M350" s="29" t="n">
        <f aca="false">IF("oui" = "oui",10.43*(1-disc),10.43)</f>
        <v>10.43</v>
      </c>
      <c r="N350" s="29" t="n">
        <f aca="false">IF("oui" = "oui",10.43*(1-disc)*1.2,10.43*1.2)</f>
        <v>12.516</v>
      </c>
      <c r="O350" s="24" t="s">
        <v>25</v>
      </c>
      <c r="P350" s="7" t="s">
        <v>26</v>
      </c>
      <c r="Q350" s="16"/>
    </row>
    <row r="351" customFormat="false" ht="12.8" hidden="false" customHeight="false" outlineLevel="0" collapsed="false">
      <c r="A351" s="22"/>
      <c r="B351" s="23" t="n">
        <v>510112000</v>
      </c>
      <c r="C351" s="24" t="n">
        <v>100</v>
      </c>
      <c r="D351" s="54" t="s">
        <v>337</v>
      </c>
      <c r="E351" s="19" t="s">
        <v>179</v>
      </c>
      <c r="F351" s="24" t="s">
        <v>23</v>
      </c>
      <c r="G351" s="25" t="n">
        <v>0.311</v>
      </c>
      <c r="H351" s="26"/>
      <c r="I351" s="27" t="n">
        <v>100</v>
      </c>
      <c r="J351" s="28" t="n">
        <v>30</v>
      </c>
      <c r="K351" s="28" t="n">
        <v>1</v>
      </c>
      <c r="L351" s="24" t="s">
        <v>24</v>
      </c>
      <c r="M351" s="29" t="n">
        <f aca="false">IF("oui" = "oui",10.43*(1-disc),10.43)</f>
        <v>10.43</v>
      </c>
      <c r="N351" s="29" t="n">
        <f aca="false">IF("oui" = "oui",10.43*(1-disc)*1.2,10.43*1.2)</f>
        <v>12.516</v>
      </c>
      <c r="O351" s="24" t="s">
        <v>25</v>
      </c>
      <c r="P351" s="7" t="s">
        <v>26</v>
      </c>
      <c r="Q351" s="16"/>
    </row>
    <row r="352" customFormat="false" ht="12.8" hidden="false" customHeight="false" outlineLevel="0" collapsed="false">
      <c r="A352" s="22"/>
      <c r="B352" s="23" t="n">
        <v>510427000</v>
      </c>
      <c r="C352" s="24" t="n">
        <v>100</v>
      </c>
      <c r="D352" s="54" t="s">
        <v>338</v>
      </c>
      <c r="E352" s="19" t="s">
        <v>339</v>
      </c>
      <c r="F352" s="24" t="s">
        <v>23</v>
      </c>
      <c r="G352" s="25" t="n">
        <v>0.356</v>
      </c>
      <c r="H352" s="26"/>
      <c r="I352" s="27" t="n">
        <v>100</v>
      </c>
      <c r="J352" s="28" t="n">
        <v>30</v>
      </c>
      <c r="K352" s="28" t="n">
        <v>1</v>
      </c>
      <c r="L352" s="24" t="s">
        <v>24</v>
      </c>
      <c r="M352" s="29" t="n">
        <f aca="false">IF("oui" = "oui",10.43*(1-disc),10.43)</f>
        <v>10.43</v>
      </c>
      <c r="N352" s="29" t="n">
        <f aca="false">IF("oui" = "oui",10.43*(1-disc)*1.2,10.43*1.2)</f>
        <v>12.516</v>
      </c>
      <c r="O352" s="24" t="s">
        <v>25</v>
      </c>
      <c r="P352" s="7" t="s">
        <v>26</v>
      </c>
      <c r="Q352" s="16"/>
    </row>
    <row r="353" customFormat="false" ht="12.8" hidden="false" customHeight="false" outlineLevel="0" collapsed="false">
      <c r="A353" s="22"/>
      <c r="B353" s="23" t="n">
        <v>510056000</v>
      </c>
      <c r="C353" s="24" t="n">
        <v>100</v>
      </c>
      <c r="D353" s="54" t="s">
        <v>340</v>
      </c>
      <c r="E353" s="19" t="s">
        <v>334</v>
      </c>
      <c r="F353" s="24" t="s">
        <v>23</v>
      </c>
      <c r="G353" s="25" t="n">
        <v>0.304</v>
      </c>
      <c r="H353" s="26"/>
      <c r="I353" s="27" t="n">
        <v>100</v>
      </c>
      <c r="J353" s="28" t="n">
        <v>30</v>
      </c>
      <c r="K353" s="28" t="n">
        <v>1</v>
      </c>
      <c r="L353" s="24" t="s">
        <v>24</v>
      </c>
      <c r="M353" s="29" t="n">
        <f aca="false">IF("oui" = "oui",9.02*(1-disc),9.02)</f>
        <v>9.02</v>
      </c>
      <c r="N353" s="29" t="n">
        <f aca="false">IF("oui" = "oui",9.02*(1-disc)*1.2,9.02*1.2)</f>
        <v>10.824</v>
      </c>
      <c r="O353" s="24" t="s">
        <v>25</v>
      </c>
      <c r="P353" s="7" t="s">
        <v>26</v>
      </c>
      <c r="Q353" s="16"/>
    </row>
    <row r="354" customFormat="false" ht="12.8" hidden="false" customHeight="false" outlineLevel="0" collapsed="false">
      <c r="A354" s="22"/>
      <c r="B354" s="23" t="n">
        <v>510455000</v>
      </c>
      <c r="C354" s="24" t="n">
        <v>100</v>
      </c>
      <c r="D354" s="54" t="s">
        <v>341</v>
      </c>
      <c r="E354" s="19" t="s">
        <v>342</v>
      </c>
      <c r="F354" s="24" t="s">
        <v>23</v>
      </c>
      <c r="G354" s="25" t="n">
        <v>0.296</v>
      </c>
      <c r="H354" s="26"/>
      <c r="I354" s="27" t="n">
        <v>100</v>
      </c>
      <c r="J354" s="28" t="n">
        <v>30</v>
      </c>
      <c r="K354" s="28" t="n">
        <v>1</v>
      </c>
      <c r="L354" s="24" t="s">
        <v>24</v>
      </c>
      <c r="M354" s="29" t="n">
        <f aca="false">IF("oui" = "oui",10.43*(1-disc),10.43)</f>
        <v>10.43</v>
      </c>
      <c r="N354" s="29" t="n">
        <f aca="false">IF("oui" = "oui",10.43*(1-disc)*1.2,10.43*1.2)</f>
        <v>12.516</v>
      </c>
      <c r="O354" s="24" t="s">
        <v>25</v>
      </c>
      <c r="P354" s="55" t="s">
        <v>63</v>
      </c>
      <c r="Q354" s="16"/>
    </row>
    <row r="355" customFormat="false" ht="12.8" hidden="false" customHeight="false" outlineLevel="0" collapsed="false">
      <c r="A355" s="22"/>
      <c r="B355" s="23" t="n">
        <v>510456000</v>
      </c>
      <c r="C355" s="24" t="n">
        <v>100</v>
      </c>
      <c r="D355" s="54" t="s">
        <v>343</v>
      </c>
      <c r="E355" s="19" t="s">
        <v>342</v>
      </c>
      <c r="F355" s="24" t="s">
        <v>23</v>
      </c>
      <c r="G355" s="25" t="n">
        <v>0.296</v>
      </c>
      <c r="H355" s="26"/>
      <c r="I355" s="27" t="n">
        <v>100</v>
      </c>
      <c r="J355" s="28" t="n">
        <v>30</v>
      </c>
      <c r="K355" s="28" t="n">
        <v>1</v>
      </c>
      <c r="L355" s="24" t="s">
        <v>24</v>
      </c>
      <c r="M355" s="29" t="n">
        <f aca="false">IF("oui" = "oui",10.43*(1-disc),10.43)</f>
        <v>10.43</v>
      </c>
      <c r="N355" s="29" t="n">
        <f aca="false">IF("oui" = "oui",10.43*(1-disc)*1.2,10.43*1.2)</f>
        <v>12.516</v>
      </c>
      <c r="O355" s="24" t="s">
        <v>25</v>
      </c>
      <c r="P355" s="7" t="s">
        <v>26</v>
      </c>
      <c r="Q355" s="16"/>
    </row>
    <row r="356" customFormat="false" ht="12.8" hidden="false" customHeight="false" outlineLevel="0" collapsed="false">
      <c r="A356" s="22"/>
      <c r="B356" s="23" t="n">
        <v>510461000</v>
      </c>
      <c r="C356" s="24" t="n">
        <v>100</v>
      </c>
      <c r="D356" s="54" t="s">
        <v>344</v>
      </c>
      <c r="E356" s="19" t="s">
        <v>345</v>
      </c>
      <c r="F356" s="24" t="s">
        <v>23</v>
      </c>
      <c r="G356" s="25" t="n">
        <v>0.28</v>
      </c>
      <c r="H356" s="26"/>
      <c r="I356" s="27" t="n">
        <v>100</v>
      </c>
      <c r="J356" s="28" t="n">
        <v>30</v>
      </c>
      <c r="K356" s="28" t="n">
        <v>1</v>
      </c>
      <c r="L356" s="24" t="s">
        <v>24</v>
      </c>
      <c r="M356" s="29" t="n">
        <f aca="false">IF("oui" = "oui",9.02*(1-disc),9.02)</f>
        <v>9.02</v>
      </c>
      <c r="N356" s="29" t="n">
        <f aca="false">IF("oui" = "oui",9.02*(1-disc)*1.2,9.02*1.2)</f>
        <v>10.824</v>
      </c>
      <c r="O356" s="24" t="s">
        <v>25</v>
      </c>
      <c r="P356" s="4" t="s">
        <v>25</v>
      </c>
      <c r="Q356" s="16"/>
    </row>
    <row r="357" customFormat="false" ht="12.8" hidden="false" customHeight="false" outlineLevel="0" collapsed="false">
      <c r="A357" s="22"/>
      <c r="B357" s="23" t="n">
        <v>510464000</v>
      </c>
      <c r="C357" s="24" t="n">
        <v>100</v>
      </c>
      <c r="D357" s="54" t="s">
        <v>346</v>
      </c>
      <c r="E357" s="19" t="s">
        <v>345</v>
      </c>
      <c r="F357" s="24" t="s">
        <v>23</v>
      </c>
      <c r="G357" s="25" t="n">
        <v>0.315</v>
      </c>
      <c r="H357" s="26"/>
      <c r="I357" s="27" t="n">
        <v>100</v>
      </c>
      <c r="J357" s="28" t="n">
        <v>30</v>
      </c>
      <c r="K357" s="28" t="n">
        <v>1</v>
      </c>
      <c r="L357" s="24" t="s">
        <v>24</v>
      </c>
      <c r="M357" s="29" t="n">
        <f aca="false">IF("oui" = "oui",9.02*(1-disc),9.02)</f>
        <v>9.02</v>
      </c>
      <c r="N357" s="29" t="n">
        <f aca="false">IF("oui" = "oui",9.02*(1-disc)*1.2,9.02*1.2)</f>
        <v>10.824</v>
      </c>
      <c r="O357" s="24" t="s">
        <v>25</v>
      </c>
      <c r="P357" s="7" t="s">
        <v>26</v>
      </c>
      <c r="Q357" s="16"/>
    </row>
    <row r="358" customFormat="false" ht="12.8" hidden="false" customHeight="false" outlineLevel="0" collapsed="false">
      <c r="A358" s="22"/>
      <c r="B358" s="23" t="n">
        <v>510466000</v>
      </c>
      <c r="C358" s="24" t="n">
        <v>100</v>
      </c>
      <c r="D358" s="54" t="s">
        <v>347</v>
      </c>
      <c r="E358" s="19" t="s">
        <v>345</v>
      </c>
      <c r="F358" s="24" t="s">
        <v>23</v>
      </c>
      <c r="G358" s="25" t="n">
        <v>0.306</v>
      </c>
      <c r="H358" s="26"/>
      <c r="I358" s="27" t="n">
        <v>100</v>
      </c>
      <c r="J358" s="28" t="n">
        <v>30</v>
      </c>
      <c r="K358" s="28" t="n">
        <v>1</v>
      </c>
      <c r="L358" s="24" t="s">
        <v>24</v>
      </c>
      <c r="M358" s="29" t="n">
        <f aca="false">IF("oui" = "oui",9.02*(1-disc),9.02)</f>
        <v>9.02</v>
      </c>
      <c r="N358" s="29" t="n">
        <f aca="false">IF("oui" = "oui",9.02*(1-disc)*1.2,9.02*1.2)</f>
        <v>10.824</v>
      </c>
      <c r="O358" s="24" t="s">
        <v>25</v>
      </c>
      <c r="P358" s="7" t="s">
        <v>26</v>
      </c>
      <c r="Q358" s="16"/>
    </row>
    <row r="359" customFormat="false" ht="12.8" hidden="false" customHeight="false" outlineLevel="0" collapsed="false">
      <c r="A359" s="22"/>
      <c r="B359" s="23" t="n">
        <v>510457000</v>
      </c>
      <c r="C359" s="24" t="n">
        <v>100</v>
      </c>
      <c r="D359" s="54" t="s">
        <v>348</v>
      </c>
      <c r="E359" s="19" t="s">
        <v>342</v>
      </c>
      <c r="F359" s="24" t="s">
        <v>23</v>
      </c>
      <c r="G359" s="25" t="n">
        <v>0.296</v>
      </c>
      <c r="H359" s="26"/>
      <c r="I359" s="27" t="n">
        <v>100</v>
      </c>
      <c r="J359" s="28" t="n">
        <v>30</v>
      </c>
      <c r="K359" s="28" t="n">
        <v>1</v>
      </c>
      <c r="L359" s="24" t="s">
        <v>24</v>
      </c>
      <c r="M359" s="29" t="n">
        <f aca="false">IF("oui" = "oui",9.02*(1-disc),9.02)</f>
        <v>9.02</v>
      </c>
      <c r="N359" s="29" t="n">
        <f aca="false">IF("oui" = "oui",9.02*(1-disc)*1.2,9.02*1.2)</f>
        <v>10.824</v>
      </c>
      <c r="O359" s="24" t="s">
        <v>25</v>
      </c>
      <c r="P359" s="55" t="s">
        <v>349</v>
      </c>
      <c r="Q359" s="16"/>
    </row>
    <row r="360" customFormat="false" ht="12.8" hidden="false" customHeight="false" outlineLevel="0" collapsed="false">
      <c r="A360" s="22"/>
      <c r="B360" s="23" t="n">
        <v>510479000</v>
      </c>
      <c r="C360" s="24" t="n">
        <v>100</v>
      </c>
      <c r="D360" s="54" t="s">
        <v>350</v>
      </c>
      <c r="E360" s="19" t="s">
        <v>336</v>
      </c>
      <c r="F360" s="24" t="s">
        <v>23</v>
      </c>
      <c r="G360" s="25" t="n">
        <v>0.312</v>
      </c>
      <c r="H360" s="26"/>
      <c r="I360" s="27" t="n">
        <v>100</v>
      </c>
      <c r="J360" s="28" t="n">
        <v>30</v>
      </c>
      <c r="K360" s="28" t="n">
        <v>1</v>
      </c>
      <c r="L360" s="24" t="s">
        <v>24</v>
      </c>
      <c r="M360" s="29" t="n">
        <f aca="false">IF("oui" = "oui",10.43*(1-disc),10.43)</f>
        <v>10.43</v>
      </c>
      <c r="N360" s="29" t="n">
        <f aca="false">IF("oui" = "oui",10.43*(1-disc)*1.2,10.43*1.2)</f>
        <v>12.516</v>
      </c>
      <c r="O360" s="24" t="s">
        <v>25</v>
      </c>
      <c r="P360" s="55" t="s">
        <v>122</v>
      </c>
      <c r="Q360" s="16"/>
    </row>
    <row r="361" customFormat="false" ht="12.8" hidden="false" customHeight="false" outlineLevel="0" collapsed="false">
      <c r="A361" s="22"/>
      <c r="B361" s="23" t="n">
        <v>510120000</v>
      </c>
      <c r="C361" s="24" t="n">
        <v>100</v>
      </c>
      <c r="D361" s="54" t="s">
        <v>351</v>
      </c>
      <c r="E361" s="19" t="s">
        <v>352</v>
      </c>
      <c r="F361" s="24" t="s">
        <v>23</v>
      </c>
      <c r="G361" s="25" t="n">
        <v>0.371</v>
      </c>
      <c r="H361" s="26"/>
      <c r="I361" s="27" t="n">
        <v>100</v>
      </c>
      <c r="J361" s="28" t="n">
        <v>30</v>
      </c>
      <c r="K361" s="28" t="n">
        <v>1</v>
      </c>
      <c r="L361" s="24" t="s">
        <v>24</v>
      </c>
      <c r="M361" s="29" t="n">
        <f aca="false">IF("oui" = "oui",9.02*(1-disc),9.02)</f>
        <v>9.02</v>
      </c>
      <c r="N361" s="29" t="n">
        <f aca="false">IF("oui" = "oui",9.02*(1-disc)*1.2,9.02*1.2)</f>
        <v>10.824</v>
      </c>
      <c r="O361" s="24" t="s">
        <v>25</v>
      </c>
      <c r="P361" s="55" t="s">
        <v>45</v>
      </c>
      <c r="Q361" s="16"/>
    </row>
    <row r="362" customFormat="false" ht="12.8" hidden="false" customHeight="false" outlineLevel="0" collapsed="false">
      <c r="A362" s="22"/>
      <c r="B362" s="23"/>
      <c r="C362" s="24"/>
      <c r="D362" s="22"/>
      <c r="E362" s="19"/>
      <c r="F362" s="24"/>
      <c r="G362" s="25"/>
      <c r="H362" s="26"/>
      <c r="I362" s="27"/>
      <c r="J362" s="28"/>
      <c r="K362" s="28"/>
      <c r="L362" s="24"/>
      <c r="M362" s="29"/>
      <c r="N362" s="29"/>
      <c r="O362" s="24"/>
      <c r="P362" s="4"/>
      <c r="Q362" s="16"/>
    </row>
    <row r="363" customFormat="false" ht="12.8" hidden="false" customHeight="false" outlineLevel="0" collapsed="false">
      <c r="A363" s="42" t="s">
        <v>353</v>
      </c>
      <c r="B363" s="43"/>
      <c r="C363" s="44"/>
      <c r="D363" s="45"/>
      <c r="E363" s="46"/>
      <c r="F363" s="44"/>
      <c r="G363" s="47"/>
      <c r="H363" s="48"/>
      <c r="I363" s="49"/>
      <c r="J363" s="50"/>
      <c r="K363" s="50"/>
      <c r="L363" s="44"/>
      <c r="M363" s="51"/>
      <c r="N363" s="51"/>
      <c r="O363" s="44"/>
      <c r="P363" s="52"/>
      <c r="Q363" s="53"/>
    </row>
    <row r="364" customFormat="false" ht="12.8" hidden="false" customHeight="false" outlineLevel="0" collapsed="false">
      <c r="A364" s="22"/>
      <c r="B364" s="23"/>
      <c r="C364" s="24"/>
      <c r="D364" s="22"/>
      <c r="E364" s="19"/>
      <c r="F364" s="24"/>
      <c r="G364" s="25"/>
      <c r="H364" s="26"/>
      <c r="I364" s="27"/>
      <c r="J364" s="28"/>
      <c r="K364" s="28"/>
      <c r="L364" s="24"/>
      <c r="M364" s="29"/>
      <c r="N364" s="29"/>
      <c r="O364" s="24"/>
      <c r="P364" s="4"/>
      <c r="Q364" s="16"/>
    </row>
    <row r="365" customFormat="false" ht="12.8" hidden="false" customHeight="false" outlineLevel="0" collapsed="false">
      <c r="A365" s="22"/>
      <c r="B365" s="23" t="n">
        <v>510463000</v>
      </c>
      <c r="C365" s="24" t="n">
        <v>100</v>
      </c>
      <c r="D365" s="22" t="s">
        <v>354</v>
      </c>
      <c r="E365" s="19" t="s">
        <v>345</v>
      </c>
      <c r="F365" s="24" t="s">
        <v>23</v>
      </c>
      <c r="G365" s="25" t="n">
        <v>0.23</v>
      </c>
      <c r="H365" s="26"/>
      <c r="I365" s="27" t="n">
        <v>100</v>
      </c>
      <c r="J365" s="28" t="n">
        <v>30</v>
      </c>
      <c r="K365" s="28" t="n">
        <v>1</v>
      </c>
      <c r="L365" s="24" t="s">
        <v>24</v>
      </c>
      <c r="M365" s="29" t="n">
        <f aca="false">IF("oui" = "oui",9.02*(1-disc),9.02)</f>
        <v>9.02</v>
      </c>
      <c r="N365" s="29" t="n">
        <f aca="false">IF("oui" = "oui",9.02*(1-disc)*1.2,9.02*1.2)</f>
        <v>10.824</v>
      </c>
      <c r="O365" s="24" t="s">
        <v>25</v>
      </c>
      <c r="P365" s="4" t="s">
        <v>25</v>
      </c>
      <c r="Q365" s="16"/>
    </row>
    <row r="366" customFormat="false" ht="12.8" hidden="false" customHeight="false" outlineLevel="0" collapsed="false">
      <c r="A366" s="22"/>
      <c r="B366" s="23" t="n">
        <v>510468000</v>
      </c>
      <c r="C366" s="24" t="n">
        <v>100</v>
      </c>
      <c r="D366" s="54" t="s">
        <v>355</v>
      </c>
      <c r="E366" s="19" t="s">
        <v>345</v>
      </c>
      <c r="F366" s="24" t="s">
        <v>23</v>
      </c>
      <c r="G366" s="25" t="n">
        <v>0.23</v>
      </c>
      <c r="H366" s="26"/>
      <c r="I366" s="27" t="n">
        <v>100</v>
      </c>
      <c r="J366" s="28" t="n">
        <v>30</v>
      </c>
      <c r="K366" s="28" t="n">
        <v>1</v>
      </c>
      <c r="L366" s="24" t="s">
        <v>24</v>
      </c>
      <c r="M366" s="29" t="n">
        <f aca="false">IF("oui" = "oui",9.02*(1-disc),9.02)</f>
        <v>9.02</v>
      </c>
      <c r="N366" s="29" t="n">
        <f aca="false">IF("oui" = "oui",9.02*(1-disc)*1.2,9.02*1.2)</f>
        <v>10.824</v>
      </c>
      <c r="O366" s="24" t="s">
        <v>25</v>
      </c>
      <c r="P366" s="4" t="s">
        <v>25</v>
      </c>
      <c r="Q366" s="16"/>
    </row>
    <row r="367" customFormat="false" ht="12.8" hidden="false" customHeight="false" outlineLevel="0" collapsed="false">
      <c r="A367" s="22"/>
      <c r="B367" s="23" t="n">
        <v>510469000</v>
      </c>
      <c r="C367" s="24" t="n">
        <v>100</v>
      </c>
      <c r="D367" s="54" t="s">
        <v>356</v>
      </c>
      <c r="E367" s="19" t="s">
        <v>345</v>
      </c>
      <c r="F367" s="24" t="s">
        <v>23</v>
      </c>
      <c r="G367" s="25" t="n">
        <v>0.23</v>
      </c>
      <c r="H367" s="26"/>
      <c r="I367" s="27" t="n">
        <v>100</v>
      </c>
      <c r="J367" s="28" t="n">
        <v>30</v>
      </c>
      <c r="K367" s="28" t="n">
        <v>1</v>
      </c>
      <c r="L367" s="24" t="s">
        <v>24</v>
      </c>
      <c r="M367" s="29" t="n">
        <f aca="false">IF("oui" = "oui",9.02*(1-disc),9.02)</f>
        <v>9.02</v>
      </c>
      <c r="N367" s="29" t="n">
        <f aca="false">IF("oui" = "oui",9.02*(1-disc)*1.2,9.02*1.2)</f>
        <v>10.824</v>
      </c>
      <c r="O367" s="24" t="s">
        <v>25</v>
      </c>
      <c r="P367" s="55" t="s">
        <v>357</v>
      </c>
      <c r="Q367" s="16"/>
    </row>
    <row r="368" customFormat="false" ht="12.8" hidden="false" customHeight="false" outlineLevel="0" collapsed="false">
      <c r="A368" s="22"/>
      <c r="B368" s="23"/>
      <c r="C368" s="24"/>
      <c r="D368" s="22"/>
      <c r="E368" s="19"/>
      <c r="F368" s="24"/>
      <c r="G368" s="25"/>
      <c r="H368" s="26"/>
      <c r="I368" s="27"/>
      <c r="J368" s="28"/>
      <c r="K368" s="28"/>
      <c r="L368" s="24"/>
      <c r="M368" s="29"/>
      <c r="N368" s="29"/>
      <c r="O368" s="24"/>
      <c r="P368" s="4"/>
      <c r="Q368" s="16"/>
    </row>
    <row r="369" customFormat="false" ht="12.8" hidden="false" customHeight="false" outlineLevel="0" collapsed="false">
      <c r="A369" s="42" t="s">
        <v>358</v>
      </c>
      <c r="B369" s="43"/>
      <c r="C369" s="44"/>
      <c r="D369" s="45"/>
      <c r="E369" s="46"/>
      <c r="F369" s="44"/>
      <c r="G369" s="47"/>
      <c r="H369" s="48"/>
      <c r="I369" s="49"/>
      <c r="J369" s="50"/>
      <c r="K369" s="50"/>
      <c r="L369" s="44"/>
      <c r="M369" s="51"/>
      <c r="N369" s="51"/>
      <c r="O369" s="44"/>
      <c r="P369" s="52"/>
      <c r="Q369" s="53"/>
    </row>
    <row r="370" customFormat="false" ht="12.8" hidden="false" customHeight="false" outlineLevel="0" collapsed="false">
      <c r="A370" s="22"/>
      <c r="B370" s="23"/>
      <c r="C370" s="24"/>
      <c r="D370" s="22"/>
      <c r="E370" s="19"/>
      <c r="F370" s="24"/>
      <c r="G370" s="25"/>
      <c r="H370" s="26"/>
      <c r="I370" s="27"/>
      <c r="J370" s="28"/>
      <c r="K370" s="28"/>
      <c r="L370" s="24"/>
      <c r="M370" s="29"/>
      <c r="N370" s="29"/>
      <c r="O370" s="24"/>
      <c r="P370" s="4"/>
      <c r="Q370" s="16"/>
    </row>
    <row r="371" customFormat="false" ht="12.8" hidden="false" customHeight="false" outlineLevel="0" collapsed="false">
      <c r="A371" s="22"/>
      <c r="B371" s="23" t="n">
        <v>510460000</v>
      </c>
      <c r="C371" s="24" t="n">
        <v>100</v>
      </c>
      <c r="D371" s="54" t="s">
        <v>359</v>
      </c>
      <c r="E371" s="19" t="s">
        <v>345</v>
      </c>
      <c r="F371" s="24" t="s">
        <v>23</v>
      </c>
      <c r="G371" s="25" t="n">
        <v>0.324</v>
      </c>
      <c r="H371" s="26"/>
      <c r="I371" s="27" t="n">
        <v>100</v>
      </c>
      <c r="J371" s="28" t="n">
        <v>30</v>
      </c>
      <c r="K371" s="28" t="n">
        <v>1</v>
      </c>
      <c r="L371" s="24" t="s">
        <v>24</v>
      </c>
      <c r="M371" s="29" t="n">
        <f aca="false">IF("oui" = "oui",9.02*(1-disc),9.02)</f>
        <v>9.02</v>
      </c>
      <c r="N371" s="29" t="n">
        <f aca="false">IF("oui" = "oui",9.02*(1-disc)*1.2,9.02*1.2)</f>
        <v>10.824</v>
      </c>
      <c r="O371" s="24" t="s">
        <v>25</v>
      </c>
      <c r="P371" s="7" t="s">
        <v>26</v>
      </c>
      <c r="Q371" s="16"/>
    </row>
    <row r="372" customFormat="false" ht="12.8" hidden="false" customHeight="false" outlineLevel="0" collapsed="false">
      <c r="A372" s="22"/>
      <c r="B372" s="23" t="n">
        <v>510462000</v>
      </c>
      <c r="C372" s="24" t="n">
        <v>100</v>
      </c>
      <c r="D372" s="54" t="s">
        <v>360</v>
      </c>
      <c r="E372" s="19" t="s">
        <v>345</v>
      </c>
      <c r="F372" s="24" t="s">
        <v>23</v>
      </c>
      <c r="G372" s="25" t="n">
        <v>0.324</v>
      </c>
      <c r="H372" s="26"/>
      <c r="I372" s="27" t="n">
        <v>100</v>
      </c>
      <c r="J372" s="28" t="n">
        <v>30</v>
      </c>
      <c r="K372" s="28" t="n">
        <v>1</v>
      </c>
      <c r="L372" s="24" t="s">
        <v>24</v>
      </c>
      <c r="M372" s="29" t="n">
        <f aca="false">IF("oui" = "oui",9.02*(1-disc),9.02)</f>
        <v>9.02</v>
      </c>
      <c r="N372" s="29" t="n">
        <f aca="false">IF("oui" = "oui",9.02*(1-disc)*1.2,9.02*1.2)</f>
        <v>10.824</v>
      </c>
      <c r="O372" s="24" t="s">
        <v>25</v>
      </c>
      <c r="P372" s="7" t="s">
        <v>26</v>
      </c>
      <c r="Q372" s="16"/>
    </row>
    <row r="373" customFormat="false" ht="12.8" hidden="false" customHeight="false" outlineLevel="0" collapsed="false">
      <c r="A373" s="22"/>
      <c r="B373" s="23"/>
      <c r="C373" s="24"/>
      <c r="D373" s="22"/>
      <c r="E373" s="19"/>
      <c r="F373" s="24"/>
      <c r="G373" s="25"/>
      <c r="H373" s="26"/>
      <c r="I373" s="27"/>
      <c r="J373" s="28"/>
      <c r="K373" s="28"/>
      <c r="L373" s="24"/>
      <c r="M373" s="29"/>
      <c r="N373" s="29"/>
      <c r="O373" s="24"/>
      <c r="P373" s="4"/>
      <c r="Q373" s="16"/>
    </row>
    <row r="374" customFormat="false" ht="12.8" hidden="false" customHeight="false" outlineLevel="0" collapsed="false">
      <c r="A374" s="42" t="s">
        <v>361</v>
      </c>
      <c r="B374" s="43"/>
      <c r="C374" s="44"/>
      <c r="D374" s="45"/>
      <c r="E374" s="46"/>
      <c r="F374" s="44"/>
      <c r="G374" s="47"/>
      <c r="H374" s="48"/>
      <c r="I374" s="49"/>
      <c r="J374" s="50"/>
      <c r="K374" s="50"/>
      <c r="L374" s="44"/>
      <c r="M374" s="51"/>
      <c r="N374" s="51"/>
      <c r="O374" s="44"/>
      <c r="P374" s="52"/>
      <c r="Q374" s="53"/>
    </row>
    <row r="375" customFormat="false" ht="12.8" hidden="false" customHeight="false" outlineLevel="0" collapsed="false">
      <c r="A375" s="22"/>
      <c r="B375" s="23"/>
      <c r="C375" s="24"/>
      <c r="D375" s="22"/>
      <c r="E375" s="19"/>
      <c r="F375" s="24"/>
      <c r="G375" s="25"/>
      <c r="H375" s="26"/>
      <c r="I375" s="27"/>
      <c r="J375" s="28"/>
      <c r="K375" s="28"/>
      <c r="L375" s="24"/>
      <c r="M375" s="29"/>
      <c r="N375" s="29"/>
      <c r="O375" s="24"/>
      <c r="P375" s="4"/>
      <c r="Q375" s="16"/>
    </row>
    <row r="376" customFormat="false" ht="12.8" hidden="false" customHeight="false" outlineLevel="0" collapsed="false">
      <c r="A376" s="22"/>
      <c r="B376" s="23" t="n">
        <v>510095000</v>
      </c>
      <c r="C376" s="24" t="n">
        <v>100</v>
      </c>
      <c r="D376" s="54" t="s">
        <v>362</v>
      </c>
      <c r="E376" s="19" t="s">
        <v>179</v>
      </c>
      <c r="F376" s="24" t="s">
        <v>23</v>
      </c>
      <c r="G376" s="25" t="n">
        <v>0.311</v>
      </c>
      <c r="H376" s="26"/>
      <c r="I376" s="27" t="n">
        <v>100</v>
      </c>
      <c r="J376" s="28" t="n">
        <v>30</v>
      </c>
      <c r="K376" s="28" t="n">
        <v>1</v>
      </c>
      <c r="L376" s="24" t="s">
        <v>24</v>
      </c>
      <c r="M376" s="29" t="n">
        <f aca="false">IF("oui" = "oui",9.02*(1-disc),9.02)</f>
        <v>9.02</v>
      </c>
      <c r="N376" s="29" t="n">
        <f aca="false">IF("oui" = "oui",9.02*(1-disc)*1.2,9.02*1.2)</f>
        <v>10.824</v>
      </c>
      <c r="O376" s="24" t="s">
        <v>25</v>
      </c>
      <c r="P376" s="7" t="s">
        <v>26</v>
      </c>
      <c r="Q376" s="16"/>
    </row>
    <row r="377" customFormat="false" ht="12.8" hidden="false" customHeight="false" outlineLevel="0" collapsed="false">
      <c r="A377" s="22"/>
      <c r="B377" s="23"/>
      <c r="C377" s="24"/>
      <c r="D377" s="22"/>
      <c r="E377" s="19"/>
      <c r="F377" s="24"/>
      <c r="G377" s="25"/>
      <c r="H377" s="26"/>
      <c r="I377" s="27"/>
      <c r="J377" s="28"/>
      <c r="K377" s="28"/>
      <c r="L377" s="24"/>
      <c r="M377" s="29"/>
      <c r="N377" s="29"/>
      <c r="O377" s="24"/>
      <c r="P377" s="4"/>
      <c r="Q377" s="16"/>
    </row>
    <row r="378" customFormat="false" ht="12.8" hidden="false" customHeight="false" outlineLevel="0" collapsed="false">
      <c r="A378" s="42" t="s">
        <v>48</v>
      </c>
      <c r="B378" s="43"/>
      <c r="C378" s="44"/>
      <c r="D378" s="45"/>
      <c r="E378" s="46"/>
      <c r="F378" s="44"/>
      <c r="G378" s="47"/>
      <c r="H378" s="48"/>
      <c r="I378" s="49"/>
      <c r="J378" s="50"/>
      <c r="K378" s="50"/>
      <c r="L378" s="44"/>
      <c r="M378" s="51"/>
      <c r="N378" s="51"/>
      <c r="O378" s="44"/>
      <c r="P378" s="52"/>
      <c r="Q378" s="53"/>
    </row>
    <row r="379" customFormat="false" ht="12.8" hidden="false" customHeight="false" outlineLevel="0" collapsed="false">
      <c r="A379" s="22"/>
      <c r="B379" s="23"/>
      <c r="C379" s="24"/>
      <c r="D379" s="22"/>
      <c r="E379" s="19"/>
      <c r="F379" s="24"/>
      <c r="G379" s="25"/>
      <c r="H379" s="26"/>
      <c r="I379" s="27"/>
      <c r="J379" s="28"/>
      <c r="K379" s="28"/>
      <c r="L379" s="24"/>
      <c r="M379" s="29"/>
      <c r="N379" s="29"/>
      <c r="O379" s="24"/>
      <c r="P379" s="4"/>
      <c r="Q379" s="16"/>
    </row>
    <row r="380" customFormat="false" ht="12.8" hidden="false" customHeight="false" outlineLevel="0" collapsed="false">
      <c r="A380" s="22"/>
      <c r="B380" s="23" t="n">
        <v>510001000</v>
      </c>
      <c r="C380" s="24" t="n">
        <v>100</v>
      </c>
      <c r="D380" s="54" t="s">
        <v>363</v>
      </c>
      <c r="E380" s="19" t="s">
        <v>334</v>
      </c>
      <c r="F380" s="24" t="s">
        <v>23</v>
      </c>
      <c r="G380" s="25" t="n">
        <v>0.384</v>
      </c>
      <c r="H380" s="26"/>
      <c r="I380" s="27" t="n">
        <v>100</v>
      </c>
      <c r="J380" s="28" t="n">
        <v>30</v>
      </c>
      <c r="K380" s="28" t="n">
        <v>1</v>
      </c>
      <c r="L380" s="24" t="s">
        <v>24</v>
      </c>
      <c r="M380" s="29" t="n">
        <f aca="false">IF("oui" = "oui",9.02*(1-disc),9.02)</f>
        <v>9.02</v>
      </c>
      <c r="N380" s="29" t="n">
        <f aca="false">IF("oui" = "oui",9.02*(1-disc)*1.2,9.02*1.2)</f>
        <v>10.824</v>
      </c>
      <c r="O380" s="24" t="s">
        <v>25</v>
      </c>
      <c r="P380" s="4" t="s">
        <v>25</v>
      </c>
      <c r="Q380" s="16"/>
    </row>
    <row r="381" customFormat="false" ht="12.8" hidden="false" customHeight="false" outlineLevel="0" collapsed="false">
      <c r="A381" s="22"/>
      <c r="B381" s="23" t="n">
        <v>510002000</v>
      </c>
      <c r="C381" s="24" t="n">
        <v>100</v>
      </c>
      <c r="D381" s="54" t="s">
        <v>364</v>
      </c>
      <c r="E381" s="19" t="s">
        <v>334</v>
      </c>
      <c r="F381" s="24" t="s">
        <v>23</v>
      </c>
      <c r="G381" s="25" t="n">
        <v>0.384</v>
      </c>
      <c r="H381" s="26"/>
      <c r="I381" s="27" t="n">
        <v>100</v>
      </c>
      <c r="J381" s="28" t="n">
        <v>30</v>
      </c>
      <c r="K381" s="28" t="n">
        <v>1</v>
      </c>
      <c r="L381" s="24" t="s">
        <v>24</v>
      </c>
      <c r="M381" s="29" t="n">
        <f aca="false">IF("oui" = "oui",9.02*(1-disc),9.02)</f>
        <v>9.02</v>
      </c>
      <c r="N381" s="29" t="n">
        <f aca="false">IF("oui" = "oui",9.02*(1-disc)*1.2,9.02*1.2)</f>
        <v>10.824</v>
      </c>
      <c r="O381" s="24" t="s">
        <v>25</v>
      </c>
      <c r="P381" s="4" t="s">
        <v>25</v>
      </c>
      <c r="Q381" s="16"/>
    </row>
    <row r="382" customFormat="false" ht="12.8" hidden="false" customHeight="false" outlineLevel="0" collapsed="false">
      <c r="A382" s="22"/>
      <c r="B382" s="23" t="n">
        <v>510003000</v>
      </c>
      <c r="C382" s="24" t="n">
        <v>100</v>
      </c>
      <c r="D382" s="54" t="s">
        <v>365</v>
      </c>
      <c r="E382" s="19" t="s">
        <v>334</v>
      </c>
      <c r="F382" s="24" t="s">
        <v>23</v>
      </c>
      <c r="G382" s="25" t="n">
        <v>0.384</v>
      </c>
      <c r="H382" s="26"/>
      <c r="I382" s="27" t="n">
        <v>100</v>
      </c>
      <c r="J382" s="28" t="n">
        <v>30</v>
      </c>
      <c r="K382" s="28" t="n">
        <v>1</v>
      </c>
      <c r="L382" s="24" t="s">
        <v>24</v>
      </c>
      <c r="M382" s="29" t="n">
        <f aca="false">IF("oui" = "oui",9.02*(1-disc),9.02)</f>
        <v>9.02</v>
      </c>
      <c r="N382" s="29" t="n">
        <f aca="false">IF("oui" = "oui",9.02*(1-disc)*1.2,9.02*1.2)</f>
        <v>10.824</v>
      </c>
      <c r="O382" s="24" t="s">
        <v>25</v>
      </c>
      <c r="P382" s="4" t="s">
        <v>25</v>
      </c>
      <c r="Q382" s="16"/>
    </row>
    <row r="383" customFormat="false" ht="12.8" hidden="false" customHeight="false" outlineLevel="0" collapsed="false">
      <c r="A383" s="22"/>
      <c r="B383" s="23" t="n">
        <v>510004000</v>
      </c>
      <c r="C383" s="24" t="n">
        <v>100</v>
      </c>
      <c r="D383" s="54" t="s">
        <v>366</v>
      </c>
      <c r="E383" s="19" t="s">
        <v>334</v>
      </c>
      <c r="F383" s="24" t="s">
        <v>23</v>
      </c>
      <c r="G383" s="25" t="n">
        <v>0.384</v>
      </c>
      <c r="H383" s="26"/>
      <c r="I383" s="27" t="n">
        <v>100</v>
      </c>
      <c r="J383" s="28" t="n">
        <v>30</v>
      </c>
      <c r="K383" s="28" t="n">
        <v>1</v>
      </c>
      <c r="L383" s="24" t="s">
        <v>24</v>
      </c>
      <c r="M383" s="29" t="n">
        <f aca="false">IF("oui" = "oui",9.02*(1-disc),9.02)</f>
        <v>9.02</v>
      </c>
      <c r="N383" s="29" t="n">
        <f aca="false">IF("oui" = "oui",9.02*(1-disc)*1.2,9.02*1.2)</f>
        <v>10.824</v>
      </c>
      <c r="O383" s="24" t="s">
        <v>25</v>
      </c>
      <c r="P383" s="4" t="s">
        <v>25</v>
      </c>
      <c r="Q383" s="16"/>
    </row>
    <row r="384" customFormat="false" ht="12.8" hidden="false" customHeight="false" outlineLevel="0" collapsed="false">
      <c r="A384" s="22"/>
      <c r="B384" s="23" t="n">
        <v>510159000</v>
      </c>
      <c r="C384" s="24" t="n">
        <v>100</v>
      </c>
      <c r="D384" s="54" t="s">
        <v>367</v>
      </c>
      <c r="E384" s="19" t="s">
        <v>334</v>
      </c>
      <c r="F384" s="24" t="s">
        <v>23</v>
      </c>
      <c r="G384" s="25" t="n">
        <v>0.384</v>
      </c>
      <c r="H384" s="26"/>
      <c r="I384" s="27" t="n">
        <v>100</v>
      </c>
      <c r="J384" s="28" t="n">
        <v>30</v>
      </c>
      <c r="K384" s="28" t="n">
        <v>1</v>
      </c>
      <c r="L384" s="24" t="s">
        <v>24</v>
      </c>
      <c r="M384" s="29" t="n">
        <f aca="false">IF("oui" = "oui",9.02*(1-disc),9.02)</f>
        <v>9.02</v>
      </c>
      <c r="N384" s="29" t="n">
        <f aca="false">IF("oui" = "oui",9.02*(1-disc)*1.2,9.02*1.2)</f>
        <v>10.824</v>
      </c>
      <c r="O384" s="24" t="s">
        <v>25</v>
      </c>
      <c r="P384" s="55" t="s">
        <v>314</v>
      </c>
      <c r="Q384" s="16"/>
    </row>
    <row r="385" customFormat="false" ht="12.8" hidden="false" customHeight="false" outlineLevel="0" collapsed="false">
      <c r="A385" s="22"/>
      <c r="B385" s="23" t="n">
        <v>510005000</v>
      </c>
      <c r="C385" s="24" t="n">
        <v>100</v>
      </c>
      <c r="D385" s="54" t="s">
        <v>368</v>
      </c>
      <c r="E385" s="19" t="s">
        <v>334</v>
      </c>
      <c r="F385" s="24" t="s">
        <v>23</v>
      </c>
      <c r="G385" s="25" t="n">
        <v>0.384</v>
      </c>
      <c r="H385" s="26"/>
      <c r="I385" s="27" t="n">
        <v>100</v>
      </c>
      <c r="J385" s="28" t="n">
        <v>30</v>
      </c>
      <c r="K385" s="28" t="n">
        <v>1</v>
      </c>
      <c r="L385" s="24" t="s">
        <v>24</v>
      </c>
      <c r="M385" s="29" t="n">
        <f aca="false">IF("oui" = "oui",9.02*(1-disc),9.02)</f>
        <v>9.02</v>
      </c>
      <c r="N385" s="29" t="n">
        <f aca="false">IF("oui" = "oui",9.02*(1-disc)*1.2,9.02*1.2)</f>
        <v>10.824</v>
      </c>
      <c r="O385" s="24" t="s">
        <v>25</v>
      </c>
      <c r="P385" s="4" t="s">
        <v>25</v>
      </c>
      <c r="Q385" s="16"/>
    </row>
    <row r="386" customFormat="false" ht="12.8" hidden="false" customHeight="false" outlineLevel="0" collapsed="false">
      <c r="A386" s="22"/>
      <c r="B386" s="23" t="n">
        <v>510006000</v>
      </c>
      <c r="C386" s="24" t="n">
        <v>100</v>
      </c>
      <c r="D386" s="54" t="s">
        <v>369</v>
      </c>
      <c r="E386" s="19" t="s">
        <v>334</v>
      </c>
      <c r="F386" s="24" t="s">
        <v>23</v>
      </c>
      <c r="G386" s="25" t="n">
        <v>0.384</v>
      </c>
      <c r="H386" s="26"/>
      <c r="I386" s="27" t="n">
        <v>100</v>
      </c>
      <c r="J386" s="28" t="n">
        <v>30</v>
      </c>
      <c r="K386" s="28" t="n">
        <v>1</v>
      </c>
      <c r="L386" s="24" t="s">
        <v>24</v>
      </c>
      <c r="M386" s="29" t="n">
        <f aca="false">IF("oui" = "oui",9.02*(1-disc),9.02)</f>
        <v>9.02</v>
      </c>
      <c r="N386" s="29" t="n">
        <f aca="false">IF("oui" = "oui",9.02*(1-disc)*1.2,9.02*1.2)</f>
        <v>10.824</v>
      </c>
      <c r="O386" s="24" t="s">
        <v>25</v>
      </c>
      <c r="P386" s="4" t="s">
        <v>25</v>
      </c>
      <c r="Q386" s="16"/>
    </row>
    <row r="387" customFormat="false" ht="12.8" hidden="false" customHeight="false" outlineLevel="0" collapsed="false">
      <c r="A387" s="22"/>
      <c r="B387" s="23" t="n">
        <v>510007000</v>
      </c>
      <c r="C387" s="24" t="n">
        <v>100</v>
      </c>
      <c r="D387" s="54" t="s">
        <v>370</v>
      </c>
      <c r="E387" s="19" t="s">
        <v>334</v>
      </c>
      <c r="F387" s="24" t="s">
        <v>23</v>
      </c>
      <c r="G387" s="25" t="n">
        <v>0.384</v>
      </c>
      <c r="H387" s="26"/>
      <c r="I387" s="27" t="n">
        <v>100</v>
      </c>
      <c r="J387" s="28" t="n">
        <v>30</v>
      </c>
      <c r="K387" s="28" t="n">
        <v>1</v>
      </c>
      <c r="L387" s="24" t="s">
        <v>24</v>
      </c>
      <c r="M387" s="29" t="n">
        <f aca="false">IF("oui" = "oui",9.02*(1-disc),9.02)</f>
        <v>9.02</v>
      </c>
      <c r="N387" s="29" t="n">
        <f aca="false">IF("oui" = "oui",9.02*(1-disc)*1.2,9.02*1.2)</f>
        <v>10.824</v>
      </c>
      <c r="O387" s="24" t="s">
        <v>25</v>
      </c>
      <c r="P387" s="4" t="s">
        <v>25</v>
      </c>
      <c r="Q387" s="16"/>
    </row>
    <row r="388" customFormat="false" ht="12.8" hidden="false" customHeight="false" outlineLevel="0" collapsed="false">
      <c r="A388" s="22"/>
      <c r="B388" s="23" t="n">
        <v>510008000</v>
      </c>
      <c r="C388" s="24" t="n">
        <v>100</v>
      </c>
      <c r="D388" s="54" t="s">
        <v>371</v>
      </c>
      <c r="E388" s="19" t="s">
        <v>334</v>
      </c>
      <c r="F388" s="24" t="s">
        <v>23</v>
      </c>
      <c r="G388" s="25" t="n">
        <v>0.384</v>
      </c>
      <c r="H388" s="26"/>
      <c r="I388" s="27" t="n">
        <v>100</v>
      </c>
      <c r="J388" s="28" t="n">
        <v>30</v>
      </c>
      <c r="K388" s="28" t="n">
        <v>1</v>
      </c>
      <c r="L388" s="24" t="s">
        <v>24</v>
      </c>
      <c r="M388" s="29" t="n">
        <f aca="false">IF("oui" = "oui",9.02*(1-disc),9.02)</f>
        <v>9.02</v>
      </c>
      <c r="N388" s="29" t="n">
        <f aca="false">IF("oui" = "oui",9.02*(1-disc)*1.2,9.02*1.2)</f>
        <v>10.824</v>
      </c>
      <c r="O388" s="24" t="s">
        <v>25</v>
      </c>
      <c r="P388" s="4" t="s">
        <v>25</v>
      </c>
      <c r="Q388" s="16"/>
    </row>
    <row r="389" customFormat="false" ht="12.8" hidden="false" customHeight="false" outlineLevel="0" collapsed="false">
      <c r="A389" s="22"/>
      <c r="B389" s="23" t="n">
        <v>510009000</v>
      </c>
      <c r="C389" s="24" t="n">
        <v>100</v>
      </c>
      <c r="D389" s="54" t="s">
        <v>372</v>
      </c>
      <c r="E389" s="19" t="s">
        <v>334</v>
      </c>
      <c r="F389" s="24" t="s">
        <v>23</v>
      </c>
      <c r="G389" s="25" t="n">
        <v>0.384</v>
      </c>
      <c r="H389" s="26"/>
      <c r="I389" s="27" t="n">
        <v>100</v>
      </c>
      <c r="J389" s="28" t="n">
        <v>30</v>
      </c>
      <c r="K389" s="28" t="n">
        <v>1</v>
      </c>
      <c r="L389" s="24" t="s">
        <v>24</v>
      </c>
      <c r="M389" s="29" t="n">
        <f aca="false">IF("oui" = "oui",9.02*(1-disc),9.02)</f>
        <v>9.02</v>
      </c>
      <c r="N389" s="29" t="n">
        <f aca="false">IF("oui" = "oui",9.02*(1-disc)*1.2,9.02*1.2)</f>
        <v>10.824</v>
      </c>
      <c r="O389" s="24" t="s">
        <v>25</v>
      </c>
      <c r="P389" s="4" t="s">
        <v>25</v>
      </c>
      <c r="Q389" s="16"/>
    </row>
    <row r="390" customFormat="false" ht="12.8" hidden="false" customHeight="false" outlineLevel="0" collapsed="false">
      <c r="A390" s="22"/>
      <c r="B390" s="23"/>
      <c r="C390" s="24"/>
      <c r="D390" s="22"/>
      <c r="E390" s="19"/>
      <c r="F390" s="24"/>
      <c r="G390" s="25"/>
      <c r="H390" s="26"/>
      <c r="I390" s="27"/>
      <c r="J390" s="28"/>
      <c r="K390" s="28"/>
      <c r="L390" s="24"/>
      <c r="M390" s="29"/>
      <c r="N390" s="29"/>
      <c r="O390" s="24"/>
      <c r="P390" s="4"/>
      <c r="Q390" s="16"/>
    </row>
    <row r="391" customFormat="false" ht="12.8" hidden="false" customHeight="false" outlineLevel="0" collapsed="false">
      <c r="A391" s="22"/>
      <c r="B391" s="23" t="n">
        <v>510139000</v>
      </c>
      <c r="C391" s="24" t="n">
        <v>100</v>
      </c>
      <c r="D391" s="54" t="s">
        <v>373</v>
      </c>
      <c r="E391" s="19" t="s">
        <v>334</v>
      </c>
      <c r="F391" s="24" t="s">
        <v>23</v>
      </c>
      <c r="G391" s="25" t="n">
        <v>1.92</v>
      </c>
      <c r="H391" s="26"/>
      <c r="I391" s="27" t="n">
        <v>100</v>
      </c>
      <c r="J391" s="28" t="n">
        <v>6</v>
      </c>
      <c r="K391" s="28" t="n">
        <v>5</v>
      </c>
      <c r="L391" s="24" t="s">
        <v>24</v>
      </c>
      <c r="M391" s="29" t="n">
        <f aca="false">IF("oui" = "oui",45.09*(1-disc),45.09)</f>
        <v>45.09</v>
      </c>
      <c r="N391" s="29" t="n">
        <f aca="false">IF("oui" = "oui",45.09*(1-disc)*1.2,45.09*1.2)</f>
        <v>54.108</v>
      </c>
      <c r="O391" s="24" t="s">
        <v>25</v>
      </c>
      <c r="P391" s="4" t="s">
        <v>25</v>
      </c>
      <c r="Q391" s="16"/>
    </row>
    <row r="392" customFormat="false" ht="12.8" hidden="false" customHeight="false" outlineLevel="0" collapsed="false">
      <c r="A392" s="22"/>
      <c r="B392" s="23"/>
      <c r="C392" s="24"/>
      <c r="D392" s="22"/>
      <c r="E392" s="19"/>
      <c r="F392" s="24"/>
      <c r="G392" s="25"/>
      <c r="H392" s="26"/>
      <c r="I392" s="27"/>
      <c r="J392" s="28"/>
      <c r="K392" s="28"/>
      <c r="L392" s="24"/>
      <c r="M392" s="29"/>
      <c r="N392" s="29"/>
      <c r="O392" s="24"/>
      <c r="P392" s="4"/>
      <c r="Q392" s="16"/>
    </row>
    <row r="393" customFormat="false" ht="12.8" hidden="false" customHeight="false" outlineLevel="0" collapsed="false">
      <c r="A393" s="42" t="s">
        <v>137</v>
      </c>
      <c r="B393" s="43"/>
      <c r="C393" s="44"/>
      <c r="D393" s="45"/>
      <c r="E393" s="46"/>
      <c r="F393" s="44"/>
      <c r="G393" s="47"/>
      <c r="H393" s="48"/>
      <c r="I393" s="49"/>
      <c r="J393" s="50"/>
      <c r="K393" s="50"/>
      <c r="L393" s="44"/>
      <c r="M393" s="51"/>
      <c r="N393" s="51"/>
      <c r="O393" s="44"/>
      <c r="P393" s="52"/>
      <c r="Q393" s="53"/>
    </row>
    <row r="394" customFormat="false" ht="12.8" hidden="false" customHeight="false" outlineLevel="0" collapsed="false">
      <c r="A394" s="22"/>
      <c r="B394" s="23"/>
      <c r="C394" s="24"/>
      <c r="D394" s="22"/>
      <c r="E394" s="19"/>
      <c r="F394" s="24"/>
      <c r="G394" s="25"/>
      <c r="H394" s="26"/>
      <c r="I394" s="27"/>
      <c r="J394" s="28"/>
      <c r="K394" s="28"/>
      <c r="L394" s="24"/>
      <c r="M394" s="29"/>
      <c r="N394" s="29"/>
      <c r="O394" s="24"/>
      <c r="P394" s="4"/>
      <c r="Q394" s="16"/>
    </row>
    <row r="395" customFormat="false" ht="12.8" hidden="false" customHeight="false" outlineLevel="0" collapsed="false">
      <c r="A395" s="22"/>
      <c r="B395" s="23" t="n">
        <v>510012000</v>
      </c>
      <c r="C395" s="24" t="n">
        <v>100</v>
      </c>
      <c r="D395" s="54" t="s">
        <v>374</v>
      </c>
      <c r="E395" s="19" t="s">
        <v>375</v>
      </c>
      <c r="F395" s="24" t="s">
        <v>23</v>
      </c>
      <c r="G395" s="25" t="n">
        <v>0.31</v>
      </c>
      <c r="H395" s="26"/>
      <c r="I395" s="27" t="n">
        <v>100</v>
      </c>
      <c r="J395" s="28" t="n">
        <v>30</v>
      </c>
      <c r="K395" s="28" t="n">
        <v>1</v>
      </c>
      <c r="L395" s="24" t="s">
        <v>24</v>
      </c>
      <c r="M395" s="29" t="n">
        <f aca="false">IF("oui" = "oui",9.02*(1-disc),9.02)</f>
        <v>9.02</v>
      </c>
      <c r="N395" s="29" t="n">
        <f aca="false">IF("oui" = "oui",9.02*(1-disc)*1.2,9.02*1.2)</f>
        <v>10.824</v>
      </c>
      <c r="O395" s="24" t="s">
        <v>25</v>
      </c>
      <c r="P395" s="4" t="s">
        <v>25</v>
      </c>
      <c r="Q395" s="16"/>
    </row>
    <row r="396" customFormat="false" ht="12.8" hidden="false" customHeight="false" outlineLevel="0" collapsed="false">
      <c r="A396" s="22"/>
      <c r="B396" s="23" t="n">
        <v>510013000</v>
      </c>
      <c r="C396" s="24" t="n">
        <v>100</v>
      </c>
      <c r="D396" s="54" t="s">
        <v>376</v>
      </c>
      <c r="E396" s="19" t="s">
        <v>375</v>
      </c>
      <c r="F396" s="24" t="s">
        <v>23</v>
      </c>
      <c r="G396" s="25" t="n">
        <v>0.31</v>
      </c>
      <c r="H396" s="26"/>
      <c r="I396" s="27" t="n">
        <v>100</v>
      </c>
      <c r="J396" s="28" t="n">
        <v>30</v>
      </c>
      <c r="K396" s="28" t="n">
        <v>1</v>
      </c>
      <c r="L396" s="24" t="s">
        <v>24</v>
      </c>
      <c r="M396" s="29" t="n">
        <f aca="false">IF("oui" = "oui",9.02*(1-disc),9.02)</f>
        <v>9.02</v>
      </c>
      <c r="N396" s="29" t="n">
        <f aca="false">IF("oui" = "oui",9.02*(1-disc)*1.2,9.02*1.2)</f>
        <v>10.824</v>
      </c>
      <c r="O396" s="24" t="s">
        <v>25</v>
      </c>
      <c r="P396" s="4" t="s">
        <v>25</v>
      </c>
      <c r="Q396" s="16"/>
    </row>
    <row r="397" customFormat="false" ht="12.8" hidden="false" customHeight="false" outlineLevel="0" collapsed="false">
      <c r="A397" s="22"/>
      <c r="B397" s="23" t="n">
        <v>510016000</v>
      </c>
      <c r="C397" s="24" t="n">
        <v>100</v>
      </c>
      <c r="D397" s="54" t="s">
        <v>377</v>
      </c>
      <c r="E397" s="19" t="s">
        <v>375</v>
      </c>
      <c r="F397" s="24" t="s">
        <v>23</v>
      </c>
      <c r="G397" s="25" t="n">
        <v>0.31</v>
      </c>
      <c r="H397" s="26"/>
      <c r="I397" s="27" t="n">
        <v>100</v>
      </c>
      <c r="J397" s="28" t="n">
        <v>30</v>
      </c>
      <c r="K397" s="28" t="n">
        <v>1</v>
      </c>
      <c r="L397" s="24" t="s">
        <v>24</v>
      </c>
      <c r="M397" s="29" t="n">
        <f aca="false">IF("oui" = "oui",9.02*(1-disc),9.02)</f>
        <v>9.02</v>
      </c>
      <c r="N397" s="29" t="n">
        <f aca="false">IF("oui" = "oui",9.02*(1-disc)*1.2,9.02*1.2)</f>
        <v>10.824</v>
      </c>
      <c r="O397" s="24" t="s">
        <v>25</v>
      </c>
      <c r="P397" s="4" t="s">
        <v>25</v>
      </c>
      <c r="Q397" s="16"/>
    </row>
    <row r="398" customFormat="false" ht="12.8" hidden="false" customHeight="false" outlineLevel="0" collapsed="false">
      <c r="A398" s="22"/>
      <c r="B398" s="23" t="n">
        <v>510017000</v>
      </c>
      <c r="C398" s="24" t="n">
        <v>100</v>
      </c>
      <c r="D398" s="54" t="s">
        <v>378</v>
      </c>
      <c r="E398" s="19" t="s">
        <v>375</v>
      </c>
      <c r="F398" s="24" t="s">
        <v>23</v>
      </c>
      <c r="G398" s="25" t="n">
        <v>0.31</v>
      </c>
      <c r="H398" s="26"/>
      <c r="I398" s="27" t="n">
        <v>100</v>
      </c>
      <c r="J398" s="28" t="n">
        <v>30</v>
      </c>
      <c r="K398" s="28" t="n">
        <v>1</v>
      </c>
      <c r="L398" s="24" t="s">
        <v>24</v>
      </c>
      <c r="M398" s="29" t="n">
        <f aca="false">IF("oui" = "oui",9.02*(1-disc),9.02)</f>
        <v>9.02</v>
      </c>
      <c r="N398" s="29" t="n">
        <f aca="false">IF("oui" = "oui",9.02*(1-disc)*1.2,9.02*1.2)</f>
        <v>10.824</v>
      </c>
      <c r="O398" s="24" t="s">
        <v>25</v>
      </c>
      <c r="P398" s="4" t="s">
        <v>25</v>
      </c>
      <c r="Q398" s="16"/>
    </row>
    <row r="399" customFormat="false" ht="12.8" hidden="false" customHeight="false" outlineLevel="0" collapsed="false">
      <c r="A399" s="22"/>
      <c r="B399" s="23" t="n">
        <v>510018000</v>
      </c>
      <c r="C399" s="24" t="n">
        <v>100</v>
      </c>
      <c r="D399" s="54" t="s">
        <v>379</v>
      </c>
      <c r="E399" s="19" t="s">
        <v>375</v>
      </c>
      <c r="F399" s="24" t="s">
        <v>23</v>
      </c>
      <c r="G399" s="25" t="n">
        <v>0.31</v>
      </c>
      <c r="H399" s="26"/>
      <c r="I399" s="27" t="n">
        <v>100</v>
      </c>
      <c r="J399" s="28" t="n">
        <v>30</v>
      </c>
      <c r="K399" s="28" t="n">
        <v>1</v>
      </c>
      <c r="L399" s="24" t="s">
        <v>24</v>
      </c>
      <c r="M399" s="29" t="n">
        <f aca="false">IF("oui" = "oui",9.02*(1-disc),9.02)</f>
        <v>9.02</v>
      </c>
      <c r="N399" s="29" t="n">
        <f aca="false">IF("oui" = "oui",9.02*(1-disc)*1.2,9.02*1.2)</f>
        <v>10.824</v>
      </c>
      <c r="O399" s="24" t="s">
        <v>25</v>
      </c>
      <c r="P399" s="4" t="s">
        <v>25</v>
      </c>
      <c r="Q399" s="16"/>
    </row>
    <row r="400" customFormat="false" ht="12.8" hidden="false" customHeight="false" outlineLevel="0" collapsed="false">
      <c r="A400" s="22"/>
      <c r="B400" s="23" t="n">
        <v>510019000</v>
      </c>
      <c r="C400" s="24" t="n">
        <v>100</v>
      </c>
      <c r="D400" s="54" t="s">
        <v>380</v>
      </c>
      <c r="E400" s="19" t="s">
        <v>375</v>
      </c>
      <c r="F400" s="24" t="s">
        <v>23</v>
      </c>
      <c r="G400" s="25" t="n">
        <v>0.31</v>
      </c>
      <c r="H400" s="26"/>
      <c r="I400" s="27" t="n">
        <v>100</v>
      </c>
      <c r="J400" s="28" t="n">
        <v>30</v>
      </c>
      <c r="K400" s="28" t="n">
        <v>1</v>
      </c>
      <c r="L400" s="24" t="s">
        <v>24</v>
      </c>
      <c r="M400" s="29" t="n">
        <f aca="false">IF("oui" = "oui",9.02*(1-disc),9.02)</f>
        <v>9.02</v>
      </c>
      <c r="N400" s="29" t="n">
        <f aca="false">IF("oui" = "oui",9.02*(1-disc)*1.2,9.02*1.2)</f>
        <v>10.824</v>
      </c>
      <c r="O400" s="24" t="s">
        <v>25</v>
      </c>
      <c r="P400" s="55" t="s">
        <v>381</v>
      </c>
      <c r="Q400" s="16"/>
    </row>
    <row r="401" customFormat="false" ht="12.8" hidden="false" customHeight="false" outlineLevel="0" collapsed="false">
      <c r="A401" s="22"/>
      <c r="B401" s="23" t="n">
        <v>510020000</v>
      </c>
      <c r="C401" s="24" t="n">
        <v>100</v>
      </c>
      <c r="D401" s="54" t="s">
        <v>382</v>
      </c>
      <c r="E401" s="19" t="s">
        <v>375</v>
      </c>
      <c r="F401" s="24" t="s">
        <v>23</v>
      </c>
      <c r="G401" s="25" t="n">
        <v>0.31</v>
      </c>
      <c r="H401" s="26"/>
      <c r="I401" s="27" t="n">
        <v>100</v>
      </c>
      <c r="J401" s="28" t="n">
        <v>30</v>
      </c>
      <c r="K401" s="28" t="n">
        <v>1</v>
      </c>
      <c r="L401" s="24" t="s">
        <v>24</v>
      </c>
      <c r="M401" s="29" t="n">
        <f aca="false">IF("oui" = "oui",9.02*(1-disc),9.02)</f>
        <v>9.02</v>
      </c>
      <c r="N401" s="29" t="n">
        <f aca="false">IF("oui" = "oui",9.02*(1-disc)*1.2,9.02*1.2)</f>
        <v>10.824</v>
      </c>
      <c r="O401" s="24" t="s">
        <v>25</v>
      </c>
      <c r="P401" s="4" t="s">
        <v>25</v>
      </c>
      <c r="Q401" s="16"/>
    </row>
    <row r="402" customFormat="false" ht="12.8" hidden="false" customHeight="false" outlineLevel="0" collapsed="false">
      <c r="A402" s="22"/>
      <c r="B402" s="23" t="n">
        <v>510021000</v>
      </c>
      <c r="C402" s="24" t="n">
        <v>100</v>
      </c>
      <c r="D402" s="54" t="s">
        <v>383</v>
      </c>
      <c r="E402" s="19" t="s">
        <v>375</v>
      </c>
      <c r="F402" s="24" t="s">
        <v>23</v>
      </c>
      <c r="G402" s="25" t="n">
        <v>0.31</v>
      </c>
      <c r="H402" s="26"/>
      <c r="I402" s="27" t="n">
        <v>100</v>
      </c>
      <c r="J402" s="28" t="n">
        <v>30</v>
      </c>
      <c r="K402" s="28" t="n">
        <v>1</v>
      </c>
      <c r="L402" s="24" t="s">
        <v>24</v>
      </c>
      <c r="M402" s="29" t="n">
        <f aca="false">IF("oui" = "oui",9.02*(1-disc),9.02)</f>
        <v>9.02</v>
      </c>
      <c r="N402" s="29" t="n">
        <f aca="false">IF("oui" = "oui",9.02*(1-disc)*1.2,9.02*1.2)</f>
        <v>10.824</v>
      </c>
      <c r="O402" s="24" t="s">
        <v>25</v>
      </c>
      <c r="P402" s="7" t="s">
        <v>26</v>
      </c>
      <c r="Q402" s="16"/>
    </row>
    <row r="403" customFormat="false" ht="12.8" hidden="false" customHeight="false" outlineLevel="0" collapsed="false">
      <c r="A403" s="22"/>
      <c r="B403" s="23" t="n">
        <v>510022000</v>
      </c>
      <c r="C403" s="24" t="n">
        <v>100</v>
      </c>
      <c r="D403" s="54" t="s">
        <v>384</v>
      </c>
      <c r="E403" s="19" t="s">
        <v>375</v>
      </c>
      <c r="F403" s="24" t="s">
        <v>23</v>
      </c>
      <c r="G403" s="25" t="n">
        <v>0.31</v>
      </c>
      <c r="H403" s="26"/>
      <c r="I403" s="27" t="n">
        <v>100</v>
      </c>
      <c r="J403" s="28" t="n">
        <v>30</v>
      </c>
      <c r="K403" s="28" t="n">
        <v>1</v>
      </c>
      <c r="L403" s="24" t="s">
        <v>24</v>
      </c>
      <c r="M403" s="29" t="n">
        <f aca="false">IF("oui" = "oui",9.02*(1-disc),9.02)</f>
        <v>9.02</v>
      </c>
      <c r="N403" s="29" t="n">
        <f aca="false">IF("oui" = "oui",9.02*(1-disc)*1.2,9.02*1.2)</f>
        <v>10.824</v>
      </c>
      <c r="O403" s="24" t="s">
        <v>25</v>
      </c>
      <c r="P403" s="4" t="s">
        <v>25</v>
      </c>
      <c r="Q403" s="16"/>
    </row>
    <row r="404" customFormat="false" ht="12.8" hidden="false" customHeight="false" outlineLevel="0" collapsed="false">
      <c r="A404" s="22"/>
      <c r="B404" s="23" t="n">
        <v>510156000</v>
      </c>
      <c r="C404" s="24" t="n">
        <v>100</v>
      </c>
      <c r="D404" s="54" t="s">
        <v>385</v>
      </c>
      <c r="E404" s="19" t="s">
        <v>375</v>
      </c>
      <c r="F404" s="24" t="s">
        <v>23</v>
      </c>
      <c r="G404" s="25" t="n">
        <v>0.31</v>
      </c>
      <c r="H404" s="26"/>
      <c r="I404" s="27" t="n">
        <v>100</v>
      </c>
      <c r="J404" s="28" t="n">
        <v>30</v>
      </c>
      <c r="K404" s="28" t="n">
        <v>1</v>
      </c>
      <c r="L404" s="24" t="s">
        <v>24</v>
      </c>
      <c r="M404" s="29" t="n">
        <f aca="false">IF("oui" = "oui",9.02*(1-disc),9.02)</f>
        <v>9.02</v>
      </c>
      <c r="N404" s="29" t="n">
        <f aca="false">IF("oui" = "oui",9.02*(1-disc)*1.2,9.02*1.2)</f>
        <v>10.824</v>
      </c>
      <c r="O404" s="24" t="s">
        <v>25</v>
      </c>
      <c r="P404" s="7" t="s">
        <v>26</v>
      </c>
      <c r="Q404" s="16"/>
    </row>
    <row r="405" customFormat="false" ht="12.8" hidden="false" customHeight="false" outlineLevel="0" collapsed="false">
      <c r="A405" s="22"/>
      <c r="B405" s="23" t="n">
        <v>510015000</v>
      </c>
      <c r="C405" s="24" t="n">
        <v>100</v>
      </c>
      <c r="D405" s="54" t="s">
        <v>386</v>
      </c>
      <c r="E405" s="19" t="s">
        <v>375</v>
      </c>
      <c r="F405" s="24" t="s">
        <v>23</v>
      </c>
      <c r="G405" s="25" t="n">
        <v>0.31</v>
      </c>
      <c r="H405" s="26"/>
      <c r="I405" s="27" t="n">
        <v>100</v>
      </c>
      <c r="J405" s="28" t="n">
        <v>30</v>
      </c>
      <c r="K405" s="28" t="n">
        <v>1</v>
      </c>
      <c r="L405" s="24" t="s">
        <v>24</v>
      </c>
      <c r="M405" s="29" t="n">
        <f aca="false">IF("oui" = "oui",9.02*(1-disc),9.02)</f>
        <v>9.02</v>
      </c>
      <c r="N405" s="29" t="n">
        <f aca="false">IF("oui" = "oui",9.02*(1-disc)*1.2,9.02*1.2)</f>
        <v>10.824</v>
      </c>
      <c r="O405" s="24" t="s">
        <v>25</v>
      </c>
      <c r="P405" s="4" t="s">
        <v>25</v>
      </c>
      <c r="Q405" s="16"/>
    </row>
    <row r="406" customFormat="false" ht="12.8" hidden="false" customHeight="false" outlineLevel="0" collapsed="false">
      <c r="A406" s="22"/>
      <c r="B406" s="23" t="n">
        <v>510014000</v>
      </c>
      <c r="C406" s="24" t="n">
        <v>100</v>
      </c>
      <c r="D406" s="54" t="s">
        <v>387</v>
      </c>
      <c r="E406" s="19" t="s">
        <v>375</v>
      </c>
      <c r="F406" s="24" t="s">
        <v>23</v>
      </c>
      <c r="G406" s="25" t="n">
        <v>0.31</v>
      </c>
      <c r="H406" s="26"/>
      <c r="I406" s="27" t="n">
        <v>100</v>
      </c>
      <c r="J406" s="28" t="n">
        <v>30</v>
      </c>
      <c r="K406" s="28" t="n">
        <v>1</v>
      </c>
      <c r="L406" s="24" t="s">
        <v>24</v>
      </c>
      <c r="M406" s="29" t="n">
        <f aca="false">IF("oui" = "oui",9.02*(1-disc),9.02)</f>
        <v>9.02</v>
      </c>
      <c r="N406" s="29" t="n">
        <f aca="false">IF("oui" = "oui",9.02*(1-disc)*1.2,9.02*1.2)</f>
        <v>10.824</v>
      </c>
      <c r="O406" s="24" t="s">
        <v>25</v>
      </c>
      <c r="P406" s="4" t="s">
        <v>25</v>
      </c>
      <c r="Q406" s="16"/>
    </row>
    <row r="407" customFormat="false" ht="12.8" hidden="false" customHeight="false" outlineLevel="0" collapsed="false">
      <c r="A407" s="22"/>
      <c r="B407" s="23"/>
      <c r="C407" s="24"/>
      <c r="D407" s="22"/>
      <c r="E407" s="19"/>
      <c r="F407" s="24"/>
      <c r="G407" s="25"/>
      <c r="H407" s="26"/>
      <c r="I407" s="27"/>
      <c r="J407" s="28"/>
      <c r="K407" s="28"/>
      <c r="L407" s="24"/>
      <c r="M407" s="29"/>
      <c r="N407" s="29"/>
      <c r="O407" s="24"/>
      <c r="P407" s="4"/>
      <c r="Q407" s="16"/>
    </row>
    <row r="408" customFormat="false" ht="12.8" hidden="false" customHeight="false" outlineLevel="0" collapsed="false">
      <c r="A408" s="22"/>
      <c r="B408" s="23" t="n">
        <v>510132000</v>
      </c>
      <c r="C408" s="24" t="n">
        <v>100</v>
      </c>
      <c r="D408" s="22" t="s">
        <v>388</v>
      </c>
      <c r="E408" s="19" t="s">
        <v>375</v>
      </c>
      <c r="F408" s="24" t="s">
        <v>23</v>
      </c>
      <c r="G408" s="25" t="n">
        <v>1.55</v>
      </c>
      <c r="H408" s="26"/>
      <c r="I408" s="27" t="n">
        <v>100</v>
      </c>
      <c r="J408" s="28" t="n">
        <v>6</v>
      </c>
      <c r="K408" s="28" t="n">
        <v>5</v>
      </c>
      <c r="L408" s="24" t="s">
        <v>24</v>
      </c>
      <c r="M408" s="29" t="n">
        <f aca="false">IF("oui" = "oui",45.09*(1-disc),45.09)</f>
        <v>45.09</v>
      </c>
      <c r="N408" s="29" t="n">
        <f aca="false">IF("oui" = "oui",45.09*(1-disc)*1.2,45.09*1.2)</f>
        <v>54.108</v>
      </c>
      <c r="O408" s="24" t="s">
        <v>25</v>
      </c>
      <c r="P408" s="4" t="s">
        <v>25</v>
      </c>
      <c r="Q408" s="16"/>
    </row>
    <row r="409" customFormat="false" ht="12.8" hidden="false" customHeight="false" outlineLevel="0" collapsed="false">
      <c r="A409" s="22"/>
      <c r="B409" s="23"/>
      <c r="C409" s="24"/>
      <c r="D409" s="22"/>
      <c r="E409" s="19"/>
      <c r="F409" s="24"/>
      <c r="G409" s="25"/>
      <c r="H409" s="26"/>
      <c r="I409" s="27"/>
      <c r="J409" s="28"/>
      <c r="K409" s="28"/>
      <c r="L409" s="24"/>
      <c r="M409" s="29"/>
      <c r="N409" s="29"/>
      <c r="O409" s="24"/>
      <c r="P409" s="4"/>
      <c r="Q409" s="16"/>
    </row>
    <row r="410" customFormat="false" ht="12.8" hidden="false" customHeight="false" outlineLevel="0" collapsed="false">
      <c r="A410" s="42" t="s">
        <v>34</v>
      </c>
      <c r="B410" s="43"/>
      <c r="C410" s="44"/>
      <c r="D410" s="45"/>
      <c r="E410" s="46"/>
      <c r="F410" s="44"/>
      <c r="G410" s="47"/>
      <c r="H410" s="48"/>
      <c r="I410" s="49"/>
      <c r="J410" s="50"/>
      <c r="K410" s="50"/>
      <c r="L410" s="44"/>
      <c r="M410" s="51"/>
      <c r="N410" s="51"/>
      <c r="O410" s="44"/>
      <c r="P410" s="52"/>
      <c r="Q410" s="53"/>
    </row>
    <row r="411" customFormat="false" ht="12.8" hidden="false" customHeight="false" outlineLevel="0" collapsed="false">
      <c r="A411" s="22"/>
      <c r="B411" s="23"/>
      <c r="C411" s="24"/>
      <c r="D411" s="22"/>
      <c r="E411" s="19"/>
      <c r="F411" s="24"/>
      <c r="G411" s="25"/>
      <c r="H411" s="26"/>
      <c r="I411" s="27"/>
      <c r="J411" s="28"/>
      <c r="K411" s="28"/>
      <c r="L411" s="24"/>
      <c r="M411" s="29"/>
      <c r="N411" s="29"/>
      <c r="O411" s="24"/>
      <c r="P411" s="4"/>
      <c r="Q411" s="16"/>
    </row>
    <row r="412" customFormat="false" ht="12.8" hidden="false" customHeight="false" outlineLevel="0" collapsed="false">
      <c r="A412" s="22"/>
      <c r="B412" s="23" t="n">
        <v>510023000</v>
      </c>
      <c r="C412" s="24" t="n">
        <v>100</v>
      </c>
      <c r="D412" s="54" t="s">
        <v>389</v>
      </c>
      <c r="E412" s="19" t="s">
        <v>390</v>
      </c>
      <c r="F412" s="24" t="s">
        <v>23</v>
      </c>
      <c r="G412" s="25" t="n">
        <v>0.362</v>
      </c>
      <c r="H412" s="26"/>
      <c r="I412" s="27" t="n">
        <v>100</v>
      </c>
      <c r="J412" s="28" t="n">
        <v>30</v>
      </c>
      <c r="K412" s="28" t="n">
        <v>1</v>
      </c>
      <c r="L412" s="24" t="s">
        <v>24</v>
      </c>
      <c r="M412" s="29" t="n">
        <f aca="false">IF("oui" = "oui",9.02*(1-disc),9.02)</f>
        <v>9.02</v>
      </c>
      <c r="N412" s="29" t="n">
        <f aca="false">IF("oui" = "oui",9.02*(1-disc)*1.2,9.02*1.2)</f>
        <v>10.824</v>
      </c>
      <c r="O412" s="24" t="s">
        <v>25</v>
      </c>
      <c r="P412" s="7" t="s">
        <v>26</v>
      </c>
      <c r="Q412" s="16"/>
    </row>
    <row r="413" customFormat="false" ht="12.8" hidden="false" customHeight="false" outlineLevel="0" collapsed="false">
      <c r="A413" s="22"/>
      <c r="B413" s="23" t="n">
        <v>510024000</v>
      </c>
      <c r="C413" s="24" t="n">
        <v>100</v>
      </c>
      <c r="D413" s="54" t="s">
        <v>391</v>
      </c>
      <c r="E413" s="19" t="s">
        <v>390</v>
      </c>
      <c r="F413" s="24" t="s">
        <v>23</v>
      </c>
      <c r="G413" s="25" t="n">
        <v>0.362</v>
      </c>
      <c r="H413" s="26"/>
      <c r="I413" s="27" t="n">
        <v>100</v>
      </c>
      <c r="J413" s="28" t="n">
        <v>30</v>
      </c>
      <c r="K413" s="28" t="n">
        <v>1</v>
      </c>
      <c r="L413" s="24" t="s">
        <v>24</v>
      </c>
      <c r="M413" s="29" t="n">
        <f aca="false">IF("oui" = "oui",9.02*(1-disc),9.02)</f>
        <v>9.02</v>
      </c>
      <c r="N413" s="29" t="n">
        <f aca="false">IF("oui" = "oui",9.02*(1-disc)*1.2,9.02*1.2)</f>
        <v>10.824</v>
      </c>
      <c r="O413" s="24" t="s">
        <v>25</v>
      </c>
      <c r="P413" s="4" t="s">
        <v>25</v>
      </c>
      <c r="Q413" s="16"/>
    </row>
    <row r="414" customFormat="false" ht="12.8" hidden="false" customHeight="false" outlineLevel="0" collapsed="false">
      <c r="A414" s="22"/>
      <c r="B414" s="23" t="n">
        <v>510025000</v>
      </c>
      <c r="C414" s="24" t="n">
        <v>100</v>
      </c>
      <c r="D414" s="54" t="s">
        <v>392</v>
      </c>
      <c r="E414" s="19" t="s">
        <v>390</v>
      </c>
      <c r="F414" s="24" t="s">
        <v>23</v>
      </c>
      <c r="G414" s="25" t="n">
        <v>0.362</v>
      </c>
      <c r="H414" s="26"/>
      <c r="I414" s="27" t="n">
        <v>100</v>
      </c>
      <c r="J414" s="28" t="n">
        <v>30</v>
      </c>
      <c r="K414" s="28" t="n">
        <v>1</v>
      </c>
      <c r="L414" s="24" t="s">
        <v>24</v>
      </c>
      <c r="M414" s="29" t="n">
        <f aca="false">IF("oui" = "oui",9.02*(1-disc),9.02)</f>
        <v>9.02</v>
      </c>
      <c r="N414" s="29" t="n">
        <f aca="false">IF("oui" = "oui",9.02*(1-disc)*1.2,9.02*1.2)</f>
        <v>10.824</v>
      </c>
      <c r="O414" s="24" t="s">
        <v>25</v>
      </c>
      <c r="P414" s="7" t="s">
        <v>26</v>
      </c>
      <c r="Q414" s="16"/>
    </row>
    <row r="415" customFormat="false" ht="12.8" hidden="false" customHeight="false" outlineLevel="0" collapsed="false">
      <c r="A415" s="22"/>
      <c r="B415" s="23" t="n">
        <v>510026000</v>
      </c>
      <c r="C415" s="24" t="n">
        <v>100</v>
      </c>
      <c r="D415" s="54" t="s">
        <v>393</v>
      </c>
      <c r="E415" s="19" t="s">
        <v>390</v>
      </c>
      <c r="F415" s="24" t="s">
        <v>23</v>
      </c>
      <c r="G415" s="25" t="n">
        <v>0.362</v>
      </c>
      <c r="H415" s="26"/>
      <c r="I415" s="27" t="n">
        <v>100</v>
      </c>
      <c r="J415" s="28" t="n">
        <v>30</v>
      </c>
      <c r="K415" s="28" t="n">
        <v>1</v>
      </c>
      <c r="L415" s="24" t="s">
        <v>24</v>
      </c>
      <c r="M415" s="29" t="n">
        <f aca="false">IF("oui" = "oui",9.02*(1-disc),9.02)</f>
        <v>9.02</v>
      </c>
      <c r="N415" s="29" t="n">
        <f aca="false">IF("oui" = "oui",9.02*(1-disc)*1.2,9.02*1.2)</f>
        <v>10.824</v>
      </c>
      <c r="O415" s="24" t="s">
        <v>25</v>
      </c>
      <c r="P415" s="4" t="s">
        <v>25</v>
      </c>
      <c r="Q415" s="16"/>
    </row>
    <row r="416" customFormat="false" ht="12.8" hidden="false" customHeight="false" outlineLevel="0" collapsed="false">
      <c r="A416" s="22"/>
      <c r="B416" s="23" t="n">
        <v>510147000</v>
      </c>
      <c r="C416" s="24" t="n">
        <v>100</v>
      </c>
      <c r="D416" s="54" t="s">
        <v>394</v>
      </c>
      <c r="E416" s="19" t="s">
        <v>390</v>
      </c>
      <c r="F416" s="24" t="s">
        <v>23</v>
      </c>
      <c r="G416" s="25" t="n">
        <v>0.362</v>
      </c>
      <c r="H416" s="26"/>
      <c r="I416" s="27" t="n">
        <v>100</v>
      </c>
      <c r="J416" s="28" t="n">
        <v>30</v>
      </c>
      <c r="K416" s="28" t="n">
        <v>1</v>
      </c>
      <c r="L416" s="24" t="s">
        <v>24</v>
      </c>
      <c r="M416" s="29" t="n">
        <f aca="false">IF("oui" = "oui",9.02*(1-disc),9.02)</f>
        <v>9.02</v>
      </c>
      <c r="N416" s="29" t="n">
        <f aca="false">IF("oui" = "oui",9.02*(1-disc)*1.2,9.02*1.2)</f>
        <v>10.824</v>
      </c>
      <c r="O416" s="24" t="s">
        <v>25</v>
      </c>
      <c r="P416" s="4" t="s">
        <v>25</v>
      </c>
      <c r="Q416" s="16"/>
    </row>
    <row r="417" customFormat="false" ht="12.8" hidden="false" customHeight="false" outlineLevel="0" collapsed="false">
      <c r="A417" s="22"/>
      <c r="B417" s="23" t="n">
        <v>510027000</v>
      </c>
      <c r="C417" s="24" t="n">
        <v>100</v>
      </c>
      <c r="D417" s="54" t="s">
        <v>395</v>
      </c>
      <c r="E417" s="19" t="s">
        <v>390</v>
      </c>
      <c r="F417" s="24" t="s">
        <v>23</v>
      </c>
      <c r="G417" s="25" t="n">
        <v>0.362</v>
      </c>
      <c r="H417" s="26"/>
      <c r="I417" s="27" t="n">
        <v>100</v>
      </c>
      <c r="J417" s="28" t="n">
        <v>30</v>
      </c>
      <c r="K417" s="28" t="n">
        <v>1</v>
      </c>
      <c r="L417" s="24" t="s">
        <v>24</v>
      </c>
      <c r="M417" s="29" t="n">
        <f aca="false">IF("oui" = "oui",9.02*(1-disc),9.02)</f>
        <v>9.02</v>
      </c>
      <c r="N417" s="29" t="n">
        <f aca="false">IF("oui" = "oui",9.02*(1-disc)*1.2,9.02*1.2)</f>
        <v>10.824</v>
      </c>
      <c r="O417" s="24" t="s">
        <v>25</v>
      </c>
      <c r="P417" s="4" t="s">
        <v>25</v>
      </c>
      <c r="Q417" s="16"/>
    </row>
    <row r="418" customFormat="false" ht="12.8" hidden="false" customHeight="false" outlineLevel="0" collapsed="false">
      <c r="A418" s="22"/>
      <c r="B418" s="23" t="n">
        <v>510145000</v>
      </c>
      <c r="C418" s="24" t="n">
        <v>100</v>
      </c>
      <c r="D418" s="54" t="s">
        <v>396</v>
      </c>
      <c r="E418" s="19" t="s">
        <v>390</v>
      </c>
      <c r="F418" s="24" t="s">
        <v>23</v>
      </c>
      <c r="G418" s="25" t="n">
        <v>0.362</v>
      </c>
      <c r="H418" s="26"/>
      <c r="I418" s="27" t="n">
        <v>100</v>
      </c>
      <c r="J418" s="28" t="n">
        <v>30</v>
      </c>
      <c r="K418" s="28" t="n">
        <v>1</v>
      </c>
      <c r="L418" s="24" t="s">
        <v>24</v>
      </c>
      <c r="M418" s="29" t="n">
        <f aca="false">IF("oui" = "oui",9.02*(1-disc),9.02)</f>
        <v>9.02</v>
      </c>
      <c r="N418" s="29" t="n">
        <f aca="false">IF("oui" = "oui",9.02*(1-disc)*1.2,9.02*1.2)</f>
        <v>10.824</v>
      </c>
      <c r="O418" s="24" t="s">
        <v>25</v>
      </c>
      <c r="P418" s="7" t="s">
        <v>26</v>
      </c>
      <c r="Q418" s="16"/>
    </row>
    <row r="419" customFormat="false" ht="12.8" hidden="false" customHeight="false" outlineLevel="0" collapsed="false">
      <c r="A419" s="22"/>
      <c r="B419" s="23" t="n">
        <v>510029000</v>
      </c>
      <c r="C419" s="24" t="n">
        <v>100</v>
      </c>
      <c r="D419" s="54" t="s">
        <v>397</v>
      </c>
      <c r="E419" s="19" t="s">
        <v>390</v>
      </c>
      <c r="F419" s="24" t="s">
        <v>23</v>
      </c>
      <c r="G419" s="25" t="n">
        <v>0.362</v>
      </c>
      <c r="H419" s="26"/>
      <c r="I419" s="27" t="n">
        <v>100</v>
      </c>
      <c r="J419" s="28" t="n">
        <v>30</v>
      </c>
      <c r="K419" s="28" t="n">
        <v>1</v>
      </c>
      <c r="L419" s="24" t="s">
        <v>24</v>
      </c>
      <c r="M419" s="29" t="n">
        <f aca="false">IF("oui" = "oui",9.02*(1-disc),9.02)</f>
        <v>9.02</v>
      </c>
      <c r="N419" s="29" t="n">
        <f aca="false">IF("oui" = "oui",9.02*(1-disc)*1.2,9.02*1.2)</f>
        <v>10.824</v>
      </c>
      <c r="O419" s="24" t="s">
        <v>25</v>
      </c>
      <c r="P419" s="4" t="s">
        <v>25</v>
      </c>
      <c r="Q419" s="16"/>
    </row>
    <row r="420" customFormat="false" ht="12.8" hidden="false" customHeight="false" outlineLevel="0" collapsed="false">
      <c r="A420" s="22"/>
      <c r="B420" s="23" t="n">
        <v>510148000</v>
      </c>
      <c r="C420" s="24" t="n">
        <v>100</v>
      </c>
      <c r="D420" s="54" t="s">
        <v>398</v>
      </c>
      <c r="E420" s="19" t="s">
        <v>390</v>
      </c>
      <c r="F420" s="24" t="s">
        <v>23</v>
      </c>
      <c r="G420" s="25" t="n">
        <v>0.362</v>
      </c>
      <c r="H420" s="26"/>
      <c r="I420" s="27" t="n">
        <v>100</v>
      </c>
      <c r="J420" s="28" t="n">
        <v>30</v>
      </c>
      <c r="K420" s="28" t="n">
        <v>1</v>
      </c>
      <c r="L420" s="24" t="s">
        <v>24</v>
      </c>
      <c r="M420" s="29" t="n">
        <f aca="false">IF("oui" = "oui",9.02*(1-disc),9.02)</f>
        <v>9.02</v>
      </c>
      <c r="N420" s="29" t="n">
        <f aca="false">IF("oui" = "oui",9.02*(1-disc)*1.2,9.02*1.2)</f>
        <v>10.824</v>
      </c>
      <c r="O420" s="24" t="s">
        <v>25</v>
      </c>
      <c r="P420" s="4" t="s">
        <v>25</v>
      </c>
      <c r="Q420" s="16"/>
    </row>
    <row r="421" customFormat="false" ht="12.8" hidden="false" customHeight="false" outlineLevel="0" collapsed="false">
      <c r="A421" s="22"/>
      <c r="B421" s="23" t="n">
        <v>510150000</v>
      </c>
      <c r="C421" s="24" t="n">
        <v>100</v>
      </c>
      <c r="D421" s="22" t="s">
        <v>399</v>
      </c>
      <c r="E421" s="19" t="s">
        <v>390</v>
      </c>
      <c r="F421" s="24" t="s">
        <v>23</v>
      </c>
      <c r="G421" s="25" t="n">
        <v>0.362</v>
      </c>
      <c r="H421" s="26"/>
      <c r="I421" s="27" t="n">
        <v>100</v>
      </c>
      <c r="J421" s="28" t="n">
        <v>30</v>
      </c>
      <c r="K421" s="28" t="n">
        <v>1</v>
      </c>
      <c r="L421" s="24" t="s">
        <v>24</v>
      </c>
      <c r="M421" s="29" t="n">
        <f aca="false">IF("oui" = "oui",9.02*(1-disc),9.02)</f>
        <v>9.02</v>
      </c>
      <c r="N421" s="29" t="n">
        <f aca="false">IF("oui" = "oui",9.02*(1-disc)*1.2,9.02*1.2)</f>
        <v>10.824</v>
      </c>
      <c r="O421" s="24" t="s">
        <v>25</v>
      </c>
      <c r="P421" s="4" t="s">
        <v>25</v>
      </c>
      <c r="Q421" s="16"/>
    </row>
    <row r="422" customFormat="false" ht="12.8" hidden="false" customHeight="false" outlineLevel="0" collapsed="false">
      <c r="A422" s="22"/>
      <c r="B422" s="23" t="n">
        <v>510146000</v>
      </c>
      <c r="C422" s="24" t="n">
        <v>100</v>
      </c>
      <c r="D422" s="54" t="s">
        <v>400</v>
      </c>
      <c r="E422" s="19" t="s">
        <v>390</v>
      </c>
      <c r="F422" s="24" t="s">
        <v>23</v>
      </c>
      <c r="G422" s="25" t="n">
        <v>0.362</v>
      </c>
      <c r="H422" s="26"/>
      <c r="I422" s="27" t="n">
        <v>100</v>
      </c>
      <c r="J422" s="28" t="n">
        <v>30</v>
      </c>
      <c r="K422" s="28" t="n">
        <v>1</v>
      </c>
      <c r="L422" s="24" t="s">
        <v>24</v>
      </c>
      <c r="M422" s="29" t="n">
        <f aca="false">IF("oui" = "oui",9.02*(1-disc),9.02)</f>
        <v>9.02</v>
      </c>
      <c r="N422" s="29" t="n">
        <f aca="false">IF("oui" = "oui",9.02*(1-disc)*1.2,9.02*1.2)</f>
        <v>10.824</v>
      </c>
      <c r="O422" s="24" t="s">
        <v>25</v>
      </c>
      <c r="P422" s="7" t="s">
        <v>26</v>
      </c>
      <c r="Q422" s="16"/>
    </row>
    <row r="423" customFormat="false" ht="12.8" hidden="false" customHeight="false" outlineLevel="0" collapsed="false">
      <c r="A423" s="22"/>
      <c r="B423" s="23"/>
      <c r="C423" s="24"/>
      <c r="D423" s="22"/>
      <c r="E423" s="19"/>
      <c r="F423" s="24"/>
      <c r="G423" s="25"/>
      <c r="H423" s="26"/>
      <c r="I423" s="27"/>
      <c r="J423" s="28"/>
      <c r="K423" s="28"/>
      <c r="L423" s="24"/>
      <c r="M423" s="29"/>
      <c r="N423" s="29"/>
      <c r="O423" s="24"/>
      <c r="P423" s="4"/>
      <c r="Q423" s="16"/>
    </row>
    <row r="424" customFormat="false" ht="12.8" hidden="false" customHeight="false" outlineLevel="0" collapsed="false">
      <c r="A424" s="22"/>
      <c r="B424" s="23" t="n">
        <v>510133000</v>
      </c>
      <c r="C424" s="24" t="n">
        <v>100</v>
      </c>
      <c r="D424" s="22" t="s">
        <v>401</v>
      </c>
      <c r="E424" s="19" t="s">
        <v>390</v>
      </c>
      <c r="F424" s="24" t="s">
        <v>23</v>
      </c>
      <c r="G424" s="25" t="n">
        <v>1.81</v>
      </c>
      <c r="H424" s="26"/>
      <c r="I424" s="27" t="n">
        <v>100</v>
      </c>
      <c r="J424" s="28" t="n">
        <v>6</v>
      </c>
      <c r="K424" s="28" t="n">
        <v>5</v>
      </c>
      <c r="L424" s="24" t="s">
        <v>24</v>
      </c>
      <c r="M424" s="29" t="n">
        <f aca="false">IF("oui" = "oui",45.09*(1-disc),45.09)</f>
        <v>45.09</v>
      </c>
      <c r="N424" s="29" t="n">
        <f aca="false">IF("oui" = "oui",45.09*(1-disc)*1.2,45.09*1.2)</f>
        <v>54.108</v>
      </c>
      <c r="O424" s="24" t="s">
        <v>25</v>
      </c>
      <c r="P424" s="4" t="s">
        <v>25</v>
      </c>
      <c r="Q424" s="16"/>
    </row>
    <row r="425" customFormat="false" ht="12.8" hidden="false" customHeight="false" outlineLevel="0" collapsed="false">
      <c r="A425" s="22"/>
      <c r="B425" s="23"/>
      <c r="C425" s="24"/>
      <c r="D425" s="22"/>
      <c r="E425" s="19"/>
      <c r="F425" s="24"/>
      <c r="G425" s="25"/>
      <c r="H425" s="26"/>
      <c r="I425" s="27"/>
      <c r="J425" s="28"/>
      <c r="K425" s="28"/>
      <c r="L425" s="24"/>
      <c r="M425" s="29"/>
      <c r="N425" s="29"/>
      <c r="O425" s="24"/>
      <c r="P425" s="4"/>
      <c r="Q425" s="16"/>
    </row>
    <row r="426" customFormat="false" ht="12.8" hidden="false" customHeight="false" outlineLevel="0" collapsed="false">
      <c r="A426" s="42" t="s">
        <v>162</v>
      </c>
      <c r="B426" s="43"/>
      <c r="C426" s="44"/>
      <c r="D426" s="45"/>
      <c r="E426" s="46"/>
      <c r="F426" s="44"/>
      <c r="G426" s="47"/>
      <c r="H426" s="48"/>
      <c r="I426" s="49"/>
      <c r="J426" s="50"/>
      <c r="K426" s="50"/>
      <c r="L426" s="44"/>
      <c r="M426" s="51"/>
      <c r="N426" s="51"/>
      <c r="O426" s="44"/>
      <c r="P426" s="52"/>
      <c r="Q426" s="53"/>
    </row>
    <row r="427" customFormat="false" ht="12.8" hidden="false" customHeight="false" outlineLevel="0" collapsed="false">
      <c r="A427" s="22"/>
      <c r="B427" s="23"/>
      <c r="C427" s="24"/>
      <c r="D427" s="22"/>
      <c r="E427" s="19"/>
      <c r="F427" s="24"/>
      <c r="G427" s="25"/>
      <c r="H427" s="26"/>
      <c r="I427" s="27"/>
      <c r="J427" s="28"/>
      <c r="K427" s="28"/>
      <c r="L427" s="24"/>
      <c r="M427" s="29"/>
      <c r="N427" s="29"/>
      <c r="O427" s="24"/>
      <c r="P427" s="4"/>
      <c r="Q427" s="16"/>
    </row>
    <row r="428" customFormat="false" ht="12.8" hidden="false" customHeight="false" outlineLevel="0" collapsed="false">
      <c r="A428" s="22"/>
      <c r="B428" s="23" t="n">
        <v>510030000</v>
      </c>
      <c r="C428" s="24" t="n">
        <v>100</v>
      </c>
      <c r="D428" s="54" t="s">
        <v>402</v>
      </c>
      <c r="E428" s="19" t="s">
        <v>342</v>
      </c>
      <c r="F428" s="24" t="s">
        <v>23</v>
      </c>
      <c r="G428" s="25" t="n">
        <v>0.296</v>
      </c>
      <c r="H428" s="26"/>
      <c r="I428" s="27" t="n">
        <v>100</v>
      </c>
      <c r="J428" s="28" t="n">
        <v>30</v>
      </c>
      <c r="K428" s="28" t="n">
        <v>1</v>
      </c>
      <c r="L428" s="24" t="s">
        <v>24</v>
      </c>
      <c r="M428" s="29" t="n">
        <f aca="false">IF("oui" = "oui",9.02*(1-disc),9.02)</f>
        <v>9.02</v>
      </c>
      <c r="N428" s="29" t="n">
        <f aca="false">IF("oui" = "oui",9.02*(1-disc)*1.2,9.02*1.2)</f>
        <v>10.824</v>
      </c>
      <c r="O428" s="24" t="s">
        <v>25</v>
      </c>
      <c r="P428" s="4" t="s">
        <v>25</v>
      </c>
      <c r="Q428" s="16"/>
    </row>
    <row r="429" customFormat="false" ht="12.8" hidden="false" customHeight="false" outlineLevel="0" collapsed="false">
      <c r="A429" s="22"/>
      <c r="B429" s="23" t="n">
        <v>510031000</v>
      </c>
      <c r="C429" s="24" t="n">
        <v>100</v>
      </c>
      <c r="D429" s="54" t="s">
        <v>403</v>
      </c>
      <c r="E429" s="19" t="s">
        <v>342</v>
      </c>
      <c r="F429" s="24" t="s">
        <v>23</v>
      </c>
      <c r="G429" s="25" t="n">
        <v>0.296</v>
      </c>
      <c r="H429" s="26"/>
      <c r="I429" s="27" t="n">
        <v>100</v>
      </c>
      <c r="J429" s="28" t="n">
        <v>30</v>
      </c>
      <c r="K429" s="28" t="n">
        <v>1</v>
      </c>
      <c r="L429" s="24" t="s">
        <v>24</v>
      </c>
      <c r="M429" s="29" t="n">
        <f aca="false">IF("oui" = "oui",9.02*(1-disc),9.02)</f>
        <v>9.02</v>
      </c>
      <c r="N429" s="29" t="n">
        <f aca="false">IF("oui" = "oui",9.02*(1-disc)*1.2,9.02*1.2)</f>
        <v>10.824</v>
      </c>
      <c r="O429" s="24" t="s">
        <v>25</v>
      </c>
      <c r="P429" s="4" t="s">
        <v>25</v>
      </c>
      <c r="Q429" s="16"/>
    </row>
    <row r="430" customFormat="false" ht="12.8" hidden="false" customHeight="false" outlineLevel="0" collapsed="false">
      <c r="A430" s="22"/>
      <c r="B430" s="23" t="n">
        <v>510033000</v>
      </c>
      <c r="C430" s="24" t="n">
        <v>100</v>
      </c>
      <c r="D430" s="54" t="s">
        <v>404</v>
      </c>
      <c r="E430" s="19" t="s">
        <v>342</v>
      </c>
      <c r="F430" s="24" t="s">
        <v>23</v>
      </c>
      <c r="G430" s="25" t="n">
        <v>0.296</v>
      </c>
      <c r="H430" s="26"/>
      <c r="I430" s="27" t="n">
        <v>100</v>
      </c>
      <c r="J430" s="28" t="n">
        <v>30</v>
      </c>
      <c r="K430" s="28" t="n">
        <v>1</v>
      </c>
      <c r="L430" s="24" t="s">
        <v>24</v>
      </c>
      <c r="M430" s="29" t="n">
        <f aca="false">IF("oui" = "oui",9.02*(1-disc),9.02)</f>
        <v>9.02</v>
      </c>
      <c r="N430" s="29" t="n">
        <f aca="false">IF("oui" = "oui",9.02*(1-disc)*1.2,9.02*1.2)</f>
        <v>10.824</v>
      </c>
      <c r="O430" s="24" t="s">
        <v>25</v>
      </c>
      <c r="P430" s="4" t="s">
        <v>25</v>
      </c>
      <c r="Q430" s="16"/>
    </row>
    <row r="431" customFormat="false" ht="12.8" hidden="false" customHeight="false" outlineLevel="0" collapsed="false">
      <c r="A431" s="22"/>
      <c r="B431" s="23" t="n">
        <v>510034000</v>
      </c>
      <c r="C431" s="24" t="n">
        <v>100</v>
      </c>
      <c r="D431" s="54" t="s">
        <v>405</v>
      </c>
      <c r="E431" s="19" t="s">
        <v>342</v>
      </c>
      <c r="F431" s="24" t="s">
        <v>23</v>
      </c>
      <c r="G431" s="25" t="n">
        <v>0.296</v>
      </c>
      <c r="H431" s="26"/>
      <c r="I431" s="27" t="n">
        <v>100</v>
      </c>
      <c r="J431" s="28" t="n">
        <v>30</v>
      </c>
      <c r="K431" s="28" t="n">
        <v>1</v>
      </c>
      <c r="L431" s="24" t="s">
        <v>24</v>
      </c>
      <c r="M431" s="29" t="n">
        <f aca="false">IF("oui" = "oui",9.02*(1-disc),9.02)</f>
        <v>9.02</v>
      </c>
      <c r="N431" s="29" t="n">
        <f aca="false">IF("oui" = "oui",9.02*(1-disc)*1.2,9.02*1.2)</f>
        <v>10.824</v>
      </c>
      <c r="O431" s="24" t="s">
        <v>25</v>
      </c>
      <c r="P431" s="4" t="s">
        <v>25</v>
      </c>
      <c r="Q431" s="16"/>
    </row>
    <row r="432" customFormat="false" ht="12.8" hidden="false" customHeight="false" outlineLevel="0" collapsed="false">
      <c r="A432" s="22"/>
      <c r="B432" s="23" t="n">
        <v>510036000</v>
      </c>
      <c r="C432" s="24" t="n">
        <v>100</v>
      </c>
      <c r="D432" s="54" t="s">
        <v>406</v>
      </c>
      <c r="E432" s="19" t="s">
        <v>342</v>
      </c>
      <c r="F432" s="24" t="s">
        <v>23</v>
      </c>
      <c r="G432" s="25" t="n">
        <v>0.296</v>
      </c>
      <c r="H432" s="26"/>
      <c r="I432" s="27" t="n">
        <v>100</v>
      </c>
      <c r="J432" s="28" t="n">
        <v>30</v>
      </c>
      <c r="K432" s="28" t="n">
        <v>1</v>
      </c>
      <c r="L432" s="24" t="s">
        <v>24</v>
      </c>
      <c r="M432" s="29" t="n">
        <f aca="false">IF("oui" = "oui",9.02*(1-disc),9.02)</f>
        <v>9.02</v>
      </c>
      <c r="N432" s="29" t="n">
        <f aca="false">IF("oui" = "oui",9.02*(1-disc)*1.2,9.02*1.2)</f>
        <v>10.824</v>
      </c>
      <c r="O432" s="24" t="s">
        <v>25</v>
      </c>
      <c r="P432" s="4" t="s">
        <v>25</v>
      </c>
      <c r="Q432" s="16"/>
    </row>
    <row r="433" customFormat="false" ht="12.8" hidden="false" customHeight="false" outlineLevel="0" collapsed="false">
      <c r="A433" s="22"/>
      <c r="B433" s="23"/>
      <c r="C433" s="24"/>
      <c r="D433" s="22"/>
      <c r="E433" s="19"/>
      <c r="F433" s="24"/>
      <c r="G433" s="25"/>
      <c r="H433" s="26"/>
      <c r="I433" s="27"/>
      <c r="J433" s="28"/>
      <c r="K433" s="28"/>
      <c r="L433" s="24"/>
      <c r="M433" s="29"/>
      <c r="N433" s="29"/>
      <c r="O433" s="24"/>
      <c r="P433" s="4"/>
      <c r="Q433" s="16"/>
    </row>
    <row r="434" customFormat="false" ht="12.8" hidden="false" customHeight="false" outlineLevel="0" collapsed="false">
      <c r="A434" s="22"/>
      <c r="B434" s="23" t="n">
        <v>510475000</v>
      </c>
      <c r="C434" s="24" t="n">
        <v>100</v>
      </c>
      <c r="D434" s="22" t="s">
        <v>407</v>
      </c>
      <c r="E434" s="19" t="s">
        <v>342</v>
      </c>
      <c r="F434" s="24" t="s">
        <v>23</v>
      </c>
      <c r="G434" s="25" t="n">
        <v>1.48</v>
      </c>
      <c r="H434" s="26"/>
      <c r="I434" s="27" t="n">
        <v>100</v>
      </c>
      <c r="J434" s="28" t="n">
        <v>6</v>
      </c>
      <c r="K434" s="28" t="n">
        <v>5</v>
      </c>
      <c r="L434" s="24" t="s">
        <v>24</v>
      </c>
      <c r="M434" s="29" t="n">
        <f aca="false">IF("oui" = "oui",45.09*(1-disc),45.09)</f>
        <v>45.09</v>
      </c>
      <c r="N434" s="29" t="n">
        <f aca="false">IF("oui" = "oui",45.09*(1-disc)*1.2,45.09*1.2)</f>
        <v>54.108</v>
      </c>
      <c r="O434" s="24" t="s">
        <v>25</v>
      </c>
      <c r="P434" s="4" t="s">
        <v>25</v>
      </c>
      <c r="Q434" s="16"/>
    </row>
    <row r="435" customFormat="false" ht="12.8" hidden="false" customHeight="false" outlineLevel="0" collapsed="false">
      <c r="A435" s="22"/>
      <c r="B435" s="23"/>
      <c r="C435" s="24"/>
      <c r="D435" s="22"/>
      <c r="E435" s="19"/>
      <c r="F435" s="24"/>
      <c r="G435" s="25"/>
      <c r="H435" s="26"/>
      <c r="I435" s="27"/>
      <c r="J435" s="28"/>
      <c r="K435" s="28"/>
      <c r="L435" s="24"/>
      <c r="M435" s="29"/>
      <c r="N435" s="29"/>
      <c r="O435" s="24"/>
      <c r="P435" s="4"/>
      <c r="Q435" s="16"/>
    </row>
    <row r="436" customFormat="false" ht="12.8" hidden="false" customHeight="false" outlineLevel="0" collapsed="false">
      <c r="A436" s="42" t="s">
        <v>171</v>
      </c>
      <c r="B436" s="43"/>
      <c r="C436" s="44"/>
      <c r="D436" s="45"/>
      <c r="E436" s="46"/>
      <c r="F436" s="44"/>
      <c r="G436" s="47"/>
      <c r="H436" s="48"/>
      <c r="I436" s="49"/>
      <c r="J436" s="50"/>
      <c r="K436" s="50"/>
      <c r="L436" s="44"/>
      <c r="M436" s="51"/>
      <c r="N436" s="51"/>
      <c r="O436" s="44"/>
      <c r="P436" s="52"/>
      <c r="Q436" s="53"/>
    </row>
    <row r="437" customFormat="false" ht="12.8" hidden="false" customHeight="false" outlineLevel="0" collapsed="false">
      <c r="A437" s="22"/>
      <c r="B437" s="23"/>
      <c r="C437" s="24"/>
      <c r="D437" s="22"/>
      <c r="E437" s="19"/>
      <c r="F437" s="24"/>
      <c r="G437" s="25"/>
      <c r="H437" s="26"/>
      <c r="I437" s="27"/>
      <c r="J437" s="28"/>
      <c r="K437" s="28"/>
      <c r="L437" s="24"/>
      <c r="M437" s="29"/>
      <c r="N437" s="29"/>
      <c r="O437" s="24"/>
      <c r="P437" s="4"/>
      <c r="Q437" s="16"/>
    </row>
    <row r="438" customFormat="false" ht="12.8" hidden="false" customHeight="false" outlineLevel="0" collapsed="false">
      <c r="A438" s="22"/>
      <c r="B438" s="23" t="n">
        <v>510042000</v>
      </c>
      <c r="C438" s="24" t="n">
        <v>100</v>
      </c>
      <c r="D438" s="54" t="s">
        <v>408</v>
      </c>
      <c r="E438" s="19" t="s">
        <v>179</v>
      </c>
      <c r="F438" s="24" t="s">
        <v>23</v>
      </c>
      <c r="G438" s="25" t="n">
        <v>0.354</v>
      </c>
      <c r="H438" s="26"/>
      <c r="I438" s="27" t="n">
        <v>100</v>
      </c>
      <c r="J438" s="28" t="n">
        <v>30</v>
      </c>
      <c r="K438" s="28" t="n">
        <v>1</v>
      </c>
      <c r="L438" s="24" t="s">
        <v>24</v>
      </c>
      <c r="M438" s="29" t="n">
        <f aca="false">IF("oui" = "oui",9.02*(1-disc),9.02)</f>
        <v>9.02</v>
      </c>
      <c r="N438" s="29" t="n">
        <f aca="false">IF("oui" = "oui",9.02*(1-disc)*1.2,9.02*1.2)</f>
        <v>10.824</v>
      </c>
      <c r="O438" s="24" t="s">
        <v>25</v>
      </c>
      <c r="P438" s="4" t="s">
        <v>25</v>
      </c>
      <c r="Q438" s="16"/>
    </row>
    <row r="439" customFormat="false" ht="12.8" hidden="false" customHeight="false" outlineLevel="0" collapsed="false">
      <c r="A439" s="22"/>
      <c r="B439" s="23" t="n">
        <v>510043000</v>
      </c>
      <c r="C439" s="24" t="n">
        <v>100</v>
      </c>
      <c r="D439" s="54" t="s">
        <v>409</v>
      </c>
      <c r="E439" s="19" t="s">
        <v>179</v>
      </c>
      <c r="F439" s="24" t="s">
        <v>23</v>
      </c>
      <c r="G439" s="25" t="n">
        <v>0.354</v>
      </c>
      <c r="H439" s="26"/>
      <c r="I439" s="27" t="n">
        <v>100</v>
      </c>
      <c r="J439" s="28" t="n">
        <v>30</v>
      </c>
      <c r="K439" s="28" t="n">
        <v>1</v>
      </c>
      <c r="L439" s="24" t="s">
        <v>24</v>
      </c>
      <c r="M439" s="29" t="n">
        <f aca="false">IF("oui" = "oui",9.02*(1-disc),9.02)</f>
        <v>9.02</v>
      </c>
      <c r="N439" s="29" t="n">
        <f aca="false">IF("oui" = "oui",9.02*(1-disc)*1.2,9.02*1.2)</f>
        <v>10.824</v>
      </c>
      <c r="O439" s="24" t="s">
        <v>25</v>
      </c>
      <c r="P439" s="4" t="s">
        <v>25</v>
      </c>
      <c r="Q439" s="16"/>
    </row>
    <row r="440" customFormat="false" ht="12.8" hidden="false" customHeight="false" outlineLevel="0" collapsed="false">
      <c r="A440" s="22"/>
      <c r="B440" s="23" t="n">
        <v>510044000</v>
      </c>
      <c r="C440" s="24" t="n">
        <v>100</v>
      </c>
      <c r="D440" s="54" t="s">
        <v>410</v>
      </c>
      <c r="E440" s="19" t="s">
        <v>179</v>
      </c>
      <c r="F440" s="24" t="s">
        <v>23</v>
      </c>
      <c r="G440" s="25" t="n">
        <v>0.354</v>
      </c>
      <c r="H440" s="26"/>
      <c r="I440" s="27" t="n">
        <v>100</v>
      </c>
      <c r="J440" s="28" t="n">
        <v>30</v>
      </c>
      <c r="K440" s="28" t="n">
        <v>1</v>
      </c>
      <c r="L440" s="24" t="s">
        <v>24</v>
      </c>
      <c r="M440" s="29" t="n">
        <f aca="false">IF("oui" = "oui",9.02*(1-disc),9.02)</f>
        <v>9.02</v>
      </c>
      <c r="N440" s="29" t="n">
        <f aca="false">IF("oui" = "oui",9.02*(1-disc)*1.2,9.02*1.2)</f>
        <v>10.824</v>
      </c>
      <c r="O440" s="24" t="s">
        <v>25</v>
      </c>
      <c r="P440" s="4" t="s">
        <v>25</v>
      </c>
      <c r="Q440" s="16"/>
    </row>
    <row r="441" customFormat="false" ht="12.8" hidden="false" customHeight="false" outlineLevel="0" collapsed="false">
      <c r="A441" s="22"/>
      <c r="B441" s="23" t="n">
        <v>510045000</v>
      </c>
      <c r="C441" s="24" t="n">
        <v>100</v>
      </c>
      <c r="D441" s="54" t="s">
        <v>411</v>
      </c>
      <c r="E441" s="19" t="s">
        <v>179</v>
      </c>
      <c r="F441" s="24" t="s">
        <v>23</v>
      </c>
      <c r="G441" s="25" t="n">
        <v>0.354</v>
      </c>
      <c r="H441" s="26"/>
      <c r="I441" s="27" t="n">
        <v>100</v>
      </c>
      <c r="J441" s="28" t="n">
        <v>30</v>
      </c>
      <c r="K441" s="28" t="n">
        <v>1</v>
      </c>
      <c r="L441" s="24" t="s">
        <v>24</v>
      </c>
      <c r="M441" s="29" t="n">
        <f aca="false">IF("oui" = "oui",9.02*(1-disc),9.02)</f>
        <v>9.02</v>
      </c>
      <c r="N441" s="29" t="n">
        <f aca="false">IF("oui" = "oui",9.02*(1-disc)*1.2,9.02*1.2)</f>
        <v>10.824</v>
      </c>
      <c r="O441" s="24" t="s">
        <v>25</v>
      </c>
      <c r="P441" s="4" t="s">
        <v>25</v>
      </c>
      <c r="Q441" s="16"/>
    </row>
    <row r="442" customFormat="false" ht="12.8" hidden="false" customHeight="false" outlineLevel="0" collapsed="false">
      <c r="A442" s="22"/>
      <c r="B442" s="23" t="n">
        <v>510046000</v>
      </c>
      <c r="C442" s="24" t="n">
        <v>100</v>
      </c>
      <c r="D442" s="54" t="s">
        <v>412</v>
      </c>
      <c r="E442" s="19" t="s">
        <v>179</v>
      </c>
      <c r="F442" s="24" t="s">
        <v>23</v>
      </c>
      <c r="G442" s="25" t="n">
        <v>0.354</v>
      </c>
      <c r="H442" s="26"/>
      <c r="I442" s="27" t="n">
        <v>100</v>
      </c>
      <c r="J442" s="28" t="n">
        <v>30</v>
      </c>
      <c r="K442" s="28" t="n">
        <v>1</v>
      </c>
      <c r="L442" s="24" t="s">
        <v>24</v>
      </c>
      <c r="M442" s="29" t="n">
        <f aca="false">IF("oui" = "oui",9.02*(1-disc),9.02)</f>
        <v>9.02</v>
      </c>
      <c r="N442" s="29" t="n">
        <f aca="false">IF("oui" = "oui",9.02*(1-disc)*1.2,9.02*1.2)</f>
        <v>10.824</v>
      </c>
      <c r="O442" s="24" t="s">
        <v>25</v>
      </c>
      <c r="P442" s="4" t="s">
        <v>25</v>
      </c>
      <c r="Q442" s="16"/>
    </row>
    <row r="443" customFormat="false" ht="12.8" hidden="false" customHeight="false" outlineLevel="0" collapsed="false">
      <c r="A443" s="22"/>
      <c r="B443" s="23" t="n">
        <v>510155000</v>
      </c>
      <c r="C443" s="24" t="n">
        <v>100</v>
      </c>
      <c r="D443" s="54" t="s">
        <v>413</v>
      </c>
      <c r="E443" s="19" t="s">
        <v>179</v>
      </c>
      <c r="F443" s="24" t="s">
        <v>23</v>
      </c>
      <c r="G443" s="25" t="n">
        <v>0.354</v>
      </c>
      <c r="H443" s="26"/>
      <c r="I443" s="27" t="n">
        <v>100</v>
      </c>
      <c r="J443" s="28" t="n">
        <v>30</v>
      </c>
      <c r="K443" s="28" t="n">
        <v>1</v>
      </c>
      <c r="L443" s="24" t="s">
        <v>24</v>
      </c>
      <c r="M443" s="29" t="n">
        <f aca="false">IF("oui" = "oui",9.02*(1-disc),9.02)</f>
        <v>9.02</v>
      </c>
      <c r="N443" s="29" t="n">
        <f aca="false">IF("oui" = "oui",9.02*(1-disc)*1.2,9.02*1.2)</f>
        <v>10.824</v>
      </c>
      <c r="O443" s="24" t="s">
        <v>25</v>
      </c>
      <c r="P443" s="4" t="s">
        <v>25</v>
      </c>
      <c r="Q443" s="16"/>
    </row>
    <row r="444" customFormat="false" ht="12.8" hidden="false" customHeight="false" outlineLevel="0" collapsed="false">
      <c r="A444" s="22"/>
      <c r="B444" s="23"/>
      <c r="C444" s="24"/>
      <c r="D444" s="22"/>
      <c r="E444" s="19"/>
      <c r="F444" s="24"/>
      <c r="G444" s="25"/>
      <c r="H444" s="26"/>
      <c r="I444" s="27"/>
      <c r="J444" s="28"/>
      <c r="K444" s="28"/>
      <c r="L444" s="24"/>
      <c r="M444" s="29"/>
      <c r="N444" s="29"/>
      <c r="O444" s="24"/>
      <c r="P444" s="4"/>
      <c r="Q444" s="16"/>
    </row>
    <row r="445" customFormat="false" ht="12.8" hidden="false" customHeight="false" outlineLevel="0" collapsed="false">
      <c r="A445" s="22"/>
      <c r="B445" s="23" t="n">
        <v>510143000</v>
      </c>
      <c r="C445" s="24" t="n">
        <v>100</v>
      </c>
      <c r="D445" s="22" t="s">
        <v>414</v>
      </c>
      <c r="E445" s="19" t="s">
        <v>179</v>
      </c>
      <c r="F445" s="24" t="s">
        <v>23</v>
      </c>
      <c r="G445" s="25" t="n">
        <v>1.77</v>
      </c>
      <c r="H445" s="26"/>
      <c r="I445" s="27" t="n">
        <v>100</v>
      </c>
      <c r="J445" s="28" t="n">
        <v>6</v>
      </c>
      <c r="K445" s="28" t="n">
        <v>5</v>
      </c>
      <c r="L445" s="24" t="s">
        <v>24</v>
      </c>
      <c r="M445" s="29" t="n">
        <f aca="false">IF("oui" = "oui",45.09*(1-disc),45.09)</f>
        <v>45.09</v>
      </c>
      <c r="N445" s="29" t="n">
        <f aca="false">IF("oui" = "oui",45.09*(1-disc)*1.2,45.09*1.2)</f>
        <v>54.108</v>
      </c>
      <c r="O445" s="24" t="s">
        <v>25</v>
      </c>
      <c r="P445" s="4" t="s">
        <v>25</v>
      </c>
      <c r="Q445" s="16"/>
    </row>
    <row r="446" customFormat="false" ht="12.8" hidden="false" customHeight="false" outlineLevel="0" collapsed="false">
      <c r="A446" s="22"/>
      <c r="B446" s="23"/>
      <c r="C446" s="24"/>
      <c r="D446" s="22"/>
      <c r="E446" s="19"/>
      <c r="F446" s="24"/>
      <c r="G446" s="25"/>
      <c r="H446" s="26"/>
      <c r="I446" s="27"/>
      <c r="J446" s="28"/>
      <c r="K446" s="28"/>
      <c r="L446" s="24"/>
      <c r="M446" s="29"/>
      <c r="N446" s="29"/>
      <c r="O446" s="24"/>
      <c r="P446" s="4"/>
      <c r="Q446" s="16"/>
    </row>
    <row r="447" customFormat="false" ht="12.8" hidden="false" customHeight="false" outlineLevel="0" collapsed="false">
      <c r="A447" s="42" t="s">
        <v>228</v>
      </c>
      <c r="B447" s="43"/>
      <c r="C447" s="44"/>
      <c r="D447" s="45"/>
      <c r="E447" s="46"/>
      <c r="F447" s="44"/>
      <c r="G447" s="47"/>
      <c r="H447" s="48"/>
      <c r="I447" s="49"/>
      <c r="J447" s="50"/>
      <c r="K447" s="50"/>
      <c r="L447" s="44"/>
      <c r="M447" s="51"/>
      <c r="N447" s="51"/>
      <c r="O447" s="44"/>
      <c r="P447" s="52"/>
      <c r="Q447" s="53"/>
    </row>
    <row r="448" customFormat="false" ht="12.8" hidden="false" customHeight="false" outlineLevel="0" collapsed="false">
      <c r="A448" s="22"/>
      <c r="B448" s="23"/>
      <c r="C448" s="24"/>
      <c r="D448" s="22"/>
      <c r="E448" s="19"/>
      <c r="F448" s="24"/>
      <c r="G448" s="25"/>
      <c r="H448" s="26"/>
      <c r="I448" s="27"/>
      <c r="J448" s="28"/>
      <c r="K448" s="28"/>
      <c r="L448" s="24"/>
      <c r="M448" s="29"/>
      <c r="N448" s="29"/>
      <c r="O448" s="24"/>
      <c r="P448" s="4"/>
      <c r="Q448" s="16"/>
    </row>
    <row r="449" customFormat="false" ht="12.8" hidden="false" customHeight="false" outlineLevel="0" collapsed="false">
      <c r="A449" s="22"/>
      <c r="B449" s="23" t="n">
        <v>510087000</v>
      </c>
      <c r="C449" s="24" t="n">
        <v>100</v>
      </c>
      <c r="D449" s="54" t="s">
        <v>415</v>
      </c>
      <c r="E449" s="19" t="s">
        <v>390</v>
      </c>
      <c r="F449" s="24" t="s">
        <v>23</v>
      </c>
      <c r="G449" s="25" t="n">
        <v>0.37</v>
      </c>
      <c r="H449" s="26"/>
      <c r="I449" s="27" t="n">
        <v>100</v>
      </c>
      <c r="J449" s="28" t="n">
        <v>30</v>
      </c>
      <c r="K449" s="28" t="n">
        <v>1</v>
      </c>
      <c r="L449" s="24" t="s">
        <v>24</v>
      </c>
      <c r="M449" s="29" t="n">
        <f aca="false">IF("oui" = "oui",9.02*(1-disc),9.02)</f>
        <v>9.02</v>
      </c>
      <c r="N449" s="29" t="n">
        <f aca="false">IF("oui" = "oui",9.02*(1-disc)*1.2,9.02*1.2)</f>
        <v>10.824</v>
      </c>
      <c r="O449" s="24" t="s">
        <v>25</v>
      </c>
      <c r="P449" s="55" t="s">
        <v>63</v>
      </c>
      <c r="Q449" s="16"/>
    </row>
    <row r="450" customFormat="false" ht="12.8" hidden="false" customHeight="false" outlineLevel="0" collapsed="false">
      <c r="A450" s="22"/>
      <c r="B450" s="23" t="n">
        <v>510162000</v>
      </c>
      <c r="C450" s="24" t="n">
        <v>100</v>
      </c>
      <c r="D450" s="54" t="s">
        <v>416</v>
      </c>
      <c r="E450" s="19" t="s">
        <v>390</v>
      </c>
      <c r="F450" s="24" t="s">
        <v>23</v>
      </c>
      <c r="G450" s="25" t="n">
        <v>0.37</v>
      </c>
      <c r="H450" s="26"/>
      <c r="I450" s="27" t="n">
        <v>100</v>
      </c>
      <c r="J450" s="28" t="n">
        <v>30</v>
      </c>
      <c r="K450" s="28" t="n">
        <v>1</v>
      </c>
      <c r="L450" s="24" t="s">
        <v>24</v>
      </c>
      <c r="M450" s="29" t="n">
        <f aca="false">IF("oui" = "oui",9.02*(1-disc),9.02)</f>
        <v>9.02</v>
      </c>
      <c r="N450" s="29" t="n">
        <f aca="false">IF("oui" = "oui",9.02*(1-disc)*1.2,9.02*1.2)</f>
        <v>10.824</v>
      </c>
      <c r="O450" s="24" t="s">
        <v>25</v>
      </c>
      <c r="P450" s="7" t="s">
        <v>26</v>
      </c>
      <c r="Q450" s="16"/>
    </row>
    <row r="451" customFormat="false" ht="12.8" hidden="false" customHeight="false" outlineLevel="0" collapsed="false">
      <c r="A451" s="22"/>
      <c r="B451" s="23" t="n">
        <v>510163000</v>
      </c>
      <c r="C451" s="24" t="n">
        <v>100</v>
      </c>
      <c r="D451" s="54" t="s">
        <v>417</v>
      </c>
      <c r="E451" s="19" t="s">
        <v>390</v>
      </c>
      <c r="F451" s="24" t="s">
        <v>23</v>
      </c>
      <c r="G451" s="25" t="n">
        <v>0.37</v>
      </c>
      <c r="H451" s="26"/>
      <c r="I451" s="27" t="n">
        <v>100</v>
      </c>
      <c r="J451" s="28" t="n">
        <v>30</v>
      </c>
      <c r="K451" s="28" t="n">
        <v>1</v>
      </c>
      <c r="L451" s="24" t="s">
        <v>24</v>
      </c>
      <c r="M451" s="29" t="n">
        <f aca="false">IF("oui" = "oui",9.02*(1-disc),9.02)</f>
        <v>9.02</v>
      </c>
      <c r="N451" s="29" t="n">
        <f aca="false">IF("oui" = "oui",9.02*(1-disc)*1.2,9.02*1.2)</f>
        <v>10.824</v>
      </c>
      <c r="O451" s="24" t="s">
        <v>25</v>
      </c>
      <c r="P451" s="7" t="s">
        <v>26</v>
      </c>
      <c r="Q451" s="16"/>
    </row>
    <row r="452" customFormat="false" ht="12.8" hidden="false" customHeight="false" outlineLevel="0" collapsed="false">
      <c r="A452" s="22"/>
      <c r="B452" s="23"/>
      <c r="C452" s="24"/>
      <c r="D452" s="22"/>
      <c r="E452" s="19"/>
      <c r="F452" s="24"/>
      <c r="G452" s="25"/>
      <c r="H452" s="26"/>
      <c r="I452" s="27"/>
      <c r="J452" s="28"/>
      <c r="K452" s="28"/>
      <c r="L452" s="24"/>
      <c r="M452" s="29"/>
      <c r="N452" s="29"/>
      <c r="O452" s="24"/>
      <c r="P452" s="4"/>
      <c r="Q452" s="16"/>
    </row>
    <row r="453" customFormat="false" ht="12.8" hidden="false" customHeight="false" outlineLevel="0" collapsed="false">
      <c r="A453" s="42" t="s">
        <v>215</v>
      </c>
      <c r="B453" s="43"/>
      <c r="C453" s="44"/>
      <c r="D453" s="45"/>
      <c r="E453" s="46"/>
      <c r="F453" s="44"/>
      <c r="G453" s="47"/>
      <c r="H453" s="48"/>
      <c r="I453" s="49"/>
      <c r="J453" s="50"/>
      <c r="K453" s="50"/>
      <c r="L453" s="44"/>
      <c r="M453" s="51"/>
      <c r="N453" s="51"/>
      <c r="O453" s="44"/>
      <c r="P453" s="52"/>
      <c r="Q453" s="53"/>
    </row>
    <row r="454" customFormat="false" ht="12.8" hidden="false" customHeight="false" outlineLevel="0" collapsed="false">
      <c r="A454" s="22"/>
      <c r="B454" s="23"/>
      <c r="C454" s="24"/>
      <c r="D454" s="22"/>
      <c r="E454" s="19"/>
      <c r="F454" s="24"/>
      <c r="G454" s="25"/>
      <c r="H454" s="26"/>
      <c r="I454" s="27"/>
      <c r="J454" s="28"/>
      <c r="K454" s="28"/>
      <c r="L454" s="24"/>
      <c r="M454" s="29"/>
      <c r="N454" s="29"/>
      <c r="O454" s="24"/>
      <c r="P454" s="4"/>
      <c r="Q454" s="16"/>
    </row>
    <row r="455" customFormat="false" ht="12.8" hidden="false" customHeight="false" outlineLevel="0" collapsed="false">
      <c r="A455" s="22"/>
      <c r="B455" s="23" t="n">
        <v>510059000</v>
      </c>
      <c r="C455" s="24" t="n">
        <v>100</v>
      </c>
      <c r="D455" s="54" t="s">
        <v>418</v>
      </c>
      <c r="E455" s="19" t="s">
        <v>419</v>
      </c>
      <c r="F455" s="24" t="s">
        <v>23</v>
      </c>
      <c r="G455" s="25" t="n">
        <v>0.304</v>
      </c>
      <c r="H455" s="26"/>
      <c r="I455" s="27" t="n">
        <v>100</v>
      </c>
      <c r="J455" s="28" t="n">
        <v>30</v>
      </c>
      <c r="K455" s="28" t="n">
        <v>1</v>
      </c>
      <c r="L455" s="24" t="s">
        <v>24</v>
      </c>
      <c r="M455" s="29" t="n">
        <f aca="false">IF("oui" = "oui",9.02*(1-disc),9.02)</f>
        <v>9.02</v>
      </c>
      <c r="N455" s="29" t="n">
        <f aca="false">IF("oui" = "oui",9.02*(1-disc)*1.2,9.02*1.2)</f>
        <v>10.824</v>
      </c>
      <c r="O455" s="24" t="s">
        <v>25</v>
      </c>
      <c r="P455" s="7" t="s">
        <v>26</v>
      </c>
      <c r="Q455" s="16"/>
    </row>
    <row r="456" customFormat="false" ht="12.8" hidden="false" customHeight="false" outlineLevel="0" collapsed="false">
      <c r="A456" s="22"/>
      <c r="B456" s="23" t="n">
        <v>510060000</v>
      </c>
      <c r="C456" s="24" t="n">
        <v>100</v>
      </c>
      <c r="D456" s="54" t="s">
        <v>420</v>
      </c>
      <c r="E456" s="19" t="s">
        <v>419</v>
      </c>
      <c r="F456" s="24" t="s">
        <v>23</v>
      </c>
      <c r="G456" s="25" t="n">
        <v>0.304</v>
      </c>
      <c r="H456" s="26"/>
      <c r="I456" s="27" t="n">
        <v>100</v>
      </c>
      <c r="J456" s="28" t="n">
        <v>30</v>
      </c>
      <c r="K456" s="28" t="n">
        <v>1</v>
      </c>
      <c r="L456" s="24" t="s">
        <v>24</v>
      </c>
      <c r="M456" s="29" t="n">
        <f aca="false">IF("oui" = "oui",9.02*(1-disc),9.02)</f>
        <v>9.02</v>
      </c>
      <c r="N456" s="29" t="n">
        <f aca="false">IF("oui" = "oui",9.02*(1-disc)*1.2,9.02*1.2)</f>
        <v>10.824</v>
      </c>
      <c r="O456" s="24" t="s">
        <v>25</v>
      </c>
      <c r="P456" s="55" t="s">
        <v>421</v>
      </c>
      <c r="Q456" s="16"/>
    </row>
    <row r="457" customFormat="false" ht="12.8" hidden="false" customHeight="false" outlineLevel="0" collapsed="false">
      <c r="A457" s="22"/>
      <c r="B457" s="23" t="n">
        <v>510154000</v>
      </c>
      <c r="C457" s="24" t="n">
        <v>100</v>
      </c>
      <c r="D457" s="54" t="s">
        <v>422</v>
      </c>
      <c r="E457" s="19" t="s">
        <v>419</v>
      </c>
      <c r="F457" s="24" t="s">
        <v>23</v>
      </c>
      <c r="G457" s="25" t="n">
        <v>0.304</v>
      </c>
      <c r="H457" s="26"/>
      <c r="I457" s="27" t="n">
        <v>100</v>
      </c>
      <c r="J457" s="28" t="n">
        <v>30</v>
      </c>
      <c r="K457" s="28" t="n">
        <v>1</v>
      </c>
      <c r="L457" s="24" t="s">
        <v>24</v>
      </c>
      <c r="M457" s="29" t="n">
        <f aca="false">IF("oui" = "oui",9.02*(1-disc),9.02)</f>
        <v>9.02</v>
      </c>
      <c r="N457" s="29" t="n">
        <f aca="false">IF("oui" = "oui",9.02*(1-disc)*1.2,9.02*1.2)</f>
        <v>10.824</v>
      </c>
      <c r="O457" s="24" t="s">
        <v>25</v>
      </c>
      <c r="P457" s="7" t="s">
        <v>26</v>
      </c>
      <c r="Q457" s="16"/>
    </row>
    <row r="458" customFormat="false" ht="12.8" hidden="false" customHeight="false" outlineLevel="0" collapsed="false">
      <c r="A458" s="22"/>
      <c r="B458" s="23" t="n">
        <v>510061000</v>
      </c>
      <c r="C458" s="24" t="n">
        <v>100</v>
      </c>
      <c r="D458" s="54" t="s">
        <v>423</v>
      </c>
      <c r="E458" s="19" t="s">
        <v>419</v>
      </c>
      <c r="F458" s="24" t="s">
        <v>23</v>
      </c>
      <c r="G458" s="25" t="n">
        <v>0.304</v>
      </c>
      <c r="H458" s="26"/>
      <c r="I458" s="27" t="n">
        <v>100</v>
      </c>
      <c r="J458" s="28" t="n">
        <v>30</v>
      </c>
      <c r="K458" s="28" t="n">
        <v>1</v>
      </c>
      <c r="L458" s="24" t="s">
        <v>24</v>
      </c>
      <c r="M458" s="29" t="n">
        <f aca="false">IF("oui" = "oui",9.02*(1-disc),9.02)</f>
        <v>9.02</v>
      </c>
      <c r="N458" s="29" t="n">
        <f aca="false">IF("oui" = "oui",9.02*(1-disc)*1.2,9.02*1.2)</f>
        <v>10.824</v>
      </c>
      <c r="O458" s="24" t="s">
        <v>25</v>
      </c>
      <c r="P458" s="55" t="s">
        <v>45</v>
      </c>
      <c r="Q458" s="16"/>
    </row>
    <row r="459" customFormat="false" ht="12.8" hidden="false" customHeight="false" outlineLevel="0" collapsed="false">
      <c r="A459" s="22"/>
      <c r="B459" s="23" t="n">
        <v>510062000</v>
      </c>
      <c r="C459" s="24" t="n">
        <v>100</v>
      </c>
      <c r="D459" s="54" t="s">
        <v>424</v>
      </c>
      <c r="E459" s="19" t="s">
        <v>419</v>
      </c>
      <c r="F459" s="24" t="s">
        <v>23</v>
      </c>
      <c r="G459" s="25" t="n">
        <v>0.304</v>
      </c>
      <c r="H459" s="26"/>
      <c r="I459" s="27" t="n">
        <v>100</v>
      </c>
      <c r="J459" s="28" t="n">
        <v>30</v>
      </c>
      <c r="K459" s="28" t="n">
        <v>1</v>
      </c>
      <c r="L459" s="24" t="s">
        <v>24</v>
      </c>
      <c r="M459" s="29" t="n">
        <f aca="false">IF("oui" = "oui",9.02*(1-disc),9.02)</f>
        <v>9.02</v>
      </c>
      <c r="N459" s="29" t="n">
        <f aca="false">IF("oui" = "oui",9.02*(1-disc)*1.2,9.02*1.2)</f>
        <v>10.824</v>
      </c>
      <c r="O459" s="24" t="s">
        <v>25</v>
      </c>
      <c r="P459" s="7" t="s">
        <v>26</v>
      </c>
      <c r="Q459" s="16"/>
    </row>
    <row r="460" customFormat="false" ht="12.8" hidden="false" customHeight="false" outlineLevel="0" collapsed="false">
      <c r="A460" s="22"/>
      <c r="B460" s="23" t="n">
        <v>510151000</v>
      </c>
      <c r="C460" s="24" t="n">
        <v>100</v>
      </c>
      <c r="D460" s="54" t="s">
        <v>425</v>
      </c>
      <c r="E460" s="19" t="s">
        <v>419</v>
      </c>
      <c r="F460" s="24" t="s">
        <v>23</v>
      </c>
      <c r="G460" s="25" t="n">
        <v>0.304</v>
      </c>
      <c r="H460" s="26"/>
      <c r="I460" s="27" t="n">
        <v>100</v>
      </c>
      <c r="J460" s="28" t="n">
        <v>30</v>
      </c>
      <c r="K460" s="28" t="n">
        <v>1</v>
      </c>
      <c r="L460" s="24" t="s">
        <v>24</v>
      </c>
      <c r="M460" s="29" t="n">
        <f aca="false">IF("oui" = "oui",9.02*(1-disc),9.02)</f>
        <v>9.02</v>
      </c>
      <c r="N460" s="29" t="n">
        <f aca="false">IF("oui" = "oui",9.02*(1-disc)*1.2,9.02*1.2)</f>
        <v>10.824</v>
      </c>
      <c r="O460" s="24" t="s">
        <v>25</v>
      </c>
      <c r="P460" s="55" t="s">
        <v>106</v>
      </c>
      <c r="Q460" s="16"/>
    </row>
    <row r="461" customFormat="false" ht="12.8" hidden="false" customHeight="false" outlineLevel="0" collapsed="false">
      <c r="A461" s="22"/>
      <c r="B461" s="23" t="n">
        <v>510063000</v>
      </c>
      <c r="C461" s="24" t="n">
        <v>100</v>
      </c>
      <c r="D461" s="54" t="s">
        <v>426</v>
      </c>
      <c r="E461" s="19" t="s">
        <v>419</v>
      </c>
      <c r="F461" s="24" t="s">
        <v>23</v>
      </c>
      <c r="G461" s="25" t="n">
        <v>0.304</v>
      </c>
      <c r="H461" s="26"/>
      <c r="I461" s="27" t="n">
        <v>100</v>
      </c>
      <c r="J461" s="28" t="n">
        <v>30</v>
      </c>
      <c r="K461" s="28" t="n">
        <v>1</v>
      </c>
      <c r="L461" s="24" t="s">
        <v>24</v>
      </c>
      <c r="M461" s="29" t="n">
        <f aca="false">IF("oui" = "oui",9.02*(1-disc),9.02)</f>
        <v>9.02</v>
      </c>
      <c r="N461" s="29" t="n">
        <f aca="false">IF("oui" = "oui",9.02*(1-disc)*1.2,9.02*1.2)</f>
        <v>10.824</v>
      </c>
      <c r="O461" s="24" t="s">
        <v>25</v>
      </c>
      <c r="P461" s="55" t="s">
        <v>427</v>
      </c>
      <c r="Q461" s="16"/>
    </row>
    <row r="462" customFormat="false" ht="12.8" hidden="false" customHeight="false" outlineLevel="0" collapsed="false">
      <c r="A462" s="22"/>
      <c r="B462" s="23" t="n">
        <v>510065000</v>
      </c>
      <c r="C462" s="24" t="n">
        <v>100</v>
      </c>
      <c r="D462" s="54" t="s">
        <v>428</v>
      </c>
      <c r="E462" s="19" t="s">
        <v>419</v>
      </c>
      <c r="F462" s="24" t="s">
        <v>23</v>
      </c>
      <c r="G462" s="25" t="n">
        <v>0.304</v>
      </c>
      <c r="H462" s="26"/>
      <c r="I462" s="27" t="n">
        <v>100</v>
      </c>
      <c r="J462" s="28" t="n">
        <v>30</v>
      </c>
      <c r="K462" s="28" t="n">
        <v>1</v>
      </c>
      <c r="L462" s="24" t="s">
        <v>24</v>
      </c>
      <c r="M462" s="29" t="n">
        <f aca="false">IF("oui" = "oui",9.02*(1-disc),9.02)</f>
        <v>9.02</v>
      </c>
      <c r="N462" s="29" t="n">
        <f aca="false">IF("oui" = "oui",9.02*(1-disc)*1.2,9.02*1.2)</f>
        <v>10.824</v>
      </c>
      <c r="O462" s="24" t="s">
        <v>25</v>
      </c>
      <c r="P462" s="7" t="s">
        <v>26</v>
      </c>
      <c r="Q462" s="16"/>
    </row>
    <row r="463" customFormat="false" ht="12.8" hidden="false" customHeight="false" outlineLevel="0" collapsed="false">
      <c r="A463" s="22"/>
      <c r="B463" s="23" t="n">
        <v>510153000</v>
      </c>
      <c r="C463" s="24" t="n">
        <v>100</v>
      </c>
      <c r="D463" s="54" t="s">
        <v>429</v>
      </c>
      <c r="E463" s="19" t="s">
        <v>419</v>
      </c>
      <c r="F463" s="24" t="s">
        <v>23</v>
      </c>
      <c r="G463" s="25" t="n">
        <v>0.304</v>
      </c>
      <c r="H463" s="26"/>
      <c r="I463" s="27" t="n">
        <v>100</v>
      </c>
      <c r="J463" s="28" t="n">
        <v>30</v>
      </c>
      <c r="K463" s="28" t="n">
        <v>1</v>
      </c>
      <c r="L463" s="24" t="s">
        <v>24</v>
      </c>
      <c r="M463" s="29" t="n">
        <f aca="false">IF("oui" = "oui",9.02*(1-disc),9.02)</f>
        <v>9.02</v>
      </c>
      <c r="N463" s="29" t="n">
        <f aca="false">IF("oui" = "oui",9.02*(1-disc)*1.2,9.02*1.2)</f>
        <v>10.824</v>
      </c>
      <c r="O463" s="24" t="s">
        <v>25</v>
      </c>
      <c r="P463" s="7" t="s">
        <v>26</v>
      </c>
      <c r="Q463" s="16"/>
    </row>
    <row r="464" customFormat="false" ht="12.8" hidden="false" customHeight="false" outlineLevel="0" collapsed="false">
      <c r="A464" s="22"/>
      <c r="B464" s="23" t="n">
        <v>510152000</v>
      </c>
      <c r="C464" s="24" t="n">
        <v>100</v>
      </c>
      <c r="D464" s="22" t="s">
        <v>430</v>
      </c>
      <c r="E464" s="19" t="s">
        <v>419</v>
      </c>
      <c r="F464" s="24" t="s">
        <v>23</v>
      </c>
      <c r="G464" s="25" t="n">
        <v>0.304</v>
      </c>
      <c r="H464" s="26"/>
      <c r="I464" s="27" t="n">
        <v>100</v>
      </c>
      <c r="J464" s="28" t="n">
        <v>30</v>
      </c>
      <c r="K464" s="28" t="n">
        <v>1</v>
      </c>
      <c r="L464" s="24" t="s">
        <v>24</v>
      </c>
      <c r="M464" s="29" t="n">
        <f aca="false">IF("oui" = "oui",9.02*(1-disc),9.02)</f>
        <v>9.02</v>
      </c>
      <c r="N464" s="29" t="n">
        <f aca="false">IF("oui" = "oui",9.02*(1-disc)*1.2,9.02*1.2)</f>
        <v>10.824</v>
      </c>
      <c r="O464" s="24" t="s">
        <v>25</v>
      </c>
      <c r="P464" s="7" t="s">
        <v>26</v>
      </c>
      <c r="Q464" s="16"/>
    </row>
    <row r="465" customFormat="false" ht="12.8" hidden="false" customHeight="false" outlineLevel="0" collapsed="false">
      <c r="A465" s="22"/>
      <c r="B465" s="23"/>
      <c r="C465" s="24"/>
      <c r="D465" s="22"/>
      <c r="E465" s="19"/>
      <c r="F465" s="24"/>
      <c r="G465" s="25"/>
      <c r="H465" s="26"/>
      <c r="I465" s="27"/>
      <c r="J465" s="28"/>
      <c r="K465" s="28"/>
      <c r="L465" s="24"/>
      <c r="M465" s="29"/>
      <c r="N465" s="29"/>
      <c r="O465" s="24"/>
      <c r="P465" s="4"/>
      <c r="Q465" s="16"/>
    </row>
    <row r="466" customFormat="false" ht="12.8" hidden="false" customHeight="false" outlineLevel="0" collapsed="false">
      <c r="A466" s="22"/>
      <c r="B466" s="23" t="n">
        <v>510230000</v>
      </c>
      <c r="C466" s="24" t="n">
        <v>100</v>
      </c>
      <c r="D466" s="54" t="s">
        <v>431</v>
      </c>
      <c r="E466" s="19" t="s">
        <v>419</v>
      </c>
      <c r="F466" s="24" t="s">
        <v>23</v>
      </c>
      <c r="G466" s="25" t="n">
        <v>1.52</v>
      </c>
      <c r="H466" s="26"/>
      <c r="I466" s="27" t="n">
        <v>100</v>
      </c>
      <c r="J466" s="28" t="n">
        <v>6</v>
      </c>
      <c r="K466" s="28" t="n">
        <v>5</v>
      </c>
      <c r="L466" s="24" t="s">
        <v>24</v>
      </c>
      <c r="M466" s="29" t="n">
        <f aca="false">IF("oui" = "oui",45.09*(1-disc),45.09)</f>
        <v>45.09</v>
      </c>
      <c r="N466" s="29" t="n">
        <f aca="false">IF("oui" = "oui",45.09*(1-disc)*1.2,45.09*1.2)</f>
        <v>54.108</v>
      </c>
      <c r="O466" s="24" t="s">
        <v>25</v>
      </c>
      <c r="P466" s="4" t="s">
        <v>25</v>
      </c>
      <c r="Q466" s="16"/>
    </row>
    <row r="467" customFormat="false" ht="12.8" hidden="false" customHeight="false" outlineLevel="0" collapsed="false">
      <c r="A467" s="22"/>
      <c r="B467" s="23"/>
      <c r="C467" s="24"/>
      <c r="D467" s="22"/>
      <c r="E467" s="19"/>
      <c r="F467" s="24"/>
      <c r="G467" s="25"/>
      <c r="H467" s="26"/>
      <c r="I467" s="27"/>
      <c r="J467" s="28"/>
      <c r="K467" s="28"/>
      <c r="L467" s="24"/>
      <c r="M467" s="29"/>
      <c r="N467" s="29"/>
      <c r="O467" s="24"/>
      <c r="P467" s="4"/>
      <c r="Q467" s="16"/>
    </row>
    <row r="468" customFormat="false" ht="12.8" hidden="false" customHeight="false" outlineLevel="0" collapsed="false">
      <c r="A468" s="42" t="s">
        <v>199</v>
      </c>
      <c r="B468" s="43"/>
      <c r="C468" s="44"/>
      <c r="D468" s="45"/>
      <c r="E468" s="46"/>
      <c r="F468" s="44"/>
      <c r="G468" s="47"/>
      <c r="H468" s="48"/>
      <c r="I468" s="49"/>
      <c r="J468" s="50"/>
      <c r="K468" s="50"/>
      <c r="L468" s="44"/>
      <c r="M468" s="51"/>
      <c r="N468" s="51"/>
      <c r="O468" s="44"/>
      <c r="P468" s="52"/>
      <c r="Q468" s="53"/>
    </row>
    <row r="469" customFormat="false" ht="12.8" hidden="false" customHeight="false" outlineLevel="0" collapsed="false">
      <c r="A469" s="22"/>
      <c r="B469" s="23"/>
      <c r="C469" s="24"/>
      <c r="D469" s="22"/>
      <c r="E469" s="19"/>
      <c r="F469" s="24"/>
      <c r="G469" s="25"/>
      <c r="H469" s="26"/>
      <c r="I469" s="27"/>
      <c r="J469" s="28"/>
      <c r="K469" s="28"/>
      <c r="L469" s="24"/>
      <c r="M469" s="29"/>
      <c r="N469" s="29"/>
      <c r="O469" s="24"/>
      <c r="P469" s="4"/>
      <c r="Q469" s="16"/>
    </row>
    <row r="470" customFormat="false" ht="12.8" hidden="false" customHeight="false" outlineLevel="0" collapsed="false">
      <c r="A470" s="22"/>
      <c r="B470" s="23" t="n">
        <v>510047000</v>
      </c>
      <c r="C470" s="24" t="n">
        <v>100</v>
      </c>
      <c r="D470" s="54" t="s">
        <v>432</v>
      </c>
      <c r="E470" s="19" t="s">
        <v>334</v>
      </c>
      <c r="F470" s="24" t="s">
        <v>23</v>
      </c>
      <c r="G470" s="25" t="n">
        <v>0.361</v>
      </c>
      <c r="H470" s="26"/>
      <c r="I470" s="27" t="n">
        <v>100</v>
      </c>
      <c r="J470" s="28" t="n">
        <v>30</v>
      </c>
      <c r="K470" s="28" t="n">
        <v>1</v>
      </c>
      <c r="L470" s="24" t="s">
        <v>24</v>
      </c>
      <c r="M470" s="29" t="n">
        <f aca="false">IF("oui" = "oui",9.02*(1-disc),9.02)</f>
        <v>9.02</v>
      </c>
      <c r="N470" s="29" t="n">
        <f aca="false">IF("oui" = "oui",9.02*(1-disc)*1.2,9.02*1.2)</f>
        <v>10.824</v>
      </c>
      <c r="O470" s="24" t="s">
        <v>25</v>
      </c>
      <c r="P470" s="7" t="s">
        <v>26</v>
      </c>
      <c r="Q470" s="16"/>
    </row>
    <row r="471" customFormat="false" ht="12.8" hidden="false" customHeight="false" outlineLevel="0" collapsed="false">
      <c r="A471" s="22"/>
      <c r="B471" s="23" t="n">
        <v>510049000</v>
      </c>
      <c r="C471" s="24" t="n">
        <v>100</v>
      </c>
      <c r="D471" s="54" t="s">
        <v>433</v>
      </c>
      <c r="E471" s="19" t="s">
        <v>334</v>
      </c>
      <c r="F471" s="24" t="s">
        <v>23</v>
      </c>
      <c r="G471" s="25" t="n">
        <v>0.361</v>
      </c>
      <c r="H471" s="26"/>
      <c r="I471" s="27" t="n">
        <v>100</v>
      </c>
      <c r="J471" s="28" t="n">
        <v>30</v>
      </c>
      <c r="K471" s="28" t="n">
        <v>1</v>
      </c>
      <c r="L471" s="24" t="s">
        <v>24</v>
      </c>
      <c r="M471" s="29" t="n">
        <f aca="false">IF("oui" = "oui",9.02*(1-disc),9.02)</f>
        <v>9.02</v>
      </c>
      <c r="N471" s="29" t="n">
        <f aca="false">IF("oui" = "oui",9.02*(1-disc)*1.2,9.02*1.2)</f>
        <v>10.824</v>
      </c>
      <c r="O471" s="24" t="s">
        <v>25</v>
      </c>
      <c r="P471" s="7" t="s">
        <v>26</v>
      </c>
      <c r="Q471" s="16"/>
    </row>
    <row r="472" customFormat="false" ht="12.8" hidden="false" customHeight="false" outlineLevel="0" collapsed="false">
      <c r="A472" s="22"/>
      <c r="B472" s="23" t="n">
        <v>510050000</v>
      </c>
      <c r="C472" s="24" t="n">
        <v>100</v>
      </c>
      <c r="D472" s="54" t="s">
        <v>434</v>
      </c>
      <c r="E472" s="19" t="s">
        <v>334</v>
      </c>
      <c r="F472" s="24" t="s">
        <v>23</v>
      </c>
      <c r="G472" s="25" t="n">
        <v>0.361</v>
      </c>
      <c r="H472" s="26"/>
      <c r="I472" s="27" t="n">
        <v>100</v>
      </c>
      <c r="J472" s="28" t="n">
        <v>30</v>
      </c>
      <c r="K472" s="28" t="n">
        <v>1</v>
      </c>
      <c r="L472" s="24" t="s">
        <v>24</v>
      </c>
      <c r="M472" s="29" t="n">
        <f aca="false">IF("oui" = "oui",9.02*(1-disc),9.02)</f>
        <v>9.02</v>
      </c>
      <c r="N472" s="29" t="n">
        <f aca="false">IF("oui" = "oui",9.02*(1-disc)*1.2,9.02*1.2)</f>
        <v>10.824</v>
      </c>
      <c r="O472" s="24" t="s">
        <v>25</v>
      </c>
      <c r="P472" s="7" t="s">
        <v>26</v>
      </c>
      <c r="Q472" s="16"/>
    </row>
    <row r="473" customFormat="false" ht="12.8" hidden="false" customHeight="false" outlineLevel="0" collapsed="false">
      <c r="A473" s="22"/>
      <c r="B473" s="23" t="n">
        <v>510051000</v>
      </c>
      <c r="C473" s="24" t="n">
        <v>100</v>
      </c>
      <c r="D473" s="54" t="s">
        <v>435</v>
      </c>
      <c r="E473" s="19" t="s">
        <v>334</v>
      </c>
      <c r="F473" s="24" t="s">
        <v>23</v>
      </c>
      <c r="G473" s="25" t="n">
        <v>0.361</v>
      </c>
      <c r="H473" s="26"/>
      <c r="I473" s="27" t="n">
        <v>100</v>
      </c>
      <c r="J473" s="28" t="n">
        <v>30</v>
      </c>
      <c r="K473" s="28" t="n">
        <v>1</v>
      </c>
      <c r="L473" s="24" t="s">
        <v>24</v>
      </c>
      <c r="M473" s="29" t="n">
        <f aca="false">IF("oui" = "oui",9.02*(1-disc),9.02)</f>
        <v>9.02</v>
      </c>
      <c r="N473" s="29" t="n">
        <f aca="false">IF("oui" = "oui",9.02*(1-disc)*1.2,9.02*1.2)</f>
        <v>10.824</v>
      </c>
      <c r="O473" s="24" t="s">
        <v>25</v>
      </c>
      <c r="P473" s="7" t="s">
        <v>26</v>
      </c>
      <c r="Q473" s="16"/>
    </row>
    <row r="474" customFormat="false" ht="12.8" hidden="false" customHeight="false" outlineLevel="0" collapsed="false">
      <c r="A474" s="22"/>
      <c r="B474" s="23" t="n">
        <v>510052000</v>
      </c>
      <c r="C474" s="24" t="n">
        <v>100</v>
      </c>
      <c r="D474" s="54" t="s">
        <v>436</v>
      </c>
      <c r="E474" s="19" t="s">
        <v>334</v>
      </c>
      <c r="F474" s="24" t="s">
        <v>23</v>
      </c>
      <c r="G474" s="25" t="n">
        <v>0.361</v>
      </c>
      <c r="H474" s="26"/>
      <c r="I474" s="27" t="n">
        <v>100</v>
      </c>
      <c r="J474" s="28" t="n">
        <v>30</v>
      </c>
      <c r="K474" s="28" t="n">
        <v>1</v>
      </c>
      <c r="L474" s="24" t="s">
        <v>24</v>
      </c>
      <c r="M474" s="29" t="n">
        <f aca="false">IF("oui" = "oui",9.02*(1-disc),9.02)</f>
        <v>9.02</v>
      </c>
      <c r="N474" s="29" t="n">
        <f aca="false">IF("oui" = "oui",9.02*(1-disc)*1.2,9.02*1.2)</f>
        <v>10.824</v>
      </c>
      <c r="O474" s="24" t="s">
        <v>25</v>
      </c>
      <c r="P474" s="7" t="s">
        <v>26</v>
      </c>
      <c r="Q474" s="16"/>
    </row>
    <row r="475" customFormat="false" ht="12.8" hidden="false" customHeight="false" outlineLevel="0" collapsed="false">
      <c r="A475" s="22"/>
      <c r="B475" s="23" t="n">
        <v>510053000</v>
      </c>
      <c r="C475" s="24" t="n">
        <v>100</v>
      </c>
      <c r="D475" s="54" t="s">
        <v>437</v>
      </c>
      <c r="E475" s="19" t="s">
        <v>334</v>
      </c>
      <c r="F475" s="24" t="s">
        <v>23</v>
      </c>
      <c r="G475" s="25" t="n">
        <v>0.361</v>
      </c>
      <c r="H475" s="26"/>
      <c r="I475" s="27" t="n">
        <v>100</v>
      </c>
      <c r="J475" s="28" t="n">
        <v>30</v>
      </c>
      <c r="K475" s="28" t="n">
        <v>1</v>
      </c>
      <c r="L475" s="24" t="s">
        <v>24</v>
      </c>
      <c r="M475" s="29" t="n">
        <f aca="false">IF("oui" = "oui",9.02*(1-disc),9.02)</f>
        <v>9.02</v>
      </c>
      <c r="N475" s="29" t="n">
        <f aca="false">IF("oui" = "oui",9.02*(1-disc)*1.2,9.02*1.2)</f>
        <v>10.824</v>
      </c>
      <c r="O475" s="24" t="s">
        <v>25</v>
      </c>
      <c r="P475" s="7" t="s">
        <v>26</v>
      </c>
      <c r="Q475" s="16"/>
    </row>
    <row r="476" customFormat="false" ht="12.8" hidden="false" customHeight="false" outlineLevel="0" collapsed="false">
      <c r="A476" s="22"/>
      <c r="B476" s="23" t="n">
        <v>510232000</v>
      </c>
      <c r="C476" s="24" t="n">
        <v>100</v>
      </c>
      <c r="D476" s="54" t="s">
        <v>438</v>
      </c>
      <c r="E476" s="19" t="s">
        <v>334</v>
      </c>
      <c r="F476" s="24" t="s">
        <v>23</v>
      </c>
      <c r="G476" s="25" t="n">
        <v>0.384</v>
      </c>
      <c r="H476" s="26"/>
      <c r="I476" s="27" t="n">
        <v>100</v>
      </c>
      <c r="J476" s="28" t="n">
        <v>30</v>
      </c>
      <c r="K476" s="28" t="n">
        <v>1</v>
      </c>
      <c r="L476" s="24" t="s">
        <v>24</v>
      </c>
      <c r="M476" s="29" t="n">
        <f aca="false">IF("oui" = "oui",9.02*(1-disc),9.02)</f>
        <v>9.02</v>
      </c>
      <c r="N476" s="29" t="n">
        <f aca="false">IF("oui" = "oui",9.02*(1-disc)*1.2,9.02*1.2)</f>
        <v>10.824</v>
      </c>
      <c r="O476" s="24" t="s">
        <v>25</v>
      </c>
      <c r="P476" s="7" t="s">
        <v>26</v>
      </c>
      <c r="Q476" s="16"/>
    </row>
    <row r="477" customFormat="false" ht="12.8" hidden="false" customHeight="false" outlineLevel="0" collapsed="false">
      <c r="A477" s="22"/>
      <c r="B477" s="23" t="n">
        <v>510231000</v>
      </c>
      <c r="C477" s="24" t="n">
        <v>100</v>
      </c>
      <c r="D477" s="54" t="s">
        <v>439</v>
      </c>
      <c r="E477" s="19" t="s">
        <v>334</v>
      </c>
      <c r="F477" s="24" t="s">
        <v>23</v>
      </c>
      <c r="G477" s="25" t="n">
        <v>0.384</v>
      </c>
      <c r="H477" s="26"/>
      <c r="I477" s="27" t="n">
        <v>100</v>
      </c>
      <c r="J477" s="28" t="n">
        <v>30</v>
      </c>
      <c r="K477" s="28" t="n">
        <v>1</v>
      </c>
      <c r="L477" s="24" t="s">
        <v>24</v>
      </c>
      <c r="M477" s="29" t="n">
        <f aca="false">IF("oui" = "oui",9.02*(1-disc),9.02)</f>
        <v>9.02</v>
      </c>
      <c r="N477" s="29" t="n">
        <f aca="false">IF("oui" = "oui",9.02*(1-disc)*1.2,9.02*1.2)</f>
        <v>10.824</v>
      </c>
      <c r="O477" s="24" t="s">
        <v>25</v>
      </c>
      <c r="P477" s="7" t="s">
        <v>26</v>
      </c>
      <c r="Q477" s="16"/>
    </row>
    <row r="478" customFormat="false" ht="12.8" hidden="false" customHeight="false" outlineLevel="0" collapsed="false">
      <c r="A478" s="22"/>
      <c r="B478" s="23"/>
      <c r="C478" s="24"/>
      <c r="D478" s="22"/>
      <c r="E478" s="19"/>
      <c r="F478" s="24"/>
      <c r="G478" s="25"/>
      <c r="H478" s="26"/>
      <c r="I478" s="27"/>
      <c r="J478" s="28"/>
      <c r="K478" s="28"/>
      <c r="L478" s="24"/>
      <c r="M478" s="29"/>
      <c r="N478" s="29"/>
      <c r="O478" s="24"/>
      <c r="P478" s="4"/>
      <c r="Q478" s="16"/>
    </row>
    <row r="479" customFormat="false" ht="12.8" hidden="false" customHeight="false" outlineLevel="0" collapsed="false">
      <c r="A479" s="22"/>
      <c r="B479" s="23" t="n">
        <v>510137000</v>
      </c>
      <c r="C479" s="24" t="n">
        <v>100</v>
      </c>
      <c r="D479" s="22" t="s">
        <v>440</v>
      </c>
      <c r="E479" s="19" t="s">
        <v>334</v>
      </c>
      <c r="F479" s="24" t="s">
        <v>23</v>
      </c>
      <c r="G479" s="25" t="n">
        <v>1.805</v>
      </c>
      <c r="H479" s="26"/>
      <c r="I479" s="27" t="n">
        <v>100</v>
      </c>
      <c r="J479" s="28" t="n">
        <v>6</v>
      </c>
      <c r="K479" s="28" t="n">
        <v>5</v>
      </c>
      <c r="L479" s="24" t="s">
        <v>24</v>
      </c>
      <c r="M479" s="29" t="n">
        <f aca="false">IF("oui" = "oui",45.09*(1-disc),45.09)</f>
        <v>45.09</v>
      </c>
      <c r="N479" s="29" t="n">
        <f aca="false">IF("oui" = "oui",45.09*(1-disc)*1.2,45.09*1.2)</f>
        <v>54.108</v>
      </c>
      <c r="O479" s="24" t="s">
        <v>25</v>
      </c>
      <c r="P479" s="7" t="s">
        <v>26</v>
      </c>
      <c r="Q479" s="16"/>
    </row>
    <row r="480" customFormat="false" ht="12.8" hidden="false" customHeight="false" outlineLevel="0" collapsed="false">
      <c r="A480" s="22"/>
      <c r="B480" s="23"/>
      <c r="C480" s="24"/>
      <c r="D480" s="22"/>
      <c r="E480" s="19"/>
      <c r="F480" s="24"/>
      <c r="G480" s="25"/>
      <c r="H480" s="26"/>
      <c r="I480" s="27"/>
      <c r="J480" s="28"/>
      <c r="K480" s="28"/>
      <c r="L480" s="24"/>
      <c r="M480" s="29"/>
      <c r="N480" s="29"/>
      <c r="O480" s="24"/>
      <c r="P480" s="4"/>
      <c r="Q480" s="16"/>
    </row>
    <row r="481" customFormat="false" ht="12.8" hidden="false" customHeight="false" outlineLevel="0" collapsed="false">
      <c r="A481" s="42" t="s">
        <v>231</v>
      </c>
      <c r="B481" s="43"/>
      <c r="C481" s="44"/>
      <c r="D481" s="45"/>
      <c r="E481" s="46"/>
      <c r="F481" s="44"/>
      <c r="G481" s="47"/>
      <c r="H481" s="48"/>
      <c r="I481" s="49"/>
      <c r="J481" s="50"/>
      <c r="K481" s="50"/>
      <c r="L481" s="44"/>
      <c r="M481" s="51"/>
      <c r="N481" s="51"/>
      <c r="O481" s="44"/>
      <c r="P481" s="52"/>
      <c r="Q481" s="53"/>
    </row>
    <row r="482" customFormat="false" ht="12.8" hidden="false" customHeight="false" outlineLevel="0" collapsed="false">
      <c r="A482" s="22"/>
      <c r="B482" s="23"/>
      <c r="C482" s="24"/>
      <c r="D482" s="22"/>
      <c r="E482" s="19"/>
      <c r="F482" s="24"/>
      <c r="G482" s="25"/>
      <c r="H482" s="26"/>
      <c r="I482" s="27"/>
      <c r="J482" s="28"/>
      <c r="K482" s="28"/>
      <c r="L482" s="24"/>
      <c r="M482" s="29"/>
      <c r="N482" s="29"/>
      <c r="O482" s="24"/>
      <c r="P482" s="4"/>
      <c r="Q482" s="16"/>
    </row>
    <row r="483" customFormat="false" ht="12.8" hidden="false" customHeight="false" outlineLevel="0" collapsed="false">
      <c r="A483" s="22"/>
      <c r="B483" s="23" t="n">
        <v>510234000</v>
      </c>
      <c r="C483" s="24" t="n">
        <v>100</v>
      </c>
      <c r="D483" s="54" t="s">
        <v>441</v>
      </c>
      <c r="E483" s="19" t="s">
        <v>179</v>
      </c>
      <c r="F483" s="24" t="s">
        <v>23</v>
      </c>
      <c r="G483" s="25" t="n">
        <v>0.311</v>
      </c>
      <c r="H483" s="26"/>
      <c r="I483" s="27" t="n">
        <v>100</v>
      </c>
      <c r="J483" s="28" t="n">
        <v>30</v>
      </c>
      <c r="K483" s="28" t="n">
        <v>1</v>
      </c>
      <c r="L483" s="24" t="s">
        <v>24</v>
      </c>
      <c r="M483" s="29" t="n">
        <f aca="false">IF("oui" = "oui",9.02*(1-disc),9.02)</f>
        <v>9.02</v>
      </c>
      <c r="N483" s="29" t="n">
        <f aca="false">IF("oui" = "oui",9.02*(1-disc)*1.2,9.02*1.2)</f>
        <v>10.824</v>
      </c>
      <c r="O483" s="24" t="s">
        <v>25</v>
      </c>
      <c r="P483" s="55" t="s">
        <v>141</v>
      </c>
      <c r="Q483" s="16"/>
    </row>
    <row r="484" customFormat="false" ht="12.8" hidden="false" customHeight="false" outlineLevel="0" collapsed="false">
      <c r="A484" s="22"/>
      <c r="B484" s="23" t="n">
        <v>510235000</v>
      </c>
      <c r="C484" s="24" t="n">
        <v>100</v>
      </c>
      <c r="D484" s="54" t="s">
        <v>442</v>
      </c>
      <c r="E484" s="19" t="s">
        <v>179</v>
      </c>
      <c r="F484" s="24" t="s">
        <v>23</v>
      </c>
      <c r="G484" s="25" t="n">
        <v>0.311</v>
      </c>
      <c r="H484" s="26"/>
      <c r="I484" s="27" t="n">
        <v>100</v>
      </c>
      <c r="J484" s="28" t="n">
        <v>30</v>
      </c>
      <c r="K484" s="28" t="n">
        <v>1</v>
      </c>
      <c r="L484" s="24" t="s">
        <v>24</v>
      </c>
      <c r="M484" s="29" t="n">
        <f aca="false">IF("oui" = "oui",9.02*(1-disc),9.02)</f>
        <v>9.02</v>
      </c>
      <c r="N484" s="29" t="n">
        <f aca="false">IF("oui" = "oui",9.02*(1-disc)*1.2,9.02*1.2)</f>
        <v>10.824</v>
      </c>
      <c r="O484" s="24" t="s">
        <v>25</v>
      </c>
      <c r="P484" s="4" t="s">
        <v>25</v>
      </c>
      <c r="Q484" s="16"/>
    </row>
    <row r="485" customFormat="false" ht="12.8" hidden="false" customHeight="false" outlineLevel="0" collapsed="false">
      <c r="A485" s="22"/>
      <c r="B485" s="23" t="n">
        <v>510236000</v>
      </c>
      <c r="C485" s="24" t="n">
        <v>100</v>
      </c>
      <c r="D485" s="54" t="s">
        <v>443</v>
      </c>
      <c r="E485" s="19" t="s">
        <v>179</v>
      </c>
      <c r="F485" s="24" t="s">
        <v>23</v>
      </c>
      <c r="G485" s="25" t="n">
        <v>0.311</v>
      </c>
      <c r="H485" s="26"/>
      <c r="I485" s="27" t="n">
        <v>100</v>
      </c>
      <c r="J485" s="28" t="n">
        <v>30</v>
      </c>
      <c r="K485" s="28" t="n">
        <v>1</v>
      </c>
      <c r="L485" s="24" t="s">
        <v>24</v>
      </c>
      <c r="M485" s="29" t="n">
        <f aca="false">IF("oui" = "oui",9.02*(1-disc),9.02)</f>
        <v>9.02</v>
      </c>
      <c r="N485" s="29" t="n">
        <f aca="false">IF("oui" = "oui",9.02*(1-disc)*1.2,9.02*1.2)</f>
        <v>10.824</v>
      </c>
      <c r="O485" s="24" t="s">
        <v>25</v>
      </c>
      <c r="P485" s="4" t="s">
        <v>25</v>
      </c>
      <c r="Q485" s="16"/>
    </row>
    <row r="486" customFormat="false" ht="12.8" hidden="false" customHeight="false" outlineLevel="0" collapsed="false">
      <c r="A486" s="22"/>
      <c r="B486" s="23" t="n">
        <v>510238000</v>
      </c>
      <c r="C486" s="24" t="n">
        <v>100</v>
      </c>
      <c r="D486" s="54" t="s">
        <v>444</v>
      </c>
      <c r="E486" s="19" t="s">
        <v>179</v>
      </c>
      <c r="F486" s="24" t="s">
        <v>23</v>
      </c>
      <c r="G486" s="25" t="n">
        <v>0.311</v>
      </c>
      <c r="H486" s="26"/>
      <c r="I486" s="27" t="n">
        <v>100</v>
      </c>
      <c r="J486" s="28" t="n">
        <v>30</v>
      </c>
      <c r="K486" s="28" t="n">
        <v>1</v>
      </c>
      <c r="L486" s="24" t="s">
        <v>24</v>
      </c>
      <c r="M486" s="29" t="n">
        <f aca="false">IF("oui" = "oui",9.02*(1-disc),9.02)</f>
        <v>9.02</v>
      </c>
      <c r="N486" s="29" t="n">
        <f aca="false">IF("oui" = "oui",9.02*(1-disc)*1.2,9.02*1.2)</f>
        <v>10.824</v>
      </c>
      <c r="O486" s="24" t="s">
        <v>25</v>
      </c>
      <c r="P486" s="4" t="s">
        <v>25</v>
      </c>
      <c r="Q486" s="16"/>
    </row>
    <row r="487" customFormat="false" ht="12.8" hidden="false" customHeight="false" outlineLevel="0" collapsed="false">
      <c r="A487" s="22"/>
      <c r="B487" s="23" t="n">
        <v>510239000</v>
      </c>
      <c r="C487" s="24" t="n">
        <v>100</v>
      </c>
      <c r="D487" s="54" t="s">
        <v>445</v>
      </c>
      <c r="E487" s="19" t="s">
        <v>179</v>
      </c>
      <c r="F487" s="24" t="s">
        <v>23</v>
      </c>
      <c r="G487" s="25" t="n">
        <v>0.311</v>
      </c>
      <c r="H487" s="26"/>
      <c r="I487" s="27" t="n">
        <v>100</v>
      </c>
      <c r="J487" s="28" t="n">
        <v>30</v>
      </c>
      <c r="K487" s="28" t="n">
        <v>1</v>
      </c>
      <c r="L487" s="24" t="s">
        <v>24</v>
      </c>
      <c r="M487" s="29" t="n">
        <f aca="false">IF("oui" = "oui",9.02*(1-disc),9.02)</f>
        <v>9.02</v>
      </c>
      <c r="N487" s="29" t="n">
        <f aca="false">IF("oui" = "oui",9.02*(1-disc)*1.2,9.02*1.2)</f>
        <v>10.824</v>
      </c>
      <c r="O487" s="24" t="s">
        <v>25</v>
      </c>
      <c r="P487" s="7" t="s">
        <v>26</v>
      </c>
      <c r="Q487" s="16"/>
    </row>
    <row r="488" customFormat="false" ht="12.8" hidden="false" customHeight="false" outlineLevel="0" collapsed="false">
      <c r="A488" s="22"/>
      <c r="B488" s="23" t="n">
        <v>510240000</v>
      </c>
      <c r="C488" s="24" t="n">
        <v>100</v>
      </c>
      <c r="D488" s="54" t="s">
        <v>446</v>
      </c>
      <c r="E488" s="19" t="s">
        <v>179</v>
      </c>
      <c r="F488" s="24" t="s">
        <v>23</v>
      </c>
      <c r="G488" s="25" t="n">
        <v>0.311</v>
      </c>
      <c r="H488" s="26"/>
      <c r="I488" s="27" t="n">
        <v>100</v>
      </c>
      <c r="J488" s="28" t="n">
        <v>30</v>
      </c>
      <c r="K488" s="28" t="n">
        <v>1</v>
      </c>
      <c r="L488" s="24" t="s">
        <v>24</v>
      </c>
      <c r="M488" s="29" t="n">
        <f aca="false">IF("oui" = "oui",9.02*(1-disc),9.02)</f>
        <v>9.02</v>
      </c>
      <c r="N488" s="29" t="n">
        <f aca="false">IF("oui" = "oui",9.02*(1-disc)*1.2,9.02*1.2)</f>
        <v>10.824</v>
      </c>
      <c r="O488" s="24" t="s">
        <v>25</v>
      </c>
      <c r="P488" s="4" t="s">
        <v>25</v>
      </c>
      <c r="Q488" s="16"/>
    </row>
    <row r="489" customFormat="false" ht="12.8" hidden="false" customHeight="false" outlineLevel="0" collapsed="false">
      <c r="A489" s="22"/>
      <c r="B489" s="23" t="n">
        <v>510241000</v>
      </c>
      <c r="C489" s="24" t="n">
        <v>100</v>
      </c>
      <c r="D489" s="54" t="s">
        <v>447</v>
      </c>
      <c r="E489" s="19" t="s">
        <v>179</v>
      </c>
      <c r="F489" s="24" t="s">
        <v>23</v>
      </c>
      <c r="G489" s="25" t="n">
        <v>0.311</v>
      </c>
      <c r="H489" s="26"/>
      <c r="I489" s="27" t="n">
        <v>100</v>
      </c>
      <c r="J489" s="28" t="n">
        <v>30</v>
      </c>
      <c r="K489" s="28" t="n">
        <v>1</v>
      </c>
      <c r="L489" s="24" t="s">
        <v>24</v>
      </c>
      <c r="M489" s="29" t="n">
        <f aca="false">IF("oui" = "oui",9.02*(1-disc),9.02)</f>
        <v>9.02</v>
      </c>
      <c r="N489" s="29" t="n">
        <f aca="false">IF("oui" = "oui",9.02*(1-disc)*1.2,9.02*1.2)</f>
        <v>10.824</v>
      </c>
      <c r="O489" s="24" t="s">
        <v>25</v>
      </c>
      <c r="P489" s="7" t="s">
        <v>26</v>
      </c>
      <c r="Q489" s="16"/>
    </row>
    <row r="490" customFormat="false" ht="12.8" hidden="false" customHeight="false" outlineLevel="0" collapsed="false">
      <c r="A490" s="22"/>
      <c r="B490" s="23" t="n">
        <v>510242000</v>
      </c>
      <c r="C490" s="24" t="n">
        <v>100</v>
      </c>
      <c r="D490" s="54" t="s">
        <v>448</v>
      </c>
      <c r="E490" s="19" t="s">
        <v>179</v>
      </c>
      <c r="F490" s="24" t="s">
        <v>23</v>
      </c>
      <c r="G490" s="25" t="n">
        <v>0.311</v>
      </c>
      <c r="H490" s="26"/>
      <c r="I490" s="27" t="n">
        <v>100</v>
      </c>
      <c r="J490" s="28" t="n">
        <v>30</v>
      </c>
      <c r="K490" s="28" t="n">
        <v>1</v>
      </c>
      <c r="L490" s="24" t="s">
        <v>24</v>
      </c>
      <c r="M490" s="29" t="n">
        <f aca="false">IF("oui" = "oui",9.02*(1-disc),9.02)</f>
        <v>9.02</v>
      </c>
      <c r="N490" s="29" t="n">
        <f aca="false">IF("oui" = "oui",9.02*(1-disc)*1.2,9.02*1.2)</f>
        <v>10.824</v>
      </c>
      <c r="O490" s="24" t="s">
        <v>25</v>
      </c>
      <c r="P490" s="4" t="s">
        <v>25</v>
      </c>
      <c r="Q490" s="16"/>
    </row>
    <row r="491" customFormat="false" ht="12.8" hidden="false" customHeight="false" outlineLevel="0" collapsed="false">
      <c r="A491" s="22"/>
      <c r="B491" s="23"/>
      <c r="C491" s="24"/>
      <c r="D491" s="22"/>
      <c r="E491" s="19"/>
      <c r="F491" s="24"/>
      <c r="G491" s="25"/>
      <c r="H491" s="26"/>
      <c r="I491" s="27"/>
      <c r="J491" s="28"/>
      <c r="K491" s="28"/>
      <c r="L491" s="24"/>
      <c r="M491" s="29"/>
      <c r="N491" s="29"/>
      <c r="O491" s="24"/>
      <c r="P491" s="4"/>
      <c r="Q491" s="16"/>
    </row>
    <row r="492" customFormat="false" ht="12.8" hidden="false" customHeight="false" outlineLevel="0" collapsed="false">
      <c r="A492" s="22"/>
      <c r="B492" s="23" t="n">
        <v>510474000</v>
      </c>
      <c r="C492" s="24" t="n">
        <v>100</v>
      </c>
      <c r="D492" s="22" t="s">
        <v>449</v>
      </c>
      <c r="E492" s="19" t="s">
        <v>179</v>
      </c>
      <c r="F492" s="24" t="s">
        <v>23</v>
      </c>
      <c r="G492" s="25" t="n">
        <v>1.505</v>
      </c>
      <c r="H492" s="26"/>
      <c r="I492" s="27" t="n">
        <v>100</v>
      </c>
      <c r="J492" s="28" t="n">
        <v>6</v>
      </c>
      <c r="K492" s="28" t="n">
        <v>5</v>
      </c>
      <c r="L492" s="24" t="s">
        <v>24</v>
      </c>
      <c r="M492" s="29" t="n">
        <f aca="false">IF("oui" = "oui",45.09*(1-disc),45.09)</f>
        <v>45.09</v>
      </c>
      <c r="N492" s="29" t="n">
        <f aca="false">IF("oui" = "oui",45.09*(1-disc)*1.2,45.09*1.2)</f>
        <v>54.108</v>
      </c>
      <c r="O492" s="24" t="s">
        <v>25</v>
      </c>
      <c r="P492" s="4" t="s">
        <v>25</v>
      </c>
      <c r="Q492" s="16"/>
    </row>
    <row r="493" customFormat="false" ht="12.8" hidden="false" customHeight="false" outlineLevel="0" collapsed="false">
      <c r="A493" s="22"/>
      <c r="B493" s="23"/>
      <c r="C493" s="24"/>
      <c r="D493" s="22"/>
      <c r="E493" s="19"/>
      <c r="F493" s="24"/>
      <c r="G493" s="25"/>
      <c r="H493" s="26"/>
      <c r="I493" s="27"/>
      <c r="J493" s="28"/>
      <c r="K493" s="28"/>
      <c r="L493" s="24"/>
      <c r="M493" s="29"/>
      <c r="N493" s="29"/>
      <c r="O493" s="24"/>
      <c r="P493" s="4"/>
      <c r="Q493" s="16"/>
    </row>
    <row r="494" customFormat="false" ht="12.8" hidden="false" customHeight="false" outlineLevel="0" collapsed="false">
      <c r="A494" s="42" t="s">
        <v>240</v>
      </c>
      <c r="B494" s="43"/>
      <c r="C494" s="44"/>
      <c r="D494" s="45"/>
      <c r="E494" s="46"/>
      <c r="F494" s="44"/>
      <c r="G494" s="47"/>
      <c r="H494" s="48"/>
      <c r="I494" s="49"/>
      <c r="J494" s="50"/>
      <c r="K494" s="50"/>
      <c r="L494" s="44"/>
      <c r="M494" s="51"/>
      <c r="N494" s="51"/>
      <c r="O494" s="44"/>
      <c r="P494" s="52"/>
      <c r="Q494" s="53"/>
    </row>
    <row r="495" customFormat="false" ht="12.8" hidden="false" customHeight="false" outlineLevel="0" collapsed="false">
      <c r="A495" s="22"/>
      <c r="B495" s="23"/>
      <c r="C495" s="24"/>
      <c r="D495" s="22"/>
      <c r="E495" s="19"/>
      <c r="F495" s="24"/>
      <c r="G495" s="25"/>
      <c r="H495" s="26"/>
      <c r="I495" s="27"/>
      <c r="J495" s="28"/>
      <c r="K495" s="28"/>
      <c r="L495" s="24"/>
      <c r="M495" s="29"/>
      <c r="N495" s="29"/>
      <c r="O495" s="24"/>
      <c r="P495" s="4"/>
      <c r="Q495" s="16"/>
    </row>
    <row r="496" customFormat="false" ht="12.8" hidden="false" customHeight="false" outlineLevel="0" collapsed="false">
      <c r="A496" s="22"/>
      <c r="B496" s="23" t="n">
        <v>510418000</v>
      </c>
      <c r="C496" s="24" t="n">
        <v>100</v>
      </c>
      <c r="D496" s="54" t="s">
        <v>450</v>
      </c>
      <c r="E496" s="19" t="s">
        <v>451</v>
      </c>
      <c r="F496" s="24" t="s">
        <v>23</v>
      </c>
      <c r="G496" s="25" t="n">
        <v>0.199</v>
      </c>
      <c r="H496" s="26"/>
      <c r="I496" s="27" t="n">
        <v>100</v>
      </c>
      <c r="J496" s="28" t="n">
        <v>30</v>
      </c>
      <c r="K496" s="28" t="n">
        <v>1</v>
      </c>
      <c r="L496" s="24" t="s">
        <v>24</v>
      </c>
      <c r="M496" s="29" t="n">
        <f aca="false">IF("oui" = "oui",9.02*(1-disc),9.02)</f>
        <v>9.02</v>
      </c>
      <c r="N496" s="29" t="n">
        <f aca="false">IF("oui" = "oui",9.02*(1-disc)*1.2,9.02*1.2)</f>
        <v>10.824</v>
      </c>
      <c r="O496" s="24" t="s">
        <v>25</v>
      </c>
      <c r="P496" s="4" t="s">
        <v>25</v>
      </c>
      <c r="Q496" s="16"/>
    </row>
    <row r="497" customFormat="false" ht="12.8" hidden="false" customHeight="false" outlineLevel="0" collapsed="false">
      <c r="A497" s="22"/>
      <c r="B497" s="23" t="n">
        <v>510419000</v>
      </c>
      <c r="C497" s="24" t="n">
        <v>100</v>
      </c>
      <c r="D497" s="54" t="s">
        <v>452</v>
      </c>
      <c r="E497" s="19" t="s">
        <v>451</v>
      </c>
      <c r="F497" s="24" t="s">
        <v>23</v>
      </c>
      <c r="G497" s="25" t="n">
        <v>0.199</v>
      </c>
      <c r="H497" s="26"/>
      <c r="I497" s="27" t="n">
        <v>100</v>
      </c>
      <c r="J497" s="28" t="n">
        <v>30</v>
      </c>
      <c r="K497" s="28" t="n">
        <v>1</v>
      </c>
      <c r="L497" s="24" t="s">
        <v>24</v>
      </c>
      <c r="M497" s="29" t="n">
        <f aca="false">IF("oui" = "oui",9.02*(1-disc),9.02)</f>
        <v>9.02</v>
      </c>
      <c r="N497" s="29" t="n">
        <f aca="false">IF("oui" = "oui",9.02*(1-disc)*1.2,9.02*1.2)</f>
        <v>10.824</v>
      </c>
      <c r="O497" s="24" t="s">
        <v>25</v>
      </c>
      <c r="P497" s="4" t="s">
        <v>25</v>
      </c>
      <c r="Q497" s="16"/>
    </row>
    <row r="498" customFormat="false" ht="12.8" hidden="false" customHeight="false" outlineLevel="0" collapsed="false">
      <c r="A498" s="22"/>
      <c r="B498" s="23" t="n">
        <v>510420000</v>
      </c>
      <c r="C498" s="24" t="n">
        <v>100</v>
      </c>
      <c r="D498" s="54" t="s">
        <v>453</v>
      </c>
      <c r="E498" s="19" t="s">
        <v>451</v>
      </c>
      <c r="F498" s="24" t="s">
        <v>23</v>
      </c>
      <c r="G498" s="25" t="n">
        <v>0.199</v>
      </c>
      <c r="H498" s="26"/>
      <c r="I498" s="27" t="n">
        <v>100</v>
      </c>
      <c r="J498" s="28" t="n">
        <v>30</v>
      </c>
      <c r="K498" s="28" t="n">
        <v>1</v>
      </c>
      <c r="L498" s="24" t="s">
        <v>24</v>
      </c>
      <c r="M498" s="29" t="n">
        <f aca="false">IF("oui" = "oui",9.02*(1-disc),9.02)</f>
        <v>9.02</v>
      </c>
      <c r="N498" s="29" t="n">
        <f aca="false">IF("oui" = "oui",9.02*(1-disc)*1.2,9.02*1.2)</f>
        <v>10.824</v>
      </c>
      <c r="O498" s="24" t="s">
        <v>25</v>
      </c>
      <c r="P498" s="4" t="s">
        <v>25</v>
      </c>
      <c r="Q498" s="16"/>
    </row>
    <row r="499" customFormat="false" ht="12.8" hidden="false" customHeight="false" outlineLevel="0" collapsed="false">
      <c r="A499" s="22"/>
      <c r="B499" s="23" t="n">
        <v>510421000</v>
      </c>
      <c r="C499" s="24" t="n">
        <v>100</v>
      </c>
      <c r="D499" s="54" t="s">
        <v>454</v>
      </c>
      <c r="E499" s="19" t="s">
        <v>451</v>
      </c>
      <c r="F499" s="24" t="s">
        <v>23</v>
      </c>
      <c r="G499" s="25" t="n">
        <v>0.199</v>
      </c>
      <c r="H499" s="26"/>
      <c r="I499" s="27" t="n">
        <v>100</v>
      </c>
      <c r="J499" s="28" t="n">
        <v>30</v>
      </c>
      <c r="K499" s="28" t="n">
        <v>1</v>
      </c>
      <c r="L499" s="24" t="s">
        <v>24</v>
      </c>
      <c r="M499" s="29" t="n">
        <f aca="false">IF("oui" = "oui",9.02*(1-disc),9.02)</f>
        <v>9.02</v>
      </c>
      <c r="N499" s="29" t="n">
        <f aca="false">IF("oui" = "oui",9.02*(1-disc)*1.2,9.02*1.2)</f>
        <v>10.824</v>
      </c>
      <c r="O499" s="24" t="s">
        <v>25</v>
      </c>
      <c r="P499" s="4" t="s">
        <v>25</v>
      </c>
      <c r="Q499" s="16"/>
    </row>
    <row r="500" customFormat="false" ht="12.8" hidden="false" customHeight="false" outlineLevel="0" collapsed="false">
      <c r="A500" s="22"/>
      <c r="B500" s="23" t="n">
        <v>510422000</v>
      </c>
      <c r="C500" s="24" t="n">
        <v>100</v>
      </c>
      <c r="D500" s="54" t="s">
        <v>455</v>
      </c>
      <c r="E500" s="19" t="s">
        <v>451</v>
      </c>
      <c r="F500" s="24" t="s">
        <v>23</v>
      </c>
      <c r="G500" s="25" t="n">
        <v>0.199</v>
      </c>
      <c r="H500" s="26"/>
      <c r="I500" s="27" t="n">
        <v>100</v>
      </c>
      <c r="J500" s="28" t="n">
        <v>30</v>
      </c>
      <c r="K500" s="28" t="n">
        <v>1</v>
      </c>
      <c r="L500" s="24" t="s">
        <v>24</v>
      </c>
      <c r="M500" s="29" t="n">
        <f aca="false">IF("oui" = "oui",9.02*(1-disc),9.02)</f>
        <v>9.02</v>
      </c>
      <c r="N500" s="29" t="n">
        <f aca="false">IF("oui" = "oui",9.02*(1-disc)*1.2,9.02*1.2)</f>
        <v>10.824</v>
      </c>
      <c r="O500" s="24" t="s">
        <v>25</v>
      </c>
      <c r="P500" s="4" t="s">
        <v>25</v>
      </c>
      <c r="Q500" s="16"/>
    </row>
    <row r="501" customFormat="false" ht="12.8" hidden="false" customHeight="false" outlineLevel="0" collapsed="false">
      <c r="A501" s="22"/>
      <c r="B501" s="23" t="n">
        <v>510423000</v>
      </c>
      <c r="C501" s="24" t="n">
        <v>100</v>
      </c>
      <c r="D501" s="54" t="s">
        <v>456</v>
      </c>
      <c r="E501" s="19" t="s">
        <v>451</v>
      </c>
      <c r="F501" s="24" t="s">
        <v>23</v>
      </c>
      <c r="G501" s="25" t="n">
        <v>0.199</v>
      </c>
      <c r="H501" s="26"/>
      <c r="I501" s="27" t="n">
        <v>100</v>
      </c>
      <c r="J501" s="28" t="n">
        <v>30</v>
      </c>
      <c r="K501" s="28" t="n">
        <v>1</v>
      </c>
      <c r="L501" s="24" t="s">
        <v>24</v>
      </c>
      <c r="M501" s="29" t="n">
        <f aca="false">IF("oui" = "oui",9.02*(1-disc),9.02)</f>
        <v>9.02</v>
      </c>
      <c r="N501" s="29" t="n">
        <f aca="false">IF("oui" = "oui",9.02*(1-disc)*1.2,9.02*1.2)</f>
        <v>10.824</v>
      </c>
      <c r="O501" s="24" t="s">
        <v>25</v>
      </c>
      <c r="P501" s="4" t="s">
        <v>25</v>
      </c>
      <c r="Q501" s="16"/>
    </row>
    <row r="502" customFormat="false" ht="12.8" hidden="false" customHeight="false" outlineLevel="0" collapsed="false">
      <c r="A502" s="22"/>
      <c r="B502" s="23" t="n">
        <v>510424000</v>
      </c>
      <c r="C502" s="24" t="n">
        <v>100</v>
      </c>
      <c r="D502" s="54" t="s">
        <v>457</v>
      </c>
      <c r="E502" s="19" t="s">
        <v>451</v>
      </c>
      <c r="F502" s="24" t="s">
        <v>23</v>
      </c>
      <c r="G502" s="25" t="n">
        <v>0.199</v>
      </c>
      <c r="H502" s="26"/>
      <c r="I502" s="27" t="n">
        <v>100</v>
      </c>
      <c r="J502" s="28" t="n">
        <v>30</v>
      </c>
      <c r="K502" s="28" t="n">
        <v>1</v>
      </c>
      <c r="L502" s="24" t="s">
        <v>24</v>
      </c>
      <c r="M502" s="29" t="n">
        <f aca="false">IF("oui" = "oui",9.02*(1-disc),9.02)</f>
        <v>9.02</v>
      </c>
      <c r="N502" s="29" t="n">
        <f aca="false">IF("oui" = "oui",9.02*(1-disc)*1.2,9.02*1.2)</f>
        <v>10.824</v>
      </c>
      <c r="O502" s="24" t="s">
        <v>25</v>
      </c>
      <c r="P502" s="55" t="s">
        <v>45</v>
      </c>
      <c r="Q502" s="16"/>
    </row>
    <row r="503" customFormat="false" ht="12.8" hidden="false" customHeight="false" outlineLevel="0" collapsed="false">
      <c r="A503" s="22"/>
      <c r="B503" s="23" t="n">
        <v>510425000</v>
      </c>
      <c r="C503" s="24" t="n">
        <v>100</v>
      </c>
      <c r="D503" s="54" t="s">
        <v>458</v>
      </c>
      <c r="E503" s="19" t="s">
        <v>451</v>
      </c>
      <c r="F503" s="24" t="s">
        <v>23</v>
      </c>
      <c r="G503" s="25" t="n">
        <v>0.199</v>
      </c>
      <c r="H503" s="26"/>
      <c r="I503" s="27" t="n">
        <v>100</v>
      </c>
      <c r="J503" s="28" t="n">
        <v>30</v>
      </c>
      <c r="K503" s="28" t="n">
        <v>1</v>
      </c>
      <c r="L503" s="24" t="s">
        <v>24</v>
      </c>
      <c r="M503" s="29" t="n">
        <f aca="false">IF("oui" = "oui",9.02*(1-disc),9.02)</f>
        <v>9.02</v>
      </c>
      <c r="N503" s="29" t="n">
        <f aca="false">IF("oui" = "oui",9.02*(1-disc)*1.2,9.02*1.2)</f>
        <v>10.824</v>
      </c>
      <c r="O503" s="24" t="s">
        <v>25</v>
      </c>
      <c r="P503" s="4" t="s">
        <v>25</v>
      </c>
      <c r="Q503" s="16"/>
    </row>
    <row r="504" customFormat="false" ht="12.8" hidden="false" customHeight="false" outlineLevel="0" collapsed="false">
      <c r="A504" s="22"/>
      <c r="B504" s="23"/>
      <c r="C504" s="24"/>
      <c r="D504" s="22"/>
      <c r="E504" s="19"/>
      <c r="F504" s="24"/>
      <c r="G504" s="25"/>
      <c r="H504" s="26"/>
      <c r="I504" s="27"/>
      <c r="J504" s="28"/>
      <c r="K504" s="28"/>
      <c r="L504" s="24"/>
      <c r="M504" s="29"/>
      <c r="N504" s="29"/>
      <c r="O504" s="24"/>
      <c r="P504" s="4"/>
      <c r="Q504" s="16"/>
    </row>
    <row r="505" customFormat="false" ht="12.8" hidden="false" customHeight="false" outlineLevel="0" collapsed="false">
      <c r="A505" s="22"/>
      <c r="B505" s="23" t="n">
        <v>510482000</v>
      </c>
      <c r="C505" s="24" t="n">
        <v>100</v>
      </c>
      <c r="D505" s="22" t="s">
        <v>459</v>
      </c>
      <c r="E505" s="19" t="s">
        <v>451</v>
      </c>
      <c r="F505" s="24" t="s">
        <v>23</v>
      </c>
      <c r="G505" s="25" t="n">
        <v>0.995</v>
      </c>
      <c r="H505" s="26"/>
      <c r="I505" s="27" t="n">
        <v>100</v>
      </c>
      <c r="J505" s="28" t="n">
        <v>6</v>
      </c>
      <c r="K505" s="28" t="n">
        <v>5</v>
      </c>
      <c r="L505" s="24" t="s">
        <v>24</v>
      </c>
      <c r="M505" s="29" t="n">
        <f aca="false">IF("oui" = "oui",45.09*(1-disc),45.09)</f>
        <v>45.09</v>
      </c>
      <c r="N505" s="29" t="n">
        <f aca="false">IF("oui" = "oui",45.09*(1-disc)*1.2,45.09*1.2)</f>
        <v>54.108</v>
      </c>
      <c r="O505" s="24" t="s">
        <v>25</v>
      </c>
      <c r="P505" s="4" t="s">
        <v>25</v>
      </c>
      <c r="Q505" s="16"/>
    </row>
    <row r="506" customFormat="false" ht="12.8" hidden="false" customHeight="false" outlineLevel="0" collapsed="false">
      <c r="A506" s="22"/>
      <c r="B506" s="23"/>
      <c r="C506" s="24"/>
      <c r="D506" s="22"/>
      <c r="E506" s="19"/>
      <c r="F506" s="24"/>
      <c r="G506" s="25"/>
      <c r="H506" s="26"/>
      <c r="I506" s="27"/>
      <c r="J506" s="28"/>
      <c r="K506" s="28"/>
      <c r="L506" s="24"/>
      <c r="M506" s="29"/>
      <c r="N506" s="29"/>
      <c r="O506" s="24"/>
      <c r="P506" s="4"/>
      <c r="Q506" s="16"/>
    </row>
    <row r="507" customFormat="false" ht="12.8" hidden="false" customHeight="false" outlineLevel="0" collapsed="false">
      <c r="A507" s="42" t="s">
        <v>460</v>
      </c>
      <c r="B507" s="43"/>
      <c r="C507" s="44"/>
      <c r="D507" s="45"/>
      <c r="E507" s="46"/>
      <c r="F507" s="44"/>
      <c r="G507" s="47"/>
      <c r="H507" s="48"/>
      <c r="I507" s="49"/>
      <c r="J507" s="50"/>
      <c r="K507" s="50"/>
      <c r="L507" s="44"/>
      <c r="M507" s="51"/>
      <c r="N507" s="51"/>
      <c r="O507" s="44"/>
      <c r="P507" s="52"/>
      <c r="Q507" s="53"/>
    </row>
    <row r="508" customFormat="false" ht="12.8" hidden="false" customHeight="false" outlineLevel="0" collapsed="false">
      <c r="A508" s="22"/>
      <c r="B508" s="23"/>
      <c r="C508" s="24"/>
      <c r="D508" s="22"/>
      <c r="E508" s="19"/>
      <c r="F508" s="24"/>
      <c r="G508" s="25"/>
      <c r="H508" s="26"/>
      <c r="I508" s="27"/>
      <c r="J508" s="28"/>
      <c r="K508" s="28"/>
      <c r="L508" s="24"/>
      <c r="M508" s="29"/>
      <c r="N508" s="29"/>
      <c r="O508" s="24"/>
      <c r="P508" s="4"/>
      <c r="Q508" s="16"/>
    </row>
    <row r="509" customFormat="false" ht="12.8" hidden="false" customHeight="false" outlineLevel="0" collapsed="false">
      <c r="A509" s="22"/>
      <c r="B509" s="23" t="n">
        <v>510399000</v>
      </c>
      <c r="C509" s="24" t="n">
        <v>100</v>
      </c>
      <c r="D509" s="54" t="s">
        <v>461</v>
      </c>
      <c r="E509" s="19" t="s">
        <v>462</v>
      </c>
      <c r="F509" s="24" t="s">
        <v>23</v>
      </c>
      <c r="G509" s="25" t="n">
        <v>0.361</v>
      </c>
      <c r="H509" s="26"/>
      <c r="I509" s="27" t="n">
        <v>100</v>
      </c>
      <c r="J509" s="28" t="n">
        <v>30</v>
      </c>
      <c r="K509" s="28" t="n">
        <v>1</v>
      </c>
      <c r="L509" s="24" t="s">
        <v>24</v>
      </c>
      <c r="M509" s="29" t="n">
        <f aca="false">IF("oui" = "oui",12.82*(1-disc),12.82)</f>
        <v>12.82</v>
      </c>
      <c r="N509" s="29" t="n">
        <f aca="false">IF("oui" = "oui",12.82*(1-disc)*1.2,12.82*1.2)</f>
        <v>15.384</v>
      </c>
      <c r="O509" s="24" t="s">
        <v>25</v>
      </c>
      <c r="P509" s="4" t="s">
        <v>25</v>
      </c>
      <c r="Q509" s="16"/>
    </row>
    <row r="510" customFormat="false" ht="12.8" hidden="false" customHeight="false" outlineLevel="0" collapsed="false">
      <c r="A510" s="22"/>
      <c r="B510" s="23" t="n">
        <v>510402000</v>
      </c>
      <c r="C510" s="24" t="n">
        <v>100</v>
      </c>
      <c r="D510" s="54" t="s">
        <v>463</v>
      </c>
      <c r="E510" s="19" t="s">
        <v>462</v>
      </c>
      <c r="F510" s="24" t="s">
        <v>23</v>
      </c>
      <c r="G510" s="25" t="n">
        <v>0.361</v>
      </c>
      <c r="H510" s="26"/>
      <c r="I510" s="27" t="n">
        <v>100</v>
      </c>
      <c r="J510" s="28" t="n">
        <v>30</v>
      </c>
      <c r="K510" s="28" t="n">
        <v>1</v>
      </c>
      <c r="L510" s="24" t="s">
        <v>24</v>
      </c>
      <c r="M510" s="29" t="n">
        <f aca="false">IF("oui" = "oui",12.82*(1-disc),12.82)</f>
        <v>12.82</v>
      </c>
      <c r="N510" s="29" t="n">
        <f aca="false">IF("oui" = "oui",12.82*(1-disc)*1.2,12.82*1.2)</f>
        <v>15.384</v>
      </c>
      <c r="O510" s="24" t="s">
        <v>25</v>
      </c>
      <c r="P510" s="4" t="s">
        <v>25</v>
      </c>
      <c r="Q510" s="16"/>
    </row>
    <row r="511" customFormat="false" ht="12.8" hidden="false" customHeight="false" outlineLevel="0" collapsed="false">
      <c r="A511" s="22"/>
      <c r="B511" s="23" t="n">
        <v>510405000</v>
      </c>
      <c r="C511" s="24" t="n">
        <v>100</v>
      </c>
      <c r="D511" s="54" t="s">
        <v>464</v>
      </c>
      <c r="E511" s="19" t="s">
        <v>462</v>
      </c>
      <c r="F511" s="24" t="s">
        <v>23</v>
      </c>
      <c r="G511" s="25" t="n">
        <v>0.361</v>
      </c>
      <c r="H511" s="26"/>
      <c r="I511" s="27" t="n">
        <v>100</v>
      </c>
      <c r="J511" s="28" t="n">
        <v>30</v>
      </c>
      <c r="K511" s="28" t="n">
        <v>1</v>
      </c>
      <c r="L511" s="24" t="s">
        <v>24</v>
      </c>
      <c r="M511" s="29" t="n">
        <f aca="false">IF("oui" = "oui",12.82*(1-disc),12.82)</f>
        <v>12.82</v>
      </c>
      <c r="N511" s="29" t="n">
        <f aca="false">IF("oui" = "oui",12.82*(1-disc)*1.2,12.82*1.2)</f>
        <v>15.384</v>
      </c>
      <c r="O511" s="24" t="s">
        <v>25</v>
      </c>
      <c r="P511" s="4" t="s">
        <v>25</v>
      </c>
      <c r="Q511" s="16"/>
    </row>
    <row r="512" customFormat="false" ht="12.8" hidden="false" customHeight="false" outlineLevel="0" collapsed="false">
      <c r="A512" s="22"/>
      <c r="B512" s="23" t="n">
        <v>510406000</v>
      </c>
      <c r="C512" s="24" t="n">
        <v>100</v>
      </c>
      <c r="D512" s="54" t="s">
        <v>465</v>
      </c>
      <c r="E512" s="19" t="s">
        <v>462</v>
      </c>
      <c r="F512" s="24" t="s">
        <v>23</v>
      </c>
      <c r="G512" s="25" t="n">
        <v>0.361</v>
      </c>
      <c r="H512" s="26"/>
      <c r="I512" s="27" t="n">
        <v>100</v>
      </c>
      <c r="J512" s="28" t="n">
        <v>30</v>
      </c>
      <c r="K512" s="28" t="n">
        <v>1</v>
      </c>
      <c r="L512" s="24" t="s">
        <v>24</v>
      </c>
      <c r="M512" s="29" t="n">
        <f aca="false">IF("oui" = "oui",12.82*(1-disc),12.82)</f>
        <v>12.82</v>
      </c>
      <c r="N512" s="29" t="n">
        <f aca="false">IF("oui" = "oui",12.82*(1-disc)*1.2,12.82*1.2)</f>
        <v>15.384</v>
      </c>
      <c r="O512" s="24" t="s">
        <v>25</v>
      </c>
      <c r="P512" s="4" t="s">
        <v>25</v>
      </c>
      <c r="Q512" s="16"/>
    </row>
    <row r="513" customFormat="false" ht="12.8" hidden="false" customHeight="false" outlineLevel="0" collapsed="false">
      <c r="A513" s="22"/>
      <c r="B513" s="23" t="n">
        <v>510407000</v>
      </c>
      <c r="C513" s="24" t="n">
        <v>100</v>
      </c>
      <c r="D513" s="54" t="s">
        <v>466</v>
      </c>
      <c r="E513" s="19" t="s">
        <v>462</v>
      </c>
      <c r="F513" s="24" t="s">
        <v>23</v>
      </c>
      <c r="G513" s="25" t="n">
        <v>0.361</v>
      </c>
      <c r="H513" s="26"/>
      <c r="I513" s="27" t="n">
        <v>100</v>
      </c>
      <c r="J513" s="28" t="n">
        <v>30</v>
      </c>
      <c r="K513" s="28" t="n">
        <v>1</v>
      </c>
      <c r="L513" s="24" t="s">
        <v>24</v>
      </c>
      <c r="M513" s="29" t="n">
        <f aca="false">IF("oui" = "oui",12.82*(1-disc),12.82)</f>
        <v>12.82</v>
      </c>
      <c r="N513" s="29" t="n">
        <f aca="false">IF("oui" = "oui",12.82*(1-disc)*1.2,12.82*1.2)</f>
        <v>15.384</v>
      </c>
      <c r="O513" s="24" t="s">
        <v>25</v>
      </c>
      <c r="P513" s="55" t="s">
        <v>467</v>
      </c>
      <c r="Q513" s="16"/>
    </row>
    <row r="514" customFormat="false" ht="12.8" hidden="false" customHeight="false" outlineLevel="0" collapsed="false">
      <c r="A514" s="22"/>
      <c r="B514" s="23" t="n">
        <v>510400000</v>
      </c>
      <c r="C514" s="24" t="n">
        <v>100</v>
      </c>
      <c r="D514" s="54" t="s">
        <v>468</v>
      </c>
      <c r="E514" s="19" t="s">
        <v>469</v>
      </c>
      <c r="F514" s="24" t="s">
        <v>23</v>
      </c>
      <c r="G514" s="25" t="n">
        <v>0.355</v>
      </c>
      <c r="H514" s="26"/>
      <c r="I514" s="27" t="n">
        <v>100</v>
      </c>
      <c r="J514" s="28" t="n">
        <v>30</v>
      </c>
      <c r="K514" s="28" t="n">
        <v>1</v>
      </c>
      <c r="L514" s="24" t="s">
        <v>24</v>
      </c>
      <c r="M514" s="29" t="n">
        <f aca="false">IF("oui" = "oui",12.82*(1-disc),12.82)</f>
        <v>12.82</v>
      </c>
      <c r="N514" s="29" t="n">
        <f aca="false">IF("oui" = "oui",12.82*(1-disc)*1.2,12.82*1.2)</f>
        <v>15.384</v>
      </c>
      <c r="O514" s="24" t="s">
        <v>25</v>
      </c>
      <c r="P514" s="7" t="s">
        <v>26</v>
      </c>
      <c r="Q514" s="16"/>
    </row>
    <row r="515" customFormat="false" ht="12.8" hidden="false" customHeight="false" outlineLevel="0" collapsed="false">
      <c r="A515" s="22"/>
      <c r="B515" s="23" t="n">
        <v>510401000</v>
      </c>
      <c r="C515" s="24" t="n">
        <v>100</v>
      </c>
      <c r="D515" s="54" t="s">
        <v>470</v>
      </c>
      <c r="E515" s="19" t="s">
        <v>469</v>
      </c>
      <c r="F515" s="24" t="s">
        <v>23</v>
      </c>
      <c r="G515" s="25" t="n">
        <v>0.37</v>
      </c>
      <c r="H515" s="26"/>
      <c r="I515" s="27" t="n">
        <v>100</v>
      </c>
      <c r="J515" s="28" t="n">
        <v>30</v>
      </c>
      <c r="K515" s="28" t="n">
        <v>1</v>
      </c>
      <c r="L515" s="24" t="s">
        <v>24</v>
      </c>
      <c r="M515" s="29" t="n">
        <f aca="false">IF("oui" = "oui",12.82*(1-disc),12.82)</f>
        <v>12.82</v>
      </c>
      <c r="N515" s="29" t="n">
        <f aca="false">IF("oui" = "oui",12.82*(1-disc)*1.2,12.82*1.2)</f>
        <v>15.384</v>
      </c>
      <c r="O515" s="24" t="s">
        <v>25</v>
      </c>
      <c r="P515" s="7" t="s">
        <v>26</v>
      </c>
      <c r="Q515" s="16"/>
    </row>
    <row r="516" customFormat="false" ht="12.8" hidden="false" customHeight="false" outlineLevel="0" collapsed="false">
      <c r="A516" s="22"/>
      <c r="B516" s="23"/>
      <c r="C516" s="24"/>
      <c r="D516" s="22"/>
      <c r="E516" s="19"/>
      <c r="F516" s="24"/>
      <c r="G516" s="25"/>
      <c r="H516" s="26"/>
      <c r="I516" s="27"/>
      <c r="J516" s="28"/>
      <c r="K516" s="28"/>
      <c r="L516" s="24"/>
      <c r="M516" s="29"/>
      <c r="N516" s="29"/>
      <c r="O516" s="24"/>
      <c r="P516" s="4"/>
      <c r="Q516" s="16"/>
    </row>
    <row r="517" customFormat="false" ht="12.8" hidden="false" customHeight="false" outlineLevel="0" collapsed="false">
      <c r="A517" s="42" t="s">
        <v>64</v>
      </c>
      <c r="B517" s="43"/>
      <c r="C517" s="44"/>
      <c r="D517" s="45"/>
      <c r="E517" s="46"/>
      <c r="F517" s="44"/>
      <c r="G517" s="47"/>
      <c r="H517" s="48"/>
      <c r="I517" s="49"/>
      <c r="J517" s="50"/>
      <c r="K517" s="50"/>
      <c r="L517" s="44"/>
      <c r="M517" s="51"/>
      <c r="N517" s="51"/>
      <c r="O517" s="44"/>
      <c r="P517" s="52"/>
      <c r="Q517" s="53"/>
    </row>
    <row r="518" customFormat="false" ht="12.8" hidden="false" customHeight="false" outlineLevel="0" collapsed="false">
      <c r="A518" s="22"/>
      <c r="B518" s="23"/>
      <c r="C518" s="24"/>
      <c r="D518" s="22"/>
      <c r="E518" s="19"/>
      <c r="F518" s="24"/>
      <c r="G518" s="25"/>
      <c r="H518" s="26"/>
      <c r="I518" s="27"/>
      <c r="J518" s="28"/>
      <c r="K518" s="28"/>
      <c r="L518" s="24"/>
      <c r="M518" s="29"/>
      <c r="N518" s="29"/>
      <c r="O518" s="24"/>
      <c r="P518" s="4"/>
      <c r="Q518" s="16"/>
    </row>
    <row r="519" customFormat="false" ht="12.8" hidden="false" customHeight="false" outlineLevel="0" collapsed="false">
      <c r="A519" s="22"/>
      <c r="B519" s="23" t="n">
        <v>602100002</v>
      </c>
      <c r="C519" s="24" t="n">
        <v>100</v>
      </c>
      <c r="D519" s="54" t="s">
        <v>471</v>
      </c>
      <c r="E519" s="19" t="s">
        <v>472</v>
      </c>
      <c r="F519" s="24" t="s">
        <v>23</v>
      </c>
      <c r="G519" s="25" t="n">
        <v>0.225</v>
      </c>
      <c r="H519" s="26"/>
      <c r="I519" s="27" t="n">
        <v>100</v>
      </c>
      <c r="J519" s="28" t="n">
        <v>30</v>
      </c>
      <c r="K519" s="28" t="n">
        <v>1</v>
      </c>
      <c r="L519" s="24" t="s">
        <v>24</v>
      </c>
      <c r="M519" s="57" t="n">
        <f aca="false">IF("non" = "oui",13.33*(1-disc),13.33)</f>
        <v>13.33</v>
      </c>
      <c r="N519" s="57" t="n">
        <f aca="false">IF("non" = "oui",13.33*(1-disc)*1.2,13.33*1.2)</f>
        <v>15.996</v>
      </c>
      <c r="O519" s="58" t="s">
        <v>26</v>
      </c>
      <c r="P519" s="4" t="s">
        <v>25</v>
      </c>
      <c r="Q519" s="16"/>
    </row>
    <row r="520" customFormat="false" ht="12.8" hidden="false" customHeight="false" outlineLevel="0" collapsed="false">
      <c r="A520" s="22"/>
      <c r="B520" s="23"/>
      <c r="C520" s="24"/>
      <c r="D520" s="22"/>
      <c r="E520" s="19"/>
      <c r="F520" s="24"/>
      <c r="G520" s="25"/>
      <c r="H520" s="26"/>
      <c r="I520" s="27"/>
      <c r="J520" s="28"/>
      <c r="K520" s="28"/>
      <c r="L520" s="24"/>
      <c r="M520" s="29"/>
      <c r="N520" s="29"/>
      <c r="O520" s="24"/>
      <c r="P520" s="4"/>
      <c r="Q520" s="16"/>
    </row>
    <row r="521" customFormat="false" ht="12.8" hidden="false" customHeight="false" outlineLevel="0" collapsed="false">
      <c r="A521" s="22"/>
      <c r="B521" s="23" t="n">
        <v>602100001</v>
      </c>
      <c r="C521" s="24" t="n">
        <v>100</v>
      </c>
      <c r="D521" s="54" t="s">
        <v>473</v>
      </c>
      <c r="E521" s="19" t="s">
        <v>472</v>
      </c>
      <c r="F521" s="24" t="s">
        <v>23</v>
      </c>
      <c r="G521" s="25" t="n">
        <v>0.225</v>
      </c>
      <c r="H521" s="26"/>
      <c r="I521" s="27" t="n">
        <v>100</v>
      </c>
      <c r="J521" s="28" t="n">
        <v>30</v>
      </c>
      <c r="K521" s="28" t="n">
        <v>1</v>
      </c>
      <c r="L521" s="24" t="s">
        <v>24</v>
      </c>
      <c r="M521" s="57" t="n">
        <f aca="false">IF("non" = "oui",16.4*(1-disc),16.4)</f>
        <v>16.4</v>
      </c>
      <c r="N521" s="57" t="n">
        <f aca="false">IF("non" = "oui",16.4*(1-disc)*1.2,16.4*1.2)</f>
        <v>19.68</v>
      </c>
      <c r="O521" s="58" t="s">
        <v>26</v>
      </c>
      <c r="P521" s="4" t="s">
        <v>25</v>
      </c>
      <c r="Q521" s="16"/>
    </row>
    <row r="522" customFormat="false" ht="12.8" hidden="false" customHeight="false" outlineLevel="0" collapsed="false">
      <c r="A522" s="22"/>
      <c r="B522" s="23"/>
      <c r="C522" s="24"/>
      <c r="D522" s="22"/>
      <c r="E522" s="19"/>
      <c r="F522" s="24"/>
      <c r="G522" s="25"/>
      <c r="H522" s="26"/>
      <c r="I522" s="27"/>
      <c r="J522" s="28"/>
      <c r="K522" s="28"/>
      <c r="L522" s="24"/>
      <c r="M522" s="29"/>
      <c r="N522" s="29"/>
      <c r="O522" s="24"/>
      <c r="P522" s="4"/>
      <c r="Q522" s="16"/>
    </row>
    <row r="523" customFormat="false" ht="12.8" hidden="false" customHeight="false" outlineLevel="0" collapsed="false">
      <c r="A523" s="22"/>
      <c r="B523" s="23" t="n">
        <v>401001000</v>
      </c>
      <c r="C523" s="24" t="n">
        <v>100</v>
      </c>
      <c r="D523" s="54" t="s">
        <v>474</v>
      </c>
      <c r="E523" s="19" t="s">
        <v>475</v>
      </c>
      <c r="F523" s="24" t="s">
        <v>23</v>
      </c>
      <c r="G523" s="25" t="n">
        <v>0.241</v>
      </c>
      <c r="H523" s="26"/>
      <c r="I523" s="27" t="n">
        <v>100</v>
      </c>
      <c r="J523" s="28" t="n">
        <v>30</v>
      </c>
      <c r="K523" s="28" t="n">
        <v>1</v>
      </c>
      <c r="L523" s="24" t="s">
        <v>24</v>
      </c>
      <c r="M523" s="57" t="n">
        <f aca="false">IF("non" = "oui",24.45*(1-disc),24.45)</f>
        <v>24.45</v>
      </c>
      <c r="N523" s="57" t="n">
        <f aca="false">IF("non" = "oui",24.45*(1-disc)*1.2,24.45*1.2)</f>
        <v>29.34</v>
      </c>
      <c r="O523" s="58" t="s">
        <v>26</v>
      </c>
      <c r="P523" s="55" t="s">
        <v>45</v>
      </c>
      <c r="Q523" s="16"/>
    </row>
    <row r="524" customFormat="false" ht="12.8" hidden="false" customHeight="false" outlineLevel="0" collapsed="false">
      <c r="A524" s="22"/>
      <c r="B524" s="23"/>
      <c r="C524" s="24"/>
      <c r="D524" s="22"/>
      <c r="E524" s="19"/>
      <c r="F524" s="24"/>
      <c r="G524" s="25"/>
      <c r="H524" s="26"/>
      <c r="I524" s="27"/>
      <c r="J524" s="28"/>
      <c r="K524" s="28"/>
      <c r="L524" s="24"/>
      <c r="M524" s="29"/>
      <c r="N524" s="29"/>
      <c r="O524" s="24"/>
      <c r="P524" s="4"/>
      <c r="Q524" s="16"/>
    </row>
    <row r="525" customFormat="false" ht="12.8" hidden="false" customHeight="false" outlineLevel="0" collapsed="false">
      <c r="A525" s="22"/>
      <c r="B525" s="56" t="n">
        <v>602100003</v>
      </c>
      <c r="C525" s="24" t="n">
        <v>100</v>
      </c>
      <c r="D525" s="54" t="s">
        <v>476</v>
      </c>
      <c r="E525" s="19" t="s">
        <v>477</v>
      </c>
      <c r="F525" s="24" t="s">
        <v>23</v>
      </c>
      <c r="G525" s="25" t="n">
        <v>0.447</v>
      </c>
      <c r="H525" s="26"/>
      <c r="I525" s="27" t="n">
        <v>100</v>
      </c>
      <c r="J525" s="28" t="n">
        <v>30</v>
      </c>
      <c r="K525" s="28" t="n">
        <v>1</v>
      </c>
      <c r="L525" s="24" t="s">
        <v>24</v>
      </c>
      <c r="M525" s="57" t="n">
        <f aca="false">IF("non" = "oui",16.4*(1-disc),16.4)</f>
        <v>16.4</v>
      </c>
      <c r="N525" s="57" t="n">
        <f aca="false">IF("non" = "oui",16.4*(1-disc)*1.2,16.4*1.2)</f>
        <v>19.68</v>
      </c>
      <c r="O525" s="58" t="s">
        <v>26</v>
      </c>
      <c r="P525" s="4" t="s">
        <v>25</v>
      </c>
      <c r="Q525" s="16"/>
    </row>
    <row r="526" customFormat="false" ht="12.8" hidden="false" customHeight="false" outlineLevel="0" collapsed="false">
      <c r="A526" s="22"/>
      <c r="B526" s="56" t="n">
        <v>602100004</v>
      </c>
      <c r="C526" s="24" t="n">
        <v>100</v>
      </c>
      <c r="D526" s="22" t="s">
        <v>478</v>
      </c>
      <c r="E526" s="19" t="s">
        <v>477</v>
      </c>
      <c r="F526" s="24" t="s">
        <v>23</v>
      </c>
      <c r="G526" s="25" t="n">
        <v>0.447</v>
      </c>
      <c r="H526" s="26"/>
      <c r="I526" s="27" t="n">
        <v>100</v>
      </c>
      <c r="J526" s="28" t="n">
        <v>30</v>
      </c>
      <c r="K526" s="28" t="n">
        <v>1</v>
      </c>
      <c r="L526" s="24" t="s">
        <v>24</v>
      </c>
      <c r="M526" s="57" t="n">
        <f aca="false">IF("non" = "oui",16.4*(1-disc),16.4)</f>
        <v>16.4</v>
      </c>
      <c r="N526" s="57" t="n">
        <f aca="false">IF("non" = "oui",16.4*(1-disc)*1.2,16.4*1.2)</f>
        <v>19.68</v>
      </c>
      <c r="O526" s="58" t="s">
        <v>26</v>
      </c>
      <c r="P526" s="4" t="s">
        <v>25</v>
      </c>
      <c r="Q526" s="16"/>
    </row>
    <row r="527" customFormat="false" ht="12.8" hidden="false" customHeight="false" outlineLevel="0" collapsed="false">
      <c r="A527" s="22"/>
      <c r="B527" s="23" t="n">
        <v>602100005</v>
      </c>
      <c r="C527" s="24" t="n">
        <v>100</v>
      </c>
      <c r="D527" s="54" t="s">
        <v>479</v>
      </c>
      <c r="E527" s="19" t="s">
        <v>477</v>
      </c>
      <c r="F527" s="24" t="s">
        <v>23</v>
      </c>
      <c r="G527" s="25" t="n">
        <v>0.447</v>
      </c>
      <c r="H527" s="26"/>
      <c r="I527" s="27" t="n">
        <v>100</v>
      </c>
      <c r="J527" s="28" t="n">
        <v>30</v>
      </c>
      <c r="K527" s="28" t="n">
        <v>1</v>
      </c>
      <c r="L527" s="24" t="s">
        <v>24</v>
      </c>
      <c r="M527" s="57" t="n">
        <f aca="false">IF("non" = "oui",16.4*(1-disc),16.4)</f>
        <v>16.4</v>
      </c>
      <c r="N527" s="57" t="n">
        <f aca="false">IF("non" = "oui",16.4*(1-disc)*1.2,16.4*1.2)</f>
        <v>19.68</v>
      </c>
      <c r="O527" s="58" t="s">
        <v>26</v>
      </c>
      <c r="P527" s="4" t="s">
        <v>25</v>
      </c>
      <c r="Q527" s="16"/>
    </row>
    <row r="528" customFormat="false" ht="12.8" hidden="false" customHeight="false" outlineLevel="0" collapsed="false">
      <c r="A528" s="22"/>
      <c r="B528" s="23" t="n">
        <v>602100006</v>
      </c>
      <c r="C528" s="24" t="n">
        <v>100</v>
      </c>
      <c r="D528" s="54" t="s">
        <v>480</v>
      </c>
      <c r="E528" s="19" t="s">
        <v>477</v>
      </c>
      <c r="F528" s="24" t="s">
        <v>23</v>
      </c>
      <c r="G528" s="25" t="n">
        <v>0.447</v>
      </c>
      <c r="H528" s="26"/>
      <c r="I528" s="27" t="n">
        <v>100</v>
      </c>
      <c r="J528" s="28" t="n">
        <v>30</v>
      </c>
      <c r="K528" s="28" t="n">
        <v>1</v>
      </c>
      <c r="L528" s="24" t="s">
        <v>24</v>
      </c>
      <c r="M528" s="57" t="n">
        <f aca="false">IF("non" = "oui",16.4*(1-disc),16.4)</f>
        <v>16.4</v>
      </c>
      <c r="N528" s="57" t="n">
        <f aca="false">IF("non" = "oui",16.4*(1-disc)*1.2,16.4*1.2)</f>
        <v>19.68</v>
      </c>
      <c r="O528" s="58" t="s">
        <v>26</v>
      </c>
      <c r="P528" s="4" t="s">
        <v>25</v>
      </c>
      <c r="Q528" s="16"/>
    </row>
    <row r="529" customFormat="false" ht="12.8" hidden="false" customHeight="false" outlineLevel="0" collapsed="false">
      <c r="A529" s="22"/>
      <c r="B529" s="23" t="n">
        <v>602100007</v>
      </c>
      <c r="C529" s="24" t="n">
        <v>100</v>
      </c>
      <c r="D529" s="54" t="s">
        <v>481</v>
      </c>
      <c r="E529" s="19" t="s">
        <v>477</v>
      </c>
      <c r="F529" s="24" t="s">
        <v>23</v>
      </c>
      <c r="G529" s="25" t="n">
        <v>0.447</v>
      </c>
      <c r="H529" s="26"/>
      <c r="I529" s="27" t="n">
        <v>100</v>
      </c>
      <c r="J529" s="28" t="n">
        <v>30</v>
      </c>
      <c r="K529" s="28" t="n">
        <v>1</v>
      </c>
      <c r="L529" s="24" t="s">
        <v>24</v>
      </c>
      <c r="M529" s="57" t="n">
        <f aca="false">IF("non" = "oui",16.4*(1-disc),16.4)</f>
        <v>16.4</v>
      </c>
      <c r="N529" s="57" t="n">
        <f aca="false">IF("non" = "oui",16.4*(1-disc)*1.2,16.4*1.2)</f>
        <v>19.68</v>
      </c>
      <c r="O529" s="58" t="s">
        <v>26</v>
      </c>
      <c r="P529" s="4" t="s">
        <v>25</v>
      </c>
      <c r="Q529" s="16"/>
    </row>
    <row r="530" customFormat="false" ht="12.8" hidden="false" customHeight="false" outlineLevel="0" collapsed="false">
      <c r="A530" s="22"/>
      <c r="B530" s="23" t="n">
        <v>602100008</v>
      </c>
      <c r="C530" s="24" t="n">
        <v>100</v>
      </c>
      <c r="D530" s="54" t="s">
        <v>482</v>
      </c>
      <c r="E530" s="19" t="s">
        <v>477</v>
      </c>
      <c r="F530" s="24" t="s">
        <v>23</v>
      </c>
      <c r="G530" s="25" t="n">
        <v>0.447</v>
      </c>
      <c r="H530" s="26"/>
      <c r="I530" s="27" t="n">
        <v>100</v>
      </c>
      <c r="J530" s="28" t="n">
        <v>30</v>
      </c>
      <c r="K530" s="28" t="n">
        <v>1</v>
      </c>
      <c r="L530" s="24" t="s">
        <v>24</v>
      </c>
      <c r="M530" s="57" t="n">
        <f aca="false">IF("non" = "oui",16.4*(1-disc),16.4)</f>
        <v>16.4</v>
      </c>
      <c r="N530" s="57" t="n">
        <f aca="false">IF("non" = "oui",16.4*(1-disc)*1.2,16.4*1.2)</f>
        <v>19.68</v>
      </c>
      <c r="O530" s="58" t="s">
        <v>26</v>
      </c>
      <c r="P530" s="4" t="s">
        <v>25</v>
      </c>
      <c r="Q530" s="16"/>
    </row>
    <row r="531" customFormat="false" ht="12.8" hidden="false" customHeight="false" outlineLevel="0" collapsed="false">
      <c r="A531" s="22"/>
      <c r="B531" s="23" t="n">
        <v>602100009</v>
      </c>
      <c r="C531" s="24" t="n">
        <v>100</v>
      </c>
      <c r="D531" s="54" t="s">
        <v>483</v>
      </c>
      <c r="E531" s="19" t="s">
        <v>477</v>
      </c>
      <c r="F531" s="24" t="s">
        <v>23</v>
      </c>
      <c r="G531" s="25" t="n">
        <v>0.447</v>
      </c>
      <c r="H531" s="26"/>
      <c r="I531" s="27" t="n">
        <v>100</v>
      </c>
      <c r="J531" s="28" t="n">
        <v>30</v>
      </c>
      <c r="K531" s="28" t="n">
        <v>1</v>
      </c>
      <c r="L531" s="24" t="s">
        <v>24</v>
      </c>
      <c r="M531" s="57" t="n">
        <f aca="false">IF("non" = "oui",16.4*(1-disc),16.4)</f>
        <v>16.4</v>
      </c>
      <c r="N531" s="57" t="n">
        <f aca="false">IF("non" = "oui",16.4*(1-disc)*1.2,16.4*1.2)</f>
        <v>19.68</v>
      </c>
      <c r="O531" s="58" t="s">
        <v>26</v>
      </c>
      <c r="P531" s="4" t="s">
        <v>25</v>
      </c>
      <c r="Q531" s="16"/>
    </row>
    <row r="532" customFormat="false" ht="12.8" hidden="false" customHeight="false" outlineLevel="0" collapsed="false">
      <c r="A532" s="22"/>
      <c r="B532" s="23" t="n">
        <v>602100010</v>
      </c>
      <c r="C532" s="24" t="n">
        <v>100</v>
      </c>
      <c r="D532" s="54" t="s">
        <v>484</v>
      </c>
      <c r="E532" s="19" t="s">
        <v>477</v>
      </c>
      <c r="F532" s="24" t="s">
        <v>23</v>
      </c>
      <c r="G532" s="25" t="n">
        <v>0.447</v>
      </c>
      <c r="H532" s="26"/>
      <c r="I532" s="27" t="n">
        <v>100</v>
      </c>
      <c r="J532" s="28" t="n">
        <v>30</v>
      </c>
      <c r="K532" s="28" t="n">
        <v>1</v>
      </c>
      <c r="L532" s="24" t="s">
        <v>24</v>
      </c>
      <c r="M532" s="57" t="n">
        <f aca="false">IF("non" = "oui",16.4*(1-disc),16.4)</f>
        <v>16.4</v>
      </c>
      <c r="N532" s="57" t="n">
        <f aca="false">IF("non" = "oui",16.4*(1-disc)*1.2,16.4*1.2)</f>
        <v>19.68</v>
      </c>
      <c r="O532" s="58" t="s">
        <v>26</v>
      </c>
      <c r="P532" s="4" t="s">
        <v>25</v>
      </c>
      <c r="Q532" s="16"/>
    </row>
    <row r="533" customFormat="false" ht="12.8" hidden="false" customHeight="false" outlineLevel="0" collapsed="false">
      <c r="A533" s="22"/>
      <c r="B533" s="23" t="n">
        <v>602100011</v>
      </c>
      <c r="C533" s="24" t="n">
        <v>100</v>
      </c>
      <c r="D533" s="54" t="s">
        <v>485</v>
      </c>
      <c r="E533" s="19" t="s">
        <v>477</v>
      </c>
      <c r="F533" s="24" t="s">
        <v>23</v>
      </c>
      <c r="G533" s="25" t="n">
        <v>0.447</v>
      </c>
      <c r="H533" s="26"/>
      <c r="I533" s="27" t="n">
        <v>100</v>
      </c>
      <c r="J533" s="28" t="n">
        <v>30</v>
      </c>
      <c r="K533" s="28" t="n">
        <v>1</v>
      </c>
      <c r="L533" s="24" t="s">
        <v>24</v>
      </c>
      <c r="M533" s="57" t="n">
        <f aca="false">IF("non" = "oui",16.4*(1-disc),16.4)</f>
        <v>16.4</v>
      </c>
      <c r="N533" s="57" t="n">
        <f aca="false">IF("non" = "oui",16.4*(1-disc)*1.2,16.4*1.2)</f>
        <v>19.68</v>
      </c>
      <c r="O533" s="58" t="s">
        <v>26</v>
      </c>
      <c r="P533" s="55" t="s">
        <v>486</v>
      </c>
      <c r="Q533" s="16"/>
    </row>
    <row r="534" customFormat="false" ht="12.8" hidden="false" customHeight="false" outlineLevel="0" collapsed="false">
      <c r="A534" s="22"/>
      <c r="B534" s="23" t="n">
        <v>602100012</v>
      </c>
      <c r="C534" s="24" t="n">
        <v>100</v>
      </c>
      <c r="D534" s="22" t="s">
        <v>487</v>
      </c>
      <c r="E534" s="19" t="s">
        <v>477</v>
      </c>
      <c r="F534" s="24" t="s">
        <v>23</v>
      </c>
      <c r="G534" s="25" t="n">
        <v>0.447</v>
      </c>
      <c r="H534" s="26"/>
      <c r="I534" s="27" t="n">
        <v>100</v>
      </c>
      <c r="J534" s="28" t="n">
        <v>30</v>
      </c>
      <c r="K534" s="28" t="n">
        <v>1</v>
      </c>
      <c r="L534" s="24" t="s">
        <v>24</v>
      </c>
      <c r="M534" s="57" t="n">
        <f aca="false">IF("non" = "oui",16.4*(1-disc),16.4)</f>
        <v>16.4</v>
      </c>
      <c r="N534" s="57" t="n">
        <f aca="false">IF("non" = "oui",16.4*(1-disc)*1.2,16.4*1.2)</f>
        <v>19.68</v>
      </c>
      <c r="O534" s="58" t="s">
        <v>26</v>
      </c>
      <c r="P534" s="4" t="s">
        <v>25</v>
      </c>
      <c r="Q534" s="16"/>
    </row>
    <row r="535" customFormat="false" ht="12.8" hidden="false" customHeight="false" outlineLevel="0" collapsed="false">
      <c r="A535" s="22"/>
      <c r="B535" s="23"/>
      <c r="C535" s="24"/>
      <c r="D535" s="22"/>
      <c r="E535" s="19"/>
      <c r="F535" s="24"/>
      <c r="G535" s="25"/>
      <c r="H535" s="26"/>
      <c r="I535" s="27"/>
      <c r="J535" s="28"/>
      <c r="K535" s="28"/>
      <c r="L535" s="24"/>
      <c r="M535" s="29"/>
      <c r="N535" s="29"/>
      <c r="O535" s="24"/>
      <c r="P535" s="4"/>
      <c r="Q535" s="16"/>
    </row>
    <row r="536" customFormat="false" ht="12.8" hidden="false" customHeight="false" outlineLevel="0" collapsed="false">
      <c r="A536" s="22"/>
      <c r="B536" s="23" t="n">
        <v>602100013</v>
      </c>
      <c r="C536" s="24" t="n">
        <v>100</v>
      </c>
      <c r="D536" s="22" t="s">
        <v>488</v>
      </c>
      <c r="E536" s="19" t="s">
        <v>477</v>
      </c>
      <c r="F536" s="24" t="s">
        <v>23</v>
      </c>
      <c r="G536" s="25" t="n">
        <v>2.235</v>
      </c>
      <c r="H536" s="26"/>
      <c r="I536" s="27" t="n">
        <v>100</v>
      </c>
      <c r="J536" s="28" t="n">
        <v>6</v>
      </c>
      <c r="K536" s="28" t="n">
        <v>5</v>
      </c>
      <c r="L536" s="24" t="s">
        <v>24</v>
      </c>
      <c r="M536" s="57" t="n">
        <f aca="false">IF("non" = "oui",86.92*(1-disc),86.92)</f>
        <v>86.92</v>
      </c>
      <c r="N536" s="57" t="n">
        <f aca="false">IF("non" = "oui",86.92*(1-disc)*1.2,86.92*1.2)</f>
        <v>104.304</v>
      </c>
      <c r="O536" s="58" t="s">
        <v>26</v>
      </c>
      <c r="P536" s="4" t="s">
        <v>25</v>
      </c>
      <c r="Q536" s="16"/>
    </row>
    <row r="537" customFormat="false" ht="12.8" hidden="false" customHeight="false" outlineLevel="0" collapsed="false">
      <c r="A537" s="22"/>
      <c r="B537" s="23"/>
      <c r="C537" s="24"/>
      <c r="D537" s="22"/>
      <c r="E537" s="19"/>
      <c r="F537" s="24"/>
      <c r="G537" s="25"/>
      <c r="H537" s="26"/>
      <c r="I537" s="27"/>
      <c r="J537" s="28"/>
      <c r="K537" s="28"/>
      <c r="L537" s="24"/>
      <c r="M537" s="29"/>
      <c r="N537" s="29"/>
      <c r="O537" s="24"/>
      <c r="P537" s="4"/>
      <c r="Q537" s="16"/>
    </row>
    <row r="538" customFormat="false" ht="12.8" hidden="false" customHeight="false" outlineLevel="0" collapsed="false">
      <c r="A538" s="42" t="s">
        <v>489</v>
      </c>
      <c r="B538" s="43"/>
      <c r="C538" s="44"/>
      <c r="D538" s="45"/>
      <c r="E538" s="46"/>
      <c r="F538" s="44"/>
      <c r="G538" s="47"/>
      <c r="H538" s="48"/>
      <c r="I538" s="49"/>
      <c r="J538" s="50"/>
      <c r="K538" s="50"/>
      <c r="L538" s="44"/>
      <c r="M538" s="51"/>
      <c r="N538" s="51"/>
      <c r="O538" s="44"/>
      <c r="P538" s="52"/>
      <c r="Q538" s="53"/>
    </row>
    <row r="539" customFormat="false" ht="12.8" hidden="false" customHeight="false" outlineLevel="0" collapsed="false">
      <c r="A539" s="22"/>
      <c r="B539" s="23"/>
      <c r="C539" s="24"/>
      <c r="D539" s="22"/>
      <c r="E539" s="19"/>
      <c r="F539" s="24"/>
      <c r="G539" s="25"/>
      <c r="H539" s="26"/>
      <c r="I539" s="27"/>
      <c r="J539" s="28"/>
      <c r="K539" s="28"/>
      <c r="L539" s="24"/>
      <c r="M539" s="29"/>
      <c r="N539" s="29"/>
      <c r="O539" s="24"/>
      <c r="P539" s="4"/>
      <c r="Q539" s="16"/>
    </row>
    <row r="540" customFormat="false" ht="12.8" hidden="false" customHeight="false" outlineLevel="0" collapsed="false">
      <c r="A540" s="22"/>
      <c r="B540" s="23" t="n">
        <v>100016000</v>
      </c>
      <c r="C540" s="24" t="n">
        <v>100</v>
      </c>
      <c r="D540" s="54" t="s">
        <v>490</v>
      </c>
      <c r="E540" s="19" t="s">
        <v>491</v>
      </c>
      <c r="F540" s="24" t="s">
        <v>23</v>
      </c>
      <c r="G540" s="25" t="n">
        <v>0.314</v>
      </c>
      <c r="H540" s="26"/>
      <c r="I540" s="27" t="n">
        <v>100</v>
      </c>
      <c r="J540" s="28" t="n">
        <v>16</v>
      </c>
      <c r="K540" s="28" t="n">
        <v>1</v>
      </c>
      <c r="L540" s="24" t="s">
        <v>24</v>
      </c>
      <c r="M540" s="57" t="n">
        <f aca="false">IF("non" = "oui",14.12*(1-disc),14.12)</f>
        <v>14.12</v>
      </c>
      <c r="N540" s="57" t="n">
        <f aca="false">IF("non" = "oui",14.12*(1-disc)*1.2,14.12*1.2)</f>
        <v>16.944</v>
      </c>
      <c r="O540" s="58" t="s">
        <v>26</v>
      </c>
      <c r="P540" s="4" t="s">
        <v>25</v>
      </c>
      <c r="Q540" s="16"/>
    </row>
    <row r="541" customFormat="false" ht="12.8" hidden="false" customHeight="false" outlineLevel="0" collapsed="false">
      <c r="A541" s="22"/>
      <c r="B541" s="23"/>
      <c r="C541" s="24"/>
      <c r="D541" s="22"/>
      <c r="E541" s="19"/>
      <c r="F541" s="24"/>
      <c r="G541" s="25"/>
      <c r="H541" s="26"/>
      <c r="I541" s="27"/>
      <c r="J541" s="28"/>
      <c r="K541" s="28"/>
      <c r="L541" s="24"/>
      <c r="M541" s="29"/>
      <c r="N541" s="29"/>
      <c r="O541" s="24"/>
      <c r="P541" s="4"/>
      <c r="Q541" s="16"/>
    </row>
    <row r="542" customFormat="false" ht="12.8" hidden="false" customHeight="false" outlineLevel="0" collapsed="false">
      <c r="A542" s="30" t="s">
        <v>492</v>
      </c>
      <c r="B542" s="31"/>
      <c r="C542" s="32"/>
      <c r="D542" s="33"/>
      <c r="E542" s="34"/>
      <c r="F542" s="32"/>
      <c r="G542" s="35"/>
      <c r="H542" s="36"/>
      <c r="I542" s="37"/>
      <c r="J542" s="38"/>
      <c r="K542" s="38"/>
      <c r="L542" s="32"/>
      <c r="M542" s="39"/>
      <c r="N542" s="39"/>
      <c r="O542" s="32"/>
      <c r="P542" s="40"/>
      <c r="Q542" s="41"/>
    </row>
    <row r="543" customFormat="false" ht="12.8" hidden="false" customHeight="false" outlineLevel="0" collapsed="false">
      <c r="A543" s="22"/>
      <c r="B543" s="23"/>
      <c r="C543" s="24"/>
      <c r="D543" s="22"/>
      <c r="E543" s="19"/>
      <c r="F543" s="24"/>
      <c r="G543" s="25"/>
      <c r="H543" s="26"/>
      <c r="I543" s="27"/>
      <c r="J543" s="28"/>
      <c r="K543" s="28"/>
      <c r="L543" s="24"/>
      <c r="M543" s="29"/>
      <c r="N543" s="29"/>
      <c r="O543" s="24"/>
      <c r="P543" s="4"/>
      <c r="Q543" s="16"/>
    </row>
    <row r="544" customFormat="false" ht="12.8" hidden="false" customHeight="false" outlineLevel="0" collapsed="false">
      <c r="A544" s="42" t="s">
        <v>94</v>
      </c>
      <c r="B544" s="43"/>
      <c r="C544" s="44"/>
      <c r="D544" s="45"/>
      <c r="E544" s="46"/>
      <c r="F544" s="44"/>
      <c r="G544" s="47"/>
      <c r="H544" s="48"/>
      <c r="I544" s="49"/>
      <c r="J544" s="50"/>
      <c r="K544" s="50"/>
      <c r="L544" s="44"/>
      <c r="M544" s="51"/>
      <c r="N544" s="51"/>
      <c r="O544" s="44"/>
      <c r="P544" s="52"/>
      <c r="Q544" s="53"/>
    </row>
    <row r="545" customFormat="false" ht="12.8" hidden="false" customHeight="false" outlineLevel="0" collapsed="false">
      <c r="A545" s="22"/>
      <c r="B545" s="23"/>
      <c r="C545" s="24"/>
      <c r="D545" s="22"/>
      <c r="E545" s="19"/>
      <c r="F545" s="24"/>
      <c r="G545" s="25"/>
      <c r="H545" s="26"/>
      <c r="I545" s="27"/>
      <c r="J545" s="28"/>
      <c r="K545" s="28"/>
      <c r="L545" s="24"/>
      <c r="M545" s="29"/>
      <c r="N545" s="29"/>
      <c r="O545" s="24"/>
      <c r="P545" s="4"/>
      <c r="Q545" s="16"/>
    </row>
    <row r="546" customFormat="false" ht="12.8" hidden="false" customHeight="false" outlineLevel="0" collapsed="false">
      <c r="A546" s="22"/>
      <c r="B546" s="23" t="n">
        <v>512012000</v>
      </c>
      <c r="C546" s="24" t="n">
        <v>125</v>
      </c>
      <c r="D546" s="54" t="s">
        <v>493</v>
      </c>
      <c r="E546" s="19" t="s">
        <v>494</v>
      </c>
      <c r="F546" s="24" t="s">
        <v>23</v>
      </c>
      <c r="G546" s="25" t="n">
        <v>0.614</v>
      </c>
      <c r="H546" s="26"/>
      <c r="I546" s="27" t="n">
        <v>125</v>
      </c>
      <c r="J546" s="28" t="n">
        <v>24</v>
      </c>
      <c r="K546" s="28" t="n">
        <v>1</v>
      </c>
      <c r="L546" s="24" t="s">
        <v>24</v>
      </c>
      <c r="M546" s="29" t="n">
        <f aca="false">IF("oui" = "oui",13.8*(1-disc),13.8)</f>
        <v>13.8</v>
      </c>
      <c r="N546" s="29" t="n">
        <f aca="false">IF("oui" = "oui",13.8*(1-disc)*1.2,13.8*1.2)</f>
        <v>16.56</v>
      </c>
      <c r="O546" s="24" t="s">
        <v>25</v>
      </c>
      <c r="P546" s="4" t="s">
        <v>25</v>
      </c>
      <c r="Q546" s="16"/>
    </row>
    <row r="547" customFormat="false" ht="12.8" hidden="false" customHeight="false" outlineLevel="0" collapsed="false">
      <c r="A547" s="22"/>
      <c r="B547" s="23" t="n">
        <v>512010000</v>
      </c>
      <c r="C547" s="24" t="n">
        <v>125</v>
      </c>
      <c r="D547" s="54" t="s">
        <v>495</v>
      </c>
      <c r="E547" s="19" t="s">
        <v>496</v>
      </c>
      <c r="F547" s="24" t="s">
        <v>23</v>
      </c>
      <c r="G547" s="25" t="n">
        <v>0.614</v>
      </c>
      <c r="H547" s="26"/>
      <c r="I547" s="27" t="n">
        <v>125</v>
      </c>
      <c r="J547" s="28" t="n">
        <v>24</v>
      </c>
      <c r="K547" s="28" t="n">
        <v>1</v>
      </c>
      <c r="L547" s="24" t="s">
        <v>24</v>
      </c>
      <c r="M547" s="29" t="n">
        <f aca="false">IF("oui" = "oui",13.8*(1-disc),13.8)</f>
        <v>13.8</v>
      </c>
      <c r="N547" s="29" t="n">
        <f aca="false">IF("oui" = "oui",13.8*(1-disc)*1.2,13.8*1.2)</f>
        <v>16.56</v>
      </c>
      <c r="O547" s="24" t="s">
        <v>25</v>
      </c>
      <c r="P547" s="4" t="s">
        <v>25</v>
      </c>
      <c r="Q547" s="16"/>
    </row>
    <row r="548" customFormat="false" ht="12.8" hidden="false" customHeight="false" outlineLevel="0" collapsed="false">
      <c r="A548" s="22"/>
      <c r="B548" s="23" t="n">
        <v>512011000</v>
      </c>
      <c r="C548" s="24" t="n">
        <v>125</v>
      </c>
      <c r="D548" s="54" t="s">
        <v>497</v>
      </c>
      <c r="E548" s="19" t="s">
        <v>494</v>
      </c>
      <c r="F548" s="24" t="s">
        <v>23</v>
      </c>
      <c r="G548" s="25" t="n">
        <v>0.614</v>
      </c>
      <c r="H548" s="26"/>
      <c r="I548" s="27" t="n">
        <v>125</v>
      </c>
      <c r="J548" s="28" t="n">
        <v>24</v>
      </c>
      <c r="K548" s="28" t="n">
        <v>1</v>
      </c>
      <c r="L548" s="24" t="s">
        <v>24</v>
      </c>
      <c r="M548" s="29" t="n">
        <f aca="false">IF("oui" = "oui",13.8*(1-disc),13.8)</f>
        <v>13.8</v>
      </c>
      <c r="N548" s="29" t="n">
        <f aca="false">IF("oui" = "oui",13.8*(1-disc)*1.2,13.8*1.2)</f>
        <v>16.56</v>
      </c>
      <c r="O548" s="24" t="s">
        <v>25</v>
      </c>
      <c r="P548" s="4" t="s">
        <v>25</v>
      </c>
      <c r="Q548" s="16"/>
    </row>
    <row r="549" customFormat="false" ht="12.8" hidden="false" customHeight="false" outlineLevel="0" collapsed="false">
      <c r="A549" s="22"/>
      <c r="B549" s="23" t="n">
        <v>512013000</v>
      </c>
      <c r="C549" s="24" t="n">
        <v>125</v>
      </c>
      <c r="D549" s="54" t="s">
        <v>498</v>
      </c>
      <c r="E549" s="19" t="s">
        <v>494</v>
      </c>
      <c r="F549" s="24" t="s">
        <v>23</v>
      </c>
      <c r="G549" s="25" t="n">
        <v>0.614</v>
      </c>
      <c r="H549" s="26"/>
      <c r="I549" s="27" t="n">
        <v>125</v>
      </c>
      <c r="J549" s="28" t="n">
        <v>24</v>
      </c>
      <c r="K549" s="28" t="n">
        <v>1</v>
      </c>
      <c r="L549" s="24" t="s">
        <v>24</v>
      </c>
      <c r="M549" s="29" t="n">
        <f aca="false">IF("oui" = "oui",13.8*(1-disc),13.8)</f>
        <v>13.8</v>
      </c>
      <c r="N549" s="29" t="n">
        <f aca="false">IF("oui" = "oui",13.8*(1-disc)*1.2,13.8*1.2)</f>
        <v>16.56</v>
      </c>
      <c r="O549" s="24" t="s">
        <v>25</v>
      </c>
      <c r="P549" s="4" t="s">
        <v>25</v>
      </c>
      <c r="Q549" s="16"/>
    </row>
    <row r="550" customFormat="false" ht="12.8" hidden="false" customHeight="false" outlineLevel="0" collapsed="false">
      <c r="A550" s="22"/>
      <c r="B550" s="23" t="n">
        <v>512014000</v>
      </c>
      <c r="C550" s="24" t="n">
        <v>125</v>
      </c>
      <c r="D550" s="54" t="s">
        <v>499</v>
      </c>
      <c r="E550" s="19" t="s">
        <v>494</v>
      </c>
      <c r="F550" s="24" t="s">
        <v>23</v>
      </c>
      <c r="G550" s="25" t="n">
        <v>0.614</v>
      </c>
      <c r="H550" s="26"/>
      <c r="I550" s="27" t="n">
        <v>125</v>
      </c>
      <c r="J550" s="28" t="n">
        <v>24</v>
      </c>
      <c r="K550" s="28" t="n">
        <v>1</v>
      </c>
      <c r="L550" s="24" t="s">
        <v>24</v>
      </c>
      <c r="M550" s="29" t="n">
        <f aca="false">IF("oui" = "oui",13.8*(1-disc),13.8)</f>
        <v>13.8</v>
      </c>
      <c r="N550" s="29" t="n">
        <f aca="false">IF("oui" = "oui",13.8*(1-disc)*1.2,13.8*1.2)</f>
        <v>16.56</v>
      </c>
      <c r="O550" s="24" t="s">
        <v>25</v>
      </c>
      <c r="P550" s="4" t="s">
        <v>25</v>
      </c>
      <c r="Q550" s="16"/>
    </row>
    <row r="551" customFormat="false" ht="12.8" hidden="false" customHeight="false" outlineLevel="0" collapsed="false">
      <c r="A551" s="22"/>
      <c r="B551" s="23" t="n">
        <v>512015000</v>
      </c>
      <c r="C551" s="24" t="n">
        <v>125</v>
      </c>
      <c r="D551" s="54" t="s">
        <v>500</v>
      </c>
      <c r="E551" s="19" t="s">
        <v>494</v>
      </c>
      <c r="F551" s="24" t="s">
        <v>23</v>
      </c>
      <c r="G551" s="25" t="n">
        <v>0.614</v>
      </c>
      <c r="H551" s="26"/>
      <c r="I551" s="27" t="n">
        <v>125</v>
      </c>
      <c r="J551" s="28" t="n">
        <v>24</v>
      </c>
      <c r="K551" s="28" t="n">
        <v>1</v>
      </c>
      <c r="L551" s="24" t="s">
        <v>24</v>
      </c>
      <c r="M551" s="29" t="n">
        <f aca="false">IF("oui" = "oui",13.8*(1-disc),13.8)</f>
        <v>13.8</v>
      </c>
      <c r="N551" s="29" t="n">
        <f aca="false">IF("oui" = "oui",13.8*(1-disc)*1.2,13.8*1.2)</f>
        <v>16.56</v>
      </c>
      <c r="O551" s="24" t="s">
        <v>25</v>
      </c>
      <c r="P551" s="4" t="s">
        <v>25</v>
      </c>
      <c r="Q551" s="16"/>
    </row>
    <row r="552" customFormat="false" ht="12.8" hidden="false" customHeight="false" outlineLevel="0" collapsed="false">
      <c r="A552" s="22"/>
      <c r="B552" s="23" t="n">
        <v>512016000</v>
      </c>
      <c r="C552" s="24" t="n">
        <v>125</v>
      </c>
      <c r="D552" s="54" t="s">
        <v>501</v>
      </c>
      <c r="E552" s="19" t="s">
        <v>494</v>
      </c>
      <c r="F552" s="24" t="s">
        <v>23</v>
      </c>
      <c r="G552" s="25" t="n">
        <v>0.614</v>
      </c>
      <c r="H552" s="26"/>
      <c r="I552" s="27" t="n">
        <v>125</v>
      </c>
      <c r="J552" s="28" t="n">
        <v>24</v>
      </c>
      <c r="K552" s="28" t="n">
        <v>1</v>
      </c>
      <c r="L552" s="24" t="s">
        <v>24</v>
      </c>
      <c r="M552" s="29" t="n">
        <f aca="false">IF("oui" = "oui",13.8*(1-disc),13.8)</f>
        <v>13.8</v>
      </c>
      <c r="N552" s="29" t="n">
        <f aca="false">IF("oui" = "oui",13.8*(1-disc)*1.2,13.8*1.2)</f>
        <v>16.56</v>
      </c>
      <c r="O552" s="24" t="s">
        <v>25</v>
      </c>
      <c r="P552" s="4" t="s">
        <v>25</v>
      </c>
      <c r="Q552" s="16"/>
    </row>
    <row r="553" customFormat="false" ht="12.8" hidden="false" customHeight="false" outlineLevel="0" collapsed="false">
      <c r="A553" s="22"/>
      <c r="B553" s="23" t="n">
        <v>512018000</v>
      </c>
      <c r="C553" s="24" t="n">
        <v>125</v>
      </c>
      <c r="D553" s="54" t="s">
        <v>502</v>
      </c>
      <c r="E553" s="19" t="s">
        <v>496</v>
      </c>
      <c r="F553" s="24" t="s">
        <v>23</v>
      </c>
      <c r="G553" s="25" t="n">
        <v>0.614</v>
      </c>
      <c r="H553" s="26"/>
      <c r="I553" s="27" t="n">
        <v>125</v>
      </c>
      <c r="J553" s="28" t="n">
        <v>24</v>
      </c>
      <c r="K553" s="28" t="n">
        <v>1</v>
      </c>
      <c r="L553" s="24" t="s">
        <v>24</v>
      </c>
      <c r="M553" s="29" t="n">
        <f aca="false">IF("oui" = "oui",13.8*(1-disc),13.8)</f>
        <v>13.8</v>
      </c>
      <c r="N553" s="29" t="n">
        <f aca="false">IF("oui" = "oui",13.8*(1-disc)*1.2,13.8*1.2)</f>
        <v>16.56</v>
      </c>
      <c r="O553" s="24" t="s">
        <v>25</v>
      </c>
      <c r="P553" s="4" t="s">
        <v>25</v>
      </c>
      <c r="Q553" s="16"/>
    </row>
    <row r="554" customFormat="false" ht="12.8" hidden="false" customHeight="false" outlineLevel="0" collapsed="false">
      <c r="A554" s="22"/>
      <c r="B554" s="23" t="n">
        <v>512019000</v>
      </c>
      <c r="C554" s="24" t="n">
        <v>125</v>
      </c>
      <c r="D554" s="54" t="s">
        <v>503</v>
      </c>
      <c r="E554" s="19" t="s">
        <v>496</v>
      </c>
      <c r="F554" s="24" t="s">
        <v>23</v>
      </c>
      <c r="G554" s="25" t="n">
        <v>0.614</v>
      </c>
      <c r="H554" s="26"/>
      <c r="I554" s="27" t="n">
        <v>125</v>
      </c>
      <c r="J554" s="28" t="n">
        <v>24</v>
      </c>
      <c r="K554" s="28" t="n">
        <v>1</v>
      </c>
      <c r="L554" s="24" t="s">
        <v>24</v>
      </c>
      <c r="M554" s="29" t="n">
        <f aca="false">IF("oui" = "oui",13.8*(1-disc),13.8)</f>
        <v>13.8</v>
      </c>
      <c r="N554" s="29" t="n">
        <f aca="false">IF("oui" = "oui",13.8*(1-disc)*1.2,13.8*1.2)</f>
        <v>16.56</v>
      </c>
      <c r="O554" s="24" t="s">
        <v>25</v>
      </c>
      <c r="P554" s="4" t="s">
        <v>25</v>
      </c>
      <c r="Q554" s="16"/>
    </row>
    <row r="555" customFormat="false" ht="12.8" hidden="false" customHeight="false" outlineLevel="0" collapsed="false">
      <c r="A555" s="22"/>
      <c r="B555" s="23" t="n">
        <v>512021000</v>
      </c>
      <c r="C555" s="24" t="n">
        <v>125</v>
      </c>
      <c r="D555" s="54" t="s">
        <v>504</v>
      </c>
      <c r="E555" s="19" t="s">
        <v>494</v>
      </c>
      <c r="F555" s="24" t="s">
        <v>23</v>
      </c>
      <c r="G555" s="25" t="n">
        <v>0.614</v>
      </c>
      <c r="H555" s="26"/>
      <c r="I555" s="27" t="n">
        <v>125</v>
      </c>
      <c r="J555" s="28" t="n">
        <v>24</v>
      </c>
      <c r="K555" s="28" t="n">
        <v>1</v>
      </c>
      <c r="L555" s="24" t="s">
        <v>24</v>
      </c>
      <c r="M555" s="29" t="n">
        <f aca="false">IF("oui" = "oui",13.8*(1-disc),13.8)</f>
        <v>13.8</v>
      </c>
      <c r="N555" s="29" t="n">
        <f aca="false">IF("oui" = "oui",13.8*(1-disc)*1.2,13.8*1.2)</f>
        <v>16.56</v>
      </c>
      <c r="O555" s="24" t="s">
        <v>25</v>
      </c>
      <c r="P555" s="4" t="s">
        <v>25</v>
      </c>
      <c r="Q555" s="16"/>
    </row>
    <row r="556" customFormat="false" ht="12.8" hidden="false" customHeight="false" outlineLevel="0" collapsed="false">
      <c r="A556" s="22"/>
      <c r="B556" s="23" t="n">
        <v>512017000</v>
      </c>
      <c r="C556" s="24" t="n">
        <v>125</v>
      </c>
      <c r="D556" s="54" t="s">
        <v>505</v>
      </c>
      <c r="E556" s="19" t="s">
        <v>494</v>
      </c>
      <c r="F556" s="24" t="s">
        <v>23</v>
      </c>
      <c r="G556" s="25" t="n">
        <v>0.614</v>
      </c>
      <c r="H556" s="26"/>
      <c r="I556" s="27" t="n">
        <v>125</v>
      </c>
      <c r="J556" s="28" t="n">
        <v>24</v>
      </c>
      <c r="K556" s="28" t="n">
        <v>1</v>
      </c>
      <c r="L556" s="24" t="s">
        <v>24</v>
      </c>
      <c r="M556" s="29" t="n">
        <f aca="false">IF("oui" = "oui",13.8*(1-disc),13.8)</f>
        <v>13.8</v>
      </c>
      <c r="N556" s="29" t="n">
        <f aca="false">IF("oui" = "oui",13.8*(1-disc)*1.2,13.8*1.2)</f>
        <v>16.56</v>
      </c>
      <c r="O556" s="24" t="s">
        <v>25</v>
      </c>
      <c r="P556" s="4" t="s">
        <v>25</v>
      </c>
      <c r="Q556" s="16"/>
    </row>
    <row r="557" customFormat="false" ht="12.8" hidden="false" customHeight="false" outlineLevel="0" collapsed="false">
      <c r="A557" s="22"/>
      <c r="B557" s="23"/>
      <c r="C557" s="24"/>
      <c r="D557" s="22"/>
      <c r="E557" s="19"/>
      <c r="F557" s="24"/>
      <c r="G557" s="25"/>
      <c r="H557" s="26"/>
      <c r="I557" s="27"/>
      <c r="J557" s="28"/>
      <c r="K557" s="28"/>
      <c r="L557" s="24"/>
      <c r="M557" s="29"/>
      <c r="N557" s="29"/>
      <c r="O557" s="24"/>
      <c r="P557" s="4"/>
      <c r="Q557" s="16"/>
    </row>
    <row r="558" customFormat="false" ht="12.8" hidden="false" customHeight="false" outlineLevel="0" collapsed="false">
      <c r="A558" s="22"/>
      <c r="B558" s="23" t="n">
        <v>512030000</v>
      </c>
      <c r="C558" s="24" t="n">
        <v>125</v>
      </c>
      <c r="D558" s="22" t="s">
        <v>506</v>
      </c>
      <c r="E558" s="19" t="s">
        <v>494</v>
      </c>
      <c r="F558" s="24" t="s">
        <v>23</v>
      </c>
      <c r="G558" s="25" t="n">
        <v>3.11</v>
      </c>
      <c r="H558" s="26"/>
      <c r="I558" s="27" t="n">
        <v>125</v>
      </c>
      <c r="J558" s="28" t="n">
        <v>6</v>
      </c>
      <c r="K558" s="28" t="n">
        <v>5</v>
      </c>
      <c r="L558" s="24" t="s">
        <v>24</v>
      </c>
      <c r="M558" s="29" t="n">
        <f aca="false">IF("oui" = "oui",68.99*(1-disc),68.99)</f>
        <v>68.99</v>
      </c>
      <c r="N558" s="29" t="n">
        <f aca="false">IF("oui" = "oui",68.99*(1-disc)*1.2,68.99*1.2)</f>
        <v>82.788</v>
      </c>
      <c r="O558" s="24" t="s">
        <v>25</v>
      </c>
      <c r="P558" s="4" t="s">
        <v>25</v>
      </c>
      <c r="Q558" s="16"/>
    </row>
    <row r="559" customFormat="false" ht="12.8" hidden="false" customHeight="false" outlineLevel="0" collapsed="false">
      <c r="A559" s="22"/>
      <c r="B559" s="23"/>
      <c r="C559" s="24"/>
      <c r="D559" s="22"/>
      <c r="E559" s="19"/>
      <c r="F559" s="24"/>
      <c r="G559" s="25"/>
      <c r="H559" s="26"/>
      <c r="I559" s="27"/>
      <c r="J559" s="28"/>
      <c r="K559" s="28"/>
      <c r="L559" s="24"/>
      <c r="M559" s="29"/>
      <c r="N559" s="29"/>
      <c r="O559" s="24"/>
      <c r="P559" s="4"/>
      <c r="Q559" s="16"/>
    </row>
    <row r="560" customFormat="false" ht="12.8" hidden="false" customHeight="false" outlineLevel="0" collapsed="false">
      <c r="A560" s="42" t="s">
        <v>109</v>
      </c>
      <c r="B560" s="43"/>
      <c r="C560" s="44"/>
      <c r="D560" s="45"/>
      <c r="E560" s="46"/>
      <c r="F560" s="44"/>
      <c r="G560" s="47"/>
      <c r="H560" s="48"/>
      <c r="I560" s="49"/>
      <c r="J560" s="50"/>
      <c r="K560" s="50"/>
      <c r="L560" s="44"/>
      <c r="M560" s="51"/>
      <c r="N560" s="51"/>
      <c r="O560" s="44"/>
      <c r="P560" s="52"/>
      <c r="Q560" s="53"/>
    </row>
    <row r="561" customFormat="false" ht="12.8" hidden="false" customHeight="false" outlineLevel="0" collapsed="false">
      <c r="A561" s="22"/>
      <c r="B561" s="23"/>
      <c r="C561" s="24"/>
      <c r="D561" s="22"/>
      <c r="E561" s="19"/>
      <c r="F561" s="24"/>
      <c r="G561" s="25"/>
      <c r="H561" s="26"/>
      <c r="I561" s="27"/>
      <c r="J561" s="28"/>
      <c r="K561" s="28"/>
      <c r="L561" s="24"/>
      <c r="M561" s="29"/>
      <c r="N561" s="29"/>
      <c r="O561" s="24"/>
      <c r="P561" s="4"/>
      <c r="Q561" s="16"/>
    </row>
    <row r="562" customFormat="false" ht="12.8" hidden="false" customHeight="false" outlineLevel="0" collapsed="false">
      <c r="A562" s="22"/>
      <c r="B562" s="23" t="n">
        <v>512050000</v>
      </c>
      <c r="C562" s="24" t="n">
        <v>125</v>
      </c>
      <c r="D562" s="54" t="s">
        <v>507</v>
      </c>
      <c r="E562" s="19" t="s">
        <v>496</v>
      </c>
      <c r="F562" s="24" t="s">
        <v>23</v>
      </c>
      <c r="G562" s="25" t="n">
        <v>0.583</v>
      </c>
      <c r="H562" s="26"/>
      <c r="I562" s="27" t="n">
        <v>125</v>
      </c>
      <c r="J562" s="28" t="n">
        <v>24</v>
      </c>
      <c r="K562" s="28" t="n">
        <v>1</v>
      </c>
      <c r="L562" s="24" t="s">
        <v>24</v>
      </c>
      <c r="M562" s="29" t="n">
        <f aca="false">IF("oui" = "oui",16.73*(1-disc),16.73)</f>
        <v>16.73</v>
      </c>
      <c r="N562" s="29" t="n">
        <f aca="false">IF("oui" = "oui",16.73*(1-disc)*1.2,16.73*1.2)</f>
        <v>20.076</v>
      </c>
      <c r="O562" s="24" t="s">
        <v>25</v>
      </c>
      <c r="P562" s="4" t="s">
        <v>25</v>
      </c>
      <c r="Q562" s="16"/>
    </row>
    <row r="563" customFormat="false" ht="12.8" hidden="false" customHeight="false" outlineLevel="0" collapsed="false">
      <c r="A563" s="22"/>
      <c r="B563" s="23" t="n">
        <v>512051000</v>
      </c>
      <c r="C563" s="24" t="n">
        <v>125</v>
      </c>
      <c r="D563" s="54" t="s">
        <v>508</v>
      </c>
      <c r="E563" s="19" t="s">
        <v>496</v>
      </c>
      <c r="F563" s="24" t="s">
        <v>23</v>
      </c>
      <c r="G563" s="25" t="n">
        <v>0.583</v>
      </c>
      <c r="H563" s="26"/>
      <c r="I563" s="27" t="n">
        <v>125</v>
      </c>
      <c r="J563" s="28" t="n">
        <v>24</v>
      </c>
      <c r="K563" s="28" t="n">
        <v>1</v>
      </c>
      <c r="L563" s="24" t="s">
        <v>24</v>
      </c>
      <c r="M563" s="29" t="n">
        <f aca="false">IF("oui" = "oui",16.73*(1-disc),16.73)</f>
        <v>16.73</v>
      </c>
      <c r="N563" s="29" t="n">
        <f aca="false">IF("oui" = "oui",16.73*(1-disc)*1.2,16.73*1.2)</f>
        <v>20.076</v>
      </c>
      <c r="O563" s="24" t="s">
        <v>25</v>
      </c>
      <c r="P563" s="4" t="s">
        <v>25</v>
      </c>
      <c r="Q563" s="16"/>
    </row>
    <row r="564" customFormat="false" ht="12.8" hidden="false" customHeight="false" outlineLevel="0" collapsed="false">
      <c r="A564" s="22"/>
      <c r="B564" s="23" t="n">
        <v>512052000</v>
      </c>
      <c r="C564" s="24" t="n">
        <v>125</v>
      </c>
      <c r="D564" s="54" t="s">
        <v>509</v>
      </c>
      <c r="E564" s="19" t="s">
        <v>496</v>
      </c>
      <c r="F564" s="24" t="s">
        <v>23</v>
      </c>
      <c r="G564" s="25" t="n">
        <v>0.583</v>
      </c>
      <c r="H564" s="26"/>
      <c r="I564" s="27" t="n">
        <v>125</v>
      </c>
      <c r="J564" s="28" t="n">
        <v>24</v>
      </c>
      <c r="K564" s="28" t="n">
        <v>1</v>
      </c>
      <c r="L564" s="24" t="s">
        <v>24</v>
      </c>
      <c r="M564" s="29" t="n">
        <f aca="false">IF("oui" = "oui",16.73*(1-disc),16.73)</f>
        <v>16.73</v>
      </c>
      <c r="N564" s="29" t="n">
        <f aca="false">IF("oui" = "oui",16.73*(1-disc)*1.2,16.73*1.2)</f>
        <v>20.076</v>
      </c>
      <c r="O564" s="24" t="s">
        <v>25</v>
      </c>
      <c r="P564" s="4" t="s">
        <v>25</v>
      </c>
      <c r="Q564" s="16"/>
    </row>
    <row r="565" customFormat="false" ht="12.8" hidden="false" customHeight="false" outlineLevel="0" collapsed="false">
      <c r="A565" s="22"/>
      <c r="B565" s="23" t="n">
        <v>512053000</v>
      </c>
      <c r="C565" s="24" t="n">
        <v>125</v>
      </c>
      <c r="D565" s="54" t="s">
        <v>510</v>
      </c>
      <c r="E565" s="19" t="s">
        <v>496</v>
      </c>
      <c r="F565" s="24" t="s">
        <v>23</v>
      </c>
      <c r="G565" s="25" t="n">
        <v>0.583</v>
      </c>
      <c r="H565" s="26"/>
      <c r="I565" s="27" t="n">
        <v>125</v>
      </c>
      <c r="J565" s="28" t="n">
        <v>24</v>
      </c>
      <c r="K565" s="28" t="n">
        <v>1</v>
      </c>
      <c r="L565" s="24" t="s">
        <v>24</v>
      </c>
      <c r="M565" s="29" t="n">
        <f aca="false">IF("oui" = "oui",16.73*(1-disc),16.73)</f>
        <v>16.73</v>
      </c>
      <c r="N565" s="29" t="n">
        <f aca="false">IF("oui" = "oui",16.73*(1-disc)*1.2,16.73*1.2)</f>
        <v>20.076</v>
      </c>
      <c r="O565" s="24" t="s">
        <v>25</v>
      </c>
      <c r="P565" s="4" t="s">
        <v>25</v>
      </c>
      <c r="Q565" s="16"/>
    </row>
    <row r="566" customFormat="false" ht="12.8" hidden="false" customHeight="false" outlineLevel="0" collapsed="false">
      <c r="A566" s="22"/>
      <c r="B566" s="23" t="n">
        <v>512054000</v>
      </c>
      <c r="C566" s="24" t="n">
        <v>125</v>
      </c>
      <c r="D566" s="54" t="s">
        <v>511</v>
      </c>
      <c r="E566" s="19" t="s">
        <v>496</v>
      </c>
      <c r="F566" s="24" t="s">
        <v>23</v>
      </c>
      <c r="G566" s="25" t="n">
        <v>0.583</v>
      </c>
      <c r="H566" s="26"/>
      <c r="I566" s="27" t="n">
        <v>125</v>
      </c>
      <c r="J566" s="28" t="n">
        <v>24</v>
      </c>
      <c r="K566" s="28" t="n">
        <v>1</v>
      </c>
      <c r="L566" s="24" t="s">
        <v>24</v>
      </c>
      <c r="M566" s="29" t="n">
        <f aca="false">IF("oui" = "oui",16.73*(1-disc),16.73)</f>
        <v>16.73</v>
      </c>
      <c r="N566" s="29" t="n">
        <f aca="false">IF("oui" = "oui",16.73*(1-disc)*1.2,16.73*1.2)</f>
        <v>20.076</v>
      </c>
      <c r="O566" s="24" t="s">
        <v>25</v>
      </c>
      <c r="P566" s="4" t="s">
        <v>25</v>
      </c>
      <c r="Q566" s="16"/>
    </row>
    <row r="567" customFormat="false" ht="12.8" hidden="false" customHeight="false" outlineLevel="0" collapsed="false">
      <c r="A567" s="22"/>
      <c r="B567" s="23" t="n">
        <v>512055000</v>
      </c>
      <c r="C567" s="24" t="n">
        <v>125</v>
      </c>
      <c r="D567" s="54" t="s">
        <v>512</v>
      </c>
      <c r="E567" s="19" t="s">
        <v>496</v>
      </c>
      <c r="F567" s="24" t="s">
        <v>23</v>
      </c>
      <c r="G567" s="25" t="n">
        <v>0.583</v>
      </c>
      <c r="H567" s="26"/>
      <c r="I567" s="27" t="n">
        <v>125</v>
      </c>
      <c r="J567" s="28" t="n">
        <v>24</v>
      </c>
      <c r="K567" s="28" t="n">
        <v>1</v>
      </c>
      <c r="L567" s="24" t="s">
        <v>24</v>
      </c>
      <c r="M567" s="29" t="n">
        <f aca="false">IF("oui" = "oui",16.73*(1-disc),16.73)</f>
        <v>16.73</v>
      </c>
      <c r="N567" s="29" t="n">
        <f aca="false">IF("oui" = "oui",16.73*(1-disc)*1.2,16.73*1.2)</f>
        <v>20.076</v>
      </c>
      <c r="O567" s="24" t="s">
        <v>25</v>
      </c>
      <c r="P567" s="4" t="s">
        <v>25</v>
      </c>
      <c r="Q567" s="16"/>
    </row>
    <row r="568" customFormat="false" ht="12.8" hidden="false" customHeight="false" outlineLevel="0" collapsed="false">
      <c r="A568" s="22"/>
      <c r="B568" s="23" t="n">
        <v>512056000</v>
      </c>
      <c r="C568" s="24" t="n">
        <v>125</v>
      </c>
      <c r="D568" s="54" t="s">
        <v>513</v>
      </c>
      <c r="E568" s="19" t="s">
        <v>496</v>
      </c>
      <c r="F568" s="24" t="s">
        <v>23</v>
      </c>
      <c r="G568" s="25" t="n">
        <v>0.583</v>
      </c>
      <c r="H568" s="26"/>
      <c r="I568" s="27" t="n">
        <v>125</v>
      </c>
      <c r="J568" s="28" t="n">
        <v>24</v>
      </c>
      <c r="K568" s="28" t="n">
        <v>1</v>
      </c>
      <c r="L568" s="24" t="s">
        <v>24</v>
      </c>
      <c r="M568" s="29" t="n">
        <f aca="false">IF("oui" = "oui",16.73*(1-disc),16.73)</f>
        <v>16.73</v>
      </c>
      <c r="N568" s="29" t="n">
        <f aca="false">IF("oui" = "oui",16.73*(1-disc)*1.2,16.73*1.2)</f>
        <v>20.076</v>
      </c>
      <c r="O568" s="24" t="s">
        <v>25</v>
      </c>
      <c r="P568" s="4" t="s">
        <v>25</v>
      </c>
      <c r="Q568" s="16"/>
    </row>
    <row r="569" customFormat="false" ht="12.8" hidden="false" customHeight="false" outlineLevel="0" collapsed="false">
      <c r="A569" s="22"/>
      <c r="B569" s="23" t="n">
        <v>512057000</v>
      </c>
      <c r="C569" s="24" t="n">
        <v>125</v>
      </c>
      <c r="D569" s="54" t="s">
        <v>514</v>
      </c>
      <c r="E569" s="19" t="s">
        <v>496</v>
      </c>
      <c r="F569" s="24" t="s">
        <v>23</v>
      </c>
      <c r="G569" s="25" t="n">
        <v>0.583</v>
      </c>
      <c r="H569" s="26"/>
      <c r="I569" s="27" t="n">
        <v>125</v>
      </c>
      <c r="J569" s="28" t="n">
        <v>24</v>
      </c>
      <c r="K569" s="28" t="n">
        <v>1</v>
      </c>
      <c r="L569" s="24" t="s">
        <v>24</v>
      </c>
      <c r="M569" s="29" t="n">
        <f aca="false">IF("oui" = "oui",16.73*(1-disc),16.73)</f>
        <v>16.73</v>
      </c>
      <c r="N569" s="29" t="n">
        <f aca="false">IF("oui" = "oui",16.73*(1-disc)*1.2,16.73*1.2)</f>
        <v>20.076</v>
      </c>
      <c r="O569" s="24" t="s">
        <v>25</v>
      </c>
      <c r="P569" s="4" t="s">
        <v>25</v>
      </c>
      <c r="Q569" s="16"/>
    </row>
    <row r="570" customFormat="false" ht="12.8" hidden="false" customHeight="false" outlineLevel="0" collapsed="false">
      <c r="A570" s="22"/>
      <c r="B570" s="23" t="n">
        <v>512058000</v>
      </c>
      <c r="C570" s="24" t="n">
        <v>125</v>
      </c>
      <c r="D570" s="54" t="s">
        <v>515</v>
      </c>
      <c r="E570" s="19" t="s">
        <v>496</v>
      </c>
      <c r="F570" s="24" t="s">
        <v>23</v>
      </c>
      <c r="G570" s="25" t="n">
        <v>0.583</v>
      </c>
      <c r="H570" s="26"/>
      <c r="I570" s="27" t="n">
        <v>125</v>
      </c>
      <c r="J570" s="28" t="n">
        <v>24</v>
      </c>
      <c r="K570" s="28" t="n">
        <v>1</v>
      </c>
      <c r="L570" s="24" t="s">
        <v>24</v>
      </c>
      <c r="M570" s="29" t="n">
        <f aca="false">IF("oui" = "oui",16.73*(1-disc),16.73)</f>
        <v>16.73</v>
      </c>
      <c r="N570" s="29" t="n">
        <f aca="false">IF("oui" = "oui",16.73*(1-disc)*1.2,16.73*1.2)</f>
        <v>20.076</v>
      </c>
      <c r="O570" s="24" t="s">
        <v>25</v>
      </c>
      <c r="P570" s="4" t="s">
        <v>25</v>
      </c>
      <c r="Q570" s="16"/>
    </row>
    <row r="571" customFormat="false" ht="12.8" hidden="false" customHeight="false" outlineLevel="0" collapsed="false">
      <c r="A571" s="22"/>
      <c r="B571" s="23" t="n">
        <v>512059000</v>
      </c>
      <c r="C571" s="24" t="n">
        <v>125</v>
      </c>
      <c r="D571" s="54" t="s">
        <v>516</v>
      </c>
      <c r="E571" s="19" t="s">
        <v>496</v>
      </c>
      <c r="F571" s="24" t="s">
        <v>23</v>
      </c>
      <c r="G571" s="25" t="n">
        <v>0.583</v>
      </c>
      <c r="H571" s="26"/>
      <c r="I571" s="27" t="n">
        <v>125</v>
      </c>
      <c r="J571" s="28" t="n">
        <v>24</v>
      </c>
      <c r="K571" s="28" t="n">
        <v>1</v>
      </c>
      <c r="L571" s="24" t="s">
        <v>24</v>
      </c>
      <c r="M571" s="29" t="n">
        <f aca="false">IF("oui" = "oui",16.73*(1-disc),16.73)</f>
        <v>16.73</v>
      </c>
      <c r="N571" s="29" t="n">
        <f aca="false">IF("oui" = "oui",16.73*(1-disc)*1.2,16.73*1.2)</f>
        <v>20.076</v>
      </c>
      <c r="O571" s="24" t="s">
        <v>25</v>
      </c>
      <c r="P571" s="4" t="s">
        <v>25</v>
      </c>
      <c r="Q571" s="16"/>
    </row>
    <row r="572" customFormat="false" ht="12.8" hidden="false" customHeight="false" outlineLevel="0" collapsed="false">
      <c r="A572" s="22"/>
      <c r="B572" s="23" t="n">
        <v>512060000</v>
      </c>
      <c r="C572" s="24" t="n">
        <v>125</v>
      </c>
      <c r="D572" s="54" t="s">
        <v>517</v>
      </c>
      <c r="E572" s="19" t="s">
        <v>496</v>
      </c>
      <c r="F572" s="24" t="s">
        <v>23</v>
      </c>
      <c r="G572" s="25" t="n">
        <v>0.583</v>
      </c>
      <c r="H572" s="26"/>
      <c r="I572" s="27" t="n">
        <v>125</v>
      </c>
      <c r="J572" s="28" t="n">
        <v>24</v>
      </c>
      <c r="K572" s="28" t="n">
        <v>1</v>
      </c>
      <c r="L572" s="24" t="s">
        <v>24</v>
      </c>
      <c r="M572" s="29" t="n">
        <f aca="false">IF("oui" = "oui",16.73*(1-disc),16.73)</f>
        <v>16.73</v>
      </c>
      <c r="N572" s="29" t="n">
        <f aca="false">IF("oui" = "oui",16.73*(1-disc)*1.2,16.73*1.2)</f>
        <v>20.076</v>
      </c>
      <c r="O572" s="24" t="s">
        <v>25</v>
      </c>
      <c r="P572" s="4" t="s">
        <v>25</v>
      </c>
      <c r="Q572" s="16"/>
    </row>
    <row r="573" customFormat="false" ht="12.8" hidden="false" customHeight="false" outlineLevel="0" collapsed="false">
      <c r="A573" s="22"/>
      <c r="B573" s="23"/>
      <c r="C573" s="24"/>
      <c r="D573" s="22"/>
      <c r="E573" s="19"/>
      <c r="F573" s="24"/>
      <c r="G573" s="25"/>
      <c r="H573" s="26"/>
      <c r="I573" s="27"/>
      <c r="J573" s="28"/>
      <c r="K573" s="28"/>
      <c r="L573" s="24"/>
      <c r="M573" s="29"/>
      <c r="N573" s="29"/>
      <c r="O573" s="24"/>
      <c r="P573" s="4"/>
      <c r="Q573" s="16"/>
    </row>
    <row r="574" customFormat="false" ht="12.8" hidden="false" customHeight="false" outlineLevel="0" collapsed="false">
      <c r="A574" s="22"/>
      <c r="B574" s="23" t="n">
        <v>512061000</v>
      </c>
      <c r="C574" s="24" t="n">
        <v>125</v>
      </c>
      <c r="D574" s="22" t="s">
        <v>518</v>
      </c>
      <c r="E574" s="19" t="s">
        <v>496</v>
      </c>
      <c r="F574" s="24" t="s">
        <v>23</v>
      </c>
      <c r="G574" s="25" t="n">
        <v>2.915</v>
      </c>
      <c r="H574" s="26"/>
      <c r="I574" s="27" t="n">
        <v>125</v>
      </c>
      <c r="J574" s="28" t="n">
        <v>6</v>
      </c>
      <c r="K574" s="28" t="n">
        <v>5</v>
      </c>
      <c r="L574" s="24" t="s">
        <v>24</v>
      </c>
      <c r="M574" s="29" t="n">
        <f aca="false">IF("oui" = "oui",83.66*(1-disc),83.66)</f>
        <v>83.66</v>
      </c>
      <c r="N574" s="29" t="n">
        <f aca="false">IF("oui" = "oui",83.66*(1-disc)*1.2,83.66*1.2)</f>
        <v>100.392</v>
      </c>
      <c r="O574" s="24" t="s">
        <v>25</v>
      </c>
      <c r="P574" s="4" t="s">
        <v>25</v>
      </c>
      <c r="Q574" s="16"/>
    </row>
    <row r="575" customFormat="false" ht="12.8" hidden="false" customHeight="false" outlineLevel="0" collapsed="false">
      <c r="A575" s="22"/>
      <c r="B575" s="23"/>
      <c r="C575" s="24"/>
      <c r="D575" s="22"/>
      <c r="E575" s="19"/>
      <c r="F575" s="24"/>
      <c r="G575" s="25"/>
      <c r="H575" s="26"/>
      <c r="I575" s="27"/>
      <c r="J575" s="28"/>
      <c r="K575" s="28"/>
      <c r="L575" s="24"/>
      <c r="M575" s="29"/>
      <c r="N575" s="29"/>
      <c r="O575" s="24"/>
      <c r="P575" s="4"/>
      <c r="Q575" s="16"/>
    </row>
    <row r="576" customFormat="false" ht="12.8" hidden="false" customHeight="false" outlineLevel="0" collapsed="false">
      <c r="A576" s="42" t="s">
        <v>519</v>
      </c>
      <c r="B576" s="43"/>
      <c r="C576" s="44"/>
      <c r="D576" s="45"/>
      <c r="E576" s="46"/>
      <c r="F576" s="44"/>
      <c r="G576" s="47"/>
      <c r="H576" s="48"/>
      <c r="I576" s="49"/>
      <c r="J576" s="50"/>
      <c r="K576" s="50"/>
      <c r="L576" s="44"/>
      <c r="M576" s="51"/>
      <c r="N576" s="51"/>
      <c r="O576" s="44"/>
      <c r="P576" s="52"/>
      <c r="Q576" s="53"/>
    </row>
    <row r="577" customFormat="false" ht="12.8" hidden="false" customHeight="false" outlineLevel="0" collapsed="false">
      <c r="A577" s="22"/>
      <c r="B577" s="23"/>
      <c r="C577" s="24"/>
      <c r="D577" s="22"/>
      <c r="E577" s="19"/>
      <c r="F577" s="24"/>
      <c r="G577" s="25"/>
      <c r="H577" s="26"/>
      <c r="I577" s="27"/>
      <c r="J577" s="28"/>
      <c r="K577" s="28"/>
      <c r="L577" s="24"/>
      <c r="M577" s="29"/>
      <c r="N577" s="29"/>
      <c r="O577" s="24"/>
      <c r="P577" s="4"/>
      <c r="Q577" s="16"/>
    </row>
    <row r="578" customFormat="false" ht="12.8" hidden="false" customHeight="false" outlineLevel="0" collapsed="false">
      <c r="A578" s="22"/>
      <c r="B578" s="23" t="n">
        <v>512023000</v>
      </c>
      <c r="C578" s="24" t="n">
        <v>125</v>
      </c>
      <c r="D578" s="54" t="s">
        <v>520</v>
      </c>
      <c r="E578" s="19" t="s">
        <v>521</v>
      </c>
      <c r="F578" s="24" t="s">
        <v>23</v>
      </c>
      <c r="G578" s="25" t="n">
        <v>0.625</v>
      </c>
      <c r="H578" s="26"/>
      <c r="I578" s="27" t="n">
        <v>125</v>
      </c>
      <c r="J578" s="28" t="n">
        <v>24</v>
      </c>
      <c r="K578" s="28" t="n">
        <v>1</v>
      </c>
      <c r="L578" s="24" t="s">
        <v>24</v>
      </c>
      <c r="M578" s="29" t="n">
        <f aca="false">IF("oui" = "oui",16.73*(1-disc),16.73)</f>
        <v>16.73</v>
      </c>
      <c r="N578" s="29" t="n">
        <f aca="false">IF("oui" = "oui",16.73*(1-disc)*1.2,16.73*1.2)</f>
        <v>20.076</v>
      </c>
      <c r="O578" s="24" t="s">
        <v>25</v>
      </c>
      <c r="P578" s="7" t="s">
        <v>26</v>
      </c>
      <c r="Q578" s="16"/>
    </row>
    <row r="579" customFormat="false" ht="12.8" hidden="false" customHeight="false" outlineLevel="0" collapsed="false">
      <c r="A579" s="22"/>
      <c r="B579" s="23" t="n">
        <v>512022000</v>
      </c>
      <c r="C579" s="24" t="n">
        <v>125</v>
      </c>
      <c r="D579" s="54" t="s">
        <v>522</v>
      </c>
      <c r="E579" s="19" t="s">
        <v>523</v>
      </c>
      <c r="F579" s="24" t="s">
        <v>23</v>
      </c>
      <c r="G579" s="25" t="n">
        <v>0.625</v>
      </c>
      <c r="H579" s="26"/>
      <c r="I579" s="27" t="n">
        <v>125</v>
      </c>
      <c r="J579" s="28" t="n">
        <v>24</v>
      </c>
      <c r="K579" s="28" t="n">
        <v>1</v>
      </c>
      <c r="L579" s="24" t="s">
        <v>24</v>
      </c>
      <c r="M579" s="29" t="n">
        <f aca="false">IF("oui" = "oui",16.73*(1-disc),16.73)</f>
        <v>16.73</v>
      </c>
      <c r="N579" s="29" t="n">
        <f aca="false">IF("oui" = "oui",16.73*(1-disc)*1.2,16.73*1.2)</f>
        <v>20.076</v>
      </c>
      <c r="O579" s="24" t="s">
        <v>25</v>
      </c>
      <c r="P579" s="4" t="s">
        <v>25</v>
      </c>
      <c r="Q579" s="16"/>
    </row>
    <row r="580" customFormat="false" ht="12.8" hidden="false" customHeight="false" outlineLevel="0" collapsed="false">
      <c r="A580" s="22"/>
      <c r="B580" s="23" t="n">
        <v>512027000</v>
      </c>
      <c r="C580" s="24" t="n">
        <v>125</v>
      </c>
      <c r="D580" s="54" t="s">
        <v>524</v>
      </c>
      <c r="E580" s="19" t="s">
        <v>523</v>
      </c>
      <c r="F580" s="24" t="s">
        <v>23</v>
      </c>
      <c r="G580" s="25" t="n">
        <v>0.625</v>
      </c>
      <c r="H580" s="26"/>
      <c r="I580" s="27" t="n">
        <v>125</v>
      </c>
      <c r="J580" s="28" t="n">
        <v>24</v>
      </c>
      <c r="K580" s="28" t="n">
        <v>1</v>
      </c>
      <c r="L580" s="24" t="s">
        <v>24</v>
      </c>
      <c r="M580" s="29" t="n">
        <f aca="false">IF("oui" = "oui",16.73*(1-disc),16.73)</f>
        <v>16.73</v>
      </c>
      <c r="N580" s="29" t="n">
        <f aca="false">IF("oui" = "oui",16.73*(1-disc)*1.2,16.73*1.2)</f>
        <v>20.076</v>
      </c>
      <c r="O580" s="24" t="s">
        <v>25</v>
      </c>
      <c r="P580" s="4" t="s">
        <v>25</v>
      </c>
      <c r="Q580" s="16"/>
    </row>
    <row r="581" customFormat="false" ht="12.8" hidden="false" customHeight="false" outlineLevel="0" collapsed="false">
      <c r="A581" s="22"/>
      <c r="B581" s="56" t="n">
        <v>512025000</v>
      </c>
      <c r="C581" s="24" t="n">
        <v>125</v>
      </c>
      <c r="D581" s="54" t="s">
        <v>525</v>
      </c>
      <c r="E581" s="19" t="s">
        <v>523</v>
      </c>
      <c r="F581" s="24" t="s">
        <v>23</v>
      </c>
      <c r="G581" s="25" t="n">
        <v>0.625</v>
      </c>
      <c r="H581" s="26"/>
      <c r="I581" s="27" t="n">
        <v>125</v>
      </c>
      <c r="J581" s="28" t="n">
        <v>24</v>
      </c>
      <c r="K581" s="28" t="n">
        <v>1</v>
      </c>
      <c r="L581" s="24" t="s">
        <v>24</v>
      </c>
      <c r="M581" s="29" t="n">
        <f aca="false">IF("oui" = "oui",16.73*(1-disc),16.73)</f>
        <v>16.73</v>
      </c>
      <c r="N581" s="29" t="n">
        <f aca="false">IF("oui" = "oui",16.73*(1-disc)*1.2,16.73*1.2)</f>
        <v>20.076</v>
      </c>
      <c r="O581" s="24" t="s">
        <v>25</v>
      </c>
      <c r="P581" s="4" t="s">
        <v>25</v>
      </c>
      <c r="Q581" s="16"/>
    </row>
    <row r="582" customFormat="false" ht="12.8" hidden="false" customHeight="false" outlineLevel="0" collapsed="false">
      <c r="A582" s="22"/>
      <c r="B582" s="56" t="n">
        <v>512028000</v>
      </c>
      <c r="C582" s="24" t="n">
        <v>125</v>
      </c>
      <c r="D582" s="54" t="s">
        <v>526</v>
      </c>
      <c r="E582" s="19" t="s">
        <v>521</v>
      </c>
      <c r="F582" s="24" t="s">
        <v>23</v>
      </c>
      <c r="G582" s="25" t="n">
        <v>0.625</v>
      </c>
      <c r="H582" s="26"/>
      <c r="I582" s="27" t="n">
        <v>125</v>
      </c>
      <c r="J582" s="28" t="n">
        <v>24</v>
      </c>
      <c r="K582" s="28" t="n">
        <v>1</v>
      </c>
      <c r="L582" s="24" t="s">
        <v>24</v>
      </c>
      <c r="M582" s="29" t="n">
        <f aca="false">IF("oui" = "oui",16.73*(1-disc),16.73)</f>
        <v>16.73</v>
      </c>
      <c r="N582" s="29" t="n">
        <f aca="false">IF("oui" = "oui",16.73*(1-disc)*1.2,16.73*1.2)</f>
        <v>20.076</v>
      </c>
      <c r="O582" s="24" t="s">
        <v>25</v>
      </c>
      <c r="P582" s="7" t="s">
        <v>26</v>
      </c>
      <c r="Q582" s="16"/>
    </row>
    <row r="583" customFormat="false" ht="12.8" hidden="false" customHeight="false" outlineLevel="0" collapsed="false">
      <c r="A583" s="22"/>
      <c r="B583" s="56" t="n">
        <v>512024000</v>
      </c>
      <c r="C583" s="24" t="n">
        <v>125</v>
      </c>
      <c r="D583" s="54" t="s">
        <v>527</v>
      </c>
      <c r="E583" s="19" t="s">
        <v>523</v>
      </c>
      <c r="F583" s="24" t="s">
        <v>23</v>
      </c>
      <c r="G583" s="25" t="n">
        <v>0.625</v>
      </c>
      <c r="H583" s="26"/>
      <c r="I583" s="27" t="n">
        <v>125</v>
      </c>
      <c r="J583" s="28" t="n">
        <v>24</v>
      </c>
      <c r="K583" s="28" t="n">
        <v>1</v>
      </c>
      <c r="L583" s="24" t="s">
        <v>24</v>
      </c>
      <c r="M583" s="29" t="n">
        <f aca="false">IF("oui" = "oui",16.73*(1-disc),16.73)</f>
        <v>16.73</v>
      </c>
      <c r="N583" s="29" t="n">
        <f aca="false">IF("oui" = "oui",16.73*(1-disc)*1.2,16.73*1.2)</f>
        <v>20.076</v>
      </c>
      <c r="O583" s="24" t="s">
        <v>25</v>
      </c>
      <c r="P583" s="4" t="s">
        <v>25</v>
      </c>
      <c r="Q583" s="16"/>
    </row>
    <row r="584" customFormat="false" ht="12.8" hidden="false" customHeight="false" outlineLevel="0" collapsed="false">
      <c r="A584" s="22"/>
      <c r="B584" s="56"/>
      <c r="C584" s="24"/>
      <c r="D584" s="22"/>
      <c r="E584" s="19"/>
      <c r="F584" s="24"/>
      <c r="G584" s="25"/>
      <c r="H584" s="26"/>
      <c r="I584" s="27"/>
      <c r="J584" s="28"/>
      <c r="K584" s="28"/>
      <c r="L584" s="24"/>
      <c r="M584" s="29"/>
      <c r="N584" s="29"/>
      <c r="O584" s="24"/>
      <c r="P584" s="4"/>
      <c r="Q584" s="16"/>
    </row>
    <row r="585" customFormat="false" ht="12.8" hidden="false" customHeight="false" outlineLevel="0" collapsed="false">
      <c r="A585" s="42" t="s">
        <v>55</v>
      </c>
      <c r="B585" s="43"/>
      <c r="C585" s="44"/>
      <c r="D585" s="45"/>
      <c r="E585" s="46"/>
      <c r="F585" s="44"/>
      <c r="G585" s="47"/>
      <c r="H585" s="48"/>
      <c r="I585" s="49"/>
      <c r="J585" s="50"/>
      <c r="K585" s="50"/>
      <c r="L585" s="44"/>
      <c r="M585" s="51"/>
      <c r="N585" s="51"/>
      <c r="O585" s="44"/>
      <c r="P585" s="52"/>
      <c r="Q585" s="53"/>
    </row>
    <row r="586" customFormat="false" ht="12.8" hidden="false" customHeight="false" outlineLevel="0" collapsed="false">
      <c r="A586" s="22"/>
      <c r="B586" s="56"/>
      <c r="C586" s="24"/>
      <c r="D586" s="22"/>
      <c r="E586" s="19"/>
      <c r="F586" s="24"/>
      <c r="G586" s="25"/>
      <c r="H586" s="26"/>
      <c r="I586" s="27"/>
      <c r="J586" s="28"/>
      <c r="K586" s="28"/>
      <c r="L586" s="24"/>
      <c r="M586" s="29"/>
      <c r="N586" s="29"/>
      <c r="O586" s="24"/>
      <c r="P586" s="4"/>
      <c r="Q586" s="16"/>
    </row>
    <row r="587" customFormat="false" ht="12.8" hidden="false" customHeight="false" outlineLevel="0" collapsed="false">
      <c r="A587" s="22"/>
      <c r="B587" s="56" t="n">
        <v>512031000</v>
      </c>
      <c r="C587" s="24" t="n">
        <v>125</v>
      </c>
      <c r="D587" s="54" t="s">
        <v>528</v>
      </c>
      <c r="E587" s="19" t="s">
        <v>529</v>
      </c>
      <c r="F587" s="24" t="s">
        <v>23</v>
      </c>
      <c r="G587" s="25" t="n">
        <v>0.477</v>
      </c>
      <c r="H587" s="26"/>
      <c r="I587" s="27" t="n">
        <v>125</v>
      </c>
      <c r="J587" s="28" t="n">
        <v>24</v>
      </c>
      <c r="K587" s="28" t="n">
        <v>1</v>
      </c>
      <c r="L587" s="24" t="s">
        <v>24</v>
      </c>
      <c r="M587" s="29" t="n">
        <f aca="false">IF("oui" = "oui",16.73*(1-disc),16.73)</f>
        <v>16.73</v>
      </c>
      <c r="N587" s="29" t="n">
        <f aca="false">IF("oui" = "oui",16.73*(1-disc)*1.2,16.73*1.2)</f>
        <v>20.076</v>
      </c>
      <c r="O587" s="24" t="s">
        <v>25</v>
      </c>
      <c r="P587" s="7" t="s">
        <v>26</v>
      </c>
      <c r="Q587" s="16"/>
    </row>
    <row r="588" customFormat="false" ht="12.8" hidden="false" customHeight="false" outlineLevel="0" collapsed="false">
      <c r="A588" s="22"/>
      <c r="B588" s="56" t="n">
        <v>512035000</v>
      </c>
      <c r="C588" s="24" t="n">
        <v>125</v>
      </c>
      <c r="D588" s="54" t="s">
        <v>530</v>
      </c>
      <c r="E588" s="19" t="s">
        <v>529</v>
      </c>
      <c r="F588" s="24" t="s">
        <v>23</v>
      </c>
      <c r="G588" s="25" t="n">
        <v>0.477</v>
      </c>
      <c r="H588" s="26"/>
      <c r="I588" s="27" t="n">
        <v>125</v>
      </c>
      <c r="J588" s="28" t="n">
        <v>24</v>
      </c>
      <c r="K588" s="28" t="n">
        <v>1</v>
      </c>
      <c r="L588" s="24" t="s">
        <v>24</v>
      </c>
      <c r="M588" s="29" t="n">
        <f aca="false">IF("oui" = "oui",16.73*(1-disc),16.73)</f>
        <v>16.73</v>
      </c>
      <c r="N588" s="29" t="n">
        <f aca="false">IF("oui" = "oui",16.73*(1-disc)*1.2,16.73*1.2)</f>
        <v>20.076</v>
      </c>
      <c r="O588" s="24" t="s">
        <v>25</v>
      </c>
      <c r="P588" s="4" t="s">
        <v>25</v>
      </c>
      <c r="Q588" s="16"/>
    </row>
    <row r="589" customFormat="false" ht="12.8" hidden="false" customHeight="false" outlineLevel="0" collapsed="false">
      <c r="A589" s="22"/>
      <c r="B589" s="56" t="n">
        <v>512039000</v>
      </c>
      <c r="C589" s="24" t="n">
        <v>125</v>
      </c>
      <c r="D589" s="54" t="s">
        <v>531</v>
      </c>
      <c r="E589" s="19" t="s">
        <v>529</v>
      </c>
      <c r="F589" s="24" t="s">
        <v>23</v>
      </c>
      <c r="G589" s="25" t="n">
        <v>0.477</v>
      </c>
      <c r="H589" s="26"/>
      <c r="I589" s="27" t="n">
        <v>125</v>
      </c>
      <c r="J589" s="28" t="n">
        <v>24</v>
      </c>
      <c r="K589" s="28" t="n">
        <v>1</v>
      </c>
      <c r="L589" s="24" t="s">
        <v>24</v>
      </c>
      <c r="M589" s="29" t="n">
        <f aca="false">IF("oui" = "oui",16.73*(1-disc),16.73)</f>
        <v>16.73</v>
      </c>
      <c r="N589" s="29" t="n">
        <f aca="false">IF("oui" = "oui",16.73*(1-disc)*1.2,16.73*1.2)</f>
        <v>20.076</v>
      </c>
      <c r="O589" s="24" t="s">
        <v>25</v>
      </c>
      <c r="P589" s="7" t="s">
        <v>26</v>
      </c>
      <c r="Q589" s="16"/>
    </row>
    <row r="590" customFormat="false" ht="12.8" hidden="false" customHeight="false" outlineLevel="0" collapsed="false">
      <c r="A590" s="22"/>
      <c r="B590" s="56" t="n">
        <v>512045000</v>
      </c>
      <c r="C590" s="24" t="n">
        <v>125</v>
      </c>
      <c r="D590" s="54" t="s">
        <v>532</v>
      </c>
      <c r="E590" s="19" t="s">
        <v>521</v>
      </c>
      <c r="F590" s="24" t="s">
        <v>23</v>
      </c>
      <c r="G590" s="25" t="n">
        <v>0.614</v>
      </c>
      <c r="H590" s="26"/>
      <c r="I590" s="27" t="n">
        <v>125</v>
      </c>
      <c r="J590" s="28" t="n">
        <v>24</v>
      </c>
      <c r="K590" s="28" t="n">
        <v>1</v>
      </c>
      <c r="L590" s="24" t="s">
        <v>24</v>
      </c>
      <c r="M590" s="29" t="n">
        <f aca="false">IF("oui" = "oui",17.93*(1-disc),17.93)</f>
        <v>17.93</v>
      </c>
      <c r="N590" s="29" t="n">
        <f aca="false">IF("oui" = "oui",17.93*(1-disc)*1.2,17.93*1.2)</f>
        <v>21.516</v>
      </c>
      <c r="O590" s="24" t="s">
        <v>25</v>
      </c>
      <c r="P590" s="4" t="s">
        <v>25</v>
      </c>
      <c r="Q590" s="16"/>
    </row>
    <row r="591" s="3" customFormat="true" ht="12.8" hidden="false" customHeight="false" outlineLevel="0" collapsed="false">
      <c r="A591" s="72"/>
      <c r="B591" s="56" t="n">
        <v>512041000</v>
      </c>
      <c r="C591" s="73" t="n">
        <v>125</v>
      </c>
      <c r="D591" s="74" t="s">
        <v>533</v>
      </c>
      <c r="E591" s="75" t="s">
        <v>534</v>
      </c>
      <c r="F591" s="73" t="s">
        <v>23</v>
      </c>
      <c r="G591" s="76" t="n">
        <v>0.58</v>
      </c>
      <c r="H591" s="77"/>
      <c r="I591" s="78" t="n">
        <v>125</v>
      </c>
      <c r="J591" s="79" t="n">
        <v>24</v>
      </c>
      <c r="K591" s="79" t="n">
        <v>1</v>
      </c>
      <c r="L591" s="73" t="s">
        <v>24</v>
      </c>
      <c r="M591" s="80" t="n">
        <f aca="false">IF("oui" = "oui",16.73*(1-disc),16.73)</f>
        <v>16.73</v>
      </c>
      <c r="N591" s="80" t="n">
        <f aca="false">IF("oui" = "oui",16.73*(1-disc)*1.2,16.73*1.2)</f>
        <v>20.076</v>
      </c>
      <c r="O591" s="73" t="s">
        <v>25</v>
      </c>
      <c r="P591" s="81" t="s">
        <v>25</v>
      </c>
      <c r="Q591" s="82"/>
    </row>
    <row r="592" s="3" customFormat="true" ht="12.8" hidden="false" customHeight="false" outlineLevel="0" collapsed="false">
      <c r="A592" s="72"/>
      <c r="B592" s="56" t="n">
        <v>512042000</v>
      </c>
      <c r="C592" s="73" t="n">
        <v>125</v>
      </c>
      <c r="D592" s="74" t="s">
        <v>535</v>
      </c>
      <c r="E592" s="75" t="s">
        <v>536</v>
      </c>
      <c r="F592" s="73" t="s">
        <v>23</v>
      </c>
      <c r="G592" s="76" t="n">
        <v>0.64</v>
      </c>
      <c r="H592" s="77"/>
      <c r="I592" s="78" t="n">
        <v>125</v>
      </c>
      <c r="J592" s="79" t="n">
        <v>24</v>
      </c>
      <c r="K592" s="79" t="n">
        <v>1</v>
      </c>
      <c r="L592" s="73" t="s">
        <v>24</v>
      </c>
      <c r="M592" s="80" t="n">
        <f aca="false">IF("oui" = "oui",16.73*(1-disc),16.73)</f>
        <v>16.73</v>
      </c>
      <c r="N592" s="80" t="n">
        <f aca="false">IF("oui" = "oui",16.73*(1-disc)*1.2,16.73*1.2)</f>
        <v>20.076</v>
      </c>
      <c r="O592" s="73" t="s">
        <v>25</v>
      </c>
      <c r="P592" s="55" t="s">
        <v>63</v>
      </c>
      <c r="Q592" s="82"/>
    </row>
    <row r="593" s="3" customFormat="true" ht="12.8" hidden="false" customHeight="false" outlineLevel="0" collapsed="false">
      <c r="A593" s="72"/>
      <c r="B593" s="56" t="n">
        <v>512043000</v>
      </c>
      <c r="C593" s="73" t="n">
        <v>125</v>
      </c>
      <c r="D593" s="74" t="s">
        <v>537</v>
      </c>
      <c r="E593" s="75" t="s">
        <v>536</v>
      </c>
      <c r="F593" s="73" t="s">
        <v>23</v>
      </c>
      <c r="G593" s="76" t="n">
        <v>0.7</v>
      </c>
      <c r="H593" s="77"/>
      <c r="I593" s="78" t="n">
        <v>125</v>
      </c>
      <c r="J593" s="79" t="n">
        <v>24</v>
      </c>
      <c r="K593" s="79" t="n">
        <v>1</v>
      </c>
      <c r="L593" s="73" t="s">
        <v>24</v>
      </c>
      <c r="M593" s="80" t="n">
        <f aca="false">IF("oui" = "oui",16.73*(1-disc),16.73)</f>
        <v>16.73</v>
      </c>
      <c r="N593" s="80" t="n">
        <f aca="false">IF("oui" = "oui",16.73*(1-disc)*1.2,16.73*1.2)</f>
        <v>20.076</v>
      </c>
      <c r="O593" s="73" t="s">
        <v>25</v>
      </c>
      <c r="P593" s="55" t="s">
        <v>538</v>
      </c>
      <c r="Q593" s="82"/>
    </row>
    <row r="594" s="3" customFormat="true" ht="12.8" hidden="false" customHeight="false" outlineLevel="0" collapsed="false">
      <c r="A594" s="72"/>
      <c r="B594" s="56" t="n">
        <v>512044000</v>
      </c>
      <c r="C594" s="73" t="n">
        <v>125</v>
      </c>
      <c r="D594" s="74" t="s">
        <v>539</v>
      </c>
      <c r="E594" s="75" t="s">
        <v>536</v>
      </c>
      <c r="F594" s="73" t="s">
        <v>23</v>
      </c>
      <c r="G594" s="76" t="n">
        <v>0.58</v>
      </c>
      <c r="H594" s="77"/>
      <c r="I594" s="78" t="n">
        <v>125</v>
      </c>
      <c r="J594" s="79" t="n">
        <v>24</v>
      </c>
      <c r="K594" s="79" t="n">
        <v>1</v>
      </c>
      <c r="L594" s="73" t="s">
        <v>24</v>
      </c>
      <c r="M594" s="80" t="n">
        <f aca="false">IF("oui" = "oui",16.73*(1-disc),16.73)</f>
        <v>16.73</v>
      </c>
      <c r="N594" s="80" t="n">
        <f aca="false">IF("oui" = "oui",16.73*(1-disc)*1.2,16.73*1.2)</f>
        <v>20.076</v>
      </c>
      <c r="O594" s="73" t="s">
        <v>25</v>
      </c>
      <c r="P594" s="7" t="s">
        <v>26</v>
      </c>
      <c r="Q594" s="82"/>
    </row>
    <row r="595" s="3" customFormat="true" ht="12.8" hidden="false" customHeight="false" outlineLevel="0" collapsed="false">
      <c r="A595" s="72"/>
      <c r="B595" s="56" t="n">
        <v>512029000</v>
      </c>
      <c r="C595" s="73" t="n">
        <v>125</v>
      </c>
      <c r="D595" s="74" t="s">
        <v>540</v>
      </c>
      <c r="E595" s="75" t="s">
        <v>541</v>
      </c>
      <c r="F595" s="73" t="s">
        <v>23</v>
      </c>
      <c r="G595" s="76" t="n">
        <v>0.659</v>
      </c>
      <c r="H595" s="77"/>
      <c r="I595" s="78" t="n">
        <v>125</v>
      </c>
      <c r="J595" s="79" t="n">
        <v>24</v>
      </c>
      <c r="K595" s="79" t="n">
        <v>1</v>
      </c>
      <c r="L595" s="73" t="s">
        <v>24</v>
      </c>
      <c r="M595" s="80" t="n">
        <f aca="false">IF("oui" = "oui",21.07*(1-disc),21.07)</f>
        <v>21.07</v>
      </c>
      <c r="N595" s="80" t="n">
        <f aca="false">IF("oui" = "oui",21.07*(1-disc)*1.2,21.07*1.2)</f>
        <v>25.284</v>
      </c>
      <c r="O595" s="73" t="s">
        <v>25</v>
      </c>
      <c r="P595" s="55" t="s">
        <v>421</v>
      </c>
      <c r="Q595" s="82"/>
    </row>
    <row r="596" s="3" customFormat="true" ht="12.8" hidden="false" customHeight="false" outlineLevel="0" collapsed="false">
      <c r="A596" s="72"/>
      <c r="B596" s="23" t="n">
        <v>512009000</v>
      </c>
      <c r="C596" s="73" t="n">
        <v>125</v>
      </c>
      <c r="D596" s="74" t="s">
        <v>542</v>
      </c>
      <c r="E596" s="75" t="s">
        <v>521</v>
      </c>
      <c r="F596" s="73" t="s">
        <v>23</v>
      </c>
      <c r="G596" s="76" t="n">
        <v>0.614</v>
      </c>
      <c r="H596" s="77"/>
      <c r="I596" s="78" t="n">
        <v>125</v>
      </c>
      <c r="J596" s="79" t="n">
        <v>24</v>
      </c>
      <c r="K596" s="79" t="n">
        <v>1</v>
      </c>
      <c r="L596" s="73" t="s">
        <v>24</v>
      </c>
      <c r="M596" s="80" t="n">
        <f aca="false">IF("oui" = "oui",17.93*(1-disc),17.93)</f>
        <v>17.93</v>
      </c>
      <c r="N596" s="80" t="n">
        <f aca="false">IF("oui" = "oui",17.93*(1-disc)*1.2,17.93*1.2)</f>
        <v>21.516</v>
      </c>
      <c r="O596" s="73" t="s">
        <v>25</v>
      </c>
      <c r="P596" s="55" t="s">
        <v>276</v>
      </c>
      <c r="Q596" s="82"/>
    </row>
    <row r="597" s="3" customFormat="true" ht="12.8" hidden="false" customHeight="false" outlineLevel="0" collapsed="false">
      <c r="A597" s="72"/>
      <c r="B597" s="23" t="n">
        <v>512020000</v>
      </c>
      <c r="C597" s="73" t="n">
        <v>125</v>
      </c>
      <c r="D597" s="74" t="s">
        <v>543</v>
      </c>
      <c r="E597" s="75" t="s">
        <v>544</v>
      </c>
      <c r="F597" s="73" t="s">
        <v>23</v>
      </c>
      <c r="G597" s="76" t="n">
        <v>0.845</v>
      </c>
      <c r="H597" s="77"/>
      <c r="I597" s="78" t="n">
        <v>125</v>
      </c>
      <c r="J597" s="79" t="n">
        <v>24</v>
      </c>
      <c r="K597" s="79" t="n">
        <v>1</v>
      </c>
      <c r="L597" s="73" t="s">
        <v>24</v>
      </c>
      <c r="M597" s="80" t="n">
        <f aca="false">IF("oui" = "oui",16.73*(1-disc),16.73)</f>
        <v>16.73</v>
      </c>
      <c r="N597" s="80" t="n">
        <f aca="false">IF("oui" = "oui",16.73*(1-disc)*1.2,16.73*1.2)</f>
        <v>20.076</v>
      </c>
      <c r="O597" s="73" t="s">
        <v>25</v>
      </c>
      <c r="P597" s="7" t="s">
        <v>26</v>
      </c>
      <c r="Q597" s="82"/>
    </row>
    <row r="598" s="3" customFormat="true" ht="12.8" hidden="false" customHeight="false" outlineLevel="0" collapsed="false">
      <c r="A598" s="72"/>
      <c r="B598" s="56" t="n">
        <v>512047000</v>
      </c>
      <c r="C598" s="73" t="n">
        <v>125</v>
      </c>
      <c r="D598" s="74" t="s">
        <v>545</v>
      </c>
      <c r="E598" s="75" t="s">
        <v>494</v>
      </c>
      <c r="F598" s="73" t="s">
        <v>23</v>
      </c>
      <c r="G598" s="76" t="n">
        <v>0.614</v>
      </c>
      <c r="H598" s="77"/>
      <c r="I598" s="78" t="n">
        <v>125</v>
      </c>
      <c r="J598" s="79" t="n">
        <v>24</v>
      </c>
      <c r="K598" s="79" t="n">
        <v>1</v>
      </c>
      <c r="L598" s="73" t="s">
        <v>24</v>
      </c>
      <c r="M598" s="80" t="n">
        <f aca="false">IF("oui" = "oui",17.06*(1-disc),17.06)</f>
        <v>17.06</v>
      </c>
      <c r="N598" s="80" t="n">
        <f aca="false">IF("oui" = "oui",17.06*(1-disc)*1.2,17.06*1.2)</f>
        <v>20.472</v>
      </c>
      <c r="O598" s="73" t="s">
        <v>25</v>
      </c>
      <c r="P598" s="7" t="s">
        <v>26</v>
      </c>
      <c r="Q598" s="82"/>
    </row>
    <row r="599" s="3" customFormat="true" ht="12.8" hidden="false" customHeight="false" outlineLevel="0" collapsed="false">
      <c r="A599" s="72"/>
      <c r="B599" s="56"/>
      <c r="C599" s="73"/>
      <c r="D599" s="72"/>
      <c r="E599" s="75"/>
      <c r="F599" s="73"/>
      <c r="G599" s="76"/>
      <c r="H599" s="77"/>
      <c r="I599" s="78"/>
      <c r="J599" s="79"/>
      <c r="K599" s="79"/>
      <c r="L599" s="73"/>
      <c r="M599" s="80"/>
      <c r="N599" s="80"/>
      <c r="O599" s="73"/>
      <c r="P599" s="81"/>
      <c r="Q599" s="82"/>
    </row>
    <row r="600" customFormat="false" ht="12.8" hidden="false" customHeight="false" outlineLevel="0" collapsed="false">
      <c r="A600" s="30" t="s">
        <v>546</v>
      </c>
      <c r="B600" s="31"/>
      <c r="C600" s="32"/>
      <c r="D600" s="33"/>
      <c r="E600" s="34"/>
      <c r="F600" s="32"/>
      <c r="G600" s="35"/>
      <c r="H600" s="36"/>
      <c r="I600" s="37"/>
      <c r="J600" s="38"/>
      <c r="K600" s="38"/>
      <c r="L600" s="32"/>
      <c r="M600" s="39"/>
      <c r="N600" s="39"/>
      <c r="O600" s="32"/>
      <c r="P600" s="40"/>
      <c r="Q600" s="41"/>
    </row>
    <row r="601" customFormat="false" ht="12.8" hidden="false" customHeight="false" outlineLevel="0" collapsed="false">
      <c r="A601" s="22"/>
      <c r="B601" s="23"/>
      <c r="C601" s="24"/>
      <c r="D601" s="22"/>
      <c r="E601" s="19"/>
      <c r="F601" s="24"/>
      <c r="G601" s="25"/>
      <c r="H601" s="26"/>
      <c r="I601" s="27"/>
      <c r="J601" s="28"/>
      <c r="K601" s="28"/>
      <c r="L601" s="24"/>
      <c r="M601" s="29"/>
      <c r="N601" s="29"/>
      <c r="O601" s="24"/>
      <c r="P601" s="4"/>
      <c r="Q601" s="16"/>
    </row>
    <row r="602" customFormat="false" ht="12.8" hidden="false" customHeight="false" outlineLevel="0" collapsed="false">
      <c r="A602" s="42" t="s">
        <v>94</v>
      </c>
      <c r="B602" s="43"/>
      <c r="C602" s="44"/>
      <c r="D602" s="45"/>
      <c r="E602" s="46"/>
      <c r="F602" s="44"/>
      <c r="G602" s="47"/>
      <c r="H602" s="48"/>
      <c r="I602" s="49"/>
      <c r="J602" s="50"/>
      <c r="K602" s="50"/>
      <c r="L602" s="44"/>
      <c r="M602" s="51"/>
      <c r="N602" s="51"/>
      <c r="O602" s="44"/>
      <c r="P602" s="52"/>
      <c r="Q602" s="53"/>
    </row>
    <row r="603" customFormat="false" ht="12.8" hidden="false" customHeight="false" outlineLevel="0" collapsed="false">
      <c r="A603" s="22"/>
      <c r="B603" s="23"/>
      <c r="C603" s="24"/>
      <c r="D603" s="22"/>
      <c r="E603" s="19"/>
      <c r="F603" s="24"/>
      <c r="G603" s="25"/>
      <c r="H603" s="26"/>
      <c r="I603" s="27"/>
      <c r="J603" s="28"/>
      <c r="K603" s="28"/>
      <c r="L603" s="24"/>
      <c r="M603" s="29"/>
      <c r="N603" s="29"/>
      <c r="O603" s="24"/>
      <c r="P603" s="4"/>
      <c r="Q603" s="16"/>
    </row>
    <row r="604" customFormat="false" ht="12.8" hidden="false" customHeight="false" outlineLevel="0" collapsed="false">
      <c r="A604" s="22"/>
      <c r="B604" s="23" t="n">
        <v>515010000</v>
      </c>
      <c r="C604" s="24" t="n">
        <v>150</v>
      </c>
      <c r="D604" s="54" t="s">
        <v>547</v>
      </c>
      <c r="E604" s="19" t="s">
        <v>548</v>
      </c>
      <c r="F604" s="24" t="s">
        <v>23</v>
      </c>
      <c r="G604" s="25" t="n">
        <v>1.084</v>
      </c>
      <c r="H604" s="26"/>
      <c r="I604" s="27" t="n">
        <v>150</v>
      </c>
      <c r="J604" s="28" t="n">
        <v>9</v>
      </c>
      <c r="K604" s="28" t="n">
        <v>1</v>
      </c>
      <c r="L604" s="24" t="s">
        <v>24</v>
      </c>
      <c r="M604" s="29" t="n">
        <f aca="false">IF("oui" = "oui",24.02*(1-disc),24.02)</f>
        <v>24.02</v>
      </c>
      <c r="N604" s="29" t="n">
        <f aca="false">IF("oui" = "oui",24.02*(1-disc)*1.2,24.02*1.2)</f>
        <v>28.824</v>
      </c>
      <c r="O604" s="24" t="s">
        <v>25</v>
      </c>
      <c r="P604" s="4" t="s">
        <v>25</v>
      </c>
      <c r="Q604" s="16"/>
    </row>
    <row r="605" customFormat="false" ht="12.8" hidden="false" customHeight="false" outlineLevel="0" collapsed="false">
      <c r="A605" s="22"/>
      <c r="B605" s="23" t="n">
        <v>515011000</v>
      </c>
      <c r="C605" s="24" t="n">
        <v>150</v>
      </c>
      <c r="D605" s="54" t="s">
        <v>549</v>
      </c>
      <c r="E605" s="19" t="s">
        <v>548</v>
      </c>
      <c r="F605" s="24" t="s">
        <v>23</v>
      </c>
      <c r="G605" s="25" t="n">
        <v>1.157</v>
      </c>
      <c r="H605" s="26"/>
      <c r="I605" s="27" t="n">
        <v>150</v>
      </c>
      <c r="J605" s="28" t="n">
        <v>9</v>
      </c>
      <c r="K605" s="28" t="n">
        <v>1</v>
      </c>
      <c r="L605" s="24" t="s">
        <v>24</v>
      </c>
      <c r="M605" s="29" t="n">
        <f aca="false">IF("oui" = "oui",24.02*(1-disc),24.02)</f>
        <v>24.02</v>
      </c>
      <c r="N605" s="29" t="n">
        <f aca="false">IF("oui" = "oui",24.02*(1-disc)*1.2,24.02*1.2)</f>
        <v>28.824</v>
      </c>
      <c r="O605" s="24" t="s">
        <v>25</v>
      </c>
      <c r="P605" s="4" t="s">
        <v>25</v>
      </c>
      <c r="Q605" s="16"/>
    </row>
    <row r="606" customFormat="false" ht="12.8" hidden="false" customHeight="false" outlineLevel="0" collapsed="false">
      <c r="A606" s="22"/>
      <c r="B606" s="23" t="n">
        <v>515013000</v>
      </c>
      <c r="C606" s="24" t="n">
        <v>150</v>
      </c>
      <c r="D606" s="54" t="s">
        <v>550</v>
      </c>
      <c r="E606" s="19" t="s">
        <v>548</v>
      </c>
      <c r="F606" s="24" t="s">
        <v>23</v>
      </c>
      <c r="G606" s="25" t="n">
        <v>1.157</v>
      </c>
      <c r="H606" s="26"/>
      <c r="I606" s="27" t="n">
        <v>150</v>
      </c>
      <c r="J606" s="28" t="n">
        <v>9</v>
      </c>
      <c r="K606" s="28" t="n">
        <v>1</v>
      </c>
      <c r="L606" s="24" t="s">
        <v>24</v>
      </c>
      <c r="M606" s="29" t="n">
        <f aca="false">IF("oui" = "oui",24.02*(1-disc),24.02)</f>
        <v>24.02</v>
      </c>
      <c r="N606" s="29" t="n">
        <f aca="false">IF("oui" = "oui",24.02*(1-disc)*1.2,24.02*1.2)</f>
        <v>28.824</v>
      </c>
      <c r="O606" s="24" t="s">
        <v>25</v>
      </c>
      <c r="P606" s="4" t="s">
        <v>25</v>
      </c>
      <c r="Q606" s="16"/>
    </row>
    <row r="607" customFormat="false" ht="12.8" hidden="false" customHeight="false" outlineLevel="0" collapsed="false">
      <c r="A607" s="22"/>
      <c r="B607" s="23" t="n">
        <v>515015000</v>
      </c>
      <c r="C607" s="24" t="n">
        <v>150</v>
      </c>
      <c r="D607" s="54" t="s">
        <v>551</v>
      </c>
      <c r="E607" s="19" t="s">
        <v>548</v>
      </c>
      <c r="F607" s="24" t="s">
        <v>23</v>
      </c>
      <c r="G607" s="25" t="n">
        <v>1.157</v>
      </c>
      <c r="H607" s="26"/>
      <c r="I607" s="27" t="n">
        <v>150</v>
      </c>
      <c r="J607" s="28" t="n">
        <v>9</v>
      </c>
      <c r="K607" s="28" t="n">
        <v>1</v>
      </c>
      <c r="L607" s="24" t="s">
        <v>24</v>
      </c>
      <c r="M607" s="29" t="n">
        <f aca="false">IF("oui" = "oui",24.02*(1-disc),24.02)</f>
        <v>24.02</v>
      </c>
      <c r="N607" s="29" t="n">
        <f aca="false">IF("oui" = "oui",24.02*(1-disc)*1.2,24.02*1.2)</f>
        <v>28.824</v>
      </c>
      <c r="O607" s="24" t="s">
        <v>25</v>
      </c>
      <c r="P607" s="4" t="s">
        <v>25</v>
      </c>
      <c r="Q607" s="16"/>
    </row>
    <row r="608" customFormat="false" ht="12.8" hidden="false" customHeight="false" outlineLevel="0" collapsed="false">
      <c r="A608" s="22"/>
      <c r="B608" s="23" t="n">
        <v>515016000</v>
      </c>
      <c r="C608" s="24" t="n">
        <v>150</v>
      </c>
      <c r="D608" s="54" t="s">
        <v>552</v>
      </c>
      <c r="E608" s="19" t="s">
        <v>548</v>
      </c>
      <c r="F608" s="24" t="s">
        <v>23</v>
      </c>
      <c r="G608" s="25" t="n">
        <v>1.157</v>
      </c>
      <c r="H608" s="26"/>
      <c r="I608" s="27" t="n">
        <v>150</v>
      </c>
      <c r="J608" s="28" t="n">
        <v>9</v>
      </c>
      <c r="K608" s="28" t="n">
        <v>1</v>
      </c>
      <c r="L608" s="24" t="s">
        <v>24</v>
      </c>
      <c r="M608" s="29" t="n">
        <f aca="false">IF("oui" = "oui",24.02*(1-disc),24.02)</f>
        <v>24.02</v>
      </c>
      <c r="N608" s="29" t="n">
        <f aca="false">IF("oui" = "oui",24.02*(1-disc)*1.2,24.02*1.2)</f>
        <v>28.824</v>
      </c>
      <c r="O608" s="24" t="s">
        <v>25</v>
      </c>
      <c r="P608" s="4" t="s">
        <v>25</v>
      </c>
      <c r="Q608" s="16"/>
    </row>
    <row r="609" customFormat="false" ht="12.8" hidden="false" customHeight="false" outlineLevel="0" collapsed="false">
      <c r="A609" s="22"/>
      <c r="B609" s="23" t="n">
        <v>515017000</v>
      </c>
      <c r="C609" s="24" t="n">
        <v>150</v>
      </c>
      <c r="D609" s="54" t="s">
        <v>553</v>
      </c>
      <c r="E609" s="19" t="s">
        <v>548</v>
      </c>
      <c r="F609" s="24" t="s">
        <v>23</v>
      </c>
      <c r="G609" s="25" t="n">
        <v>1.157</v>
      </c>
      <c r="H609" s="26"/>
      <c r="I609" s="27" t="n">
        <v>160</v>
      </c>
      <c r="J609" s="28" t="n">
        <v>9</v>
      </c>
      <c r="K609" s="28" t="n">
        <v>1</v>
      </c>
      <c r="L609" s="24" t="s">
        <v>24</v>
      </c>
      <c r="M609" s="29" t="n">
        <f aca="false">IF("oui" = "oui",24.02*(1-disc),24.02)</f>
        <v>24.02</v>
      </c>
      <c r="N609" s="29" t="n">
        <f aca="false">IF("oui" = "oui",24.02*(1-disc)*1.2,24.02*1.2)</f>
        <v>28.824</v>
      </c>
      <c r="O609" s="24" t="s">
        <v>25</v>
      </c>
      <c r="P609" s="4" t="s">
        <v>25</v>
      </c>
      <c r="Q609" s="16"/>
    </row>
    <row r="610" customFormat="false" ht="12.8" hidden="false" customHeight="false" outlineLevel="0" collapsed="false">
      <c r="A610" s="22"/>
      <c r="B610" s="23" t="n">
        <v>515018000</v>
      </c>
      <c r="C610" s="24" t="n">
        <v>150</v>
      </c>
      <c r="D610" s="54" t="s">
        <v>554</v>
      </c>
      <c r="E610" s="19" t="s">
        <v>548</v>
      </c>
      <c r="F610" s="24" t="s">
        <v>23</v>
      </c>
      <c r="G610" s="25" t="n">
        <v>1.157</v>
      </c>
      <c r="H610" s="26"/>
      <c r="I610" s="27" t="n">
        <v>150</v>
      </c>
      <c r="J610" s="28" t="n">
        <v>9</v>
      </c>
      <c r="K610" s="28" t="n">
        <v>1</v>
      </c>
      <c r="L610" s="24" t="s">
        <v>24</v>
      </c>
      <c r="M610" s="29" t="n">
        <f aca="false">IF("oui" = "oui",24.02*(1-disc),24.02)</f>
        <v>24.02</v>
      </c>
      <c r="N610" s="29" t="n">
        <f aca="false">IF("oui" = "oui",24.02*(1-disc)*1.2,24.02*1.2)</f>
        <v>28.824</v>
      </c>
      <c r="O610" s="24" t="s">
        <v>25</v>
      </c>
      <c r="P610" s="4" t="s">
        <v>25</v>
      </c>
      <c r="Q610" s="16"/>
    </row>
    <row r="611" customFormat="false" ht="12.8" hidden="false" customHeight="false" outlineLevel="0" collapsed="false">
      <c r="A611" s="22"/>
      <c r="B611" s="23" t="n">
        <v>515019000</v>
      </c>
      <c r="C611" s="24" t="n">
        <v>150</v>
      </c>
      <c r="D611" s="54" t="s">
        <v>555</v>
      </c>
      <c r="E611" s="19" t="s">
        <v>548</v>
      </c>
      <c r="F611" s="24" t="s">
        <v>23</v>
      </c>
      <c r="G611" s="25" t="n">
        <v>1.157</v>
      </c>
      <c r="H611" s="26"/>
      <c r="I611" s="27" t="n">
        <v>150</v>
      </c>
      <c r="J611" s="28" t="n">
        <v>9</v>
      </c>
      <c r="K611" s="28" t="n">
        <v>1</v>
      </c>
      <c r="L611" s="24" t="s">
        <v>24</v>
      </c>
      <c r="M611" s="29" t="n">
        <f aca="false">IF("oui" = "oui",24.02*(1-disc),24.02)</f>
        <v>24.02</v>
      </c>
      <c r="N611" s="29" t="n">
        <f aca="false">IF("oui" = "oui",24.02*(1-disc)*1.2,24.02*1.2)</f>
        <v>28.824</v>
      </c>
      <c r="O611" s="24" t="s">
        <v>25</v>
      </c>
      <c r="P611" s="4" t="s">
        <v>25</v>
      </c>
      <c r="Q611" s="16"/>
    </row>
    <row r="612" customFormat="false" ht="12.8" hidden="false" customHeight="false" outlineLevel="0" collapsed="false">
      <c r="A612" s="22"/>
      <c r="B612" s="23" t="n">
        <v>515020000</v>
      </c>
      <c r="C612" s="24" t="n">
        <v>150</v>
      </c>
      <c r="D612" s="54" t="s">
        <v>556</v>
      </c>
      <c r="E612" s="19" t="s">
        <v>548</v>
      </c>
      <c r="F612" s="24" t="s">
        <v>23</v>
      </c>
      <c r="G612" s="25" t="n">
        <v>1.157</v>
      </c>
      <c r="H612" s="26"/>
      <c r="I612" s="27" t="n">
        <v>150</v>
      </c>
      <c r="J612" s="28" t="n">
        <v>9</v>
      </c>
      <c r="K612" s="28" t="n">
        <v>1</v>
      </c>
      <c r="L612" s="24" t="s">
        <v>24</v>
      </c>
      <c r="M612" s="29" t="n">
        <f aca="false">IF("oui" = "oui",24.02*(1-disc),24.02)</f>
        <v>24.02</v>
      </c>
      <c r="N612" s="29" t="n">
        <f aca="false">IF("oui" = "oui",24.02*(1-disc)*1.2,24.02*1.2)</f>
        <v>28.824</v>
      </c>
      <c r="O612" s="24" t="s">
        <v>25</v>
      </c>
      <c r="P612" s="4" t="s">
        <v>25</v>
      </c>
      <c r="Q612" s="16"/>
    </row>
    <row r="613" customFormat="false" ht="12.8" hidden="false" customHeight="false" outlineLevel="0" collapsed="false">
      <c r="A613" s="22"/>
      <c r="B613" s="23" t="n">
        <v>515031000</v>
      </c>
      <c r="C613" s="24" t="n">
        <v>150</v>
      </c>
      <c r="D613" s="54" t="s">
        <v>557</v>
      </c>
      <c r="E613" s="19" t="s">
        <v>548</v>
      </c>
      <c r="F613" s="24" t="s">
        <v>23</v>
      </c>
      <c r="G613" s="25" t="n">
        <v>1.157</v>
      </c>
      <c r="H613" s="26"/>
      <c r="I613" s="27" t="n">
        <v>150</v>
      </c>
      <c r="J613" s="28" t="n">
        <v>9</v>
      </c>
      <c r="K613" s="28" t="n">
        <v>1</v>
      </c>
      <c r="L613" s="24" t="s">
        <v>24</v>
      </c>
      <c r="M613" s="29" t="n">
        <f aca="false">IF("oui" = "oui",24.02*(1-disc),24.02)</f>
        <v>24.02</v>
      </c>
      <c r="N613" s="29" t="n">
        <f aca="false">IF("oui" = "oui",24.02*(1-disc)*1.2,24.02*1.2)</f>
        <v>28.824</v>
      </c>
      <c r="O613" s="24" t="s">
        <v>25</v>
      </c>
      <c r="P613" s="4" t="s">
        <v>25</v>
      </c>
      <c r="Q613" s="16"/>
    </row>
    <row r="614" customFormat="false" ht="12.8" hidden="false" customHeight="false" outlineLevel="0" collapsed="false">
      <c r="A614" s="22"/>
      <c r="B614" s="23"/>
      <c r="C614" s="24"/>
      <c r="D614" s="22"/>
      <c r="E614" s="19"/>
      <c r="F614" s="24"/>
      <c r="G614" s="25"/>
      <c r="H614" s="26"/>
      <c r="I614" s="27"/>
      <c r="J614" s="28"/>
      <c r="K614" s="28"/>
      <c r="L614" s="24"/>
      <c r="M614" s="29"/>
      <c r="N614" s="29"/>
      <c r="O614" s="24"/>
      <c r="P614" s="4"/>
      <c r="Q614" s="16"/>
    </row>
    <row r="615" customFormat="false" ht="12.8" hidden="false" customHeight="false" outlineLevel="0" collapsed="false">
      <c r="A615" s="22"/>
      <c r="B615" s="23" t="n">
        <v>515030000</v>
      </c>
      <c r="C615" s="24" t="n">
        <v>150</v>
      </c>
      <c r="D615" s="22" t="s">
        <v>558</v>
      </c>
      <c r="E615" s="19" t="s">
        <v>548</v>
      </c>
      <c r="F615" s="24" t="s">
        <v>23</v>
      </c>
      <c r="G615" s="25" t="n">
        <v>5.42</v>
      </c>
      <c r="H615" s="26"/>
      <c r="I615" s="27" t="n">
        <v>150</v>
      </c>
      <c r="J615" s="28" t="n">
        <v>2</v>
      </c>
      <c r="K615" s="28" t="n">
        <v>5</v>
      </c>
      <c r="L615" s="24" t="s">
        <v>24</v>
      </c>
      <c r="M615" s="29" t="n">
        <f aca="false">IF("oui" = "oui",120.06*(1-disc),120.06)</f>
        <v>120.06</v>
      </c>
      <c r="N615" s="29" t="n">
        <f aca="false">IF("oui" = "oui",120.06*(1-disc)*1.2,120.06*1.2)</f>
        <v>144.072</v>
      </c>
      <c r="O615" s="24" t="s">
        <v>25</v>
      </c>
      <c r="P615" s="4" t="s">
        <v>25</v>
      </c>
      <c r="Q615" s="16"/>
    </row>
    <row r="616" customFormat="false" ht="12.8" hidden="false" customHeight="false" outlineLevel="0" collapsed="false">
      <c r="A616" s="22"/>
      <c r="B616" s="23"/>
      <c r="C616" s="24"/>
      <c r="D616" s="22"/>
      <c r="E616" s="19"/>
      <c r="F616" s="24"/>
      <c r="G616" s="25"/>
      <c r="H616" s="26"/>
      <c r="I616" s="27"/>
      <c r="J616" s="28"/>
      <c r="K616" s="28"/>
      <c r="L616" s="24"/>
      <c r="M616" s="29"/>
      <c r="N616" s="29"/>
      <c r="O616" s="24"/>
      <c r="P616" s="4"/>
      <c r="Q616" s="16"/>
    </row>
    <row r="617" customFormat="false" ht="12.8" hidden="false" customHeight="false" outlineLevel="0" collapsed="false">
      <c r="A617" s="42" t="s">
        <v>109</v>
      </c>
      <c r="B617" s="43"/>
      <c r="C617" s="44"/>
      <c r="D617" s="45"/>
      <c r="E617" s="46"/>
      <c r="F617" s="44"/>
      <c r="G617" s="47"/>
      <c r="H617" s="48"/>
      <c r="I617" s="49"/>
      <c r="J617" s="50"/>
      <c r="K617" s="50"/>
      <c r="L617" s="44"/>
      <c r="M617" s="51"/>
      <c r="N617" s="51"/>
      <c r="O617" s="44"/>
      <c r="P617" s="52"/>
      <c r="Q617" s="53"/>
    </row>
    <row r="618" customFormat="false" ht="12.8" hidden="false" customHeight="false" outlineLevel="0" collapsed="false">
      <c r="A618" s="22"/>
      <c r="B618" s="23"/>
      <c r="C618" s="24"/>
      <c r="D618" s="22"/>
      <c r="E618" s="19"/>
      <c r="F618" s="24"/>
      <c r="G618" s="25"/>
      <c r="H618" s="26"/>
      <c r="I618" s="27"/>
      <c r="J618" s="28"/>
      <c r="K618" s="28"/>
      <c r="L618" s="24"/>
      <c r="M618" s="29"/>
      <c r="N618" s="29"/>
      <c r="O618" s="24"/>
      <c r="P618" s="4"/>
      <c r="Q618" s="16"/>
    </row>
    <row r="619" customFormat="false" ht="12.8" hidden="false" customHeight="false" outlineLevel="0" collapsed="false">
      <c r="A619" s="22"/>
      <c r="B619" s="23" t="n">
        <v>515040000</v>
      </c>
      <c r="C619" s="24" t="n">
        <v>150</v>
      </c>
      <c r="D619" s="54" t="s">
        <v>559</v>
      </c>
      <c r="E619" s="19" t="s">
        <v>560</v>
      </c>
      <c r="F619" s="24" t="s">
        <v>23</v>
      </c>
      <c r="G619" s="25" t="n">
        <v>1.025</v>
      </c>
      <c r="H619" s="26"/>
      <c r="I619" s="27" t="n">
        <v>150</v>
      </c>
      <c r="J619" s="28" t="n">
        <v>9</v>
      </c>
      <c r="K619" s="28" t="n">
        <v>1</v>
      </c>
      <c r="L619" s="24" t="s">
        <v>24</v>
      </c>
      <c r="M619" s="29" t="n">
        <f aca="false">IF("oui" = "oui",26.19*(1-disc),26.19)</f>
        <v>26.19</v>
      </c>
      <c r="N619" s="29" t="n">
        <f aca="false">IF("oui" = "oui",26.19*(1-disc)*1.2,26.19*1.2)</f>
        <v>31.428</v>
      </c>
      <c r="O619" s="24" t="s">
        <v>25</v>
      </c>
      <c r="P619" s="4" t="s">
        <v>25</v>
      </c>
      <c r="Q619" s="16"/>
    </row>
    <row r="620" customFormat="false" ht="12.8" hidden="false" customHeight="false" outlineLevel="0" collapsed="false">
      <c r="A620" s="22"/>
      <c r="B620" s="23" t="n">
        <v>515041000</v>
      </c>
      <c r="C620" s="24" t="n">
        <v>150</v>
      </c>
      <c r="D620" s="54" t="s">
        <v>561</v>
      </c>
      <c r="E620" s="19" t="s">
        <v>560</v>
      </c>
      <c r="F620" s="24" t="s">
        <v>23</v>
      </c>
      <c r="G620" s="25" t="n">
        <v>1.025</v>
      </c>
      <c r="H620" s="26"/>
      <c r="I620" s="27" t="n">
        <v>150</v>
      </c>
      <c r="J620" s="28" t="n">
        <v>9</v>
      </c>
      <c r="K620" s="28" t="n">
        <v>1</v>
      </c>
      <c r="L620" s="24" t="s">
        <v>24</v>
      </c>
      <c r="M620" s="29" t="n">
        <f aca="false">IF("oui" = "oui",26.19*(1-disc),26.19)</f>
        <v>26.19</v>
      </c>
      <c r="N620" s="29" t="n">
        <f aca="false">IF("oui" = "oui",26.19*(1-disc)*1.2,26.19*1.2)</f>
        <v>31.428</v>
      </c>
      <c r="O620" s="24" t="s">
        <v>25</v>
      </c>
      <c r="P620" s="4" t="s">
        <v>25</v>
      </c>
      <c r="Q620" s="16"/>
    </row>
    <row r="621" customFormat="false" ht="12.8" hidden="false" customHeight="false" outlineLevel="0" collapsed="false">
      <c r="A621" s="22"/>
      <c r="B621" s="23" t="n">
        <v>515042000</v>
      </c>
      <c r="C621" s="24" t="n">
        <v>150</v>
      </c>
      <c r="D621" s="54" t="s">
        <v>562</v>
      </c>
      <c r="E621" s="19" t="s">
        <v>560</v>
      </c>
      <c r="F621" s="24" t="s">
        <v>23</v>
      </c>
      <c r="G621" s="25" t="n">
        <v>1.025</v>
      </c>
      <c r="H621" s="26"/>
      <c r="I621" s="27" t="n">
        <v>150</v>
      </c>
      <c r="J621" s="28" t="n">
        <v>9</v>
      </c>
      <c r="K621" s="28" t="n">
        <v>1</v>
      </c>
      <c r="L621" s="24" t="s">
        <v>24</v>
      </c>
      <c r="M621" s="29" t="n">
        <f aca="false">IF("oui" = "oui",26.19*(1-disc),26.19)</f>
        <v>26.19</v>
      </c>
      <c r="N621" s="29" t="n">
        <f aca="false">IF("oui" = "oui",26.19*(1-disc)*1.2,26.19*1.2)</f>
        <v>31.428</v>
      </c>
      <c r="O621" s="24" t="s">
        <v>25</v>
      </c>
      <c r="P621" s="4" t="s">
        <v>25</v>
      </c>
      <c r="Q621" s="16"/>
    </row>
    <row r="622" customFormat="false" ht="12.8" hidden="false" customHeight="false" outlineLevel="0" collapsed="false">
      <c r="A622" s="22"/>
      <c r="B622" s="23" t="n">
        <v>515043000</v>
      </c>
      <c r="C622" s="24" t="n">
        <v>150</v>
      </c>
      <c r="D622" s="54" t="s">
        <v>563</v>
      </c>
      <c r="E622" s="19" t="s">
        <v>560</v>
      </c>
      <c r="F622" s="24" t="s">
        <v>23</v>
      </c>
      <c r="G622" s="25" t="n">
        <v>1.025</v>
      </c>
      <c r="H622" s="26"/>
      <c r="I622" s="27" t="n">
        <v>150</v>
      </c>
      <c r="J622" s="28" t="n">
        <v>9</v>
      </c>
      <c r="K622" s="28" t="n">
        <v>1</v>
      </c>
      <c r="L622" s="24" t="s">
        <v>24</v>
      </c>
      <c r="M622" s="29" t="n">
        <f aca="false">IF("oui" = "oui",43.1*(1-disc),43.1)</f>
        <v>43.1</v>
      </c>
      <c r="N622" s="29" t="n">
        <f aca="false">IF("oui" = "oui",43.1*(1-disc)*1.2,43.1*1.2)</f>
        <v>51.72</v>
      </c>
      <c r="O622" s="24" t="s">
        <v>25</v>
      </c>
      <c r="P622" s="4" t="s">
        <v>25</v>
      </c>
      <c r="Q622" s="16"/>
    </row>
    <row r="623" customFormat="false" ht="12.8" hidden="false" customHeight="false" outlineLevel="0" collapsed="false">
      <c r="A623" s="22"/>
      <c r="B623" s="23" t="n">
        <v>515044000</v>
      </c>
      <c r="C623" s="24" t="n">
        <v>150</v>
      </c>
      <c r="D623" s="54" t="s">
        <v>564</v>
      </c>
      <c r="E623" s="19" t="s">
        <v>560</v>
      </c>
      <c r="F623" s="24" t="s">
        <v>23</v>
      </c>
      <c r="G623" s="25" t="n">
        <v>1.025</v>
      </c>
      <c r="H623" s="26"/>
      <c r="I623" s="27" t="n">
        <v>150</v>
      </c>
      <c r="J623" s="28" t="n">
        <v>9</v>
      </c>
      <c r="K623" s="28" t="n">
        <v>1</v>
      </c>
      <c r="L623" s="24" t="s">
        <v>24</v>
      </c>
      <c r="M623" s="29" t="n">
        <f aca="false">IF("oui" = "oui",26.19*(1-disc),26.19)</f>
        <v>26.19</v>
      </c>
      <c r="N623" s="29" t="n">
        <f aca="false">IF("oui" = "oui",26.19*(1-disc)*1.2,26.19*1.2)</f>
        <v>31.428</v>
      </c>
      <c r="O623" s="24" t="s">
        <v>25</v>
      </c>
      <c r="P623" s="4" t="s">
        <v>25</v>
      </c>
      <c r="Q623" s="16"/>
    </row>
    <row r="624" customFormat="false" ht="12.8" hidden="false" customHeight="false" outlineLevel="0" collapsed="false">
      <c r="A624" s="22"/>
      <c r="B624" s="23" t="n">
        <v>515045000</v>
      </c>
      <c r="C624" s="24" t="n">
        <v>150</v>
      </c>
      <c r="D624" s="54" t="s">
        <v>565</v>
      </c>
      <c r="E624" s="19" t="s">
        <v>560</v>
      </c>
      <c r="F624" s="24" t="s">
        <v>23</v>
      </c>
      <c r="G624" s="25" t="n">
        <v>1.025</v>
      </c>
      <c r="H624" s="26"/>
      <c r="I624" s="27" t="n">
        <v>150</v>
      </c>
      <c r="J624" s="28" t="n">
        <v>9</v>
      </c>
      <c r="K624" s="28" t="n">
        <v>1</v>
      </c>
      <c r="L624" s="24" t="s">
        <v>24</v>
      </c>
      <c r="M624" s="29" t="n">
        <f aca="false">IF("oui" = "oui",26.19*(1-disc),26.19)</f>
        <v>26.19</v>
      </c>
      <c r="N624" s="29" t="n">
        <f aca="false">IF("oui" = "oui",26.19*(1-disc)*1.2,26.19*1.2)</f>
        <v>31.428</v>
      </c>
      <c r="O624" s="24" t="s">
        <v>25</v>
      </c>
      <c r="P624" s="4" t="s">
        <v>25</v>
      </c>
      <c r="Q624" s="16"/>
    </row>
    <row r="625" customFormat="false" ht="12.8" hidden="false" customHeight="false" outlineLevel="0" collapsed="false">
      <c r="A625" s="22"/>
      <c r="B625" s="23" t="n">
        <v>515046000</v>
      </c>
      <c r="C625" s="24" t="n">
        <v>150</v>
      </c>
      <c r="D625" s="54" t="s">
        <v>566</v>
      </c>
      <c r="E625" s="19" t="s">
        <v>560</v>
      </c>
      <c r="F625" s="24" t="s">
        <v>23</v>
      </c>
      <c r="G625" s="25" t="n">
        <v>1.025</v>
      </c>
      <c r="H625" s="26"/>
      <c r="I625" s="27" t="n">
        <v>150</v>
      </c>
      <c r="J625" s="28" t="n">
        <v>9</v>
      </c>
      <c r="K625" s="28" t="n">
        <v>1</v>
      </c>
      <c r="L625" s="24" t="s">
        <v>24</v>
      </c>
      <c r="M625" s="29" t="n">
        <f aca="false">IF("oui" = "oui",26.19*(1-disc),26.19)</f>
        <v>26.19</v>
      </c>
      <c r="N625" s="29" t="n">
        <f aca="false">IF("oui" = "oui",26.19*(1-disc)*1.2,26.19*1.2)</f>
        <v>31.428</v>
      </c>
      <c r="O625" s="24" t="s">
        <v>25</v>
      </c>
      <c r="P625" s="4" t="s">
        <v>25</v>
      </c>
      <c r="Q625" s="16"/>
    </row>
    <row r="626" customFormat="false" ht="12.8" hidden="false" customHeight="false" outlineLevel="0" collapsed="false">
      <c r="A626" s="22"/>
      <c r="B626" s="23" t="n">
        <v>515047000</v>
      </c>
      <c r="C626" s="24" t="n">
        <v>150</v>
      </c>
      <c r="D626" s="54" t="s">
        <v>567</v>
      </c>
      <c r="E626" s="19" t="s">
        <v>560</v>
      </c>
      <c r="F626" s="24" t="s">
        <v>23</v>
      </c>
      <c r="G626" s="25" t="n">
        <v>1.025</v>
      </c>
      <c r="H626" s="26"/>
      <c r="I626" s="27" t="n">
        <v>150</v>
      </c>
      <c r="J626" s="28" t="n">
        <v>9</v>
      </c>
      <c r="K626" s="28" t="n">
        <v>1</v>
      </c>
      <c r="L626" s="24" t="s">
        <v>24</v>
      </c>
      <c r="M626" s="29" t="n">
        <f aca="false">IF("oui" = "oui",26.19*(1-disc),26.19)</f>
        <v>26.19</v>
      </c>
      <c r="N626" s="29" t="n">
        <f aca="false">IF("oui" = "oui",26.19*(1-disc)*1.2,26.19*1.2)</f>
        <v>31.428</v>
      </c>
      <c r="O626" s="24" t="s">
        <v>25</v>
      </c>
      <c r="P626" s="4" t="s">
        <v>25</v>
      </c>
      <c r="Q626" s="16"/>
    </row>
    <row r="627" customFormat="false" ht="12.8" hidden="false" customHeight="false" outlineLevel="0" collapsed="false">
      <c r="A627" s="22"/>
      <c r="B627" s="23" t="n">
        <v>515048000</v>
      </c>
      <c r="C627" s="24" t="n">
        <v>150</v>
      </c>
      <c r="D627" s="54" t="s">
        <v>568</v>
      </c>
      <c r="E627" s="19" t="s">
        <v>560</v>
      </c>
      <c r="F627" s="24" t="s">
        <v>23</v>
      </c>
      <c r="G627" s="25" t="n">
        <v>1.025</v>
      </c>
      <c r="H627" s="26"/>
      <c r="I627" s="27" t="n">
        <v>150</v>
      </c>
      <c r="J627" s="28" t="n">
        <v>9</v>
      </c>
      <c r="K627" s="28" t="n">
        <v>1</v>
      </c>
      <c r="L627" s="24" t="s">
        <v>24</v>
      </c>
      <c r="M627" s="29" t="n">
        <f aca="false">IF("oui" = "oui",26.19*(1-disc),26.19)</f>
        <v>26.19</v>
      </c>
      <c r="N627" s="29" t="n">
        <f aca="false">IF("oui" = "oui",26.19*(1-disc)*1.2,26.19*1.2)</f>
        <v>31.428</v>
      </c>
      <c r="O627" s="24" t="s">
        <v>25</v>
      </c>
      <c r="P627" s="4" t="s">
        <v>25</v>
      </c>
      <c r="Q627" s="16"/>
    </row>
    <row r="628" customFormat="false" ht="12.8" hidden="false" customHeight="false" outlineLevel="0" collapsed="false">
      <c r="A628" s="22"/>
      <c r="B628" s="23" t="n">
        <v>515049000</v>
      </c>
      <c r="C628" s="24" t="n">
        <v>150</v>
      </c>
      <c r="D628" s="54" t="s">
        <v>569</v>
      </c>
      <c r="E628" s="19" t="s">
        <v>560</v>
      </c>
      <c r="F628" s="24" t="s">
        <v>23</v>
      </c>
      <c r="G628" s="25" t="n">
        <v>1.025</v>
      </c>
      <c r="H628" s="26"/>
      <c r="I628" s="27" t="n">
        <v>150</v>
      </c>
      <c r="J628" s="28" t="n">
        <v>9</v>
      </c>
      <c r="K628" s="28" t="n">
        <v>1</v>
      </c>
      <c r="L628" s="24" t="s">
        <v>24</v>
      </c>
      <c r="M628" s="29" t="n">
        <f aca="false">IF("oui" = "oui",26.19*(1-disc),26.19)</f>
        <v>26.19</v>
      </c>
      <c r="N628" s="29" t="n">
        <f aca="false">IF("oui" = "oui",26.19*(1-disc)*1.2,26.19*1.2)</f>
        <v>31.428</v>
      </c>
      <c r="O628" s="24" t="s">
        <v>25</v>
      </c>
      <c r="P628" s="55" t="s">
        <v>570</v>
      </c>
      <c r="Q628" s="16"/>
    </row>
    <row r="629" customFormat="false" ht="12.8" hidden="false" customHeight="false" outlineLevel="0" collapsed="false">
      <c r="A629" s="22"/>
      <c r="B629" s="23" t="n">
        <v>515050000</v>
      </c>
      <c r="C629" s="24" t="n">
        <v>150</v>
      </c>
      <c r="D629" s="54" t="s">
        <v>571</v>
      </c>
      <c r="E629" s="19" t="s">
        <v>560</v>
      </c>
      <c r="F629" s="24" t="s">
        <v>23</v>
      </c>
      <c r="G629" s="25" t="n">
        <v>1.025</v>
      </c>
      <c r="H629" s="26"/>
      <c r="I629" s="27" t="n">
        <v>150</v>
      </c>
      <c r="J629" s="28" t="n">
        <v>9</v>
      </c>
      <c r="K629" s="28" t="n">
        <v>1</v>
      </c>
      <c r="L629" s="24" t="s">
        <v>24</v>
      </c>
      <c r="M629" s="29" t="n">
        <f aca="false">IF("oui" = "oui",26.19*(1-disc),26.19)</f>
        <v>26.19</v>
      </c>
      <c r="N629" s="29" t="n">
        <f aca="false">IF("oui" = "oui",26.19*(1-disc)*1.2,26.19*1.2)</f>
        <v>31.428</v>
      </c>
      <c r="O629" s="24" t="s">
        <v>25</v>
      </c>
      <c r="P629" s="4" t="s">
        <v>25</v>
      </c>
      <c r="Q629" s="16"/>
    </row>
    <row r="630" customFormat="false" ht="12.8" hidden="false" customHeight="false" outlineLevel="0" collapsed="false">
      <c r="A630" s="22"/>
      <c r="B630" s="23"/>
      <c r="C630" s="24"/>
      <c r="D630" s="22"/>
      <c r="E630" s="19"/>
      <c r="F630" s="24"/>
      <c r="G630" s="25"/>
      <c r="H630" s="26"/>
      <c r="I630" s="27"/>
      <c r="J630" s="28"/>
      <c r="K630" s="28"/>
      <c r="L630" s="24"/>
      <c r="M630" s="29"/>
      <c r="N630" s="29"/>
      <c r="O630" s="24"/>
      <c r="P630" s="4"/>
      <c r="Q630" s="16"/>
    </row>
    <row r="631" customFormat="false" ht="12.8" hidden="false" customHeight="false" outlineLevel="0" collapsed="false">
      <c r="A631" s="22"/>
      <c r="B631" s="23" t="n">
        <v>515073000</v>
      </c>
      <c r="C631" s="24" t="n">
        <v>150</v>
      </c>
      <c r="D631" s="22" t="s">
        <v>572</v>
      </c>
      <c r="E631" s="19" t="s">
        <v>560</v>
      </c>
      <c r="F631" s="24" t="s">
        <v>23</v>
      </c>
      <c r="G631" s="25" t="n">
        <v>5.125</v>
      </c>
      <c r="H631" s="26"/>
      <c r="I631" s="27" t="n">
        <v>150</v>
      </c>
      <c r="J631" s="28" t="n">
        <v>2</v>
      </c>
      <c r="K631" s="28" t="n">
        <v>5</v>
      </c>
      <c r="L631" s="24" t="s">
        <v>24</v>
      </c>
      <c r="M631" s="29" t="n">
        <f aca="false">IF("oui" = "oui",130.92*(1-disc),130.92)</f>
        <v>130.92</v>
      </c>
      <c r="N631" s="29" t="n">
        <f aca="false">IF("oui" = "oui",130.92*(1-disc)*1.2,130.92*1.2)</f>
        <v>157.104</v>
      </c>
      <c r="O631" s="24" t="s">
        <v>25</v>
      </c>
      <c r="P631" s="4" t="s">
        <v>25</v>
      </c>
      <c r="Q631" s="16"/>
    </row>
    <row r="632" customFormat="false" ht="12.8" hidden="false" customHeight="false" outlineLevel="0" collapsed="false">
      <c r="A632" s="22"/>
      <c r="B632" s="23"/>
      <c r="C632" s="24"/>
      <c r="D632" s="22"/>
      <c r="E632" s="19"/>
      <c r="F632" s="24"/>
      <c r="G632" s="25"/>
      <c r="H632" s="26"/>
      <c r="I632" s="27"/>
      <c r="J632" s="28"/>
      <c r="K632" s="28"/>
      <c r="L632" s="24"/>
      <c r="M632" s="29"/>
      <c r="N632" s="29"/>
      <c r="O632" s="24"/>
      <c r="P632" s="4"/>
      <c r="Q632" s="16"/>
    </row>
    <row r="633" customFormat="false" ht="12.8" hidden="false" customHeight="false" outlineLevel="0" collapsed="false">
      <c r="A633" s="42" t="s">
        <v>519</v>
      </c>
      <c r="B633" s="43"/>
      <c r="C633" s="44"/>
      <c r="D633" s="45"/>
      <c r="E633" s="46"/>
      <c r="F633" s="44"/>
      <c r="G633" s="47"/>
      <c r="H633" s="48"/>
      <c r="I633" s="49"/>
      <c r="J633" s="50"/>
      <c r="K633" s="50"/>
      <c r="L633" s="44"/>
      <c r="M633" s="51"/>
      <c r="N633" s="51"/>
      <c r="O633" s="44"/>
      <c r="P633" s="52"/>
      <c r="Q633" s="53"/>
    </row>
    <row r="634" customFormat="false" ht="12.8" hidden="false" customHeight="false" outlineLevel="0" collapsed="false">
      <c r="A634" s="22"/>
      <c r="B634" s="23"/>
      <c r="C634" s="24"/>
      <c r="D634" s="22"/>
      <c r="E634" s="19"/>
      <c r="F634" s="24"/>
      <c r="G634" s="25"/>
      <c r="H634" s="26"/>
      <c r="I634" s="27"/>
      <c r="J634" s="28"/>
      <c r="K634" s="28"/>
      <c r="L634" s="24"/>
      <c r="M634" s="29"/>
      <c r="N634" s="29"/>
      <c r="O634" s="24"/>
      <c r="P634" s="4"/>
      <c r="Q634" s="16"/>
    </row>
    <row r="635" customFormat="false" ht="12.8" hidden="false" customHeight="false" outlineLevel="0" collapsed="false">
      <c r="A635" s="22"/>
      <c r="B635" s="23" t="n">
        <v>515007000</v>
      </c>
      <c r="C635" s="24" t="n">
        <v>150</v>
      </c>
      <c r="D635" s="54" t="s">
        <v>573</v>
      </c>
      <c r="E635" s="19" t="s">
        <v>574</v>
      </c>
      <c r="F635" s="24" t="s">
        <v>23</v>
      </c>
      <c r="G635" s="25" t="n">
        <v>1.053</v>
      </c>
      <c r="H635" s="26"/>
      <c r="I635" s="27" t="n">
        <v>150</v>
      </c>
      <c r="J635" s="28" t="n">
        <v>9</v>
      </c>
      <c r="K635" s="28" t="n">
        <v>1</v>
      </c>
      <c r="L635" s="24" t="s">
        <v>24</v>
      </c>
      <c r="M635" s="29" t="n">
        <f aca="false">IF("oui" = "oui",26.19*(1-disc),26.19)</f>
        <v>26.19</v>
      </c>
      <c r="N635" s="29" t="n">
        <f aca="false">IF("oui" = "oui",26.19*(1-disc)*1.2,26.19*1.2)</f>
        <v>31.428</v>
      </c>
      <c r="O635" s="24" t="s">
        <v>25</v>
      </c>
      <c r="P635" s="4" t="s">
        <v>25</v>
      </c>
      <c r="Q635" s="16"/>
    </row>
    <row r="636" customFormat="false" ht="12.8" hidden="false" customHeight="false" outlineLevel="0" collapsed="false">
      <c r="A636" s="22"/>
      <c r="B636" s="23" t="n">
        <v>515051000</v>
      </c>
      <c r="C636" s="24" t="n">
        <v>150</v>
      </c>
      <c r="D636" s="54" t="s">
        <v>575</v>
      </c>
      <c r="E636" s="19" t="s">
        <v>574</v>
      </c>
      <c r="F636" s="24" t="s">
        <v>23</v>
      </c>
      <c r="G636" s="25" t="n">
        <v>1.079</v>
      </c>
      <c r="H636" s="26"/>
      <c r="I636" s="27" t="n">
        <v>130</v>
      </c>
      <c r="J636" s="28" t="n">
        <v>9</v>
      </c>
      <c r="K636" s="28" t="n">
        <v>1</v>
      </c>
      <c r="L636" s="24" t="s">
        <v>24</v>
      </c>
      <c r="M636" s="29" t="n">
        <f aca="false">IF("oui" = "oui",26.19*(1-disc),26.19)</f>
        <v>26.19</v>
      </c>
      <c r="N636" s="29" t="n">
        <f aca="false">IF("oui" = "oui",26.19*(1-disc)*1.2,26.19*1.2)</f>
        <v>31.428</v>
      </c>
      <c r="O636" s="24" t="s">
        <v>25</v>
      </c>
      <c r="P636" s="4" t="s">
        <v>25</v>
      </c>
      <c r="Q636" s="16"/>
    </row>
    <row r="637" customFormat="false" ht="12.8" hidden="false" customHeight="false" outlineLevel="0" collapsed="false">
      <c r="A637" s="22"/>
      <c r="B637" s="23" t="n">
        <v>515052000</v>
      </c>
      <c r="C637" s="24" t="n">
        <v>150</v>
      </c>
      <c r="D637" s="54" t="s">
        <v>576</v>
      </c>
      <c r="E637" s="19" t="s">
        <v>574</v>
      </c>
      <c r="F637" s="24" t="s">
        <v>23</v>
      </c>
      <c r="G637" s="25" t="n">
        <v>1.079</v>
      </c>
      <c r="H637" s="26"/>
      <c r="I637" s="27" t="n">
        <v>130</v>
      </c>
      <c r="J637" s="28" t="n">
        <v>9</v>
      </c>
      <c r="K637" s="28" t="n">
        <v>1</v>
      </c>
      <c r="L637" s="24" t="s">
        <v>24</v>
      </c>
      <c r="M637" s="29" t="n">
        <f aca="false">IF("oui" = "oui",26.19*(1-disc),26.19)</f>
        <v>26.19</v>
      </c>
      <c r="N637" s="29" t="n">
        <f aca="false">IF("oui" = "oui",26.19*(1-disc)*1.2,26.19*1.2)</f>
        <v>31.428</v>
      </c>
      <c r="O637" s="24" t="s">
        <v>25</v>
      </c>
      <c r="P637" s="4" t="s">
        <v>25</v>
      </c>
      <c r="Q637" s="16"/>
    </row>
    <row r="638" customFormat="false" ht="12.8" hidden="false" customHeight="false" outlineLevel="0" collapsed="false">
      <c r="A638" s="22"/>
      <c r="B638" s="23" t="n">
        <v>515053000</v>
      </c>
      <c r="C638" s="24" t="n">
        <v>150</v>
      </c>
      <c r="D638" s="54" t="s">
        <v>577</v>
      </c>
      <c r="E638" s="19" t="s">
        <v>574</v>
      </c>
      <c r="F638" s="24" t="s">
        <v>23</v>
      </c>
      <c r="G638" s="25" t="n">
        <v>1.079</v>
      </c>
      <c r="H638" s="26"/>
      <c r="I638" s="27" t="n">
        <v>130</v>
      </c>
      <c r="J638" s="28" t="n">
        <v>9</v>
      </c>
      <c r="K638" s="28" t="n">
        <v>1</v>
      </c>
      <c r="L638" s="24" t="s">
        <v>24</v>
      </c>
      <c r="M638" s="29" t="n">
        <f aca="false">IF("oui" = "oui",26.19*(1-disc),26.19)</f>
        <v>26.19</v>
      </c>
      <c r="N638" s="29" t="n">
        <f aca="false">IF("oui" = "oui",26.19*(1-disc)*1.2,26.19*1.2)</f>
        <v>31.428</v>
      </c>
      <c r="O638" s="24" t="s">
        <v>25</v>
      </c>
      <c r="P638" s="4" t="s">
        <v>25</v>
      </c>
      <c r="Q638" s="16"/>
    </row>
    <row r="639" customFormat="false" ht="12.8" hidden="false" customHeight="false" outlineLevel="0" collapsed="false">
      <c r="A639" s="22"/>
      <c r="B639" s="23" t="n">
        <v>515054000</v>
      </c>
      <c r="C639" s="24" t="n">
        <v>150</v>
      </c>
      <c r="D639" s="54" t="s">
        <v>578</v>
      </c>
      <c r="E639" s="19" t="s">
        <v>574</v>
      </c>
      <c r="F639" s="24" t="s">
        <v>23</v>
      </c>
      <c r="G639" s="25" t="n">
        <v>1.079</v>
      </c>
      <c r="H639" s="26"/>
      <c r="I639" s="27" t="n">
        <v>130</v>
      </c>
      <c r="J639" s="28" t="n">
        <v>9</v>
      </c>
      <c r="K639" s="28" t="n">
        <v>1</v>
      </c>
      <c r="L639" s="24" t="s">
        <v>24</v>
      </c>
      <c r="M639" s="29" t="n">
        <f aca="false">IF("oui" = "oui",26.19*(1-disc),26.19)</f>
        <v>26.19</v>
      </c>
      <c r="N639" s="29" t="n">
        <f aca="false">IF("oui" = "oui",26.19*(1-disc)*1.2,26.19*1.2)</f>
        <v>31.428</v>
      </c>
      <c r="O639" s="24" t="s">
        <v>25</v>
      </c>
      <c r="P639" s="4" t="s">
        <v>25</v>
      </c>
      <c r="Q639" s="16"/>
    </row>
    <row r="640" customFormat="false" ht="12.8" hidden="false" customHeight="false" outlineLevel="0" collapsed="false">
      <c r="A640" s="22"/>
      <c r="B640" s="23" t="n">
        <v>515055000</v>
      </c>
      <c r="C640" s="24" t="n">
        <v>150</v>
      </c>
      <c r="D640" s="22" t="s">
        <v>579</v>
      </c>
      <c r="E640" s="19" t="s">
        <v>574</v>
      </c>
      <c r="F640" s="24" t="s">
        <v>23</v>
      </c>
      <c r="G640" s="25" t="n">
        <v>1.079</v>
      </c>
      <c r="H640" s="26"/>
      <c r="I640" s="27" t="n">
        <v>130</v>
      </c>
      <c r="J640" s="28" t="n">
        <v>9</v>
      </c>
      <c r="K640" s="28" t="n">
        <v>1</v>
      </c>
      <c r="L640" s="24" t="s">
        <v>24</v>
      </c>
      <c r="M640" s="29" t="n">
        <f aca="false">IF("oui" = "oui",26.19*(1-disc),26.19)</f>
        <v>26.19</v>
      </c>
      <c r="N640" s="29" t="n">
        <f aca="false">IF("oui" = "oui",26.19*(1-disc)*1.2,26.19*1.2)</f>
        <v>31.428</v>
      </c>
      <c r="O640" s="24" t="s">
        <v>25</v>
      </c>
      <c r="P640" s="7" t="s">
        <v>26</v>
      </c>
      <c r="Q640" s="16"/>
    </row>
    <row r="641" customFormat="false" ht="12.8" hidden="false" customHeight="false" outlineLevel="0" collapsed="false">
      <c r="A641" s="22"/>
      <c r="B641" s="23" t="n">
        <v>515056000</v>
      </c>
      <c r="C641" s="24" t="n">
        <v>150</v>
      </c>
      <c r="D641" s="22" t="s">
        <v>580</v>
      </c>
      <c r="E641" s="19" t="s">
        <v>574</v>
      </c>
      <c r="F641" s="24" t="s">
        <v>23</v>
      </c>
      <c r="G641" s="25" t="n">
        <v>1.079</v>
      </c>
      <c r="H641" s="26"/>
      <c r="I641" s="27" t="n">
        <v>130</v>
      </c>
      <c r="J641" s="28" t="n">
        <v>9</v>
      </c>
      <c r="K641" s="28" t="n">
        <v>1</v>
      </c>
      <c r="L641" s="24" t="s">
        <v>24</v>
      </c>
      <c r="M641" s="29" t="n">
        <f aca="false">IF("oui" = "oui",26.19*(1-disc),26.19)</f>
        <v>26.19</v>
      </c>
      <c r="N641" s="29" t="n">
        <f aca="false">IF("oui" = "oui",26.19*(1-disc)*1.2,26.19*1.2)</f>
        <v>31.428</v>
      </c>
      <c r="O641" s="24" t="s">
        <v>25</v>
      </c>
      <c r="P641" s="7" t="s">
        <v>26</v>
      </c>
      <c r="Q641" s="16"/>
    </row>
    <row r="642" customFormat="false" ht="12.8" hidden="false" customHeight="false" outlineLevel="0" collapsed="false">
      <c r="A642" s="22"/>
      <c r="B642" s="23" t="n">
        <v>515057000</v>
      </c>
      <c r="C642" s="24" t="n">
        <v>150</v>
      </c>
      <c r="D642" s="54" t="s">
        <v>581</v>
      </c>
      <c r="E642" s="19" t="s">
        <v>574</v>
      </c>
      <c r="F642" s="24" t="s">
        <v>23</v>
      </c>
      <c r="G642" s="25" t="n">
        <v>1.079</v>
      </c>
      <c r="H642" s="26"/>
      <c r="I642" s="27" t="n">
        <v>130</v>
      </c>
      <c r="J642" s="28" t="n">
        <v>9</v>
      </c>
      <c r="K642" s="28" t="n">
        <v>1</v>
      </c>
      <c r="L642" s="24" t="s">
        <v>24</v>
      </c>
      <c r="M642" s="29" t="n">
        <f aca="false">IF("oui" = "oui",26.19*(1-disc),26.19)</f>
        <v>26.19</v>
      </c>
      <c r="N642" s="29" t="n">
        <f aca="false">IF("oui" = "oui",26.19*(1-disc)*1.2,26.19*1.2)</f>
        <v>31.428</v>
      </c>
      <c r="O642" s="24" t="s">
        <v>25</v>
      </c>
      <c r="P642" s="55" t="s">
        <v>582</v>
      </c>
      <c r="Q642" s="16"/>
    </row>
    <row r="643" customFormat="false" ht="12.8" hidden="false" customHeight="false" outlineLevel="0" collapsed="false">
      <c r="A643" s="22"/>
      <c r="B643" s="23" t="n">
        <v>515058000</v>
      </c>
      <c r="C643" s="24" t="n">
        <v>150</v>
      </c>
      <c r="D643" s="54" t="s">
        <v>583</v>
      </c>
      <c r="E643" s="19" t="s">
        <v>574</v>
      </c>
      <c r="F643" s="24" t="s">
        <v>23</v>
      </c>
      <c r="G643" s="25" t="n">
        <v>1.079</v>
      </c>
      <c r="H643" s="26"/>
      <c r="I643" s="27" t="n">
        <v>130</v>
      </c>
      <c r="J643" s="28" t="n">
        <v>9</v>
      </c>
      <c r="K643" s="28" t="n">
        <v>1</v>
      </c>
      <c r="L643" s="24" t="s">
        <v>24</v>
      </c>
      <c r="M643" s="29" t="n">
        <f aca="false">IF("oui" = "oui",26.19*(1-disc),26.19)</f>
        <v>26.19</v>
      </c>
      <c r="N643" s="29" t="n">
        <f aca="false">IF("oui" = "oui",26.19*(1-disc)*1.2,26.19*1.2)</f>
        <v>31.428</v>
      </c>
      <c r="O643" s="24" t="s">
        <v>25</v>
      </c>
      <c r="P643" s="4" t="s">
        <v>25</v>
      </c>
      <c r="Q643" s="16"/>
    </row>
    <row r="644" customFormat="false" ht="12.8" hidden="false" customHeight="false" outlineLevel="0" collapsed="false">
      <c r="A644" s="22"/>
      <c r="B644" s="23" t="n">
        <v>515059000</v>
      </c>
      <c r="C644" s="24" t="n">
        <v>150</v>
      </c>
      <c r="D644" s="22" t="s">
        <v>584</v>
      </c>
      <c r="E644" s="19" t="s">
        <v>574</v>
      </c>
      <c r="F644" s="24" t="s">
        <v>23</v>
      </c>
      <c r="G644" s="25" t="n">
        <v>1.079</v>
      </c>
      <c r="H644" s="26"/>
      <c r="I644" s="27" t="n">
        <v>130</v>
      </c>
      <c r="J644" s="28" t="n">
        <v>9</v>
      </c>
      <c r="K644" s="28" t="n">
        <v>1</v>
      </c>
      <c r="L644" s="24" t="s">
        <v>24</v>
      </c>
      <c r="M644" s="29" t="n">
        <f aca="false">IF("oui" = "oui",26.19*(1-disc),26.19)</f>
        <v>26.19</v>
      </c>
      <c r="N644" s="29" t="n">
        <f aca="false">IF("oui" = "oui",26.19*(1-disc)*1.2,26.19*1.2)</f>
        <v>31.428</v>
      </c>
      <c r="O644" s="24" t="s">
        <v>25</v>
      </c>
      <c r="P644" s="7" t="s">
        <v>26</v>
      </c>
      <c r="Q644" s="16"/>
    </row>
    <row r="645" customFormat="false" ht="12.8" hidden="false" customHeight="false" outlineLevel="0" collapsed="false">
      <c r="A645" s="22"/>
      <c r="B645" s="23" t="n">
        <v>515060000</v>
      </c>
      <c r="C645" s="24" t="n">
        <v>150</v>
      </c>
      <c r="D645" s="54" t="s">
        <v>585</v>
      </c>
      <c r="E645" s="19" t="s">
        <v>574</v>
      </c>
      <c r="F645" s="24" t="s">
        <v>23</v>
      </c>
      <c r="G645" s="25" t="n">
        <v>1.079</v>
      </c>
      <c r="H645" s="26"/>
      <c r="I645" s="27" t="n">
        <v>130</v>
      </c>
      <c r="J645" s="28" t="n">
        <v>9</v>
      </c>
      <c r="K645" s="28" t="n">
        <v>1</v>
      </c>
      <c r="L645" s="24" t="s">
        <v>24</v>
      </c>
      <c r="M645" s="29" t="n">
        <f aca="false">IF("oui" = "oui",26.19*(1-disc),26.19)</f>
        <v>26.19</v>
      </c>
      <c r="N645" s="29" t="n">
        <f aca="false">IF("oui" = "oui",26.19*(1-disc)*1.2,26.19*1.2)</f>
        <v>31.428</v>
      </c>
      <c r="O645" s="24" t="s">
        <v>25</v>
      </c>
      <c r="P645" s="4" t="s">
        <v>25</v>
      </c>
      <c r="Q645" s="16"/>
    </row>
    <row r="646" customFormat="false" ht="12.8" hidden="false" customHeight="false" outlineLevel="0" collapsed="false">
      <c r="A646" s="22"/>
      <c r="B646" s="23" t="n">
        <v>515061000</v>
      </c>
      <c r="C646" s="24" t="n">
        <v>150</v>
      </c>
      <c r="D646" s="54" t="s">
        <v>586</v>
      </c>
      <c r="E646" s="19" t="s">
        <v>574</v>
      </c>
      <c r="F646" s="24" t="s">
        <v>23</v>
      </c>
      <c r="G646" s="25" t="n">
        <v>1.079</v>
      </c>
      <c r="H646" s="26"/>
      <c r="I646" s="27" t="n">
        <v>130</v>
      </c>
      <c r="J646" s="28" t="n">
        <v>9</v>
      </c>
      <c r="K646" s="28" t="n">
        <v>1</v>
      </c>
      <c r="L646" s="24" t="s">
        <v>24</v>
      </c>
      <c r="M646" s="29" t="n">
        <f aca="false">IF("oui" = "oui",26.19*(1-disc),26.19)</f>
        <v>26.19</v>
      </c>
      <c r="N646" s="29" t="n">
        <f aca="false">IF("oui" = "oui",26.19*(1-disc)*1.2,26.19*1.2)</f>
        <v>31.428</v>
      </c>
      <c r="O646" s="24" t="s">
        <v>25</v>
      </c>
      <c r="P646" s="4" t="s">
        <v>25</v>
      </c>
      <c r="Q646" s="16"/>
    </row>
    <row r="647" customFormat="false" ht="12.8" hidden="false" customHeight="false" outlineLevel="0" collapsed="false">
      <c r="A647" s="22"/>
      <c r="B647" s="23"/>
      <c r="C647" s="24"/>
      <c r="D647" s="22"/>
      <c r="E647" s="19"/>
      <c r="F647" s="24"/>
      <c r="G647" s="25"/>
      <c r="H647" s="26"/>
      <c r="I647" s="27"/>
      <c r="J647" s="28"/>
      <c r="K647" s="28"/>
      <c r="L647" s="24"/>
      <c r="M647" s="29"/>
      <c r="N647" s="29"/>
      <c r="O647" s="24"/>
      <c r="P647" s="4"/>
      <c r="Q647" s="16"/>
    </row>
    <row r="648" customFormat="false" ht="12.8" hidden="false" customHeight="false" outlineLevel="0" collapsed="false">
      <c r="A648" s="22"/>
      <c r="B648" s="23" t="n">
        <v>515074000</v>
      </c>
      <c r="C648" s="24" t="n">
        <v>150</v>
      </c>
      <c r="D648" s="22" t="s">
        <v>587</v>
      </c>
      <c r="E648" s="19" t="s">
        <v>574</v>
      </c>
      <c r="F648" s="24" t="s">
        <v>23</v>
      </c>
      <c r="G648" s="25" t="n">
        <v>5.125</v>
      </c>
      <c r="H648" s="26"/>
      <c r="I648" s="27" t="n">
        <v>150</v>
      </c>
      <c r="J648" s="28" t="n">
        <v>2</v>
      </c>
      <c r="K648" s="28" t="n">
        <v>5</v>
      </c>
      <c r="L648" s="24" t="s">
        <v>24</v>
      </c>
      <c r="M648" s="29" t="n">
        <f aca="false">IF("oui" = "oui",130.92*(1-disc),130.92)</f>
        <v>130.92</v>
      </c>
      <c r="N648" s="29" t="n">
        <f aca="false">IF("oui" = "oui",130.92*(1-disc)*1.2,130.92*1.2)</f>
        <v>157.104</v>
      </c>
      <c r="O648" s="24" t="s">
        <v>25</v>
      </c>
      <c r="P648" s="4" t="s">
        <v>25</v>
      </c>
      <c r="Q648" s="16"/>
    </row>
    <row r="649" customFormat="false" ht="12.8" hidden="false" customHeight="false" outlineLevel="0" collapsed="false">
      <c r="A649" s="22"/>
      <c r="B649" s="23"/>
      <c r="C649" s="24"/>
      <c r="D649" s="22"/>
      <c r="E649" s="19"/>
      <c r="F649" s="24"/>
      <c r="G649" s="25"/>
      <c r="H649" s="26"/>
      <c r="I649" s="27"/>
      <c r="J649" s="28"/>
      <c r="K649" s="28"/>
      <c r="L649" s="24"/>
      <c r="M649" s="29"/>
      <c r="N649" s="29"/>
      <c r="O649" s="24"/>
      <c r="P649" s="4"/>
      <c r="Q649" s="16"/>
    </row>
    <row r="650" customFormat="false" ht="12.8" hidden="false" customHeight="false" outlineLevel="0" collapsed="false">
      <c r="A650" s="42" t="s">
        <v>588</v>
      </c>
      <c r="B650" s="43"/>
      <c r="C650" s="44"/>
      <c r="D650" s="45"/>
      <c r="E650" s="46"/>
      <c r="F650" s="44"/>
      <c r="G650" s="47"/>
      <c r="H650" s="48"/>
      <c r="I650" s="49"/>
      <c r="J650" s="50"/>
      <c r="K650" s="50"/>
      <c r="L650" s="44"/>
      <c r="M650" s="51"/>
      <c r="N650" s="51"/>
      <c r="O650" s="44"/>
      <c r="P650" s="52"/>
      <c r="Q650" s="53"/>
    </row>
    <row r="651" customFormat="false" ht="12.8" hidden="false" customHeight="false" outlineLevel="0" collapsed="false">
      <c r="A651" s="22"/>
      <c r="B651" s="23"/>
      <c r="C651" s="24"/>
      <c r="D651" s="22"/>
      <c r="E651" s="19"/>
      <c r="F651" s="24"/>
      <c r="G651" s="25"/>
      <c r="H651" s="26"/>
      <c r="I651" s="27"/>
      <c r="J651" s="28"/>
      <c r="K651" s="28"/>
      <c r="L651" s="24"/>
      <c r="M651" s="29"/>
      <c r="N651" s="29"/>
      <c r="O651" s="24"/>
      <c r="P651" s="4"/>
      <c r="Q651" s="16"/>
    </row>
    <row r="652" customFormat="false" ht="12.8" hidden="false" customHeight="false" outlineLevel="0" collapsed="false">
      <c r="A652" s="22"/>
      <c r="B652" s="23" t="n">
        <v>515024000</v>
      </c>
      <c r="C652" s="24" t="n">
        <v>150</v>
      </c>
      <c r="D652" s="54" t="s">
        <v>589</v>
      </c>
      <c r="E652" s="19" t="s">
        <v>590</v>
      </c>
      <c r="F652" s="24" t="s">
        <v>23</v>
      </c>
      <c r="G652" s="25" t="n">
        <v>0.83</v>
      </c>
      <c r="H652" s="26"/>
      <c r="I652" s="27" t="n">
        <v>150</v>
      </c>
      <c r="J652" s="28" t="n">
        <v>5</v>
      </c>
      <c r="K652" s="28" t="n">
        <v>1</v>
      </c>
      <c r="L652" s="24" t="s">
        <v>24</v>
      </c>
      <c r="M652" s="29" t="n">
        <f aca="false">IF("oui" = "oui",26.19*(1-disc),26.19)</f>
        <v>26.19</v>
      </c>
      <c r="N652" s="29" t="n">
        <f aca="false">IF("oui" = "oui",26.19*(1-disc)*1.2,26.19*1.2)</f>
        <v>31.428</v>
      </c>
      <c r="O652" s="24" t="s">
        <v>25</v>
      </c>
      <c r="P652" s="55" t="s">
        <v>591</v>
      </c>
      <c r="Q652" s="16"/>
    </row>
    <row r="653" customFormat="false" ht="12.8" hidden="false" customHeight="false" outlineLevel="0" collapsed="false">
      <c r="A653" s="22"/>
      <c r="B653" s="23" t="n">
        <v>515027000</v>
      </c>
      <c r="C653" s="24" t="n">
        <v>150</v>
      </c>
      <c r="D653" s="54" t="s">
        <v>592</v>
      </c>
      <c r="E653" s="19" t="s">
        <v>590</v>
      </c>
      <c r="F653" s="24" t="s">
        <v>23</v>
      </c>
      <c r="G653" s="25" t="n">
        <v>0.83</v>
      </c>
      <c r="H653" s="26"/>
      <c r="I653" s="27" t="n">
        <v>150</v>
      </c>
      <c r="J653" s="28" t="n">
        <v>5</v>
      </c>
      <c r="K653" s="28" t="n">
        <v>1</v>
      </c>
      <c r="L653" s="24" t="s">
        <v>24</v>
      </c>
      <c r="M653" s="29" t="n">
        <f aca="false">IF("oui" = "oui",26.19*(1-disc),26.19)</f>
        <v>26.19</v>
      </c>
      <c r="N653" s="29" t="n">
        <f aca="false">IF("oui" = "oui",26.19*(1-disc)*1.2,26.19*1.2)</f>
        <v>31.428</v>
      </c>
      <c r="O653" s="24" t="s">
        <v>25</v>
      </c>
      <c r="P653" s="55" t="s">
        <v>593</v>
      </c>
      <c r="Q653" s="16"/>
    </row>
    <row r="654" customFormat="false" ht="12.8" hidden="false" customHeight="false" outlineLevel="0" collapsed="false">
      <c r="A654" s="22"/>
      <c r="B654" s="23" t="n">
        <v>515062000</v>
      </c>
      <c r="C654" s="24" t="n">
        <v>150</v>
      </c>
      <c r="D654" s="54" t="s">
        <v>594</v>
      </c>
      <c r="E654" s="19" t="s">
        <v>590</v>
      </c>
      <c r="F654" s="24" t="s">
        <v>23</v>
      </c>
      <c r="G654" s="25" t="n">
        <v>0.83</v>
      </c>
      <c r="H654" s="26"/>
      <c r="I654" s="27" t="n">
        <v>150</v>
      </c>
      <c r="J654" s="28" t="n">
        <v>9</v>
      </c>
      <c r="K654" s="28" t="n">
        <v>1</v>
      </c>
      <c r="L654" s="24" t="s">
        <v>24</v>
      </c>
      <c r="M654" s="29" t="n">
        <f aca="false">IF("oui" = "oui",26.19*(1-disc),26.19)</f>
        <v>26.19</v>
      </c>
      <c r="N654" s="29" t="n">
        <f aca="false">IF("oui" = "oui",26.19*(1-disc)*1.2,26.19*1.2)</f>
        <v>31.428</v>
      </c>
      <c r="O654" s="24" t="s">
        <v>25</v>
      </c>
      <c r="P654" s="4" t="s">
        <v>25</v>
      </c>
      <c r="Q654" s="16"/>
    </row>
    <row r="655" customFormat="false" ht="12.8" hidden="false" customHeight="false" outlineLevel="0" collapsed="false">
      <c r="A655" s="22"/>
      <c r="B655" s="23" t="n">
        <v>515063000</v>
      </c>
      <c r="C655" s="24" t="n">
        <v>150</v>
      </c>
      <c r="D655" s="54" t="s">
        <v>595</v>
      </c>
      <c r="E655" s="19" t="s">
        <v>590</v>
      </c>
      <c r="F655" s="24" t="s">
        <v>23</v>
      </c>
      <c r="G655" s="25" t="n">
        <v>0.83</v>
      </c>
      <c r="H655" s="26"/>
      <c r="I655" s="27" t="n">
        <v>150</v>
      </c>
      <c r="J655" s="28" t="n">
        <v>9</v>
      </c>
      <c r="K655" s="28" t="n">
        <v>1</v>
      </c>
      <c r="L655" s="24" t="s">
        <v>24</v>
      </c>
      <c r="M655" s="29" t="n">
        <f aca="false">IF("oui" = "oui",26.19*(1-disc),26.19)</f>
        <v>26.19</v>
      </c>
      <c r="N655" s="29" t="n">
        <f aca="false">IF("oui" = "oui",26.19*(1-disc)*1.2,26.19*1.2)</f>
        <v>31.428</v>
      </c>
      <c r="O655" s="24" t="s">
        <v>25</v>
      </c>
      <c r="P655" s="4" t="s">
        <v>25</v>
      </c>
      <c r="Q655" s="16"/>
    </row>
    <row r="656" customFormat="false" ht="12.8" hidden="false" customHeight="false" outlineLevel="0" collapsed="false">
      <c r="A656" s="22"/>
      <c r="B656" s="23" t="n">
        <v>515064000</v>
      </c>
      <c r="C656" s="24" t="n">
        <v>150</v>
      </c>
      <c r="D656" s="54" t="s">
        <v>596</v>
      </c>
      <c r="E656" s="19" t="s">
        <v>590</v>
      </c>
      <c r="F656" s="24" t="s">
        <v>23</v>
      </c>
      <c r="G656" s="25" t="n">
        <v>0.83</v>
      </c>
      <c r="H656" s="26"/>
      <c r="I656" s="27" t="n">
        <v>150</v>
      </c>
      <c r="J656" s="28" t="n">
        <v>9</v>
      </c>
      <c r="K656" s="28" t="n">
        <v>1</v>
      </c>
      <c r="L656" s="24" t="s">
        <v>24</v>
      </c>
      <c r="M656" s="29" t="n">
        <f aca="false">IF("oui" = "oui",26.19*(1-disc),26.19)</f>
        <v>26.19</v>
      </c>
      <c r="N656" s="29" t="n">
        <f aca="false">IF("oui" = "oui",26.19*(1-disc)*1.2,26.19*1.2)</f>
        <v>31.428</v>
      </c>
      <c r="O656" s="24" t="s">
        <v>25</v>
      </c>
      <c r="P656" s="55" t="s">
        <v>591</v>
      </c>
      <c r="Q656" s="16"/>
    </row>
    <row r="657" customFormat="false" ht="12.8" hidden="false" customHeight="false" outlineLevel="0" collapsed="false">
      <c r="A657" s="22"/>
      <c r="B657" s="23" t="n">
        <v>515065000</v>
      </c>
      <c r="C657" s="24" t="n">
        <v>150</v>
      </c>
      <c r="D657" s="54" t="s">
        <v>597</v>
      </c>
      <c r="E657" s="19" t="s">
        <v>590</v>
      </c>
      <c r="F657" s="24" t="s">
        <v>23</v>
      </c>
      <c r="G657" s="25" t="n">
        <v>0.83</v>
      </c>
      <c r="H657" s="26"/>
      <c r="I657" s="27" t="n">
        <v>150</v>
      </c>
      <c r="J657" s="28" t="n">
        <v>9</v>
      </c>
      <c r="K657" s="28" t="n">
        <v>1</v>
      </c>
      <c r="L657" s="24" t="s">
        <v>24</v>
      </c>
      <c r="M657" s="29" t="n">
        <f aca="false">IF("oui" = "oui",26.19*(1-disc),26.19)</f>
        <v>26.19</v>
      </c>
      <c r="N657" s="29" t="n">
        <f aca="false">IF("oui" = "oui",26.19*(1-disc)*1.2,26.19*1.2)</f>
        <v>31.428</v>
      </c>
      <c r="O657" s="24" t="s">
        <v>25</v>
      </c>
      <c r="P657" s="55" t="s">
        <v>37</v>
      </c>
      <c r="Q657" s="16"/>
    </row>
    <row r="658" customFormat="false" ht="12.8" hidden="false" customHeight="false" outlineLevel="0" collapsed="false">
      <c r="A658" s="22"/>
      <c r="B658" s="23" t="n">
        <v>515066000</v>
      </c>
      <c r="C658" s="24" t="n">
        <v>150</v>
      </c>
      <c r="D658" s="54" t="s">
        <v>598</v>
      </c>
      <c r="E658" s="19" t="s">
        <v>590</v>
      </c>
      <c r="F658" s="24" t="s">
        <v>23</v>
      </c>
      <c r="G658" s="25" t="n">
        <v>0.83</v>
      </c>
      <c r="H658" s="26"/>
      <c r="I658" s="27" t="n">
        <v>150</v>
      </c>
      <c r="J658" s="28" t="n">
        <v>9</v>
      </c>
      <c r="K658" s="28" t="n">
        <v>1</v>
      </c>
      <c r="L658" s="24" t="s">
        <v>24</v>
      </c>
      <c r="M658" s="29" t="n">
        <f aca="false">IF("oui" = "oui",26.19*(1-disc),26.19)</f>
        <v>26.19</v>
      </c>
      <c r="N658" s="29" t="n">
        <f aca="false">IF("oui" = "oui",26.19*(1-disc)*1.2,26.19*1.2)</f>
        <v>31.428</v>
      </c>
      <c r="O658" s="24" t="s">
        <v>25</v>
      </c>
      <c r="P658" s="4" t="s">
        <v>25</v>
      </c>
      <c r="Q658" s="16"/>
    </row>
    <row r="659" customFormat="false" ht="12.8" hidden="false" customHeight="false" outlineLevel="0" collapsed="false">
      <c r="A659" s="22"/>
      <c r="B659" s="23" t="n">
        <v>515067000</v>
      </c>
      <c r="C659" s="24" t="n">
        <v>150</v>
      </c>
      <c r="D659" s="54" t="s">
        <v>599</v>
      </c>
      <c r="E659" s="19" t="s">
        <v>590</v>
      </c>
      <c r="F659" s="24" t="s">
        <v>23</v>
      </c>
      <c r="G659" s="25" t="n">
        <v>0.83</v>
      </c>
      <c r="H659" s="26"/>
      <c r="I659" s="27" t="n">
        <v>150</v>
      </c>
      <c r="J659" s="28" t="n">
        <v>9</v>
      </c>
      <c r="K659" s="28" t="n">
        <v>1</v>
      </c>
      <c r="L659" s="24" t="s">
        <v>24</v>
      </c>
      <c r="M659" s="29" t="n">
        <f aca="false">IF("oui" = "oui",26.19*(1-disc),26.19)</f>
        <v>26.19</v>
      </c>
      <c r="N659" s="29" t="n">
        <f aca="false">IF("oui" = "oui",26.19*(1-disc)*1.2,26.19*1.2)</f>
        <v>31.428</v>
      </c>
      <c r="O659" s="24" t="s">
        <v>25</v>
      </c>
      <c r="P659" s="55" t="s">
        <v>600</v>
      </c>
      <c r="Q659" s="16"/>
    </row>
    <row r="660" customFormat="false" ht="12.8" hidden="false" customHeight="false" outlineLevel="0" collapsed="false">
      <c r="A660" s="22"/>
      <c r="B660" s="23" t="n">
        <v>515068000</v>
      </c>
      <c r="C660" s="24" t="n">
        <v>150</v>
      </c>
      <c r="D660" s="54" t="s">
        <v>601</v>
      </c>
      <c r="E660" s="19" t="s">
        <v>590</v>
      </c>
      <c r="F660" s="24" t="s">
        <v>23</v>
      </c>
      <c r="G660" s="25" t="n">
        <v>0.83</v>
      </c>
      <c r="H660" s="26"/>
      <c r="I660" s="27" t="n">
        <v>150</v>
      </c>
      <c r="J660" s="28" t="n">
        <v>9</v>
      </c>
      <c r="K660" s="28" t="n">
        <v>1</v>
      </c>
      <c r="L660" s="24" t="s">
        <v>24</v>
      </c>
      <c r="M660" s="29" t="n">
        <f aca="false">IF("oui" = "oui",26.19*(1-disc),26.19)</f>
        <v>26.19</v>
      </c>
      <c r="N660" s="29" t="n">
        <f aca="false">IF("oui" = "oui",26.19*(1-disc)*1.2,26.19*1.2)</f>
        <v>31.428</v>
      </c>
      <c r="O660" s="24" t="s">
        <v>25</v>
      </c>
      <c r="P660" s="55" t="s">
        <v>602</v>
      </c>
      <c r="Q660" s="16"/>
    </row>
    <row r="661" customFormat="false" ht="12.8" hidden="false" customHeight="false" outlineLevel="0" collapsed="false">
      <c r="A661" s="22"/>
      <c r="B661" s="23" t="n">
        <v>515069000</v>
      </c>
      <c r="C661" s="24" t="n">
        <v>150</v>
      </c>
      <c r="D661" s="54" t="s">
        <v>603</v>
      </c>
      <c r="E661" s="19" t="s">
        <v>590</v>
      </c>
      <c r="F661" s="24" t="s">
        <v>23</v>
      </c>
      <c r="G661" s="25" t="n">
        <v>0.83</v>
      </c>
      <c r="H661" s="26"/>
      <c r="I661" s="27" t="n">
        <v>150</v>
      </c>
      <c r="J661" s="28" t="n">
        <v>9</v>
      </c>
      <c r="K661" s="28" t="n">
        <v>1</v>
      </c>
      <c r="L661" s="24" t="s">
        <v>24</v>
      </c>
      <c r="M661" s="29" t="n">
        <f aca="false">IF("oui" = "oui",26.19*(1-disc),26.19)</f>
        <v>26.19</v>
      </c>
      <c r="N661" s="29" t="n">
        <f aca="false">IF("oui" = "oui",26.19*(1-disc)*1.2,26.19*1.2)</f>
        <v>31.428</v>
      </c>
      <c r="O661" s="24" t="s">
        <v>25</v>
      </c>
      <c r="P661" s="55" t="s">
        <v>591</v>
      </c>
      <c r="Q661" s="16"/>
    </row>
    <row r="662" customFormat="false" ht="12.8" hidden="false" customHeight="false" outlineLevel="0" collapsed="false">
      <c r="A662" s="22"/>
      <c r="B662" s="23" t="n">
        <v>515070000</v>
      </c>
      <c r="C662" s="24" t="n">
        <v>150</v>
      </c>
      <c r="D662" s="54" t="s">
        <v>604</v>
      </c>
      <c r="E662" s="19" t="s">
        <v>590</v>
      </c>
      <c r="F662" s="24" t="s">
        <v>23</v>
      </c>
      <c r="G662" s="25" t="n">
        <v>0.83</v>
      </c>
      <c r="H662" s="26"/>
      <c r="I662" s="27" t="n">
        <v>150</v>
      </c>
      <c r="J662" s="28" t="n">
        <v>9</v>
      </c>
      <c r="K662" s="28" t="n">
        <v>1</v>
      </c>
      <c r="L662" s="24" t="s">
        <v>24</v>
      </c>
      <c r="M662" s="29" t="n">
        <f aca="false">IF("oui" = "oui",26.19*(1-disc),26.19)</f>
        <v>26.19</v>
      </c>
      <c r="N662" s="29" t="n">
        <f aca="false">IF("oui" = "oui",26.19*(1-disc)*1.2,26.19*1.2)</f>
        <v>31.428</v>
      </c>
      <c r="O662" s="24" t="s">
        <v>25</v>
      </c>
      <c r="P662" s="55" t="s">
        <v>605</v>
      </c>
      <c r="Q662" s="16"/>
    </row>
    <row r="663" customFormat="false" ht="12.8" hidden="false" customHeight="false" outlineLevel="0" collapsed="false">
      <c r="A663" s="22"/>
      <c r="B663" s="23" t="n">
        <v>515071000</v>
      </c>
      <c r="C663" s="24" t="n">
        <v>150</v>
      </c>
      <c r="D663" s="54" t="s">
        <v>606</v>
      </c>
      <c r="E663" s="19" t="s">
        <v>590</v>
      </c>
      <c r="F663" s="24" t="s">
        <v>23</v>
      </c>
      <c r="G663" s="25" t="n">
        <v>0.83</v>
      </c>
      <c r="H663" s="26"/>
      <c r="I663" s="27" t="n">
        <v>150</v>
      </c>
      <c r="J663" s="28" t="n">
        <v>9</v>
      </c>
      <c r="K663" s="28" t="n">
        <v>1</v>
      </c>
      <c r="L663" s="24" t="s">
        <v>24</v>
      </c>
      <c r="M663" s="29" t="n">
        <f aca="false">IF("oui" = "oui",26.19*(1-disc),26.19)</f>
        <v>26.19</v>
      </c>
      <c r="N663" s="29" t="n">
        <f aca="false">IF("oui" = "oui",26.19*(1-disc)*1.2,26.19*1.2)</f>
        <v>31.428</v>
      </c>
      <c r="O663" s="24" t="s">
        <v>25</v>
      </c>
      <c r="P663" s="4" t="s">
        <v>25</v>
      </c>
      <c r="Q663" s="16"/>
    </row>
    <row r="664" customFormat="false" ht="12.8" hidden="false" customHeight="false" outlineLevel="0" collapsed="false">
      <c r="A664" s="22"/>
      <c r="B664" s="23" t="n">
        <v>515072000</v>
      </c>
      <c r="C664" s="24" t="n">
        <v>150</v>
      </c>
      <c r="D664" s="54" t="s">
        <v>607</v>
      </c>
      <c r="E664" s="19" t="s">
        <v>590</v>
      </c>
      <c r="F664" s="24" t="s">
        <v>23</v>
      </c>
      <c r="G664" s="25" t="n">
        <v>0.83</v>
      </c>
      <c r="H664" s="26"/>
      <c r="I664" s="27" t="n">
        <v>150</v>
      </c>
      <c r="J664" s="28" t="n">
        <v>9</v>
      </c>
      <c r="K664" s="28" t="n">
        <v>1</v>
      </c>
      <c r="L664" s="24" t="s">
        <v>24</v>
      </c>
      <c r="M664" s="29" t="n">
        <f aca="false">IF("oui" = "oui",26.19*(1-disc),26.19)</f>
        <v>26.19</v>
      </c>
      <c r="N664" s="29" t="n">
        <f aca="false">IF("oui" = "oui",26.19*(1-disc)*1.2,26.19*1.2)</f>
        <v>31.428</v>
      </c>
      <c r="O664" s="24" t="s">
        <v>25</v>
      </c>
      <c r="P664" s="55" t="s">
        <v>131</v>
      </c>
      <c r="Q664" s="16"/>
    </row>
    <row r="665" customFormat="false" ht="12.8" hidden="false" customHeight="false" outlineLevel="0" collapsed="false">
      <c r="A665" s="22"/>
      <c r="B665" s="23"/>
      <c r="C665" s="24"/>
      <c r="D665" s="22"/>
      <c r="E665" s="19"/>
      <c r="F665" s="24"/>
      <c r="G665" s="25"/>
      <c r="H665" s="26"/>
      <c r="I665" s="27"/>
      <c r="J665" s="28"/>
      <c r="K665" s="28"/>
      <c r="L665" s="24"/>
      <c r="M665" s="29"/>
      <c r="N665" s="29"/>
      <c r="O665" s="24"/>
      <c r="P665" s="4"/>
      <c r="Q665" s="16"/>
    </row>
    <row r="666" customFormat="false" ht="12.8" hidden="false" customHeight="false" outlineLevel="0" collapsed="false">
      <c r="A666" s="22"/>
      <c r="B666" s="23" t="n">
        <v>515075000</v>
      </c>
      <c r="C666" s="24" t="n">
        <v>150</v>
      </c>
      <c r="D666" s="22" t="s">
        <v>608</v>
      </c>
      <c r="E666" s="19" t="s">
        <v>590</v>
      </c>
      <c r="F666" s="24" t="s">
        <v>23</v>
      </c>
      <c r="G666" s="25" t="n">
        <v>4.705</v>
      </c>
      <c r="H666" s="26"/>
      <c r="I666" s="27" t="n">
        <v>150</v>
      </c>
      <c r="J666" s="28" t="n">
        <v>2</v>
      </c>
      <c r="K666" s="28" t="n">
        <v>5</v>
      </c>
      <c r="L666" s="24" t="s">
        <v>24</v>
      </c>
      <c r="M666" s="29" t="n">
        <f aca="false">IF("oui" = "oui",130.92*(1-disc),130.92)</f>
        <v>130.92</v>
      </c>
      <c r="N666" s="29" t="n">
        <f aca="false">IF("oui" = "oui",130.92*(1-disc)*1.2,130.92*1.2)</f>
        <v>157.104</v>
      </c>
      <c r="O666" s="24" t="s">
        <v>25</v>
      </c>
      <c r="P666" s="4" t="s">
        <v>25</v>
      </c>
      <c r="Q666" s="16"/>
    </row>
    <row r="667" customFormat="false" ht="12.8" hidden="false" customHeight="false" outlineLevel="0" collapsed="false">
      <c r="A667" s="22"/>
      <c r="B667" s="23"/>
      <c r="C667" s="24"/>
      <c r="D667" s="22"/>
      <c r="E667" s="19"/>
      <c r="F667" s="24"/>
      <c r="G667" s="25"/>
      <c r="H667" s="26"/>
      <c r="I667" s="27"/>
      <c r="J667" s="28"/>
      <c r="K667" s="28"/>
      <c r="L667" s="24"/>
      <c r="M667" s="29"/>
      <c r="N667" s="29"/>
      <c r="O667" s="24"/>
      <c r="P667" s="4"/>
      <c r="Q667" s="16"/>
    </row>
    <row r="668" customFormat="false" ht="12.8" hidden="false" customHeight="false" outlineLevel="0" collapsed="false">
      <c r="A668" s="42" t="s">
        <v>55</v>
      </c>
      <c r="B668" s="43"/>
      <c r="C668" s="44"/>
      <c r="D668" s="45"/>
      <c r="E668" s="46"/>
      <c r="F668" s="44"/>
      <c r="G668" s="47"/>
      <c r="H668" s="48"/>
      <c r="I668" s="49"/>
      <c r="J668" s="50"/>
      <c r="K668" s="50"/>
      <c r="L668" s="44"/>
      <c r="M668" s="51"/>
      <c r="N668" s="51"/>
      <c r="O668" s="44"/>
      <c r="P668" s="52"/>
      <c r="Q668" s="53"/>
    </row>
    <row r="669" customFormat="false" ht="12.8" hidden="false" customHeight="false" outlineLevel="0" collapsed="false">
      <c r="A669" s="22"/>
      <c r="B669" s="23"/>
      <c r="C669" s="24"/>
      <c r="D669" s="22"/>
      <c r="E669" s="19"/>
      <c r="F669" s="24"/>
      <c r="G669" s="25"/>
      <c r="H669" s="26"/>
      <c r="I669" s="27"/>
      <c r="J669" s="28"/>
      <c r="K669" s="28"/>
      <c r="L669" s="24"/>
      <c r="M669" s="29"/>
      <c r="N669" s="29"/>
      <c r="O669" s="24"/>
      <c r="P669" s="4"/>
      <c r="Q669" s="16"/>
    </row>
    <row r="670" customFormat="false" ht="12.8" hidden="false" customHeight="false" outlineLevel="0" collapsed="false">
      <c r="A670" s="22"/>
      <c r="B670" s="23" t="n">
        <v>515004000</v>
      </c>
      <c r="C670" s="24" t="n">
        <v>150</v>
      </c>
      <c r="D670" s="54" t="s">
        <v>609</v>
      </c>
      <c r="E670" s="19" t="s">
        <v>610</v>
      </c>
      <c r="F670" s="24" t="s">
        <v>23</v>
      </c>
      <c r="G670" s="25" t="n">
        <v>1.112</v>
      </c>
      <c r="H670" s="26"/>
      <c r="I670" s="27" t="n">
        <v>150</v>
      </c>
      <c r="J670" s="28" t="n">
        <v>5</v>
      </c>
      <c r="K670" s="28" t="n">
        <v>1</v>
      </c>
      <c r="L670" s="24" t="s">
        <v>24</v>
      </c>
      <c r="M670" s="29" t="n">
        <f aca="false">IF("oui" = "oui",26.19*(1-disc),26.19)</f>
        <v>26.19</v>
      </c>
      <c r="N670" s="29" t="n">
        <f aca="false">IF("oui" = "oui",26.19*(1-disc)*1.2,26.19*1.2)</f>
        <v>31.428</v>
      </c>
      <c r="O670" s="24" t="s">
        <v>25</v>
      </c>
      <c r="P670" s="55" t="s">
        <v>45</v>
      </c>
      <c r="Q670" s="16"/>
    </row>
    <row r="671" customFormat="false" ht="12.8" hidden="false" customHeight="false" outlineLevel="0" collapsed="false">
      <c r="A671" s="22"/>
      <c r="B671" s="23" t="n">
        <v>515022000</v>
      </c>
      <c r="C671" s="24" t="n">
        <v>150</v>
      </c>
      <c r="D671" s="54" t="s">
        <v>611</v>
      </c>
      <c r="E671" s="19" t="s">
        <v>548</v>
      </c>
      <c r="F671" s="24" t="s">
        <v>23</v>
      </c>
      <c r="G671" s="25" t="n">
        <v>1.093</v>
      </c>
      <c r="H671" s="26"/>
      <c r="I671" s="27" t="n">
        <v>150</v>
      </c>
      <c r="J671" s="28" t="n">
        <v>9</v>
      </c>
      <c r="K671" s="28" t="n">
        <v>1</v>
      </c>
      <c r="L671" s="24" t="s">
        <v>24</v>
      </c>
      <c r="M671" s="29" t="n">
        <f aca="false">IF("oui" = "oui",26.19*(1-disc),26.19)</f>
        <v>26.19</v>
      </c>
      <c r="N671" s="29" t="n">
        <f aca="false">IF("oui" = "oui",26.19*(1-disc)*1.2,26.19*1.2)</f>
        <v>31.428</v>
      </c>
      <c r="O671" s="24" t="s">
        <v>25</v>
      </c>
      <c r="P671" s="4" t="s">
        <v>25</v>
      </c>
      <c r="Q671" s="16"/>
    </row>
    <row r="672" customFormat="false" ht="12.8" hidden="false" customHeight="false" outlineLevel="0" collapsed="false">
      <c r="A672" s="22"/>
      <c r="B672" s="23" t="n">
        <v>515023000</v>
      </c>
      <c r="C672" s="24" t="n">
        <v>150</v>
      </c>
      <c r="D672" s="54" t="s">
        <v>612</v>
      </c>
      <c r="E672" s="19" t="s">
        <v>548</v>
      </c>
      <c r="F672" s="24" t="s">
        <v>23</v>
      </c>
      <c r="G672" s="25" t="n">
        <v>1.083</v>
      </c>
      <c r="H672" s="26"/>
      <c r="I672" s="27" t="n">
        <v>150</v>
      </c>
      <c r="J672" s="28" t="n">
        <v>9</v>
      </c>
      <c r="K672" s="28" t="n">
        <v>1</v>
      </c>
      <c r="L672" s="24" t="s">
        <v>24</v>
      </c>
      <c r="M672" s="29" t="n">
        <f aca="false">IF("oui" = "oui",26.19*(1-disc),26.19)</f>
        <v>26.19</v>
      </c>
      <c r="N672" s="29" t="n">
        <f aca="false">IF("oui" = "oui",26.19*(1-disc)*1.2,26.19*1.2)</f>
        <v>31.428</v>
      </c>
      <c r="O672" s="24" t="s">
        <v>25</v>
      </c>
      <c r="P672" s="55" t="s">
        <v>613</v>
      </c>
      <c r="Q672" s="16"/>
    </row>
    <row r="673" customFormat="false" ht="12.8" hidden="false" customHeight="false" outlineLevel="0" collapsed="false">
      <c r="A673" s="22"/>
      <c r="B673" s="23" t="n">
        <v>515026000</v>
      </c>
      <c r="C673" s="24" t="n">
        <v>150</v>
      </c>
      <c r="D673" s="54" t="s">
        <v>614</v>
      </c>
      <c r="E673" s="19" t="s">
        <v>615</v>
      </c>
      <c r="F673" s="24" t="s">
        <v>23</v>
      </c>
      <c r="G673" s="25" t="n">
        <v>1</v>
      </c>
      <c r="H673" s="26"/>
      <c r="I673" s="27" t="n">
        <v>150</v>
      </c>
      <c r="J673" s="28" t="n">
        <v>9</v>
      </c>
      <c r="K673" s="28" t="n">
        <v>1</v>
      </c>
      <c r="L673" s="24" t="s">
        <v>24</v>
      </c>
      <c r="M673" s="29" t="n">
        <f aca="false">IF("oui" = "oui",26.19*(1-disc),26.19)</f>
        <v>26.19</v>
      </c>
      <c r="N673" s="29" t="n">
        <f aca="false">IF("oui" = "oui",26.19*(1-disc)*1.2,26.19*1.2)</f>
        <v>31.428</v>
      </c>
      <c r="O673" s="24" t="s">
        <v>25</v>
      </c>
      <c r="P673" s="4" t="s">
        <v>25</v>
      </c>
      <c r="Q673" s="16"/>
    </row>
    <row r="674" customFormat="false" ht="12.8" hidden="false" customHeight="false" outlineLevel="0" collapsed="false">
      <c r="A674" s="22"/>
      <c r="B674" s="23"/>
      <c r="C674" s="24"/>
      <c r="D674" s="22"/>
      <c r="E674" s="19"/>
      <c r="F674" s="24"/>
      <c r="G674" s="25"/>
      <c r="H674" s="26"/>
      <c r="I674" s="27"/>
      <c r="J674" s="28"/>
      <c r="K674" s="28"/>
      <c r="L674" s="24"/>
      <c r="M674" s="29"/>
      <c r="N674" s="29"/>
      <c r="O674" s="24"/>
      <c r="P674" s="4"/>
      <c r="Q674" s="16"/>
    </row>
    <row r="675" customFormat="false" ht="12.8" hidden="false" customHeight="false" outlineLevel="0" collapsed="false">
      <c r="A675" s="22"/>
      <c r="B675" s="23" t="n">
        <v>602004000</v>
      </c>
      <c r="C675" s="24" t="n">
        <v>150</v>
      </c>
      <c r="D675" s="54" t="s">
        <v>616</v>
      </c>
      <c r="E675" s="19" t="s">
        <v>617</v>
      </c>
      <c r="F675" s="24" t="s">
        <v>23</v>
      </c>
      <c r="G675" s="25" t="n">
        <v>1.19</v>
      </c>
      <c r="H675" s="26"/>
      <c r="I675" s="27" t="n">
        <v>150</v>
      </c>
      <c r="J675" s="28" t="n">
        <v>9</v>
      </c>
      <c r="K675" s="28" t="n">
        <v>1</v>
      </c>
      <c r="L675" s="24" t="s">
        <v>24</v>
      </c>
      <c r="M675" s="29" t="n">
        <f aca="false">IF("oui" = "oui",43.1*(1-disc),43.1)</f>
        <v>43.1</v>
      </c>
      <c r="N675" s="29" t="n">
        <f aca="false">IF("oui" = "oui",43.1*(1-disc)*1.2,43.1*1.2)</f>
        <v>51.72</v>
      </c>
      <c r="O675" s="24" t="s">
        <v>25</v>
      </c>
      <c r="P675" s="4" t="s">
        <v>25</v>
      </c>
      <c r="Q675" s="16"/>
    </row>
    <row r="676" customFormat="false" ht="12.8" hidden="false" customHeight="false" outlineLevel="0" collapsed="false">
      <c r="A676" s="22"/>
      <c r="B676" s="23" t="n">
        <v>602005000</v>
      </c>
      <c r="C676" s="24" t="n">
        <v>150</v>
      </c>
      <c r="D676" s="54" t="s">
        <v>618</v>
      </c>
      <c r="E676" s="19" t="s">
        <v>617</v>
      </c>
      <c r="F676" s="24" t="s">
        <v>23</v>
      </c>
      <c r="G676" s="25" t="n">
        <v>1.044</v>
      </c>
      <c r="H676" s="26"/>
      <c r="I676" s="27" t="n">
        <v>150</v>
      </c>
      <c r="J676" s="28" t="n">
        <v>6</v>
      </c>
      <c r="K676" s="28" t="n">
        <v>1</v>
      </c>
      <c r="L676" s="24" t="s">
        <v>24</v>
      </c>
      <c r="M676" s="29" t="n">
        <f aca="false">IF("oui" = "oui",43.1*(1-disc),43.1)</f>
        <v>43.1</v>
      </c>
      <c r="N676" s="29" t="n">
        <f aca="false">IF("oui" = "oui",43.1*(1-disc)*1.2,43.1*1.2)</f>
        <v>51.72</v>
      </c>
      <c r="O676" s="24" t="s">
        <v>25</v>
      </c>
      <c r="P676" s="55" t="s">
        <v>314</v>
      </c>
      <c r="Q676" s="16"/>
    </row>
    <row r="677" customFormat="false" ht="12.8" hidden="false" customHeight="false" outlineLevel="0" collapsed="false">
      <c r="A677" s="22"/>
      <c r="B677" s="23" t="n">
        <v>602006000</v>
      </c>
      <c r="C677" s="24" t="n">
        <v>150</v>
      </c>
      <c r="D677" s="54" t="s">
        <v>619</v>
      </c>
      <c r="E677" s="19" t="s">
        <v>617</v>
      </c>
      <c r="F677" s="24" t="s">
        <v>23</v>
      </c>
      <c r="G677" s="25" t="n">
        <v>0.99</v>
      </c>
      <c r="H677" s="26"/>
      <c r="I677" s="27" t="n">
        <v>150</v>
      </c>
      <c r="J677" s="28" t="n">
        <v>6</v>
      </c>
      <c r="K677" s="28" t="n">
        <v>1</v>
      </c>
      <c r="L677" s="24" t="s">
        <v>24</v>
      </c>
      <c r="M677" s="29" t="n">
        <f aca="false">IF("oui" = "oui",43.1*(1-disc),43.1)</f>
        <v>43.1</v>
      </c>
      <c r="N677" s="29" t="n">
        <f aca="false">IF("oui" = "oui",43.1*(1-disc)*1.2,43.1*1.2)</f>
        <v>51.72</v>
      </c>
      <c r="O677" s="24" t="s">
        <v>25</v>
      </c>
      <c r="P677" s="55" t="s">
        <v>381</v>
      </c>
      <c r="Q677" s="16"/>
    </row>
    <row r="678" customFormat="false" ht="12.8" hidden="false" customHeight="false" outlineLevel="0" collapsed="false">
      <c r="A678" s="22"/>
      <c r="B678" s="23"/>
      <c r="C678" s="24"/>
      <c r="D678" s="22"/>
      <c r="E678" s="19"/>
      <c r="F678" s="24"/>
      <c r="G678" s="25"/>
      <c r="H678" s="26"/>
      <c r="I678" s="27"/>
      <c r="J678" s="28"/>
      <c r="K678" s="28"/>
      <c r="L678" s="24"/>
      <c r="M678" s="29"/>
      <c r="N678" s="29"/>
      <c r="O678" s="24"/>
      <c r="P678" s="4"/>
      <c r="Q678" s="16"/>
    </row>
    <row r="679" customFormat="false" ht="12.8" hidden="false" customHeight="false" outlineLevel="0" collapsed="false">
      <c r="A679" s="30" t="s">
        <v>620</v>
      </c>
      <c r="B679" s="31"/>
      <c r="C679" s="32"/>
      <c r="D679" s="33"/>
      <c r="E679" s="34"/>
      <c r="F679" s="32"/>
      <c r="G679" s="35"/>
      <c r="H679" s="36"/>
      <c r="I679" s="37"/>
      <c r="J679" s="38"/>
      <c r="K679" s="38"/>
      <c r="L679" s="32"/>
      <c r="M679" s="39"/>
      <c r="N679" s="39"/>
      <c r="O679" s="32"/>
      <c r="P679" s="40"/>
      <c r="Q679" s="41"/>
    </row>
    <row r="680" customFormat="false" ht="12.8" hidden="false" customHeight="false" outlineLevel="0" collapsed="false">
      <c r="A680" s="22"/>
      <c r="B680" s="23"/>
      <c r="C680" s="24"/>
      <c r="D680" s="22"/>
      <c r="E680" s="19"/>
      <c r="F680" s="24"/>
      <c r="G680" s="25"/>
      <c r="H680" s="26"/>
      <c r="I680" s="27"/>
      <c r="J680" s="28"/>
      <c r="K680" s="28"/>
      <c r="L680" s="24"/>
      <c r="M680" s="29"/>
      <c r="N680" s="29"/>
      <c r="O680" s="24"/>
      <c r="P680" s="4"/>
      <c r="Q680" s="16"/>
    </row>
    <row r="681" customFormat="false" ht="12.8" hidden="false" customHeight="false" outlineLevel="0" collapsed="false">
      <c r="A681" s="22" t="s">
        <v>69</v>
      </c>
      <c r="B681" s="23" t="n">
        <v>605009000</v>
      </c>
      <c r="C681" s="24" t="n">
        <v>25</v>
      </c>
      <c r="D681" s="54" t="s">
        <v>621</v>
      </c>
      <c r="E681" s="19" t="s">
        <v>622</v>
      </c>
      <c r="F681" s="24" t="s">
        <v>23</v>
      </c>
      <c r="G681" s="25" t="n">
        <v>0.355</v>
      </c>
      <c r="H681" s="26" t="n">
        <v>27</v>
      </c>
      <c r="I681" s="27" t="n">
        <v>50</v>
      </c>
      <c r="J681" s="28" t="n">
        <v>24</v>
      </c>
      <c r="K681" s="28" t="n">
        <v>1</v>
      </c>
      <c r="L681" s="24" t="s">
        <v>24</v>
      </c>
      <c r="M681" s="57" t="n">
        <f aca="false">IF("non" = "oui",15*(1-disc),15)</f>
        <v>15</v>
      </c>
      <c r="N681" s="57" t="n">
        <f aca="false">IF("non" = "oui",15*(1-disc)*1.2,15*1.2)</f>
        <v>18</v>
      </c>
      <c r="O681" s="58" t="s">
        <v>26</v>
      </c>
      <c r="P681" s="7" t="s">
        <v>26</v>
      </c>
      <c r="Q681" s="59" t="s">
        <v>87</v>
      </c>
    </row>
    <row r="682" customFormat="false" ht="12.8" hidden="false" customHeight="false" outlineLevel="0" collapsed="false">
      <c r="A682" s="22" t="s">
        <v>69</v>
      </c>
      <c r="B682" s="23" t="n">
        <v>605010000</v>
      </c>
      <c r="C682" s="24" t="n">
        <v>25</v>
      </c>
      <c r="D682" s="54" t="s">
        <v>623</v>
      </c>
      <c r="E682" s="19" t="s">
        <v>622</v>
      </c>
      <c r="F682" s="24" t="s">
        <v>23</v>
      </c>
      <c r="G682" s="25" t="n">
        <v>0.355</v>
      </c>
      <c r="H682" s="26" t="n">
        <v>27</v>
      </c>
      <c r="I682" s="27" t="n">
        <v>50</v>
      </c>
      <c r="J682" s="28" t="n">
        <v>24</v>
      </c>
      <c r="K682" s="28" t="n">
        <v>1</v>
      </c>
      <c r="L682" s="24" t="s">
        <v>24</v>
      </c>
      <c r="M682" s="57" t="n">
        <f aca="false">IF("non" = "oui",15*(1-disc),15)</f>
        <v>15</v>
      </c>
      <c r="N682" s="57" t="n">
        <f aca="false">IF("non" = "oui",15*(1-disc)*1.2,15*1.2)</f>
        <v>18</v>
      </c>
      <c r="O682" s="58" t="s">
        <v>26</v>
      </c>
      <c r="P682" s="7" t="s">
        <v>26</v>
      </c>
      <c r="Q682" s="59" t="s">
        <v>87</v>
      </c>
    </row>
    <row r="683" customFormat="false" ht="12.8" hidden="false" customHeight="false" outlineLevel="0" collapsed="false">
      <c r="A683" s="22"/>
      <c r="B683" s="23"/>
      <c r="C683" s="24"/>
      <c r="D683" s="22"/>
      <c r="E683" s="19"/>
      <c r="F683" s="24"/>
      <c r="G683" s="25"/>
      <c r="H683" s="26"/>
      <c r="I683" s="27"/>
      <c r="J683" s="28"/>
      <c r="K683" s="28"/>
      <c r="L683" s="24"/>
      <c r="M683" s="29"/>
      <c r="N683" s="29"/>
      <c r="O683" s="24"/>
      <c r="P683" s="4"/>
      <c r="Q683" s="16"/>
    </row>
    <row r="684" customFormat="false" ht="12.8" hidden="false" customHeight="false" outlineLevel="0" collapsed="false">
      <c r="A684" s="22" t="s">
        <v>69</v>
      </c>
      <c r="B684" s="23" t="n">
        <v>602024000</v>
      </c>
      <c r="C684" s="24" t="n">
        <v>38</v>
      </c>
      <c r="D684" s="54" t="s">
        <v>624</v>
      </c>
      <c r="E684" s="19" t="s">
        <v>625</v>
      </c>
      <c r="F684" s="24" t="s">
        <v>23</v>
      </c>
      <c r="G684" s="25" t="n">
        <v>0.325</v>
      </c>
      <c r="H684" s="26" t="n">
        <v>24</v>
      </c>
      <c r="I684" s="27" t="n">
        <v>40</v>
      </c>
      <c r="J684" s="28" t="n">
        <v>25</v>
      </c>
      <c r="K684" s="28" t="n">
        <v>1</v>
      </c>
      <c r="L684" s="24" t="s">
        <v>24</v>
      </c>
      <c r="M684" s="57" t="n">
        <f aca="false">IF("non" = "oui",20.64*(1-disc),20.64)</f>
        <v>20.64</v>
      </c>
      <c r="N684" s="57" t="n">
        <f aca="false">IF("non" = "oui",20.64*(1-disc)*1.2,20.64*1.2)</f>
        <v>24.768</v>
      </c>
      <c r="O684" s="58" t="s">
        <v>26</v>
      </c>
      <c r="P684" s="4" t="s">
        <v>25</v>
      </c>
      <c r="Q684" s="16"/>
    </row>
    <row r="685" customFormat="false" ht="12.8" hidden="false" customHeight="false" outlineLevel="0" collapsed="false">
      <c r="A685" s="22" t="s">
        <v>69</v>
      </c>
      <c r="B685" s="23" t="n">
        <v>602025000</v>
      </c>
      <c r="C685" s="24" t="n">
        <v>38</v>
      </c>
      <c r="D685" s="54" t="s">
        <v>626</v>
      </c>
      <c r="E685" s="19" t="s">
        <v>627</v>
      </c>
      <c r="F685" s="24" t="s">
        <v>23</v>
      </c>
      <c r="G685" s="25" t="n">
        <v>0.389</v>
      </c>
      <c r="H685" s="26" t="n">
        <v>24</v>
      </c>
      <c r="I685" s="27" t="n">
        <v>40</v>
      </c>
      <c r="J685" s="28" t="n">
        <v>25</v>
      </c>
      <c r="K685" s="28" t="n">
        <v>1</v>
      </c>
      <c r="L685" s="24" t="s">
        <v>24</v>
      </c>
      <c r="M685" s="57" t="n">
        <f aca="false">IF("non" = "oui",20.64*(1-disc),20.64)</f>
        <v>20.64</v>
      </c>
      <c r="N685" s="57" t="n">
        <f aca="false">IF("non" = "oui",20.64*(1-disc)*1.2,20.64*1.2)</f>
        <v>24.768</v>
      </c>
      <c r="O685" s="58" t="s">
        <v>26</v>
      </c>
      <c r="P685" s="4" t="s">
        <v>25</v>
      </c>
      <c r="Q685" s="16"/>
    </row>
    <row r="686" customFormat="false" ht="12.8" hidden="false" customHeight="false" outlineLevel="0" collapsed="false">
      <c r="A686" s="22"/>
      <c r="B686" s="23"/>
      <c r="C686" s="24"/>
      <c r="D686" s="22"/>
      <c r="E686" s="19"/>
      <c r="F686" s="24"/>
      <c r="G686" s="25"/>
      <c r="H686" s="26"/>
      <c r="I686" s="27"/>
      <c r="J686" s="28"/>
      <c r="K686" s="28"/>
      <c r="L686" s="24"/>
      <c r="M686" s="29"/>
      <c r="N686" s="29"/>
      <c r="O686" s="24"/>
      <c r="P686" s="4"/>
      <c r="Q686" s="16"/>
    </row>
    <row r="687" customFormat="false" ht="12.8" hidden="false" customHeight="false" outlineLevel="0" collapsed="false">
      <c r="A687" s="30" t="s">
        <v>628</v>
      </c>
      <c r="B687" s="31"/>
      <c r="C687" s="32"/>
      <c r="D687" s="33"/>
      <c r="E687" s="34"/>
      <c r="F687" s="32"/>
      <c r="G687" s="35"/>
      <c r="H687" s="36"/>
      <c r="I687" s="37"/>
      <c r="J687" s="38"/>
      <c r="K687" s="38"/>
      <c r="L687" s="32"/>
      <c r="M687" s="39"/>
      <c r="N687" s="39"/>
      <c r="O687" s="32"/>
      <c r="P687" s="40"/>
      <c r="Q687" s="41"/>
    </row>
    <row r="688" customFormat="false" ht="12.8" hidden="false" customHeight="false" outlineLevel="0" collapsed="false">
      <c r="A688" s="22"/>
      <c r="B688" s="23"/>
      <c r="C688" s="24"/>
      <c r="D688" s="22"/>
      <c r="E688" s="19"/>
      <c r="F688" s="24"/>
      <c r="G688" s="25"/>
      <c r="H688" s="26"/>
      <c r="I688" s="27"/>
      <c r="J688" s="28"/>
      <c r="K688" s="28"/>
      <c r="L688" s="24"/>
      <c r="M688" s="29"/>
      <c r="N688" s="29"/>
      <c r="O688" s="24"/>
      <c r="P688" s="4"/>
      <c r="Q688" s="16"/>
    </row>
    <row r="689" customFormat="false" ht="12.8" hidden="false" customHeight="false" outlineLevel="0" collapsed="false">
      <c r="A689" s="22"/>
      <c r="B689" s="23" t="n">
        <v>501303000</v>
      </c>
      <c r="C689" s="24" t="n">
        <v>10</v>
      </c>
      <c r="D689" s="22" t="s">
        <v>629</v>
      </c>
      <c r="E689" s="19"/>
      <c r="F689" s="24" t="s">
        <v>630</v>
      </c>
      <c r="G689" s="25"/>
      <c r="H689" s="26" t="n">
        <v>25</v>
      </c>
      <c r="I689" s="27" t="n">
        <v>30</v>
      </c>
      <c r="J689" s="28" t="n">
        <v>46</v>
      </c>
      <c r="K689" s="28" t="n">
        <v>1</v>
      </c>
      <c r="L689" s="24" t="s">
        <v>631</v>
      </c>
      <c r="M689" s="29" t="n">
        <f aca="false">IF("oui" = "oui",3.59*(1-disc),3.59)</f>
        <v>3.59</v>
      </c>
      <c r="N689" s="29" t="n">
        <f aca="false">IF("oui" = "oui",3.59*(1-disc)*1.2,3.59*1.2)</f>
        <v>4.308</v>
      </c>
      <c r="O689" s="24" t="s">
        <v>25</v>
      </c>
      <c r="P689" s="7" t="s">
        <v>26</v>
      </c>
      <c r="Q689" s="16"/>
    </row>
    <row r="690" customFormat="false" ht="12.8" hidden="false" customHeight="false" outlineLevel="0" collapsed="false">
      <c r="A690" s="22"/>
      <c r="B690" s="23" t="n">
        <v>501304000</v>
      </c>
      <c r="C690" s="24" t="n">
        <v>10</v>
      </c>
      <c r="D690" s="22" t="s">
        <v>632</v>
      </c>
      <c r="E690" s="19"/>
      <c r="F690" s="24" t="s">
        <v>630</v>
      </c>
      <c r="G690" s="25"/>
      <c r="H690" s="26" t="n">
        <v>25</v>
      </c>
      <c r="I690" s="27" t="n">
        <v>30</v>
      </c>
      <c r="J690" s="28" t="n">
        <v>46</v>
      </c>
      <c r="K690" s="28" t="n">
        <v>1</v>
      </c>
      <c r="L690" s="24" t="s">
        <v>631</v>
      </c>
      <c r="M690" s="29" t="n">
        <f aca="false">IF("oui" = "oui",3.59*(1-disc),3.59)</f>
        <v>3.59</v>
      </c>
      <c r="N690" s="29" t="n">
        <f aca="false">IF("oui" = "oui",3.59*(1-disc)*1.2,3.59*1.2)</f>
        <v>4.308</v>
      </c>
      <c r="O690" s="24" t="s">
        <v>25</v>
      </c>
      <c r="P690" s="7" t="s">
        <v>26</v>
      </c>
      <c r="Q690" s="16"/>
    </row>
    <row r="691" customFormat="false" ht="12.8" hidden="false" customHeight="false" outlineLevel="0" collapsed="false">
      <c r="A691" s="22"/>
      <c r="B691" s="23" t="n">
        <v>501305000</v>
      </c>
      <c r="C691" s="24" t="n">
        <v>10</v>
      </c>
      <c r="D691" s="22" t="s">
        <v>633</v>
      </c>
      <c r="E691" s="19"/>
      <c r="F691" s="24" t="s">
        <v>630</v>
      </c>
      <c r="G691" s="25"/>
      <c r="H691" s="26" t="n">
        <v>25</v>
      </c>
      <c r="I691" s="27" t="n">
        <v>30</v>
      </c>
      <c r="J691" s="28" t="n">
        <v>46</v>
      </c>
      <c r="K691" s="28" t="n">
        <v>1</v>
      </c>
      <c r="L691" s="24" t="s">
        <v>631</v>
      </c>
      <c r="M691" s="29" t="n">
        <f aca="false">IF("oui" = "oui",3.59*(1-disc),3.59)</f>
        <v>3.59</v>
      </c>
      <c r="N691" s="29" t="n">
        <f aca="false">IF("oui" = "oui",3.59*(1-disc)*1.2,3.59*1.2)</f>
        <v>4.308</v>
      </c>
      <c r="O691" s="24" t="s">
        <v>25</v>
      </c>
      <c r="P691" s="7" t="s">
        <v>26</v>
      </c>
      <c r="Q691" s="16"/>
    </row>
    <row r="692" customFormat="false" ht="12.8" hidden="false" customHeight="false" outlineLevel="0" collapsed="false">
      <c r="A692" s="22"/>
      <c r="B692" s="23" t="n">
        <v>501302000</v>
      </c>
      <c r="C692" s="24" t="n">
        <v>10</v>
      </c>
      <c r="D692" s="54" t="s">
        <v>634</v>
      </c>
      <c r="E692" s="19" t="s">
        <v>635</v>
      </c>
      <c r="F692" s="24" t="s">
        <v>630</v>
      </c>
      <c r="G692" s="25" t="n">
        <v>0.069</v>
      </c>
      <c r="H692" s="26" t="n">
        <v>25</v>
      </c>
      <c r="I692" s="27" t="n">
        <v>30</v>
      </c>
      <c r="J692" s="28" t="n">
        <v>48</v>
      </c>
      <c r="K692" s="28" t="n">
        <v>1</v>
      </c>
      <c r="L692" s="24" t="s">
        <v>631</v>
      </c>
      <c r="M692" s="29" t="n">
        <f aca="false">IF("oui" = "oui",3.59*(1-disc),3.59)</f>
        <v>3.59</v>
      </c>
      <c r="N692" s="29" t="n">
        <f aca="false">IF("oui" = "oui",3.59*(1-disc)*1.2,3.59*1.2)</f>
        <v>4.308</v>
      </c>
      <c r="O692" s="24" t="s">
        <v>25</v>
      </c>
      <c r="P692" s="7" t="s">
        <v>26</v>
      </c>
      <c r="Q692" s="16"/>
    </row>
    <row r="693" customFormat="false" ht="12.8" hidden="false" customHeight="false" outlineLevel="0" collapsed="false">
      <c r="A693" s="22"/>
      <c r="B693" s="56" t="n">
        <v>501295000</v>
      </c>
      <c r="C693" s="24" t="n">
        <v>10</v>
      </c>
      <c r="D693" s="54" t="s">
        <v>636</v>
      </c>
      <c r="E693" s="19" t="s">
        <v>635</v>
      </c>
      <c r="F693" s="24" t="s">
        <v>630</v>
      </c>
      <c r="G693" s="25" t="n">
        <v>0.069</v>
      </c>
      <c r="H693" s="26" t="n">
        <v>25</v>
      </c>
      <c r="I693" s="27" t="n">
        <v>30</v>
      </c>
      <c r="J693" s="28" t="n">
        <v>48</v>
      </c>
      <c r="K693" s="28" t="n">
        <v>1</v>
      </c>
      <c r="L693" s="24" t="s">
        <v>631</v>
      </c>
      <c r="M693" s="29" t="n">
        <f aca="false">IF("oui" = "oui",3.59*(1-disc),3.59)</f>
        <v>3.59</v>
      </c>
      <c r="N693" s="29" t="n">
        <f aca="false">IF("oui" = "oui",3.59*(1-disc)*1.2,3.59*1.2)</f>
        <v>4.308</v>
      </c>
      <c r="O693" s="24" t="s">
        <v>25</v>
      </c>
      <c r="P693" s="7" t="s">
        <v>26</v>
      </c>
      <c r="Q693" s="16"/>
    </row>
    <row r="694" customFormat="false" ht="12.8" hidden="false" customHeight="false" outlineLevel="0" collapsed="false">
      <c r="A694" s="22"/>
      <c r="B694" s="56" t="n">
        <v>501296000</v>
      </c>
      <c r="C694" s="24" t="n">
        <v>10</v>
      </c>
      <c r="D694" s="54" t="s">
        <v>637</v>
      </c>
      <c r="E694" s="19" t="s">
        <v>635</v>
      </c>
      <c r="F694" s="24" t="s">
        <v>630</v>
      </c>
      <c r="G694" s="25" t="n">
        <v>0.069</v>
      </c>
      <c r="H694" s="26" t="n">
        <v>25</v>
      </c>
      <c r="I694" s="27" t="n">
        <v>30</v>
      </c>
      <c r="J694" s="28" t="n">
        <v>48</v>
      </c>
      <c r="K694" s="28" t="n">
        <v>1</v>
      </c>
      <c r="L694" s="24" t="s">
        <v>631</v>
      </c>
      <c r="M694" s="29" t="n">
        <f aca="false">IF("oui" = "oui",3.59*(1-disc),3.59)</f>
        <v>3.59</v>
      </c>
      <c r="N694" s="29" t="n">
        <f aca="false">IF("oui" = "oui",3.59*(1-disc)*1.2,3.59*1.2)</f>
        <v>4.308</v>
      </c>
      <c r="O694" s="24" t="s">
        <v>25</v>
      </c>
      <c r="P694" s="7" t="s">
        <v>26</v>
      </c>
      <c r="Q694" s="16"/>
    </row>
    <row r="695" customFormat="false" ht="12.8" hidden="false" customHeight="false" outlineLevel="0" collapsed="false">
      <c r="A695" s="22"/>
      <c r="B695" s="56" t="n">
        <v>501297000</v>
      </c>
      <c r="C695" s="24" t="n">
        <v>10</v>
      </c>
      <c r="D695" s="54" t="s">
        <v>638</v>
      </c>
      <c r="E695" s="19" t="s">
        <v>635</v>
      </c>
      <c r="F695" s="24" t="s">
        <v>630</v>
      </c>
      <c r="G695" s="25" t="n">
        <v>0.069</v>
      </c>
      <c r="H695" s="26" t="n">
        <v>25</v>
      </c>
      <c r="I695" s="27" t="n">
        <v>30</v>
      </c>
      <c r="J695" s="28" t="n">
        <v>48</v>
      </c>
      <c r="K695" s="28" t="n">
        <v>1</v>
      </c>
      <c r="L695" s="24" t="s">
        <v>631</v>
      </c>
      <c r="M695" s="29" t="n">
        <f aca="false">IF("oui" = "oui",3.59*(1-disc),3.59)</f>
        <v>3.59</v>
      </c>
      <c r="N695" s="29" t="n">
        <f aca="false">IF("oui" = "oui",3.59*(1-disc)*1.2,3.59*1.2)</f>
        <v>4.308</v>
      </c>
      <c r="O695" s="24" t="s">
        <v>25</v>
      </c>
      <c r="P695" s="7" t="s">
        <v>26</v>
      </c>
      <c r="Q695" s="16"/>
    </row>
    <row r="696" customFormat="false" ht="12.8" hidden="false" customHeight="false" outlineLevel="0" collapsed="false">
      <c r="A696" s="22"/>
      <c r="B696" s="56" t="n">
        <v>501298000</v>
      </c>
      <c r="C696" s="24" t="n">
        <v>10</v>
      </c>
      <c r="D696" s="54" t="s">
        <v>639</v>
      </c>
      <c r="E696" s="19" t="s">
        <v>635</v>
      </c>
      <c r="F696" s="24" t="s">
        <v>630</v>
      </c>
      <c r="G696" s="25" t="n">
        <v>0.069</v>
      </c>
      <c r="H696" s="26" t="n">
        <v>25</v>
      </c>
      <c r="I696" s="27" t="n">
        <v>30</v>
      </c>
      <c r="J696" s="28" t="n">
        <v>48</v>
      </c>
      <c r="K696" s="28" t="n">
        <v>1</v>
      </c>
      <c r="L696" s="24" t="s">
        <v>631</v>
      </c>
      <c r="M696" s="29" t="n">
        <f aca="false">IF("oui" = "oui",3.59*(1-disc),3.59)</f>
        <v>3.59</v>
      </c>
      <c r="N696" s="29" t="n">
        <f aca="false">IF("oui" = "oui",3.59*(1-disc)*1.2,3.59*1.2)</f>
        <v>4.308</v>
      </c>
      <c r="O696" s="24" t="s">
        <v>25</v>
      </c>
      <c r="P696" s="7" t="s">
        <v>26</v>
      </c>
      <c r="Q696" s="16"/>
    </row>
    <row r="697" customFormat="false" ht="12.8" hidden="false" customHeight="false" outlineLevel="0" collapsed="false">
      <c r="A697" s="22"/>
      <c r="B697" s="56" t="n">
        <v>501300000</v>
      </c>
      <c r="C697" s="24" t="n">
        <v>10</v>
      </c>
      <c r="D697" s="54" t="s">
        <v>640</v>
      </c>
      <c r="E697" s="19" t="s">
        <v>635</v>
      </c>
      <c r="F697" s="24" t="s">
        <v>630</v>
      </c>
      <c r="G697" s="25" t="n">
        <v>0.069</v>
      </c>
      <c r="H697" s="26" t="n">
        <v>25</v>
      </c>
      <c r="I697" s="27" t="n">
        <v>30</v>
      </c>
      <c r="J697" s="28" t="n">
        <v>48</v>
      </c>
      <c r="K697" s="28" t="n">
        <v>1</v>
      </c>
      <c r="L697" s="24" t="s">
        <v>631</v>
      </c>
      <c r="M697" s="29" t="n">
        <f aca="false">IF("oui" = "oui",3.59*(1-disc),3.59)</f>
        <v>3.59</v>
      </c>
      <c r="N697" s="29" t="n">
        <f aca="false">IF("oui" = "oui",3.59*(1-disc)*1.2,3.59*1.2)</f>
        <v>4.308</v>
      </c>
      <c r="O697" s="24" t="s">
        <v>25</v>
      </c>
      <c r="P697" s="7" t="s">
        <v>26</v>
      </c>
      <c r="Q697" s="16"/>
    </row>
    <row r="698" customFormat="false" ht="12.8" hidden="false" customHeight="false" outlineLevel="0" collapsed="false">
      <c r="A698" s="22"/>
      <c r="B698" s="56" t="n">
        <v>501301000</v>
      </c>
      <c r="C698" s="24" t="n">
        <v>10</v>
      </c>
      <c r="D698" s="22" t="s">
        <v>641</v>
      </c>
      <c r="E698" s="19" t="s">
        <v>635</v>
      </c>
      <c r="F698" s="24" t="s">
        <v>630</v>
      </c>
      <c r="G698" s="25" t="n">
        <v>0.069</v>
      </c>
      <c r="H698" s="26" t="n">
        <v>25</v>
      </c>
      <c r="I698" s="27" t="n">
        <v>30</v>
      </c>
      <c r="J698" s="28" t="n">
        <v>48</v>
      </c>
      <c r="K698" s="28" t="n">
        <v>1</v>
      </c>
      <c r="L698" s="24" t="s">
        <v>631</v>
      </c>
      <c r="M698" s="29" t="n">
        <f aca="false">IF("oui" = "oui",3.59*(1-disc),3.59)</f>
        <v>3.59</v>
      </c>
      <c r="N698" s="29" t="n">
        <f aca="false">IF("oui" = "oui",3.59*(1-disc)*1.2,3.59*1.2)</f>
        <v>4.308</v>
      </c>
      <c r="O698" s="24" t="s">
        <v>25</v>
      </c>
      <c r="P698" s="7" t="s">
        <v>26</v>
      </c>
      <c r="Q698" s="16"/>
    </row>
    <row r="699" customFormat="false" ht="12.8" hidden="false" customHeight="false" outlineLevel="0" collapsed="false">
      <c r="A699" s="22"/>
      <c r="B699" s="56" t="n">
        <v>501299000</v>
      </c>
      <c r="C699" s="24" t="n">
        <v>10</v>
      </c>
      <c r="D699" s="54" t="s">
        <v>642</v>
      </c>
      <c r="E699" s="19" t="s">
        <v>635</v>
      </c>
      <c r="F699" s="24" t="s">
        <v>630</v>
      </c>
      <c r="G699" s="25" t="n">
        <v>0.069</v>
      </c>
      <c r="H699" s="26" t="n">
        <v>25</v>
      </c>
      <c r="I699" s="27" t="n">
        <v>30</v>
      </c>
      <c r="J699" s="28" t="n">
        <v>48</v>
      </c>
      <c r="K699" s="28" t="n">
        <v>1</v>
      </c>
      <c r="L699" s="24" t="s">
        <v>631</v>
      </c>
      <c r="M699" s="29" t="n">
        <f aca="false">IF("oui" = "oui",3.59*(1-disc),3.59)</f>
        <v>3.59</v>
      </c>
      <c r="N699" s="29" t="n">
        <f aca="false">IF("oui" = "oui",3.59*(1-disc)*1.2,3.59*1.2)</f>
        <v>4.308</v>
      </c>
      <c r="O699" s="24" t="s">
        <v>25</v>
      </c>
      <c r="P699" s="7" t="s">
        <v>26</v>
      </c>
      <c r="Q699" s="16"/>
    </row>
    <row r="700" customFormat="false" ht="12.8" hidden="false" customHeight="false" outlineLevel="0" collapsed="false">
      <c r="A700" s="22"/>
      <c r="B700" s="56" t="n">
        <v>501313000</v>
      </c>
      <c r="C700" s="24" t="n">
        <v>10</v>
      </c>
      <c r="D700" s="54" t="s">
        <v>643</v>
      </c>
      <c r="E700" s="19" t="s">
        <v>635</v>
      </c>
      <c r="F700" s="24" t="s">
        <v>630</v>
      </c>
      <c r="G700" s="25" t="n">
        <v>0.069</v>
      </c>
      <c r="H700" s="26" t="n">
        <v>25</v>
      </c>
      <c r="I700" s="27" t="n">
        <v>30</v>
      </c>
      <c r="J700" s="28" t="n">
        <v>46</v>
      </c>
      <c r="K700" s="28" t="n">
        <v>1</v>
      </c>
      <c r="L700" s="24" t="s">
        <v>631</v>
      </c>
      <c r="M700" s="29" t="n">
        <f aca="false">IF("oui" = "oui",3.59*(1-disc),3.59)</f>
        <v>3.59</v>
      </c>
      <c r="N700" s="29" t="n">
        <f aca="false">IF("oui" = "oui",3.59*(1-disc)*1.2,3.59*1.2)</f>
        <v>4.308</v>
      </c>
      <c r="O700" s="24" t="s">
        <v>25</v>
      </c>
      <c r="P700" s="55" t="s">
        <v>349</v>
      </c>
      <c r="Q700" s="16"/>
    </row>
    <row r="701" customFormat="false" ht="12.8" hidden="false" customHeight="false" outlineLevel="0" collapsed="false">
      <c r="A701" s="22"/>
      <c r="B701" s="56" t="n">
        <v>501311000</v>
      </c>
      <c r="C701" s="24" t="n">
        <v>10</v>
      </c>
      <c r="D701" s="22" t="s">
        <v>644</v>
      </c>
      <c r="E701" s="19" t="s">
        <v>635</v>
      </c>
      <c r="F701" s="24" t="s">
        <v>630</v>
      </c>
      <c r="G701" s="25" t="n">
        <v>0.098</v>
      </c>
      <c r="H701" s="26" t="n">
        <v>25</v>
      </c>
      <c r="I701" s="27" t="n">
        <v>30</v>
      </c>
      <c r="J701" s="28" t="n">
        <v>48</v>
      </c>
      <c r="K701" s="28" t="n">
        <v>1</v>
      </c>
      <c r="L701" s="24" t="s">
        <v>631</v>
      </c>
      <c r="M701" s="29" t="n">
        <f aca="false">IF("oui" = "oui",3.59*(1-disc),3.59)</f>
        <v>3.59</v>
      </c>
      <c r="N701" s="29" t="n">
        <f aca="false">IF("oui" = "oui",3.59*(1-disc)*1.2,3.59*1.2)</f>
        <v>4.308</v>
      </c>
      <c r="O701" s="24" t="s">
        <v>25</v>
      </c>
      <c r="P701" s="4" t="s">
        <v>25</v>
      </c>
      <c r="Q701" s="16"/>
    </row>
    <row r="702" customFormat="false" ht="12.8" hidden="false" customHeight="false" outlineLevel="0" collapsed="false">
      <c r="A702" s="22"/>
      <c r="B702" s="23"/>
      <c r="C702" s="24"/>
      <c r="D702" s="22"/>
      <c r="E702" s="19"/>
      <c r="F702" s="24"/>
      <c r="G702" s="25"/>
      <c r="H702" s="26"/>
      <c r="I702" s="27"/>
      <c r="J702" s="28"/>
      <c r="K702" s="28"/>
      <c r="L702" s="24"/>
      <c r="M702" s="29"/>
      <c r="N702" s="29"/>
      <c r="O702" s="24"/>
      <c r="P702" s="4"/>
      <c r="Q702" s="16"/>
    </row>
    <row r="703" customFormat="false" ht="12.8" hidden="false" customHeight="false" outlineLevel="0" collapsed="false">
      <c r="A703" s="22"/>
      <c r="B703" s="23" t="n">
        <v>501309000</v>
      </c>
      <c r="C703" s="24" t="n">
        <v>20</v>
      </c>
      <c r="D703" s="22" t="s">
        <v>645</v>
      </c>
      <c r="E703" s="19" t="s">
        <v>646</v>
      </c>
      <c r="F703" s="24" t="s">
        <v>647</v>
      </c>
      <c r="G703" s="25" t="n">
        <v>0.095</v>
      </c>
      <c r="H703" s="26" t="n">
        <v>25</v>
      </c>
      <c r="I703" s="27" t="n">
        <v>70</v>
      </c>
      <c r="J703" s="28" t="n">
        <v>30</v>
      </c>
      <c r="K703" s="28" t="n">
        <v>1</v>
      </c>
      <c r="L703" s="24" t="s">
        <v>631</v>
      </c>
      <c r="M703" s="29" t="n">
        <f aca="false">IF("oui" = "oui",10.18*(1-disc),10.18)</f>
        <v>10.18</v>
      </c>
      <c r="N703" s="29" t="n">
        <f aca="false">IF("oui" = "oui",10.18*(1-disc)*1.2,10.18*1.2)</f>
        <v>12.216</v>
      </c>
      <c r="O703" s="24" t="s">
        <v>25</v>
      </c>
      <c r="P703" s="4" t="s">
        <v>25</v>
      </c>
      <c r="Q703" s="16"/>
    </row>
    <row r="704" customFormat="false" ht="12.8" hidden="false" customHeight="false" outlineLevel="0" collapsed="false">
      <c r="A704" s="22"/>
      <c r="B704" s="23"/>
      <c r="C704" s="24"/>
      <c r="D704" s="22"/>
      <c r="E704" s="19"/>
      <c r="F704" s="24"/>
      <c r="G704" s="25"/>
      <c r="H704" s="26"/>
      <c r="I704" s="27"/>
      <c r="J704" s="28"/>
      <c r="K704" s="28"/>
      <c r="L704" s="24"/>
      <c r="M704" s="29"/>
      <c r="N704" s="29"/>
      <c r="O704" s="24"/>
      <c r="P704" s="4"/>
      <c r="Q704" s="16"/>
    </row>
    <row r="705" customFormat="false" ht="12.8" hidden="false" customHeight="false" outlineLevel="0" collapsed="false">
      <c r="A705" s="22"/>
      <c r="B705" s="23" t="n">
        <v>501307000</v>
      </c>
      <c r="C705" s="24" t="n">
        <v>10</v>
      </c>
      <c r="D705" s="54" t="s">
        <v>648</v>
      </c>
      <c r="E705" s="19" t="s">
        <v>649</v>
      </c>
      <c r="F705" s="24" t="s">
        <v>23</v>
      </c>
      <c r="G705" s="25" t="n">
        <v>0.162</v>
      </c>
      <c r="H705" s="26" t="n">
        <v>25</v>
      </c>
      <c r="I705" s="27" t="n">
        <v>30</v>
      </c>
      <c r="J705" s="28" t="n">
        <v>20</v>
      </c>
      <c r="K705" s="28" t="n">
        <v>1</v>
      </c>
      <c r="L705" s="24" t="s">
        <v>631</v>
      </c>
      <c r="M705" s="29" t="n">
        <f aca="false">IF("oui" = "oui",8.15*(1-disc),8.15)</f>
        <v>8.15</v>
      </c>
      <c r="N705" s="29" t="n">
        <f aca="false">IF("oui" = "oui",8.15*(1-disc)*1.2,8.15*1.2)</f>
        <v>9.78</v>
      </c>
      <c r="O705" s="24" t="s">
        <v>25</v>
      </c>
      <c r="P705" s="4" t="s">
        <v>25</v>
      </c>
      <c r="Q705" s="16"/>
    </row>
    <row r="706" customFormat="false" ht="12.8" hidden="false" customHeight="false" outlineLevel="0" collapsed="false">
      <c r="A706" s="22"/>
      <c r="B706" s="23" t="n">
        <v>501306000</v>
      </c>
      <c r="C706" s="24" t="n">
        <v>10</v>
      </c>
      <c r="D706" s="54" t="s">
        <v>650</v>
      </c>
      <c r="E706" s="19" t="s">
        <v>649</v>
      </c>
      <c r="F706" s="24" t="s">
        <v>23</v>
      </c>
      <c r="G706" s="25" t="n">
        <v>0.162</v>
      </c>
      <c r="H706" s="26" t="n">
        <v>25</v>
      </c>
      <c r="I706" s="27" t="n">
        <v>30</v>
      </c>
      <c r="J706" s="28" t="n">
        <v>20</v>
      </c>
      <c r="K706" s="28" t="n">
        <v>1</v>
      </c>
      <c r="L706" s="24" t="s">
        <v>631</v>
      </c>
      <c r="M706" s="29" t="n">
        <f aca="false">IF("oui" = "oui",8.15*(1-disc),8.15)</f>
        <v>8.15</v>
      </c>
      <c r="N706" s="29" t="n">
        <f aca="false">IF("oui" = "oui",8.15*(1-disc)*1.2,8.15*1.2)</f>
        <v>9.78</v>
      </c>
      <c r="O706" s="24" t="s">
        <v>25</v>
      </c>
      <c r="P706" s="4" t="s">
        <v>25</v>
      </c>
      <c r="Q706" s="16"/>
    </row>
    <row r="707" customFormat="false" ht="12.8" hidden="false" customHeight="false" outlineLevel="0" collapsed="false">
      <c r="A707" s="22"/>
      <c r="B707" s="23" t="n">
        <v>501308000</v>
      </c>
      <c r="C707" s="24" t="n">
        <v>10</v>
      </c>
      <c r="D707" s="54" t="s">
        <v>651</v>
      </c>
      <c r="E707" s="19" t="s">
        <v>649</v>
      </c>
      <c r="F707" s="24" t="s">
        <v>23</v>
      </c>
      <c r="G707" s="25" t="n">
        <v>0.162</v>
      </c>
      <c r="H707" s="26" t="n">
        <v>25</v>
      </c>
      <c r="I707" s="27" t="n">
        <v>30</v>
      </c>
      <c r="J707" s="28" t="n">
        <v>20</v>
      </c>
      <c r="K707" s="28" t="n">
        <v>1</v>
      </c>
      <c r="L707" s="24" t="s">
        <v>631</v>
      </c>
      <c r="M707" s="29" t="n">
        <f aca="false">IF("oui" = "oui",8.15*(1-disc),8.15)</f>
        <v>8.15</v>
      </c>
      <c r="N707" s="29" t="n">
        <f aca="false">IF("oui" = "oui",8.15*(1-disc)*1.2,8.15*1.2)</f>
        <v>9.78</v>
      </c>
      <c r="O707" s="24" t="s">
        <v>25</v>
      </c>
      <c r="P707" s="4" t="s">
        <v>25</v>
      </c>
      <c r="Q707" s="16"/>
    </row>
    <row r="708" customFormat="false" ht="12.8" hidden="false" customHeight="false" outlineLevel="0" collapsed="false">
      <c r="A708" s="22"/>
      <c r="B708" s="23" t="n">
        <v>501029000</v>
      </c>
      <c r="C708" s="24" t="n">
        <v>10</v>
      </c>
      <c r="D708" s="54" t="s">
        <v>652</v>
      </c>
      <c r="E708" s="19" t="s">
        <v>653</v>
      </c>
      <c r="F708" s="24" t="s">
        <v>23</v>
      </c>
      <c r="G708" s="25" t="n">
        <v>0.162</v>
      </c>
      <c r="H708" s="26" t="n">
        <v>25</v>
      </c>
      <c r="I708" s="27" t="n">
        <v>30</v>
      </c>
      <c r="J708" s="28" t="n">
        <v>20</v>
      </c>
      <c r="K708" s="28" t="n">
        <v>1</v>
      </c>
      <c r="L708" s="24" t="s">
        <v>631</v>
      </c>
      <c r="M708" s="29" t="n">
        <f aca="false">IF("oui" = "oui",8.15*(1-disc),8.15)</f>
        <v>8.15</v>
      </c>
      <c r="N708" s="29" t="n">
        <f aca="false">IF("oui" = "oui",8.15*(1-disc)*1.2,8.15*1.2)</f>
        <v>9.78</v>
      </c>
      <c r="O708" s="24" t="s">
        <v>25</v>
      </c>
      <c r="P708" s="4" t="s">
        <v>25</v>
      </c>
      <c r="Q708" s="16"/>
    </row>
    <row r="709" customFormat="false" ht="12.8" hidden="false" customHeight="false" outlineLevel="0" collapsed="false">
      <c r="A709" s="22"/>
      <c r="B709" s="23" t="n">
        <v>501106000</v>
      </c>
      <c r="C709" s="24" t="n">
        <v>10</v>
      </c>
      <c r="D709" s="54" t="s">
        <v>654</v>
      </c>
      <c r="E709" s="19" t="s">
        <v>635</v>
      </c>
      <c r="F709" s="24" t="s">
        <v>630</v>
      </c>
      <c r="G709" s="25" t="n">
        <v>0.162</v>
      </c>
      <c r="H709" s="26" t="n">
        <v>25</v>
      </c>
      <c r="I709" s="27" t="n">
        <v>30</v>
      </c>
      <c r="J709" s="28" t="n">
        <v>20</v>
      </c>
      <c r="K709" s="28" t="n">
        <v>1</v>
      </c>
      <c r="L709" s="24" t="s">
        <v>631</v>
      </c>
      <c r="M709" s="29" t="n">
        <f aca="false">IF("oui" = "oui",8.15*(1-disc),8.15)</f>
        <v>8.15</v>
      </c>
      <c r="N709" s="29" t="n">
        <f aca="false">IF("oui" = "oui",8.15*(1-disc)*1.2,8.15*1.2)</f>
        <v>9.78</v>
      </c>
      <c r="O709" s="24" t="s">
        <v>25</v>
      </c>
      <c r="P709" s="4" t="s">
        <v>25</v>
      </c>
      <c r="Q709" s="16"/>
    </row>
    <row r="710" customFormat="false" ht="12.8" hidden="false" customHeight="false" outlineLevel="0" collapsed="false">
      <c r="A710" s="22"/>
      <c r="B710" s="23" t="n">
        <v>501172000</v>
      </c>
      <c r="C710" s="24" t="n">
        <v>10</v>
      </c>
      <c r="D710" s="22" t="s">
        <v>655</v>
      </c>
      <c r="E710" s="19" t="s">
        <v>635</v>
      </c>
      <c r="F710" s="24" t="s">
        <v>630</v>
      </c>
      <c r="G710" s="25" t="n">
        <v>0.161</v>
      </c>
      <c r="H710" s="26" t="n">
        <v>25</v>
      </c>
      <c r="I710" s="27" t="n">
        <v>30</v>
      </c>
      <c r="J710" s="28" t="n">
        <v>20</v>
      </c>
      <c r="K710" s="28" t="n">
        <v>1</v>
      </c>
      <c r="L710" s="24" t="s">
        <v>631</v>
      </c>
      <c r="M710" s="29" t="n">
        <f aca="false">IF("oui" = "oui",8.15*(1-disc),8.15)</f>
        <v>8.15</v>
      </c>
      <c r="N710" s="29" t="n">
        <f aca="false">IF("oui" = "oui",8.15*(1-disc)*1.2,8.15*1.2)</f>
        <v>9.78</v>
      </c>
      <c r="O710" s="24" t="s">
        <v>25</v>
      </c>
      <c r="P710" s="7" t="s">
        <v>26</v>
      </c>
      <c r="Q710" s="16"/>
    </row>
    <row r="711" customFormat="false" ht="12.8" hidden="false" customHeight="false" outlineLevel="0" collapsed="false">
      <c r="A711" s="22"/>
      <c r="B711" s="23" t="n">
        <v>501024000</v>
      </c>
      <c r="C711" s="24" t="n">
        <v>10</v>
      </c>
      <c r="D711" s="54" t="s">
        <v>656</v>
      </c>
      <c r="E711" s="19" t="s">
        <v>635</v>
      </c>
      <c r="F711" s="24" t="s">
        <v>630</v>
      </c>
      <c r="G711" s="25" t="n">
        <v>0.162</v>
      </c>
      <c r="H711" s="26" t="n">
        <v>25</v>
      </c>
      <c r="I711" s="27" t="n">
        <v>30</v>
      </c>
      <c r="J711" s="28" t="n">
        <v>20</v>
      </c>
      <c r="K711" s="28" t="n">
        <v>1</v>
      </c>
      <c r="L711" s="24" t="s">
        <v>631</v>
      </c>
      <c r="M711" s="29" t="n">
        <f aca="false">IF("oui" = "oui",8.15*(1-disc),8.15)</f>
        <v>8.15</v>
      </c>
      <c r="N711" s="29" t="n">
        <f aca="false">IF("oui" = "oui",8.15*(1-disc)*1.2,8.15*1.2)</f>
        <v>9.78</v>
      </c>
      <c r="O711" s="24" t="s">
        <v>25</v>
      </c>
      <c r="P711" s="4" t="s">
        <v>25</v>
      </c>
      <c r="Q711" s="16"/>
    </row>
    <row r="712" customFormat="false" ht="12.8" hidden="false" customHeight="false" outlineLevel="0" collapsed="false">
      <c r="A712" s="22"/>
      <c r="B712" s="23" t="n">
        <v>501025000</v>
      </c>
      <c r="C712" s="24" t="n">
        <v>10</v>
      </c>
      <c r="D712" s="54" t="s">
        <v>657</v>
      </c>
      <c r="E712" s="19" t="s">
        <v>635</v>
      </c>
      <c r="F712" s="24" t="s">
        <v>630</v>
      </c>
      <c r="G712" s="25" t="n">
        <v>0.162</v>
      </c>
      <c r="H712" s="26" t="n">
        <v>25</v>
      </c>
      <c r="I712" s="27" t="n">
        <v>30</v>
      </c>
      <c r="J712" s="28" t="n">
        <v>20</v>
      </c>
      <c r="K712" s="28" t="n">
        <v>1</v>
      </c>
      <c r="L712" s="24" t="s">
        <v>631</v>
      </c>
      <c r="M712" s="29" t="n">
        <f aca="false">IF("oui" = "oui",8.15*(1-disc),8.15)</f>
        <v>8.15</v>
      </c>
      <c r="N712" s="29" t="n">
        <f aca="false">IF("oui" = "oui",8.15*(1-disc)*1.2,8.15*1.2)</f>
        <v>9.78</v>
      </c>
      <c r="O712" s="24" t="s">
        <v>25</v>
      </c>
      <c r="P712" s="55" t="s">
        <v>658</v>
      </c>
      <c r="Q712" s="16"/>
    </row>
    <row r="713" customFormat="false" ht="12.8" hidden="false" customHeight="false" outlineLevel="0" collapsed="false">
      <c r="A713" s="22"/>
      <c r="B713" s="23" t="n">
        <v>501026000</v>
      </c>
      <c r="C713" s="24" t="n">
        <v>10</v>
      </c>
      <c r="D713" s="54" t="s">
        <v>659</v>
      </c>
      <c r="E713" s="19" t="s">
        <v>635</v>
      </c>
      <c r="F713" s="24" t="s">
        <v>630</v>
      </c>
      <c r="G713" s="25" t="n">
        <v>0.161</v>
      </c>
      <c r="H713" s="26" t="n">
        <v>25</v>
      </c>
      <c r="I713" s="27" t="n">
        <v>30</v>
      </c>
      <c r="J713" s="28" t="n">
        <v>20</v>
      </c>
      <c r="K713" s="28" t="n">
        <v>1</v>
      </c>
      <c r="L713" s="24" t="s">
        <v>631</v>
      </c>
      <c r="M713" s="29" t="n">
        <f aca="false">IF("oui" = "oui",8.15*(1-disc),8.15)</f>
        <v>8.15</v>
      </c>
      <c r="N713" s="29" t="n">
        <f aca="false">IF("oui" = "oui",8.15*(1-disc)*1.2,8.15*1.2)</f>
        <v>9.78</v>
      </c>
      <c r="O713" s="24" t="s">
        <v>25</v>
      </c>
      <c r="P713" s="4" t="s">
        <v>25</v>
      </c>
      <c r="Q713" s="16"/>
    </row>
    <row r="714" customFormat="false" ht="12.8" hidden="false" customHeight="false" outlineLevel="0" collapsed="false">
      <c r="A714" s="22"/>
      <c r="B714" s="23" t="n">
        <v>501027000</v>
      </c>
      <c r="C714" s="24" t="n">
        <v>10</v>
      </c>
      <c r="D714" s="54" t="s">
        <v>660</v>
      </c>
      <c r="E714" s="19" t="s">
        <v>635</v>
      </c>
      <c r="F714" s="24" t="s">
        <v>630</v>
      </c>
      <c r="G714" s="25" t="n">
        <v>0.162</v>
      </c>
      <c r="H714" s="26" t="n">
        <v>25</v>
      </c>
      <c r="I714" s="27" t="n">
        <v>30</v>
      </c>
      <c r="J714" s="28" t="n">
        <v>20</v>
      </c>
      <c r="K714" s="28" t="n">
        <v>1</v>
      </c>
      <c r="L714" s="24" t="s">
        <v>631</v>
      </c>
      <c r="M714" s="29" t="n">
        <f aca="false">IF("oui" = "oui",8.15*(1-disc),8.15)</f>
        <v>8.15</v>
      </c>
      <c r="N714" s="29" t="n">
        <f aca="false">IF("oui" = "oui",8.15*(1-disc)*1.2,8.15*1.2)</f>
        <v>9.78</v>
      </c>
      <c r="O714" s="24" t="s">
        <v>25</v>
      </c>
      <c r="P714" s="4" t="s">
        <v>25</v>
      </c>
      <c r="Q714" s="16"/>
    </row>
    <row r="715" customFormat="false" ht="12.8" hidden="false" customHeight="false" outlineLevel="0" collapsed="false">
      <c r="A715" s="22"/>
      <c r="B715" s="23" t="n">
        <v>501030000</v>
      </c>
      <c r="C715" s="24" t="n">
        <v>10</v>
      </c>
      <c r="D715" s="54" t="s">
        <v>661</v>
      </c>
      <c r="E715" s="19" t="s">
        <v>635</v>
      </c>
      <c r="F715" s="24" t="s">
        <v>630</v>
      </c>
      <c r="G715" s="25" t="n">
        <v>0.162</v>
      </c>
      <c r="H715" s="26" t="n">
        <v>25</v>
      </c>
      <c r="I715" s="27" t="n">
        <v>30</v>
      </c>
      <c r="J715" s="28" t="n">
        <v>20</v>
      </c>
      <c r="K715" s="28" t="n">
        <v>1</v>
      </c>
      <c r="L715" s="24" t="s">
        <v>631</v>
      </c>
      <c r="M715" s="29" t="n">
        <f aca="false">IF("oui" = "oui",8.15*(1-disc),8.15)</f>
        <v>8.15</v>
      </c>
      <c r="N715" s="29" t="n">
        <f aca="false">IF("oui" = "oui",8.15*(1-disc)*1.2,8.15*1.2)</f>
        <v>9.78</v>
      </c>
      <c r="O715" s="24" t="s">
        <v>25</v>
      </c>
      <c r="P715" s="4" t="s">
        <v>25</v>
      </c>
      <c r="Q715" s="16"/>
    </row>
    <row r="716" customFormat="false" ht="12.8" hidden="false" customHeight="false" outlineLevel="0" collapsed="false">
      <c r="A716" s="22"/>
      <c r="B716" s="23" t="n">
        <v>501312000</v>
      </c>
      <c r="C716" s="24" t="n">
        <v>10</v>
      </c>
      <c r="D716" s="54" t="s">
        <v>662</v>
      </c>
      <c r="E716" s="19" t="s">
        <v>635</v>
      </c>
      <c r="F716" s="24" t="s">
        <v>630</v>
      </c>
      <c r="G716" s="25" t="n">
        <v>0.161</v>
      </c>
      <c r="H716" s="26" t="n">
        <v>25</v>
      </c>
      <c r="I716" s="27" t="n">
        <v>30</v>
      </c>
      <c r="J716" s="28" t="n">
        <v>20</v>
      </c>
      <c r="K716" s="28" t="n">
        <v>1</v>
      </c>
      <c r="L716" s="24" t="s">
        <v>631</v>
      </c>
      <c r="M716" s="29" t="n">
        <f aca="false">IF("oui" = "oui",8.15*(1-disc),8.15)</f>
        <v>8.15</v>
      </c>
      <c r="N716" s="29" t="n">
        <f aca="false">IF("oui" = "oui",8.15*(1-disc)*1.2,8.15*1.2)</f>
        <v>9.78</v>
      </c>
      <c r="O716" s="24" t="s">
        <v>25</v>
      </c>
      <c r="P716" s="4" t="s">
        <v>25</v>
      </c>
      <c r="Q716" s="16"/>
    </row>
    <row r="717" customFormat="false" ht="12.8" hidden="false" customHeight="false" outlineLevel="0" collapsed="false">
      <c r="A717" s="22"/>
      <c r="B717" s="23" t="n">
        <v>501310000</v>
      </c>
      <c r="C717" s="24" t="n">
        <v>10</v>
      </c>
      <c r="D717" s="22" t="s">
        <v>663</v>
      </c>
      <c r="E717" s="19" t="s">
        <v>635</v>
      </c>
      <c r="F717" s="24" t="s">
        <v>630</v>
      </c>
      <c r="G717" s="25" t="n">
        <v>0.162</v>
      </c>
      <c r="H717" s="26" t="n">
        <v>25</v>
      </c>
      <c r="I717" s="27" t="n">
        <v>30</v>
      </c>
      <c r="J717" s="28" t="n">
        <v>20</v>
      </c>
      <c r="K717" s="28" t="n">
        <v>1</v>
      </c>
      <c r="L717" s="24" t="s">
        <v>631</v>
      </c>
      <c r="M717" s="29" t="n">
        <f aca="false">IF("oui" = "oui",8.15*(1-disc),8.15)</f>
        <v>8.15</v>
      </c>
      <c r="N717" s="29" t="n">
        <f aca="false">IF("oui" = "oui",8.15*(1-disc)*1.2,8.15*1.2)</f>
        <v>9.78</v>
      </c>
      <c r="O717" s="24" t="s">
        <v>25</v>
      </c>
      <c r="P717" s="4" t="s">
        <v>25</v>
      </c>
      <c r="Q717" s="16"/>
    </row>
    <row r="718" customFormat="false" ht="12.8" hidden="false" customHeight="false" outlineLevel="0" collapsed="false">
      <c r="A718" s="22"/>
      <c r="B718" s="23"/>
      <c r="C718" s="24"/>
      <c r="D718" s="22"/>
      <c r="E718" s="19"/>
      <c r="F718" s="24"/>
      <c r="G718" s="25"/>
      <c r="H718" s="26"/>
      <c r="I718" s="27"/>
      <c r="J718" s="28"/>
      <c r="K718" s="28"/>
      <c r="L718" s="24"/>
      <c r="M718" s="29"/>
      <c r="N718" s="29"/>
      <c r="O718" s="24"/>
      <c r="P718" s="4"/>
      <c r="Q718" s="16"/>
    </row>
    <row r="719" customFormat="false" ht="12.8" hidden="false" customHeight="false" outlineLevel="0" collapsed="false">
      <c r="A719" s="22"/>
      <c r="B719" s="23" t="n">
        <v>501293000</v>
      </c>
      <c r="C719" s="24" t="n">
        <v>10</v>
      </c>
      <c r="D719" s="54" t="s">
        <v>664</v>
      </c>
      <c r="E719" s="19" t="s">
        <v>665</v>
      </c>
      <c r="F719" s="24" t="s">
        <v>630</v>
      </c>
      <c r="G719" s="25" t="n">
        <v>1.46</v>
      </c>
      <c r="H719" s="26" t="n">
        <v>25</v>
      </c>
      <c r="I719" s="27" t="n">
        <v>30</v>
      </c>
      <c r="J719" s="28" t="n">
        <v>1</v>
      </c>
      <c r="K719" s="28" t="n">
        <v>1</v>
      </c>
      <c r="L719" s="24" t="s">
        <v>631</v>
      </c>
      <c r="M719" s="57" t="n">
        <f aca="false">IF("non" = "oui",144.86*(1-disc),144.86)</f>
        <v>144.86</v>
      </c>
      <c r="N719" s="57" t="n">
        <f aca="false">IF("non" = "oui",144.86*(1-disc)*1.2,144.86*1.2)</f>
        <v>173.832</v>
      </c>
      <c r="O719" s="58" t="s">
        <v>26</v>
      </c>
      <c r="P719" s="7" t="s">
        <v>26</v>
      </c>
      <c r="Q719" s="16"/>
    </row>
    <row r="720" customFormat="false" ht="12.8" hidden="false" customHeight="false" outlineLevel="0" collapsed="false">
      <c r="A720" s="22"/>
      <c r="B720" s="23" t="n">
        <v>501294000</v>
      </c>
      <c r="C720" s="24" t="n">
        <v>10</v>
      </c>
      <c r="D720" s="54" t="s">
        <v>666</v>
      </c>
      <c r="E720" s="19" t="s">
        <v>665</v>
      </c>
      <c r="F720" s="24" t="s">
        <v>630</v>
      </c>
      <c r="G720" s="25" t="n">
        <v>1.46</v>
      </c>
      <c r="H720" s="26" t="n">
        <v>25</v>
      </c>
      <c r="I720" s="27" t="n">
        <v>30</v>
      </c>
      <c r="J720" s="28" t="n">
        <v>1</v>
      </c>
      <c r="K720" s="28" t="n">
        <v>1</v>
      </c>
      <c r="L720" s="24" t="s">
        <v>631</v>
      </c>
      <c r="M720" s="57" t="n">
        <f aca="false">IF("non" = "oui",144.86*(1-disc),144.86)</f>
        <v>144.86</v>
      </c>
      <c r="N720" s="57" t="n">
        <f aca="false">IF("non" = "oui",144.86*(1-disc)*1.2,144.86*1.2)</f>
        <v>173.832</v>
      </c>
      <c r="O720" s="58" t="s">
        <v>26</v>
      </c>
      <c r="P720" s="55" t="s">
        <v>63</v>
      </c>
      <c r="Q720" s="16"/>
    </row>
    <row r="721" customFormat="false" ht="12.8" hidden="false" customHeight="false" outlineLevel="0" collapsed="false">
      <c r="A721" s="22"/>
      <c r="B721" s="23"/>
      <c r="C721" s="24"/>
      <c r="D721" s="22"/>
      <c r="E721" s="19"/>
      <c r="F721" s="24"/>
      <c r="G721" s="25"/>
      <c r="H721" s="26"/>
      <c r="I721" s="27"/>
      <c r="J721" s="28"/>
      <c r="K721" s="28"/>
      <c r="L721" s="24"/>
      <c r="M721" s="29"/>
      <c r="N721" s="29"/>
      <c r="O721" s="24"/>
      <c r="P721" s="4"/>
      <c r="Q721" s="16"/>
    </row>
    <row r="722" customFormat="false" ht="12.8" hidden="false" customHeight="false" outlineLevel="0" collapsed="false">
      <c r="A722" s="30" t="s">
        <v>667</v>
      </c>
      <c r="B722" s="31"/>
      <c r="C722" s="32"/>
      <c r="D722" s="33"/>
      <c r="E722" s="34"/>
      <c r="F722" s="32"/>
      <c r="G722" s="35"/>
      <c r="H722" s="36"/>
      <c r="I722" s="37"/>
      <c r="J722" s="38"/>
      <c r="K722" s="38"/>
      <c r="L722" s="32"/>
      <c r="M722" s="39"/>
      <c r="N722" s="39"/>
      <c r="O722" s="32"/>
      <c r="P722" s="40"/>
      <c r="Q722" s="41"/>
    </row>
    <row r="723" customFormat="false" ht="12.8" hidden="false" customHeight="false" outlineLevel="0" collapsed="false">
      <c r="A723" s="22"/>
      <c r="B723" s="23"/>
      <c r="C723" s="24"/>
      <c r="D723" s="22"/>
      <c r="E723" s="19"/>
      <c r="F723" s="24"/>
      <c r="G723" s="25"/>
      <c r="H723" s="26"/>
      <c r="I723" s="27"/>
      <c r="J723" s="28"/>
      <c r="K723" s="28"/>
      <c r="L723" s="24"/>
      <c r="M723" s="29"/>
      <c r="N723" s="29"/>
      <c r="O723" s="24"/>
      <c r="P723" s="4"/>
      <c r="Q723" s="16"/>
    </row>
    <row r="724" customFormat="false" ht="12.8" hidden="false" customHeight="false" outlineLevel="0" collapsed="false">
      <c r="A724" s="42" t="s">
        <v>668</v>
      </c>
      <c r="B724" s="43"/>
      <c r="C724" s="44"/>
      <c r="D724" s="45"/>
      <c r="E724" s="46"/>
      <c r="F724" s="44"/>
      <c r="G724" s="47"/>
      <c r="H724" s="48"/>
      <c r="I724" s="49"/>
      <c r="J724" s="50"/>
      <c r="K724" s="50"/>
      <c r="L724" s="44"/>
      <c r="M724" s="51"/>
      <c r="N724" s="51"/>
      <c r="O724" s="44"/>
      <c r="P724" s="52"/>
      <c r="Q724" s="53"/>
    </row>
    <row r="725" customFormat="false" ht="12.8" hidden="false" customHeight="false" outlineLevel="0" collapsed="false">
      <c r="A725" s="22"/>
      <c r="B725" s="23"/>
      <c r="C725" s="24"/>
      <c r="D725" s="22"/>
      <c r="E725" s="19"/>
      <c r="F725" s="24"/>
      <c r="G725" s="25"/>
      <c r="H725" s="26"/>
      <c r="I725" s="27"/>
      <c r="J725" s="28"/>
      <c r="K725" s="28"/>
      <c r="L725" s="24"/>
      <c r="M725" s="29"/>
      <c r="N725" s="29"/>
      <c r="O725" s="24"/>
      <c r="P725" s="4"/>
      <c r="Q725" s="16"/>
    </row>
    <row r="726" customFormat="false" ht="12.8" hidden="false" customHeight="false" outlineLevel="0" collapsed="false">
      <c r="A726" s="22"/>
      <c r="B726" s="23" t="n">
        <v>501157000</v>
      </c>
      <c r="C726" s="24" t="n">
        <v>20</v>
      </c>
      <c r="D726" s="54" t="s">
        <v>669</v>
      </c>
      <c r="E726" s="19" t="s">
        <v>670</v>
      </c>
      <c r="F726" s="24" t="s">
        <v>647</v>
      </c>
      <c r="G726" s="25" t="n">
        <v>0.025</v>
      </c>
      <c r="H726" s="26" t="n">
        <v>25</v>
      </c>
      <c r="I726" s="27" t="n">
        <v>30</v>
      </c>
      <c r="J726" s="28" t="n">
        <v>100</v>
      </c>
      <c r="K726" s="28" t="n">
        <v>1</v>
      </c>
      <c r="L726" s="24" t="s">
        <v>631</v>
      </c>
      <c r="M726" s="29" t="n">
        <f aca="false">IF("oui" = "oui",3.13*(1-disc),3.13)</f>
        <v>3.13</v>
      </c>
      <c r="N726" s="29" t="n">
        <f aca="false">IF("oui" = "oui",3.13*(1-disc)*1.2,3.13*1.2)</f>
        <v>3.756</v>
      </c>
      <c r="O726" s="24" t="s">
        <v>25</v>
      </c>
      <c r="P726" s="7" t="s">
        <v>26</v>
      </c>
      <c r="Q726" s="16"/>
    </row>
    <row r="727" customFormat="false" ht="12.8" hidden="false" customHeight="false" outlineLevel="0" collapsed="false">
      <c r="A727" s="22"/>
      <c r="B727" s="23"/>
      <c r="C727" s="24"/>
      <c r="D727" s="22"/>
      <c r="E727" s="19"/>
      <c r="F727" s="24"/>
      <c r="G727" s="25"/>
      <c r="H727" s="26"/>
      <c r="I727" s="27"/>
      <c r="J727" s="28"/>
      <c r="K727" s="28"/>
      <c r="L727" s="24"/>
      <c r="M727" s="29"/>
      <c r="N727" s="29"/>
      <c r="O727" s="24"/>
      <c r="P727" s="4"/>
      <c r="Q727" s="16"/>
    </row>
    <row r="728" customFormat="false" ht="12.8" hidden="false" customHeight="false" outlineLevel="0" collapsed="false">
      <c r="A728" s="22"/>
      <c r="B728" s="23" t="n">
        <v>501176000</v>
      </c>
      <c r="C728" s="24" t="n">
        <v>20</v>
      </c>
      <c r="D728" s="54" t="s">
        <v>671</v>
      </c>
      <c r="E728" s="19" t="s">
        <v>672</v>
      </c>
      <c r="F728" s="24" t="s">
        <v>647</v>
      </c>
      <c r="G728" s="25" t="n">
        <v>0.076</v>
      </c>
      <c r="H728" s="26" t="n">
        <v>25</v>
      </c>
      <c r="I728" s="27" t="n">
        <v>30</v>
      </c>
      <c r="J728" s="28" t="n">
        <v>30</v>
      </c>
      <c r="K728" s="28" t="n">
        <v>1</v>
      </c>
      <c r="L728" s="24" t="s">
        <v>631</v>
      </c>
      <c r="M728" s="29" t="n">
        <f aca="false">IF("oui" = "oui",10.6*(1-disc),10.6)</f>
        <v>10.6</v>
      </c>
      <c r="N728" s="29" t="n">
        <f aca="false">IF("oui" = "oui",10.6*(1-disc)*1.2,10.6*1.2)</f>
        <v>12.72</v>
      </c>
      <c r="O728" s="24" t="s">
        <v>25</v>
      </c>
      <c r="P728" s="4" t="s">
        <v>25</v>
      </c>
      <c r="Q728" s="16"/>
    </row>
    <row r="729" customFormat="false" ht="12.8" hidden="false" customHeight="false" outlineLevel="0" collapsed="false">
      <c r="A729" s="22"/>
      <c r="B729" s="23"/>
      <c r="C729" s="24"/>
      <c r="D729" s="22"/>
      <c r="E729" s="19"/>
      <c r="F729" s="24"/>
      <c r="G729" s="25"/>
      <c r="H729" s="26"/>
      <c r="I729" s="27"/>
      <c r="J729" s="28"/>
      <c r="K729" s="28"/>
      <c r="L729" s="24"/>
      <c r="M729" s="29"/>
      <c r="N729" s="29"/>
      <c r="O729" s="24"/>
      <c r="P729" s="4"/>
      <c r="Q729" s="16"/>
    </row>
    <row r="730" customFormat="false" ht="12.8" hidden="false" customHeight="false" outlineLevel="0" collapsed="false">
      <c r="A730" s="42" t="s">
        <v>673</v>
      </c>
      <c r="B730" s="43"/>
      <c r="C730" s="44"/>
      <c r="D730" s="45"/>
      <c r="E730" s="46"/>
      <c r="F730" s="44"/>
      <c r="G730" s="47"/>
      <c r="H730" s="48"/>
      <c r="I730" s="49"/>
      <c r="J730" s="50"/>
      <c r="K730" s="50"/>
      <c r="L730" s="44"/>
      <c r="M730" s="51"/>
      <c r="N730" s="51"/>
      <c r="O730" s="44"/>
      <c r="P730" s="52"/>
      <c r="Q730" s="53"/>
    </row>
    <row r="731" customFormat="false" ht="12.8" hidden="false" customHeight="false" outlineLevel="0" collapsed="false">
      <c r="A731" s="22"/>
      <c r="B731" s="23"/>
      <c r="C731" s="24"/>
      <c r="D731" s="22"/>
      <c r="E731" s="19"/>
      <c r="F731" s="24"/>
      <c r="G731" s="25"/>
      <c r="H731" s="26"/>
      <c r="I731" s="27"/>
      <c r="J731" s="28"/>
      <c r="K731" s="28"/>
      <c r="L731" s="24"/>
      <c r="M731" s="29"/>
      <c r="N731" s="29"/>
      <c r="O731" s="24"/>
      <c r="P731" s="4"/>
      <c r="Q731" s="16"/>
    </row>
    <row r="732" customFormat="false" ht="12.8" hidden="false" customHeight="false" outlineLevel="0" collapsed="false">
      <c r="A732" s="22"/>
      <c r="B732" s="23" t="n">
        <v>501235000</v>
      </c>
      <c r="C732" s="24" t="n">
        <v>20</v>
      </c>
      <c r="D732" s="54" t="s">
        <v>674</v>
      </c>
      <c r="E732" s="19" t="s">
        <v>675</v>
      </c>
      <c r="F732" s="24" t="s">
        <v>647</v>
      </c>
      <c r="G732" s="25" t="n">
        <v>0.063</v>
      </c>
      <c r="H732" s="26" t="n">
        <v>25</v>
      </c>
      <c r="I732" s="27" t="n">
        <v>30</v>
      </c>
      <c r="J732" s="28" t="n">
        <v>100</v>
      </c>
      <c r="K732" s="28" t="n">
        <v>1</v>
      </c>
      <c r="L732" s="24" t="s">
        <v>631</v>
      </c>
      <c r="M732" s="29" t="n">
        <f aca="false">IF("oui" = "oui",2.91*(1-disc),2.91)</f>
        <v>2.91</v>
      </c>
      <c r="N732" s="29" t="n">
        <f aca="false">IF("oui" = "oui",2.91*(1-disc)*1.2,2.91*1.2)</f>
        <v>3.492</v>
      </c>
      <c r="O732" s="24" t="s">
        <v>25</v>
      </c>
      <c r="P732" s="7" t="s">
        <v>26</v>
      </c>
      <c r="Q732" s="16"/>
    </row>
    <row r="733" customFormat="false" ht="12.8" hidden="false" customHeight="false" outlineLevel="0" collapsed="false">
      <c r="A733" s="22"/>
      <c r="B733" s="23"/>
      <c r="C733" s="24"/>
      <c r="D733" s="22"/>
      <c r="E733" s="19"/>
      <c r="F733" s="24"/>
      <c r="G733" s="25"/>
      <c r="H733" s="26"/>
      <c r="I733" s="27"/>
      <c r="J733" s="28"/>
      <c r="K733" s="28"/>
      <c r="L733" s="24"/>
      <c r="M733" s="29"/>
      <c r="N733" s="29"/>
      <c r="O733" s="24"/>
      <c r="P733" s="4"/>
      <c r="Q733" s="16"/>
    </row>
    <row r="734" customFormat="false" ht="12.8" hidden="false" customHeight="false" outlineLevel="0" collapsed="false">
      <c r="A734" s="22"/>
      <c r="B734" s="23" t="n">
        <v>501217000</v>
      </c>
      <c r="C734" s="24" t="n">
        <v>20</v>
      </c>
      <c r="D734" s="54" t="s">
        <v>676</v>
      </c>
      <c r="E734" s="19" t="s">
        <v>677</v>
      </c>
      <c r="F734" s="24" t="s">
        <v>647</v>
      </c>
      <c r="G734" s="25" t="n">
        <v>0.189</v>
      </c>
      <c r="H734" s="26" t="n">
        <v>25</v>
      </c>
      <c r="I734" s="27" t="n">
        <v>30</v>
      </c>
      <c r="J734" s="28" t="n">
        <v>30</v>
      </c>
      <c r="K734" s="28" t="n">
        <v>1</v>
      </c>
      <c r="L734" s="24" t="s">
        <v>631</v>
      </c>
      <c r="M734" s="29" t="n">
        <f aca="false">IF("oui" = "oui",10.13*(1-disc),10.13)</f>
        <v>10.13</v>
      </c>
      <c r="N734" s="29" t="n">
        <f aca="false">IF("oui" = "oui",10.13*(1-disc)*1.2,10.13*1.2)</f>
        <v>12.156</v>
      </c>
      <c r="O734" s="24" t="s">
        <v>25</v>
      </c>
      <c r="P734" s="7" t="s">
        <v>26</v>
      </c>
      <c r="Q734" s="16"/>
    </row>
    <row r="735" customFormat="false" ht="12.8" hidden="false" customHeight="false" outlineLevel="0" collapsed="false">
      <c r="A735" s="22"/>
      <c r="B735" s="23" t="n">
        <v>501220000</v>
      </c>
      <c r="C735" s="24" t="n">
        <v>20</v>
      </c>
      <c r="D735" s="54" t="s">
        <v>678</v>
      </c>
      <c r="E735" s="19" t="s">
        <v>677</v>
      </c>
      <c r="F735" s="24" t="s">
        <v>647</v>
      </c>
      <c r="G735" s="25" t="n">
        <v>0.189</v>
      </c>
      <c r="H735" s="26" t="n">
        <v>25</v>
      </c>
      <c r="I735" s="27" t="n">
        <v>30</v>
      </c>
      <c r="J735" s="28" t="n">
        <v>30</v>
      </c>
      <c r="K735" s="28" t="n">
        <v>1</v>
      </c>
      <c r="L735" s="24" t="s">
        <v>631</v>
      </c>
      <c r="M735" s="29" t="n">
        <f aca="false">IF("oui" = "oui",10.13*(1-disc),10.13)</f>
        <v>10.13</v>
      </c>
      <c r="N735" s="29" t="n">
        <f aca="false">IF("oui" = "oui",10.13*(1-disc)*1.2,10.13*1.2)</f>
        <v>12.156</v>
      </c>
      <c r="O735" s="24" t="s">
        <v>25</v>
      </c>
      <c r="P735" s="7" t="s">
        <v>26</v>
      </c>
      <c r="Q735" s="16"/>
    </row>
    <row r="736" customFormat="false" ht="12.8" hidden="false" customHeight="false" outlineLevel="0" collapsed="false">
      <c r="A736" s="22"/>
      <c r="B736" s="23" t="n">
        <v>501221000</v>
      </c>
      <c r="C736" s="24" t="n">
        <v>20</v>
      </c>
      <c r="D736" s="54" t="s">
        <v>679</v>
      </c>
      <c r="E736" s="19" t="s">
        <v>677</v>
      </c>
      <c r="F736" s="24" t="s">
        <v>647</v>
      </c>
      <c r="G736" s="25" t="n">
        <v>0.189</v>
      </c>
      <c r="H736" s="26" t="n">
        <v>25</v>
      </c>
      <c r="I736" s="27" t="n">
        <v>30</v>
      </c>
      <c r="J736" s="28" t="n">
        <v>30</v>
      </c>
      <c r="K736" s="28" t="n">
        <v>1</v>
      </c>
      <c r="L736" s="24" t="s">
        <v>631</v>
      </c>
      <c r="M736" s="29" t="n">
        <f aca="false">IF("oui" = "oui",10.13*(1-disc),10.13)</f>
        <v>10.13</v>
      </c>
      <c r="N736" s="29" t="n">
        <f aca="false">IF("oui" = "oui",10.13*(1-disc)*1.2,10.13*1.2)</f>
        <v>12.156</v>
      </c>
      <c r="O736" s="24" t="s">
        <v>25</v>
      </c>
      <c r="P736" s="7" t="s">
        <v>26</v>
      </c>
      <c r="Q736" s="16"/>
    </row>
    <row r="737" customFormat="false" ht="12.8" hidden="false" customHeight="false" outlineLevel="0" collapsed="false">
      <c r="A737" s="22"/>
      <c r="B737" s="23" t="n">
        <v>501197000</v>
      </c>
      <c r="C737" s="24" t="n">
        <v>20</v>
      </c>
      <c r="D737" s="54" t="s">
        <v>680</v>
      </c>
      <c r="E737" s="19" t="s">
        <v>677</v>
      </c>
      <c r="F737" s="24" t="s">
        <v>647</v>
      </c>
      <c r="G737" s="25" t="n">
        <v>0.189</v>
      </c>
      <c r="H737" s="26" t="n">
        <v>25</v>
      </c>
      <c r="I737" s="27" t="n">
        <v>30</v>
      </c>
      <c r="J737" s="28" t="n">
        <v>30</v>
      </c>
      <c r="K737" s="28" t="n">
        <v>1</v>
      </c>
      <c r="L737" s="24" t="s">
        <v>631</v>
      </c>
      <c r="M737" s="29" t="n">
        <f aca="false">IF("oui" = "oui",10.13*(1-disc),10.13)</f>
        <v>10.13</v>
      </c>
      <c r="N737" s="29" t="n">
        <f aca="false">IF("oui" = "oui",10.13*(1-disc)*1.2,10.13*1.2)</f>
        <v>12.156</v>
      </c>
      <c r="O737" s="24" t="s">
        <v>25</v>
      </c>
      <c r="P737" s="7" t="s">
        <v>26</v>
      </c>
      <c r="Q737" s="16"/>
    </row>
    <row r="738" customFormat="false" ht="12.8" hidden="false" customHeight="false" outlineLevel="0" collapsed="false">
      <c r="A738" s="22"/>
      <c r="B738" s="23"/>
      <c r="C738" s="24"/>
      <c r="D738" s="22"/>
      <c r="E738" s="19"/>
      <c r="F738" s="24"/>
      <c r="G738" s="25"/>
      <c r="H738" s="26"/>
      <c r="I738" s="27"/>
      <c r="J738" s="28"/>
      <c r="K738" s="28"/>
      <c r="L738" s="24"/>
      <c r="M738" s="29"/>
      <c r="N738" s="29"/>
      <c r="O738" s="24"/>
      <c r="P738" s="4"/>
      <c r="Q738" s="16"/>
    </row>
    <row r="739" customFormat="false" ht="12.8" hidden="false" customHeight="false" outlineLevel="0" collapsed="false">
      <c r="A739" s="30" t="s">
        <v>681</v>
      </c>
      <c r="B739" s="31"/>
      <c r="C739" s="32"/>
      <c r="D739" s="33"/>
      <c r="E739" s="34"/>
      <c r="F739" s="32"/>
      <c r="G739" s="35"/>
      <c r="H739" s="36"/>
      <c r="I739" s="37"/>
      <c r="J739" s="38"/>
      <c r="K739" s="38"/>
      <c r="L739" s="32"/>
      <c r="M739" s="39"/>
      <c r="N739" s="39"/>
      <c r="O739" s="32"/>
      <c r="P739" s="40"/>
      <c r="Q739" s="41"/>
    </row>
    <row r="740" customFormat="false" ht="12.8" hidden="false" customHeight="false" outlineLevel="0" collapsed="false">
      <c r="A740" s="22"/>
      <c r="B740" s="23"/>
      <c r="C740" s="24"/>
      <c r="D740" s="22"/>
      <c r="E740" s="19"/>
      <c r="F740" s="24"/>
      <c r="G740" s="25"/>
      <c r="H740" s="26"/>
      <c r="I740" s="27"/>
      <c r="J740" s="28"/>
      <c r="K740" s="28"/>
      <c r="L740" s="24"/>
      <c r="M740" s="29"/>
      <c r="N740" s="29"/>
      <c r="O740" s="24"/>
      <c r="P740" s="4"/>
      <c r="Q740" s="16"/>
    </row>
    <row r="741" customFormat="false" ht="12.8" hidden="false" customHeight="false" outlineLevel="0" collapsed="false">
      <c r="A741" s="42" t="s">
        <v>682</v>
      </c>
      <c r="B741" s="43"/>
      <c r="C741" s="44"/>
      <c r="D741" s="45"/>
      <c r="E741" s="46"/>
      <c r="F741" s="44"/>
      <c r="G741" s="47"/>
      <c r="H741" s="48"/>
      <c r="I741" s="49"/>
      <c r="J741" s="50"/>
      <c r="K741" s="50"/>
      <c r="L741" s="44"/>
      <c r="M741" s="51"/>
      <c r="N741" s="51"/>
      <c r="O741" s="44"/>
      <c r="P741" s="52"/>
      <c r="Q741" s="53"/>
    </row>
    <row r="742" customFormat="false" ht="12.8" hidden="false" customHeight="false" outlineLevel="0" collapsed="false">
      <c r="A742" s="22"/>
      <c r="B742" s="23"/>
      <c r="C742" s="24"/>
      <c r="D742" s="22"/>
      <c r="E742" s="19"/>
      <c r="F742" s="24"/>
      <c r="G742" s="25"/>
      <c r="H742" s="26"/>
      <c r="I742" s="27"/>
      <c r="J742" s="28"/>
      <c r="K742" s="28"/>
      <c r="L742" s="24"/>
      <c r="M742" s="29"/>
      <c r="N742" s="29"/>
      <c r="O742" s="24"/>
      <c r="P742" s="4"/>
      <c r="Q742" s="16"/>
    </row>
    <row r="743" customFormat="false" ht="12.8" hidden="false" customHeight="false" outlineLevel="0" collapsed="false">
      <c r="A743" s="22"/>
      <c r="B743" s="23" t="n">
        <v>501270000</v>
      </c>
      <c r="C743" s="24" t="n">
        <v>25</v>
      </c>
      <c r="D743" s="54" t="s">
        <v>683</v>
      </c>
      <c r="E743" s="19" t="s">
        <v>684</v>
      </c>
      <c r="F743" s="24" t="s">
        <v>647</v>
      </c>
      <c r="G743" s="25" t="n">
        <v>0.119</v>
      </c>
      <c r="H743" s="26" t="n">
        <v>25</v>
      </c>
      <c r="I743" s="27" t="n">
        <v>30</v>
      </c>
      <c r="J743" s="28" t="n">
        <v>25</v>
      </c>
      <c r="K743" s="28" t="n">
        <v>1</v>
      </c>
      <c r="L743" s="24" t="s">
        <v>631</v>
      </c>
      <c r="M743" s="29" t="n">
        <f aca="false">IF("oui" = "oui",8.95*(1-disc),8.95)</f>
        <v>8.95</v>
      </c>
      <c r="N743" s="29" t="n">
        <f aca="false">IF("oui" = "oui",8.95*(1-disc)*1.2,8.95*1.2)</f>
        <v>10.74</v>
      </c>
      <c r="O743" s="24" t="s">
        <v>25</v>
      </c>
      <c r="P743" s="7" t="s">
        <v>26</v>
      </c>
      <c r="Q743" s="16"/>
    </row>
    <row r="744" customFormat="false" ht="12.8" hidden="false" customHeight="false" outlineLevel="0" collapsed="false">
      <c r="A744" s="22"/>
      <c r="B744" s="23" t="n">
        <v>501272000</v>
      </c>
      <c r="C744" s="24" t="n">
        <v>25</v>
      </c>
      <c r="D744" s="54" t="s">
        <v>685</v>
      </c>
      <c r="E744" s="19" t="s">
        <v>684</v>
      </c>
      <c r="F744" s="24" t="s">
        <v>647</v>
      </c>
      <c r="G744" s="25" t="n">
        <v>0.119</v>
      </c>
      <c r="H744" s="26" t="n">
        <v>25</v>
      </c>
      <c r="I744" s="27" t="n">
        <v>30</v>
      </c>
      <c r="J744" s="28" t="n">
        <v>25</v>
      </c>
      <c r="K744" s="28" t="n">
        <v>1</v>
      </c>
      <c r="L744" s="24" t="s">
        <v>631</v>
      </c>
      <c r="M744" s="29" t="n">
        <f aca="false">IF("oui" = "oui",8.95*(1-disc),8.95)</f>
        <v>8.95</v>
      </c>
      <c r="N744" s="29" t="n">
        <f aca="false">IF("oui" = "oui",8.95*(1-disc)*1.2,8.95*1.2)</f>
        <v>10.74</v>
      </c>
      <c r="O744" s="24" t="s">
        <v>25</v>
      </c>
      <c r="P744" s="4" t="s">
        <v>25</v>
      </c>
      <c r="Q744" s="16"/>
    </row>
    <row r="745" customFormat="false" ht="12.8" hidden="false" customHeight="false" outlineLevel="0" collapsed="false">
      <c r="A745" s="22"/>
      <c r="B745" s="23" t="n">
        <v>501273000</v>
      </c>
      <c r="C745" s="24" t="n">
        <v>25</v>
      </c>
      <c r="D745" s="54" t="s">
        <v>686</v>
      </c>
      <c r="E745" s="19" t="s">
        <v>684</v>
      </c>
      <c r="F745" s="24" t="s">
        <v>647</v>
      </c>
      <c r="G745" s="25" t="n">
        <v>0.119</v>
      </c>
      <c r="H745" s="26" t="n">
        <v>25</v>
      </c>
      <c r="I745" s="27" t="n">
        <v>30</v>
      </c>
      <c r="J745" s="28" t="n">
        <v>25</v>
      </c>
      <c r="K745" s="28" t="n">
        <v>1</v>
      </c>
      <c r="L745" s="24" t="s">
        <v>631</v>
      </c>
      <c r="M745" s="29" t="n">
        <f aca="false">IF("oui" = "oui",8.95*(1-disc),8.95)</f>
        <v>8.95</v>
      </c>
      <c r="N745" s="29" t="n">
        <f aca="false">IF("oui" = "oui",8.95*(1-disc)*1.2,8.95*1.2)</f>
        <v>10.74</v>
      </c>
      <c r="O745" s="24" t="s">
        <v>25</v>
      </c>
      <c r="P745" s="4" t="s">
        <v>25</v>
      </c>
      <c r="Q745" s="16"/>
    </row>
    <row r="746" customFormat="false" ht="12.8" hidden="false" customHeight="false" outlineLevel="0" collapsed="false">
      <c r="A746" s="22"/>
      <c r="B746" s="23" t="n">
        <v>501274000</v>
      </c>
      <c r="C746" s="24" t="n">
        <v>25</v>
      </c>
      <c r="D746" s="54" t="s">
        <v>687</v>
      </c>
      <c r="E746" s="19" t="s">
        <v>684</v>
      </c>
      <c r="F746" s="24" t="s">
        <v>647</v>
      </c>
      <c r="G746" s="25" t="n">
        <v>0.119</v>
      </c>
      <c r="H746" s="26" t="n">
        <v>25</v>
      </c>
      <c r="I746" s="27" t="n">
        <v>30</v>
      </c>
      <c r="J746" s="28" t="n">
        <v>25</v>
      </c>
      <c r="K746" s="28" t="n">
        <v>1</v>
      </c>
      <c r="L746" s="24" t="s">
        <v>631</v>
      </c>
      <c r="M746" s="29" t="n">
        <f aca="false">IF("oui" = "oui",8.95*(1-disc),8.95)</f>
        <v>8.95</v>
      </c>
      <c r="N746" s="29" t="n">
        <f aca="false">IF("oui" = "oui",8.95*(1-disc)*1.2,8.95*1.2)</f>
        <v>10.74</v>
      </c>
      <c r="O746" s="24" t="s">
        <v>25</v>
      </c>
      <c r="P746" s="4" t="s">
        <v>25</v>
      </c>
      <c r="Q746" s="16"/>
    </row>
    <row r="747" customFormat="false" ht="12.8" hidden="false" customHeight="false" outlineLevel="0" collapsed="false">
      <c r="A747" s="22"/>
      <c r="B747" s="23"/>
      <c r="C747" s="24"/>
      <c r="D747" s="22"/>
      <c r="E747" s="19"/>
      <c r="F747" s="24"/>
      <c r="G747" s="25"/>
      <c r="H747" s="26"/>
      <c r="I747" s="27"/>
      <c r="J747" s="28"/>
      <c r="K747" s="28"/>
      <c r="L747" s="24"/>
      <c r="M747" s="29"/>
      <c r="N747" s="29"/>
      <c r="O747" s="24"/>
      <c r="P747" s="4"/>
      <c r="Q747" s="16"/>
    </row>
    <row r="748" customFormat="false" ht="12.8" hidden="false" customHeight="false" outlineLevel="0" collapsed="false">
      <c r="A748" s="42" t="s">
        <v>688</v>
      </c>
      <c r="B748" s="43"/>
      <c r="C748" s="44"/>
      <c r="D748" s="45"/>
      <c r="E748" s="46"/>
      <c r="F748" s="44"/>
      <c r="G748" s="47"/>
      <c r="H748" s="48"/>
      <c r="I748" s="49"/>
      <c r="J748" s="50"/>
      <c r="K748" s="50"/>
      <c r="L748" s="44"/>
      <c r="M748" s="51"/>
      <c r="N748" s="51"/>
      <c r="O748" s="44"/>
      <c r="P748" s="52"/>
      <c r="Q748" s="53"/>
    </row>
    <row r="749" customFormat="false" ht="12.8" hidden="false" customHeight="false" outlineLevel="0" collapsed="false">
      <c r="A749" s="22"/>
      <c r="B749" s="23"/>
      <c r="C749" s="24"/>
      <c r="D749" s="22"/>
      <c r="E749" s="19"/>
      <c r="F749" s="24"/>
      <c r="G749" s="25"/>
      <c r="H749" s="26"/>
      <c r="I749" s="27"/>
      <c r="J749" s="28"/>
      <c r="K749" s="28"/>
      <c r="L749" s="24"/>
      <c r="M749" s="29"/>
      <c r="N749" s="29"/>
      <c r="O749" s="24"/>
      <c r="P749" s="4"/>
      <c r="Q749" s="16"/>
    </row>
    <row r="750" customFormat="false" ht="12.8" hidden="false" customHeight="false" outlineLevel="0" collapsed="false">
      <c r="A750" s="22"/>
      <c r="B750" s="23" t="n">
        <v>501134000</v>
      </c>
      <c r="C750" s="24" t="n">
        <v>25</v>
      </c>
      <c r="D750" s="54" t="s">
        <v>689</v>
      </c>
      <c r="E750" s="19" t="s">
        <v>690</v>
      </c>
      <c r="F750" s="24" t="s">
        <v>647</v>
      </c>
      <c r="G750" s="25" t="n">
        <v>0.1</v>
      </c>
      <c r="H750" s="26" t="n">
        <v>30</v>
      </c>
      <c r="I750" s="27" t="n">
        <v>30</v>
      </c>
      <c r="J750" s="28" t="n">
        <v>25</v>
      </c>
      <c r="K750" s="28" t="n">
        <v>1</v>
      </c>
      <c r="L750" s="24" t="s">
        <v>631</v>
      </c>
      <c r="M750" s="29" t="n">
        <f aca="false">IF("oui" = "oui",8.95*(1-disc),8.95)</f>
        <v>8.95</v>
      </c>
      <c r="N750" s="29" t="n">
        <f aca="false">IF("oui" = "oui",8.95*(1-disc)*1.2,8.95*1.2)</f>
        <v>10.74</v>
      </c>
      <c r="O750" s="24" t="s">
        <v>25</v>
      </c>
      <c r="P750" s="7" t="s">
        <v>26</v>
      </c>
      <c r="Q750" s="16"/>
    </row>
    <row r="751" customFormat="false" ht="12.8" hidden="false" customHeight="false" outlineLevel="0" collapsed="false">
      <c r="A751" s="22"/>
      <c r="B751" s="23" t="n">
        <v>501135000</v>
      </c>
      <c r="C751" s="24" t="n">
        <v>25</v>
      </c>
      <c r="D751" s="54" t="s">
        <v>691</v>
      </c>
      <c r="E751" s="19" t="s">
        <v>690</v>
      </c>
      <c r="F751" s="24" t="s">
        <v>647</v>
      </c>
      <c r="G751" s="25" t="n">
        <v>0.1</v>
      </c>
      <c r="H751" s="26" t="n">
        <v>30</v>
      </c>
      <c r="I751" s="27" t="n">
        <v>30</v>
      </c>
      <c r="J751" s="28" t="n">
        <v>25</v>
      </c>
      <c r="K751" s="28" t="n">
        <v>1</v>
      </c>
      <c r="L751" s="24" t="s">
        <v>631</v>
      </c>
      <c r="M751" s="29" t="n">
        <f aca="false">IF("oui" = "oui",8.95*(1-disc),8.95)</f>
        <v>8.95</v>
      </c>
      <c r="N751" s="29" t="n">
        <f aca="false">IF("oui" = "oui",8.95*(1-disc)*1.2,8.95*1.2)</f>
        <v>10.74</v>
      </c>
      <c r="O751" s="24" t="s">
        <v>25</v>
      </c>
      <c r="P751" s="7" t="s">
        <v>26</v>
      </c>
      <c r="Q751" s="16"/>
    </row>
    <row r="752" customFormat="false" ht="12.8" hidden="false" customHeight="false" outlineLevel="0" collapsed="false">
      <c r="A752" s="22"/>
      <c r="B752" s="23" t="n">
        <v>501136000</v>
      </c>
      <c r="C752" s="24" t="n">
        <v>25</v>
      </c>
      <c r="D752" s="54" t="s">
        <v>692</v>
      </c>
      <c r="E752" s="19" t="s">
        <v>690</v>
      </c>
      <c r="F752" s="24" t="s">
        <v>647</v>
      </c>
      <c r="G752" s="25" t="n">
        <v>0.1</v>
      </c>
      <c r="H752" s="26" t="n">
        <v>30</v>
      </c>
      <c r="I752" s="27" t="n">
        <v>30</v>
      </c>
      <c r="J752" s="28" t="n">
        <v>25</v>
      </c>
      <c r="K752" s="28" t="n">
        <v>1</v>
      </c>
      <c r="L752" s="24" t="s">
        <v>631</v>
      </c>
      <c r="M752" s="29" t="n">
        <f aca="false">IF("oui" = "oui",8.95*(1-disc),8.95)</f>
        <v>8.95</v>
      </c>
      <c r="N752" s="29" t="n">
        <f aca="false">IF("oui" = "oui",8.95*(1-disc)*1.2,8.95*1.2)</f>
        <v>10.74</v>
      </c>
      <c r="O752" s="24" t="s">
        <v>25</v>
      </c>
      <c r="P752" s="7" t="s">
        <v>26</v>
      </c>
      <c r="Q752" s="16"/>
    </row>
    <row r="753" customFormat="false" ht="12.8" hidden="false" customHeight="false" outlineLevel="0" collapsed="false">
      <c r="A753" s="22"/>
      <c r="B753" s="23" t="n">
        <v>501137000</v>
      </c>
      <c r="C753" s="24" t="n">
        <v>25</v>
      </c>
      <c r="D753" s="54" t="s">
        <v>693</v>
      </c>
      <c r="E753" s="19" t="s">
        <v>690</v>
      </c>
      <c r="F753" s="24" t="s">
        <v>647</v>
      </c>
      <c r="G753" s="25" t="n">
        <v>0.1</v>
      </c>
      <c r="H753" s="26" t="n">
        <v>30</v>
      </c>
      <c r="I753" s="27" t="n">
        <v>30</v>
      </c>
      <c r="J753" s="28" t="n">
        <v>25</v>
      </c>
      <c r="K753" s="28" t="n">
        <v>1</v>
      </c>
      <c r="L753" s="24" t="s">
        <v>631</v>
      </c>
      <c r="M753" s="29" t="n">
        <f aca="false">IF("oui" = "oui",8.95*(1-disc),8.95)</f>
        <v>8.95</v>
      </c>
      <c r="N753" s="29" t="n">
        <f aca="false">IF("oui" = "oui",8.95*(1-disc)*1.2,8.95*1.2)</f>
        <v>10.74</v>
      </c>
      <c r="O753" s="24" t="s">
        <v>25</v>
      </c>
      <c r="P753" s="7" t="s">
        <v>26</v>
      </c>
      <c r="Q753" s="16"/>
    </row>
    <row r="754" customFormat="false" ht="12.8" hidden="false" customHeight="false" outlineLevel="0" collapsed="false">
      <c r="A754" s="22"/>
      <c r="B754" s="23" t="n">
        <v>501138000</v>
      </c>
      <c r="C754" s="24" t="n">
        <v>25</v>
      </c>
      <c r="D754" s="54" t="s">
        <v>694</v>
      </c>
      <c r="E754" s="19" t="s">
        <v>690</v>
      </c>
      <c r="F754" s="24" t="s">
        <v>647</v>
      </c>
      <c r="G754" s="25" t="n">
        <v>0.1</v>
      </c>
      <c r="H754" s="26" t="n">
        <v>30</v>
      </c>
      <c r="I754" s="27" t="n">
        <v>30</v>
      </c>
      <c r="J754" s="28" t="n">
        <v>25</v>
      </c>
      <c r="K754" s="28" t="n">
        <v>1</v>
      </c>
      <c r="L754" s="24" t="s">
        <v>631</v>
      </c>
      <c r="M754" s="29" t="n">
        <f aca="false">IF("oui" = "oui",8.95*(1-disc),8.95)</f>
        <v>8.95</v>
      </c>
      <c r="N754" s="29" t="n">
        <f aca="false">IF("oui" = "oui",8.95*(1-disc)*1.2,8.95*1.2)</f>
        <v>10.74</v>
      </c>
      <c r="O754" s="24" t="s">
        <v>25</v>
      </c>
      <c r="P754" s="7" t="s">
        <v>26</v>
      </c>
      <c r="Q754" s="16"/>
    </row>
    <row r="755" customFormat="false" ht="12.8" hidden="false" customHeight="false" outlineLevel="0" collapsed="false">
      <c r="A755" s="22"/>
      <c r="B755" s="23" t="n">
        <v>501140000</v>
      </c>
      <c r="C755" s="24" t="n">
        <v>25</v>
      </c>
      <c r="D755" s="54" t="s">
        <v>695</v>
      </c>
      <c r="E755" s="19" t="s">
        <v>690</v>
      </c>
      <c r="F755" s="24" t="s">
        <v>647</v>
      </c>
      <c r="G755" s="25" t="n">
        <v>0.1</v>
      </c>
      <c r="H755" s="26" t="n">
        <v>30</v>
      </c>
      <c r="I755" s="27" t="n">
        <v>30</v>
      </c>
      <c r="J755" s="28" t="n">
        <v>25</v>
      </c>
      <c r="K755" s="28" t="n">
        <v>1</v>
      </c>
      <c r="L755" s="24" t="s">
        <v>631</v>
      </c>
      <c r="M755" s="29" t="n">
        <f aca="false">IF("oui" = "oui",8.95*(1-disc),8.95)</f>
        <v>8.95</v>
      </c>
      <c r="N755" s="29" t="n">
        <f aca="false">IF("oui" = "oui",8.95*(1-disc)*1.2,8.95*1.2)</f>
        <v>10.74</v>
      </c>
      <c r="O755" s="24" t="s">
        <v>25</v>
      </c>
      <c r="P755" s="7" t="s">
        <v>26</v>
      </c>
      <c r="Q755" s="16"/>
    </row>
    <row r="756" customFormat="false" ht="12.8" hidden="false" customHeight="false" outlineLevel="0" collapsed="false">
      <c r="A756" s="22"/>
      <c r="B756" s="23" t="n">
        <v>501141000</v>
      </c>
      <c r="C756" s="24" t="n">
        <v>25</v>
      </c>
      <c r="D756" s="54" t="s">
        <v>696</v>
      </c>
      <c r="E756" s="19" t="s">
        <v>690</v>
      </c>
      <c r="F756" s="24" t="s">
        <v>647</v>
      </c>
      <c r="G756" s="25" t="n">
        <v>0.1</v>
      </c>
      <c r="H756" s="26" t="n">
        <v>30</v>
      </c>
      <c r="I756" s="27" t="n">
        <v>30</v>
      </c>
      <c r="J756" s="28" t="n">
        <v>25</v>
      </c>
      <c r="K756" s="28" t="n">
        <v>1</v>
      </c>
      <c r="L756" s="24" t="s">
        <v>631</v>
      </c>
      <c r="M756" s="29" t="n">
        <f aca="false">IF("oui" = "oui",8.95*(1-disc),8.95)</f>
        <v>8.95</v>
      </c>
      <c r="N756" s="29" t="n">
        <f aca="false">IF("oui" = "oui",8.95*(1-disc)*1.2,8.95*1.2)</f>
        <v>10.74</v>
      </c>
      <c r="O756" s="24" t="s">
        <v>25</v>
      </c>
      <c r="P756" s="7" t="s">
        <v>26</v>
      </c>
      <c r="Q756" s="16"/>
    </row>
    <row r="757" customFormat="false" ht="12.8" hidden="false" customHeight="false" outlineLevel="0" collapsed="false">
      <c r="A757" s="22"/>
      <c r="B757" s="23" t="n">
        <v>501142000</v>
      </c>
      <c r="C757" s="24" t="n">
        <v>25</v>
      </c>
      <c r="D757" s="54" t="s">
        <v>697</v>
      </c>
      <c r="E757" s="19" t="s">
        <v>690</v>
      </c>
      <c r="F757" s="24" t="s">
        <v>647</v>
      </c>
      <c r="G757" s="25" t="n">
        <v>0.1</v>
      </c>
      <c r="H757" s="26" t="n">
        <v>30</v>
      </c>
      <c r="I757" s="27" t="n">
        <v>30</v>
      </c>
      <c r="J757" s="28" t="n">
        <v>25</v>
      </c>
      <c r="K757" s="28" t="n">
        <v>1</v>
      </c>
      <c r="L757" s="24" t="s">
        <v>631</v>
      </c>
      <c r="M757" s="29" t="n">
        <f aca="false">IF("oui" = "oui",8.95*(1-disc),8.95)</f>
        <v>8.95</v>
      </c>
      <c r="N757" s="29" t="n">
        <f aca="false">IF("oui" = "oui",8.95*(1-disc)*1.2,8.95*1.2)</f>
        <v>10.74</v>
      </c>
      <c r="O757" s="24" t="s">
        <v>25</v>
      </c>
      <c r="P757" s="7" t="s">
        <v>26</v>
      </c>
      <c r="Q757" s="16"/>
    </row>
    <row r="758" customFormat="false" ht="12.8" hidden="false" customHeight="false" outlineLevel="0" collapsed="false">
      <c r="A758" s="22"/>
      <c r="B758" s="23" t="n">
        <v>501143000</v>
      </c>
      <c r="C758" s="24" t="n">
        <v>25</v>
      </c>
      <c r="D758" s="54" t="s">
        <v>698</v>
      </c>
      <c r="E758" s="19" t="s">
        <v>690</v>
      </c>
      <c r="F758" s="24" t="s">
        <v>647</v>
      </c>
      <c r="G758" s="25" t="n">
        <v>0.1</v>
      </c>
      <c r="H758" s="26" t="n">
        <v>30</v>
      </c>
      <c r="I758" s="27" t="n">
        <v>30</v>
      </c>
      <c r="J758" s="28" t="n">
        <v>25</v>
      </c>
      <c r="K758" s="28" t="n">
        <v>1</v>
      </c>
      <c r="L758" s="24" t="s">
        <v>631</v>
      </c>
      <c r="M758" s="29" t="n">
        <f aca="false">IF("oui" = "oui",8.95*(1-disc),8.95)</f>
        <v>8.95</v>
      </c>
      <c r="N758" s="29" t="n">
        <f aca="false">IF("oui" = "oui",8.95*(1-disc)*1.2,8.95*1.2)</f>
        <v>10.74</v>
      </c>
      <c r="O758" s="24" t="s">
        <v>25</v>
      </c>
      <c r="P758" s="7" t="s">
        <v>26</v>
      </c>
      <c r="Q758" s="16"/>
    </row>
    <row r="759" customFormat="false" ht="12.8" hidden="false" customHeight="false" outlineLevel="0" collapsed="false">
      <c r="A759" s="22"/>
      <c r="B759" s="23" t="n">
        <v>501144000</v>
      </c>
      <c r="C759" s="24" t="n">
        <v>25</v>
      </c>
      <c r="D759" s="54" t="s">
        <v>699</v>
      </c>
      <c r="E759" s="19" t="s">
        <v>690</v>
      </c>
      <c r="F759" s="24" t="s">
        <v>647</v>
      </c>
      <c r="G759" s="25" t="n">
        <v>0.1</v>
      </c>
      <c r="H759" s="26" t="n">
        <v>30</v>
      </c>
      <c r="I759" s="27" t="n">
        <v>30</v>
      </c>
      <c r="J759" s="28" t="n">
        <v>25</v>
      </c>
      <c r="K759" s="28" t="n">
        <v>1</v>
      </c>
      <c r="L759" s="24" t="s">
        <v>631</v>
      </c>
      <c r="M759" s="29" t="n">
        <f aca="false">IF("oui" = "oui",8.95*(1-disc),8.95)</f>
        <v>8.95</v>
      </c>
      <c r="N759" s="29" t="n">
        <f aca="false">IF("oui" = "oui",8.95*(1-disc)*1.2,8.95*1.2)</f>
        <v>10.74</v>
      </c>
      <c r="O759" s="24" t="s">
        <v>25</v>
      </c>
      <c r="P759" s="7" t="s">
        <v>26</v>
      </c>
      <c r="Q759" s="16"/>
    </row>
    <row r="760" customFormat="false" ht="12.8" hidden="false" customHeight="false" outlineLevel="0" collapsed="false">
      <c r="A760" s="22"/>
      <c r="B760" s="23" t="n">
        <v>501145000</v>
      </c>
      <c r="C760" s="24" t="n">
        <v>25</v>
      </c>
      <c r="D760" s="54" t="s">
        <v>700</v>
      </c>
      <c r="E760" s="19" t="s">
        <v>690</v>
      </c>
      <c r="F760" s="24" t="s">
        <v>647</v>
      </c>
      <c r="G760" s="25" t="n">
        <v>0.1</v>
      </c>
      <c r="H760" s="26" t="n">
        <v>30</v>
      </c>
      <c r="I760" s="27" t="n">
        <v>30</v>
      </c>
      <c r="J760" s="28" t="n">
        <v>25</v>
      </c>
      <c r="K760" s="28" t="n">
        <v>1</v>
      </c>
      <c r="L760" s="24" t="s">
        <v>631</v>
      </c>
      <c r="M760" s="29" t="n">
        <f aca="false">IF("oui" = "oui",8.95*(1-disc),8.95)</f>
        <v>8.95</v>
      </c>
      <c r="N760" s="29" t="n">
        <f aca="false">IF("oui" = "oui",8.95*(1-disc)*1.2,8.95*1.2)</f>
        <v>10.74</v>
      </c>
      <c r="O760" s="24" t="s">
        <v>25</v>
      </c>
      <c r="P760" s="55" t="s">
        <v>701</v>
      </c>
      <c r="Q760" s="16"/>
    </row>
    <row r="761" customFormat="false" ht="12.8" hidden="false" customHeight="false" outlineLevel="0" collapsed="false">
      <c r="A761" s="22"/>
      <c r="B761" s="23" t="n">
        <v>501148000</v>
      </c>
      <c r="C761" s="24" t="n">
        <v>25</v>
      </c>
      <c r="D761" s="54" t="s">
        <v>702</v>
      </c>
      <c r="E761" s="19" t="s">
        <v>690</v>
      </c>
      <c r="F761" s="24" t="s">
        <v>647</v>
      </c>
      <c r="G761" s="25" t="n">
        <v>0.1</v>
      </c>
      <c r="H761" s="26" t="n">
        <v>30</v>
      </c>
      <c r="I761" s="27" t="n">
        <v>30</v>
      </c>
      <c r="J761" s="28" t="n">
        <v>25</v>
      </c>
      <c r="K761" s="28" t="n">
        <v>1</v>
      </c>
      <c r="L761" s="24" t="s">
        <v>631</v>
      </c>
      <c r="M761" s="29" t="n">
        <f aca="false">IF("oui" = "oui",8.95*(1-disc),8.95)</f>
        <v>8.95</v>
      </c>
      <c r="N761" s="29" t="n">
        <f aca="false">IF("oui" = "oui",8.95*(1-disc)*1.2,8.95*1.2)</f>
        <v>10.74</v>
      </c>
      <c r="O761" s="24" t="s">
        <v>25</v>
      </c>
      <c r="P761" s="7" t="s">
        <v>26</v>
      </c>
      <c r="Q761" s="16"/>
    </row>
    <row r="762" customFormat="false" ht="12.8" hidden="false" customHeight="false" outlineLevel="0" collapsed="false">
      <c r="A762" s="22"/>
      <c r="B762" s="23"/>
      <c r="C762" s="24"/>
      <c r="D762" s="22"/>
      <c r="E762" s="19"/>
      <c r="F762" s="24"/>
      <c r="G762" s="25"/>
      <c r="H762" s="26"/>
      <c r="I762" s="27"/>
      <c r="J762" s="28"/>
      <c r="K762" s="28"/>
      <c r="L762" s="24"/>
      <c r="M762" s="29"/>
      <c r="N762" s="29"/>
      <c r="O762" s="24"/>
      <c r="P762" s="4"/>
      <c r="Q762" s="16"/>
    </row>
    <row r="763" customFormat="false" ht="12.8" hidden="false" customHeight="false" outlineLevel="0" collapsed="false">
      <c r="A763" s="42" t="s">
        <v>703</v>
      </c>
      <c r="B763" s="43"/>
      <c r="C763" s="44"/>
      <c r="D763" s="45"/>
      <c r="E763" s="46"/>
      <c r="F763" s="44"/>
      <c r="G763" s="47"/>
      <c r="H763" s="48"/>
      <c r="I763" s="49"/>
      <c r="J763" s="50"/>
      <c r="K763" s="50"/>
      <c r="L763" s="44"/>
      <c r="M763" s="51"/>
      <c r="N763" s="51"/>
      <c r="O763" s="44"/>
      <c r="P763" s="52"/>
      <c r="Q763" s="53"/>
    </row>
    <row r="764" customFormat="false" ht="12.8" hidden="false" customHeight="false" outlineLevel="0" collapsed="false">
      <c r="A764" s="22"/>
      <c r="B764" s="23"/>
      <c r="C764" s="24"/>
      <c r="D764" s="22"/>
      <c r="E764" s="19"/>
      <c r="F764" s="24"/>
      <c r="G764" s="25"/>
      <c r="H764" s="26"/>
      <c r="I764" s="27"/>
      <c r="J764" s="28"/>
      <c r="K764" s="28"/>
      <c r="L764" s="24"/>
      <c r="M764" s="29"/>
      <c r="N764" s="29"/>
      <c r="O764" s="24"/>
      <c r="P764" s="4"/>
      <c r="Q764" s="16"/>
    </row>
    <row r="765" customFormat="false" ht="12.8" hidden="false" customHeight="false" outlineLevel="0" collapsed="false">
      <c r="A765" s="22"/>
      <c r="B765" s="23" t="n">
        <v>501037000</v>
      </c>
      <c r="C765" s="24" t="n">
        <v>25</v>
      </c>
      <c r="D765" s="54" t="s">
        <v>704</v>
      </c>
      <c r="E765" s="19" t="s">
        <v>705</v>
      </c>
      <c r="F765" s="24" t="s">
        <v>647</v>
      </c>
      <c r="G765" s="25" t="n">
        <v>0.124</v>
      </c>
      <c r="H765" s="26" t="n">
        <v>30</v>
      </c>
      <c r="I765" s="27" t="n">
        <v>30</v>
      </c>
      <c r="J765" s="28" t="n">
        <v>25</v>
      </c>
      <c r="K765" s="28" t="n">
        <v>1</v>
      </c>
      <c r="L765" s="24" t="s">
        <v>631</v>
      </c>
      <c r="M765" s="29" t="n">
        <f aca="false">IF("oui" = "oui",11.95*(1-disc),11.95)</f>
        <v>11.95</v>
      </c>
      <c r="N765" s="29" t="n">
        <f aca="false">IF("oui" = "oui",11.95*(1-disc)*1.2,11.95*1.2)</f>
        <v>14.34</v>
      </c>
      <c r="O765" s="24" t="s">
        <v>25</v>
      </c>
      <c r="P765" s="7" t="s">
        <v>26</v>
      </c>
      <c r="Q765" s="16"/>
    </row>
    <row r="766" customFormat="false" ht="12.8" hidden="false" customHeight="false" outlineLevel="0" collapsed="false">
      <c r="A766" s="22"/>
      <c r="B766" s="23" t="n">
        <v>501038000</v>
      </c>
      <c r="C766" s="24" t="n">
        <v>25</v>
      </c>
      <c r="D766" s="54" t="s">
        <v>706</v>
      </c>
      <c r="E766" s="19" t="s">
        <v>705</v>
      </c>
      <c r="F766" s="24" t="s">
        <v>647</v>
      </c>
      <c r="G766" s="25" t="n">
        <v>0.124</v>
      </c>
      <c r="H766" s="26" t="n">
        <v>30</v>
      </c>
      <c r="I766" s="27" t="n">
        <v>30</v>
      </c>
      <c r="J766" s="28" t="n">
        <v>25</v>
      </c>
      <c r="K766" s="28" t="n">
        <v>1</v>
      </c>
      <c r="L766" s="24" t="s">
        <v>631</v>
      </c>
      <c r="M766" s="29" t="n">
        <f aca="false">IF("oui" = "oui",11.95*(1-disc),11.95)</f>
        <v>11.95</v>
      </c>
      <c r="N766" s="29" t="n">
        <f aca="false">IF("oui" = "oui",11.95*(1-disc)*1.2,11.95*1.2)</f>
        <v>14.34</v>
      </c>
      <c r="O766" s="24" t="s">
        <v>25</v>
      </c>
      <c r="P766" s="4" t="s">
        <v>25</v>
      </c>
      <c r="Q766" s="16"/>
    </row>
    <row r="767" customFormat="false" ht="12.8" hidden="false" customHeight="false" outlineLevel="0" collapsed="false">
      <c r="A767" s="22"/>
      <c r="B767" s="23" t="n">
        <v>501042000</v>
      </c>
      <c r="C767" s="24" t="n">
        <v>25</v>
      </c>
      <c r="D767" s="54" t="s">
        <v>707</v>
      </c>
      <c r="E767" s="19" t="s">
        <v>705</v>
      </c>
      <c r="F767" s="24" t="s">
        <v>647</v>
      </c>
      <c r="G767" s="25" t="n">
        <v>0.124</v>
      </c>
      <c r="H767" s="26" t="n">
        <v>30</v>
      </c>
      <c r="I767" s="27" t="n">
        <v>30</v>
      </c>
      <c r="J767" s="28" t="n">
        <v>25</v>
      </c>
      <c r="K767" s="28" t="n">
        <v>1</v>
      </c>
      <c r="L767" s="24" t="s">
        <v>631</v>
      </c>
      <c r="M767" s="29" t="n">
        <f aca="false">IF("oui" = "oui",11.95*(1-disc),11.95)</f>
        <v>11.95</v>
      </c>
      <c r="N767" s="29" t="n">
        <f aca="false">IF("oui" = "oui",11.95*(1-disc)*1.2,11.95*1.2)</f>
        <v>14.34</v>
      </c>
      <c r="O767" s="24" t="s">
        <v>25</v>
      </c>
      <c r="P767" s="4" t="s">
        <v>25</v>
      </c>
      <c r="Q767" s="16"/>
    </row>
    <row r="768" customFormat="false" ht="12.8" hidden="false" customHeight="false" outlineLevel="0" collapsed="false">
      <c r="A768" s="22"/>
      <c r="B768" s="23" t="n">
        <v>501043000</v>
      </c>
      <c r="C768" s="24" t="n">
        <v>25</v>
      </c>
      <c r="D768" s="54" t="s">
        <v>708</v>
      </c>
      <c r="E768" s="19" t="s">
        <v>705</v>
      </c>
      <c r="F768" s="24" t="s">
        <v>647</v>
      </c>
      <c r="G768" s="25" t="n">
        <v>0.124</v>
      </c>
      <c r="H768" s="26" t="n">
        <v>30</v>
      </c>
      <c r="I768" s="27" t="n">
        <v>30</v>
      </c>
      <c r="J768" s="28" t="n">
        <v>25</v>
      </c>
      <c r="K768" s="28" t="n">
        <v>1</v>
      </c>
      <c r="L768" s="24" t="s">
        <v>631</v>
      </c>
      <c r="M768" s="29" t="n">
        <f aca="false">IF("oui" = "oui",11.95*(1-disc),11.95)</f>
        <v>11.95</v>
      </c>
      <c r="N768" s="29" t="n">
        <f aca="false">IF("oui" = "oui",11.95*(1-disc)*1.2,11.95*1.2)</f>
        <v>14.34</v>
      </c>
      <c r="O768" s="24" t="s">
        <v>25</v>
      </c>
      <c r="P768" s="4" t="s">
        <v>25</v>
      </c>
      <c r="Q768" s="16"/>
    </row>
    <row r="769" customFormat="false" ht="12.8" hidden="false" customHeight="false" outlineLevel="0" collapsed="false">
      <c r="A769" s="22"/>
      <c r="B769" s="23" t="n">
        <v>501044000</v>
      </c>
      <c r="C769" s="24" t="n">
        <v>25</v>
      </c>
      <c r="D769" s="54" t="s">
        <v>709</v>
      </c>
      <c r="E769" s="19" t="s">
        <v>705</v>
      </c>
      <c r="F769" s="24" t="s">
        <v>647</v>
      </c>
      <c r="G769" s="25" t="n">
        <v>0.124</v>
      </c>
      <c r="H769" s="26" t="n">
        <v>30</v>
      </c>
      <c r="I769" s="27" t="n">
        <v>30</v>
      </c>
      <c r="J769" s="28" t="n">
        <v>25</v>
      </c>
      <c r="K769" s="28" t="n">
        <v>1</v>
      </c>
      <c r="L769" s="24" t="s">
        <v>631</v>
      </c>
      <c r="M769" s="29" t="n">
        <f aca="false">IF("oui" = "oui",11.95*(1-disc),11.95)</f>
        <v>11.95</v>
      </c>
      <c r="N769" s="29" t="n">
        <f aca="false">IF("oui" = "oui",11.95*(1-disc)*1.2,11.95*1.2)</f>
        <v>14.34</v>
      </c>
      <c r="O769" s="24" t="s">
        <v>25</v>
      </c>
      <c r="P769" s="4" t="s">
        <v>25</v>
      </c>
      <c r="Q769" s="16"/>
    </row>
    <row r="770" customFormat="false" ht="12.8" hidden="false" customHeight="false" outlineLevel="0" collapsed="false">
      <c r="A770" s="22"/>
      <c r="B770" s="23" t="n">
        <v>501045000</v>
      </c>
      <c r="C770" s="24" t="n">
        <v>25</v>
      </c>
      <c r="D770" s="54" t="s">
        <v>710</v>
      </c>
      <c r="E770" s="19" t="s">
        <v>705</v>
      </c>
      <c r="F770" s="24" t="s">
        <v>647</v>
      </c>
      <c r="G770" s="25" t="n">
        <v>0.124</v>
      </c>
      <c r="H770" s="26" t="n">
        <v>30</v>
      </c>
      <c r="I770" s="27" t="n">
        <v>30</v>
      </c>
      <c r="J770" s="28" t="n">
        <v>25</v>
      </c>
      <c r="K770" s="28" t="n">
        <v>1</v>
      </c>
      <c r="L770" s="24" t="s">
        <v>631</v>
      </c>
      <c r="M770" s="29" t="n">
        <f aca="false">IF("oui" = "oui",11.95*(1-disc),11.95)</f>
        <v>11.95</v>
      </c>
      <c r="N770" s="29" t="n">
        <f aca="false">IF("oui" = "oui",11.95*(1-disc)*1.2,11.95*1.2)</f>
        <v>14.34</v>
      </c>
      <c r="O770" s="24" t="s">
        <v>25</v>
      </c>
      <c r="P770" s="4" t="s">
        <v>25</v>
      </c>
      <c r="Q770" s="16"/>
    </row>
    <row r="771" customFormat="false" ht="12.8" hidden="false" customHeight="false" outlineLevel="0" collapsed="false">
      <c r="A771" s="22"/>
      <c r="B771" s="23" t="n">
        <v>501046000</v>
      </c>
      <c r="C771" s="24" t="n">
        <v>25</v>
      </c>
      <c r="D771" s="54" t="s">
        <v>711</v>
      </c>
      <c r="E771" s="19" t="s">
        <v>705</v>
      </c>
      <c r="F771" s="24" t="s">
        <v>647</v>
      </c>
      <c r="G771" s="25" t="n">
        <v>0.124</v>
      </c>
      <c r="H771" s="26" t="n">
        <v>30</v>
      </c>
      <c r="I771" s="27" t="n">
        <v>30</v>
      </c>
      <c r="J771" s="28" t="n">
        <v>25</v>
      </c>
      <c r="K771" s="28" t="n">
        <v>1</v>
      </c>
      <c r="L771" s="24" t="s">
        <v>631</v>
      </c>
      <c r="M771" s="29" t="n">
        <f aca="false">IF("oui" = "oui",11.95*(1-disc),11.95)</f>
        <v>11.95</v>
      </c>
      <c r="N771" s="29" t="n">
        <f aca="false">IF("oui" = "oui",11.95*(1-disc)*1.2,11.95*1.2)</f>
        <v>14.34</v>
      </c>
      <c r="O771" s="24" t="s">
        <v>25</v>
      </c>
      <c r="P771" s="4" t="s">
        <v>25</v>
      </c>
      <c r="Q771" s="16"/>
    </row>
    <row r="772" customFormat="false" ht="12.8" hidden="false" customHeight="false" outlineLevel="0" collapsed="false">
      <c r="A772" s="22"/>
      <c r="B772" s="23" t="n">
        <v>501049000</v>
      </c>
      <c r="C772" s="24" t="n">
        <v>25</v>
      </c>
      <c r="D772" s="54" t="s">
        <v>712</v>
      </c>
      <c r="E772" s="19" t="s">
        <v>705</v>
      </c>
      <c r="F772" s="24" t="s">
        <v>647</v>
      </c>
      <c r="G772" s="25" t="n">
        <v>0.124</v>
      </c>
      <c r="H772" s="26" t="n">
        <v>30</v>
      </c>
      <c r="I772" s="27" t="n">
        <v>30</v>
      </c>
      <c r="J772" s="28" t="n">
        <v>25</v>
      </c>
      <c r="K772" s="28" t="n">
        <v>1</v>
      </c>
      <c r="L772" s="24" t="s">
        <v>631</v>
      </c>
      <c r="M772" s="29" t="n">
        <f aca="false">IF("oui" = "oui",11.95*(1-disc),11.95)</f>
        <v>11.95</v>
      </c>
      <c r="N772" s="29" t="n">
        <f aca="false">IF("oui" = "oui",11.95*(1-disc)*1.2,11.95*1.2)</f>
        <v>14.34</v>
      </c>
      <c r="O772" s="24" t="s">
        <v>25</v>
      </c>
      <c r="P772" s="55" t="s">
        <v>713</v>
      </c>
      <c r="Q772" s="16"/>
    </row>
    <row r="773" customFormat="false" ht="12.8" hidden="false" customHeight="false" outlineLevel="0" collapsed="false">
      <c r="A773" s="22"/>
      <c r="B773" s="23" t="n">
        <v>501050000</v>
      </c>
      <c r="C773" s="24" t="n">
        <v>25</v>
      </c>
      <c r="D773" s="54" t="s">
        <v>714</v>
      </c>
      <c r="E773" s="19" t="s">
        <v>705</v>
      </c>
      <c r="F773" s="24" t="s">
        <v>647</v>
      </c>
      <c r="G773" s="25" t="n">
        <v>0.124</v>
      </c>
      <c r="H773" s="26" t="n">
        <v>30</v>
      </c>
      <c r="I773" s="27" t="n">
        <v>30</v>
      </c>
      <c r="J773" s="28" t="n">
        <v>25</v>
      </c>
      <c r="K773" s="28" t="n">
        <v>1</v>
      </c>
      <c r="L773" s="24" t="s">
        <v>631</v>
      </c>
      <c r="M773" s="29" t="n">
        <f aca="false">IF("oui" = "oui",11.95*(1-disc),11.95)</f>
        <v>11.95</v>
      </c>
      <c r="N773" s="29" t="n">
        <f aca="false">IF("oui" = "oui",11.95*(1-disc)*1.2,11.95*1.2)</f>
        <v>14.34</v>
      </c>
      <c r="O773" s="24" t="s">
        <v>25</v>
      </c>
      <c r="P773" s="4" t="s">
        <v>25</v>
      </c>
      <c r="Q773" s="16"/>
    </row>
    <row r="774" customFormat="false" ht="12.8" hidden="false" customHeight="false" outlineLevel="0" collapsed="false">
      <c r="A774" s="22"/>
      <c r="B774" s="23" t="n">
        <v>501124000</v>
      </c>
      <c r="C774" s="24" t="n">
        <v>25</v>
      </c>
      <c r="D774" s="54" t="s">
        <v>715</v>
      </c>
      <c r="E774" s="19" t="s">
        <v>705</v>
      </c>
      <c r="F774" s="24" t="s">
        <v>647</v>
      </c>
      <c r="G774" s="25" t="n">
        <v>0.124</v>
      </c>
      <c r="H774" s="26" t="n">
        <v>30</v>
      </c>
      <c r="I774" s="27" t="n">
        <v>30</v>
      </c>
      <c r="J774" s="28" t="n">
        <v>25</v>
      </c>
      <c r="K774" s="28" t="n">
        <v>1</v>
      </c>
      <c r="L774" s="24" t="s">
        <v>631</v>
      </c>
      <c r="M774" s="29" t="n">
        <f aca="false">IF("oui" = "oui",11.95*(1-disc),11.95)</f>
        <v>11.95</v>
      </c>
      <c r="N774" s="29" t="n">
        <f aca="false">IF("oui" = "oui",11.95*(1-disc)*1.2,11.95*1.2)</f>
        <v>14.34</v>
      </c>
      <c r="O774" s="24" t="s">
        <v>25</v>
      </c>
      <c r="P774" s="4" t="s">
        <v>25</v>
      </c>
      <c r="Q774" s="16"/>
    </row>
    <row r="775" customFormat="false" ht="12.8" hidden="false" customHeight="false" outlineLevel="0" collapsed="false">
      <c r="A775" s="22"/>
      <c r="B775" s="23"/>
      <c r="C775" s="24"/>
      <c r="D775" s="22"/>
      <c r="E775" s="19"/>
      <c r="F775" s="24"/>
      <c r="G775" s="25"/>
      <c r="H775" s="26"/>
      <c r="I775" s="27"/>
      <c r="J775" s="28"/>
      <c r="K775" s="28"/>
      <c r="L775" s="24"/>
      <c r="M775" s="29"/>
      <c r="N775" s="29"/>
      <c r="O775" s="24"/>
      <c r="P775" s="4"/>
      <c r="Q775" s="16"/>
    </row>
    <row r="776" customFormat="false" ht="12.8" hidden="false" customHeight="false" outlineLevel="0" collapsed="false">
      <c r="A776" s="30" t="s">
        <v>716</v>
      </c>
      <c r="B776" s="31"/>
      <c r="C776" s="32"/>
      <c r="D776" s="33"/>
      <c r="E776" s="34"/>
      <c r="F776" s="32"/>
      <c r="G776" s="35"/>
      <c r="H776" s="36"/>
      <c r="I776" s="37"/>
      <c r="J776" s="38"/>
      <c r="K776" s="38"/>
      <c r="L776" s="32"/>
      <c r="M776" s="39"/>
      <c r="N776" s="39"/>
      <c r="O776" s="32"/>
      <c r="P776" s="40"/>
      <c r="Q776" s="41"/>
    </row>
    <row r="777" customFormat="false" ht="12.8" hidden="false" customHeight="false" outlineLevel="0" collapsed="false">
      <c r="A777" s="22"/>
      <c r="B777" s="23"/>
      <c r="C777" s="24"/>
      <c r="D777" s="22"/>
      <c r="E777" s="19"/>
      <c r="F777" s="24"/>
      <c r="G777" s="25"/>
      <c r="H777" s="26"/>
      <c r="I777" s="27"/>
      <c r="J777" s="28"/>
      <c r="K777" s="28"/>
      <c r="L777" s="24"/>
      <c r="M777" s="29"/>
      <c r="N777" s="29"/>
      <c r="O777" s="24"/>
      <c r="P777" s="4"/>
      <c r="Q777" s="16"/>
    </row>
    <row r="778" customFormat="false" ht="12.8" hidden="false" customHeight="false" outlineLevel="0" collapsed="false">
      <c r="A778" s="22"/>
      <c r="B778" s="23" t="n">
        <v>501275000</v>
      </c>
      <c r="C778" s="24" t="n">
        <v>30</v>
      </c>
      <c r="D778" s="54" t="s">
        <v>717</v>
      </c>
      <c r="E778" s="19" t="s">
        <v>718</v>
      </c>
      <c r="F778" s="24" t="s">
        <v>647</v>
      </c>
      <c r="G778" s="25" t="n">
        <v>0.03</v>
      </c>
      <c r="H778" s="26" t="n">
        <v>12</v>
      </c>
      <c r="I778" s="27" t="n">
        <v>30</v>
      </c>
      <c r="J778" s="28" t="n">
        <v>25</v>
      </c>
      <c r="K778" s="28" t="n">
        <v>1</v>
      </c>
      <c r="L778" s="24" t="s">
        <v>631</v>
      </c>
      <c r="M778" s="29" t="n">
        <f aca="false">IF("oui" = "oui",5.6*(1-disc),5.6)</f>
        <v>5.6</v>
      </c>
      <c r="N778" s="29" t="n">
        <f aca="false">IF("oui" = "oui",5.6*(1-disc)*1.2,5.6*1.2)</f>
        <v>6.72</v>
      </c>
      <c r="O778" s="24" t="s">
        <v>25</v>
      </c>
      <c r="P778" s="4" t="s">
        <v>25</v>
      </c>
      <c r="Q778" s="16"/>
    </row>
    <row r="779" customFormat="false" ht="12.8" hidden="false" customHeight="false" outlineLevel="0" collapsed="false">
      <c r="A779" s="22"/>
      <c r="B779" s="23"/>
      <c r="C779" s="24"/>
      <c r="D779" s="22"/>
      <c r="E779" s="19"/>
      <c r="F779" s="24"/>
      <c r="G779" s="25"/>
      <c r="H779" s="26"/>
      <c r="I779" s="27"/>
      <c r="J779" s="28"/>
      <c r="K779" s="28"/>
      <c r="L779" s="24"/>
      <c r="M779" s="29"/>
      <c r="N779" s="29"/>
      <c r="O779" s="24"/>
      <c r="P779" s="4"/>
      <c r="Q779" s="16"/>
    </row>
    <row r="780" customFormat="false" ht="12.8" hidden="false" customHeight="false" outlineLevel="0" collapsed="false">
      <c r="A780" s="22"/>
      <c r="B780" s="23" t="n">
        <v>501073000</v>
      </c>
      <c r="C780" s="24" t="n">
        <v>30</v>
      </c>
      <c r="D780" s="54" t="s">
        <v>719</v>
      </c>
      <c r="E780" s="19" t="s">
        <v>720</v>
      </c>
      <c r="F780" s="24" t="s">
        <v>647</v>
      </c>
      <c r="G780" s="25" t="n">
        <v>0.16</v>
      </c>
      <c r="H780" s="26" t="n">
        <v>30</v>
      </c>
      <c r="I780" s="27" t="n">
        <v>30</v>
      </c>
      <c r="J780" s="28" t="n">
        <v>25</v>
      </c>
      <c r="K780" s="28" t="n">
        <v>1</v>
      </c>
      <c r="L780" s="24" t="s">
        <v>631</v>
      </c>
      <c r="M780" s="29" t="n">
        <f aca="false">IF("oui" = "oui",10.74*(1-disc),10.74)</f>
        <v>10.74</v>
      </c>
      <c r="N780" s="29" t="n">
        <f aca="false">IF("oui" = "oui",10.74*(1-disc)*1.2,10.74*1.2)</f>
        <v>12.888</v>
      </c>
      <c r="O780" s="24" t="s">
        <v>25</v>
      </c>
      <c r="P780" s="7" t="s">
        <v>26</v>
      </c>
      <c r="Q780" s="16"/>
    </row>
    <row r="781" customFormat="false" ht="12.8" hidden="false" customHeight="false" outlineLevel="0" collapsed="false">
      <c r="A781" s="22"/>
      <c r="B781" s="23" t="n">
        <v>501074000</v>
      </c>
      <c r="C781" s="24" t="n">
        <v>30</v>
      </c>
      <c r="D781" s="54" t="s">
        <v>721</v>
      </c>
      <c r="E781" s="19" t="s">
        <v>720</v>
      </c>
      <c r="F781" s="24" t="s">
        <v>647</v>
      </c>
      <c r="G781" s="25" t="n">
        <v>0.16</v>
      </c>
      <c r="H781" s="26" t="n">
        <v>30</v>
      </c>
      <c r="I781" s="27" t="n">
        <v>30</v>
      </c>
      <c r="J781" s="28" t="n">
        <v>25</v>
      </c>
      <c r="K781" s="28" t="n">
        <v>1</v>
      </c>
      <c r="L781" s="24" t="s">
        <v>631</v>
      </c>
      <c r="M781" s="29" t="n">
        <f aca="false">IF("oui" = "oui",10.74*(1-disc),10.74)</f>
        <v>10.74</v>
      </c>
      <c r="N781" s="29" t="n">
        <f aca="false">IF("oui" = "oui",10.74*(1-disc)*1.2,10.74*1.2)</f>
        <v>12.888</v>
      </c>
      <c r="O781" s="24" t="s">
        <v>25</v>
      </c>
      <c r="P781" s="7" t="s">
        <v>26</v>
      </c>
      <c r="Q781" s="16"/>
    </row>
    <row r="782" customFormat="false" ht="12.8" hidden="false" customHeight="false" outlineLevel="0" collapsed="false">
      <c r="A782" s="22"/>
      <c r="B782" s="23" t="n">
        <v>501075000</v>
      </c>
      <c r="C782" s="24" t="n">
        <v>30</v>
      </c>
      <c r="D782" s="54" t="s">
        <v>722</v>
      </c>
      <c r="E782" s="19" t="s">
        <v>720</v>
      </c>
      <c r="F782" s="24" t="s">
        <v>647</v>
      </c>
      <c r="G782" s="25" t="n">
        <v>0.16</v>
      </c>
      <c r="H782" s="26" t="n">
        <v>30</v>
      </c>
      <c r="I782" s="27" t="n">
        <v>30</v>
      </c>
      <c r="J782" s="28" t="n">
        <v>25</v>
      </c>
      <c r="K782" s="28" t="n">
        <v>1</v>
      </c>
      <c r="L782" s="24" t="s">
        <v>631</v>
      </c>
      <c r="M782" s="29" t="n">
        <f aca="false">IF("oui" = "oui",10.74*(1-disc),10.74)</f>
        <v>10.74</v>
      </c>
      <c r="N782" s="29" t="n">
        <f aca="false">IF("oui" = "oui",10.74*(1-disc)*1.2,10.74*1.2)</f>
        <v>12.888</v>
      </c>
      <c r="O782" s="24" t="s">
        <v>25</v>
      </c>
      <c r="P782" s="7" t="s">
        <v>26</v>
      </c>
      <c r="Q782" s="16"/>
    </row>
    <row r="783" customFormat="false" ht="12.8" hidden="false" customHeight="false" outlineLevel="0" collapsed="false">
      <c r="A783" s="22"/>
      <c r="B783" s="23"/>
      <c r="C783" s="24"/>
      <c r="D783" s="22"/>
      <c r="E783" s="19"/>
      <c r="F783" s="24"/>
      <c r="G783" s="25"/>
      <c r="H783" s="26"/>
      <c r="I783" s="27"/>
      <c r="J783" s="28"/>
      <c r="K783" s="28"/>
      <c r="L783" s="24"/>
      <c r="M783" s="29"/>
      <c r="N783" s="29"/>
      <c r="O783" s="24"/>
      <c r="P783" s="4"/>
      <c r="Q783" s="16"/>
    </row>
    <row r="784" customFormat="false" ht="12.8" hidden="false" customHeight="false" outlineLevel="0" collapsed="false">
      <c r="A784" s="30" t="s">
        <v>723</v>
      </c>
      <c r="B784" s="31"/>
      <c r="C784" s="32"/>
      <c r="D784" s="33"/>
      <c r="E784" s="34"/>
      <c r="F784" s="32"/>
      <c r="G784" s="35"/>
      <c r="H784" s="36"/>
      <c r="I784" s="37"/>
      <c r="J784" s="38"/>
      <c r="K784" s="38"/>
      <c r="L784" s="32"/>
      <c r="M784" s="39"/>
      <c r="N784" s="39"/>
      <c r="O784" s="32"/>
      <c r="P784" s="40"/>
      <c r="Q784" s="41"/>
    </row>
    <row r="785" customFormat="false" ht="12.8" hidden="false" customHeight="false" outlineLevel="0" collapsed="false">
      <c r="A785" s="22"/>
      <c r="B785" s="23"/>
      <c r="C785" s="24"/>
      <c r="D785" s="22"/>
      <c r="E785" s="19"/>
      <c r="F785" s="24"/>
      <c r="G785" s="25"/>
      <c r="H785" s="26"/>
      <c r="I785" s="27"/>
      <c r="J785" s="28"/>
      <c r="K785" s="28"/>
      <c r="L785" s="24"/>
      <c r="M785" s="29"/>
      <c r="N785" s="29"/>
      <c r="O785" s="24"/>
      <c r="P785" s="4"/>
      <c r="Q785" s="16"/>
    </row>
    <row r="786" customFormat="false" ht="12.8" hidden="false" customHeight="false" outlineLevel="0" collapsed="false">
      <c r="A786" s="42" t="s">
        <v>703</v>
      </c>
      <c r="B786" s="43"/>
      <c r="C786" s="44"/>
      <c r="D786" s="45"/>
      <c r="E786" s="46"/>
      <c r="F786" s="44"/>
      <c r="G786" s="47"/>
      <c r="H786" s="48"/>
      <c r="I786" s="49"/>
      <c r="J786" s="50"/>
      <c r="K786" s="50"/>
      <c r="L786" s="44"/>
      <c r="M786" s="51"/>
      <c r="N786" s="51"/>
      <c r="O786" s="44"/>
      <c r="P786" s="52"/>
      <c r="Q786" s="53"/>
    </row>
    <row r="787" customFormat="false" ht="12.8" hidden="false" customHeight="false" outlineLevel="0" collapsed="false">
      <c r="A787" s="22"/>
      <c r="B787" s="23"/>
      <c r="C787" s="24"/>
      <c r="D787" s="22"/>
      <c r="E787" s="19"/>
      <c r="F787" s="24"/>
      <c r="G787" s="25"/>
      <c r="H787" s="26"/>
      <c r="I787" s="27"/>
      <c r="J787" s="28"/>
      <c r="K787" s="28"/>
      <c r="L787" s="24"/>
      <c r="M787" s="29"/>
      <c r="N787" s="29"/>
      <c r="O787" s="24"/>
      <c r="P787" s="4"/>
      <c r="Q787" s="16"/>
    </row>
    <row r="788" customFormat="false" ht="12.8" hidden="false" customHeight="false" outlineLevel="0" collapsed="false">
      <c r="A788" s="72"/>
      <c r="B788" s="23" t="n">
        <v>501080000</v>
      </c>
      <c r="C788" s="24" t="n">
        <v>31</v>
      </c>
      <c r="D788" s="54" t="s">
        <v>724</v>
      </c>
      <c r="E788" s="19" t="s">
        <v>725</v>
      </c>
      <c r="F788" s="24" t="s">
        <v>23</v>
      </c>
      <c r="G788" s="25" t="n">
        <v>0.224</v>
      </c>
      <c r="H788" s="26" t="n">
        <v>30</v>
      </c>
      <c r="I788" s="27" t="n">
        <v>40</v>
      </c>
      <c r="J788" s="28" t="n">
        <v>25</v>
      </c>
      <c r="K788" s="28" t="n">
        <v>1</v>
      </c>
      <c r="L788" s="24" t="s">
        <v>24</v>
      </c>
      <c r="M788" s="29" t="n">
        <f aca="false">IF("oui" = "oui",17.02*(1-disc),17.02)</f>
        <v>17.02</v>
      </c>
      <c r="N788" s="29" t="n">
        <f aca="false">IF("oui" = "oui",17.02*(1-disc)*1.2,17.02*1.2)</f>
        <v>20.424</v>
      </c>
      <c r="O788" s="24" t="s">
        <v>25</v>
      </c>
      <c r="P788" s="55" t="s">
        <v>726</v>
      </c>
      <c r="Q788" s="16"/>
    </row>
    <row r="789" customFormat="false" ht="12.8" hidden="false" customHeight="false" outlineLevel="0" collapsed="false">
      <c r="A789" s="22"/>
      <c r="B789" s="23" t="n">
        <v>501076000</v>
      </c>
      <c r="C789" s="24" t="n">
        <v>31</v>
      </c>
      <c r="D789" s="54" t="s">
        <v>727</v>
      </c>
      <c r="E789" s="19" t="s">
        <v>725</v>
      </c>
      <c r="F789" s="24" t="s">
        <v>23</v>
      </c>
      <c r="G789" s="25" t="n">
        <v>0.224</v>
      </c>
      <c r="H789" s="26" t="n">
        <v>30</v>
      </c>
      <c r="I789" s="27" t="n">
        <v>40</v>
      </c>
      <c r="J789" s="28" t="n">
        <v>25</v>
      </c>
      <c r="K789" s="28" t="n">
        <v>1</v>
      </c>
      <c r="L789" s="24" t="s">
        <v>24</v>
      </c>
      <c r="M789" s="29" t="n">
        <f aca="false">IF("oui" = "oui",17.02*(1-disc),17.02)</f>
        <v>17.02</v>
      </c>
      <c r="N789" s="29" t="n">
        <f aca="false">IF("oui" = "oui",17.02*(1-disc)*1.2,17.02*1.2)</f>
        <v>20.424</v>
      </c>
      <c r="O789" s="24" t="s">
        <v>25</v>
      </c>
      <c r="P789" s="55" t="s">
        <v>294</v>
      </c>
      <c r="Q789" s="16"/>
    </row>
    <row r="790" customFormat="false" ht="12.8" hidden="false" customHeight="false" outlineLevel="0" collapsed="false">
      <c r="A790" s="22"/>
      <c r="B790" s="23" t="n">
        <v>501082000</v>
      </c>
      <c r="C790" s="24" t="n">
        <v>31</v>
      </c>
      <c r="D790" s="54" t="s">
        <v>728</v>
      </c>
      <c r="E790" s="19" t="s">
        <v>725</v>
      </c>
      <c r="F790" s="24" t="s">
        <v>23</v>
      </c>
      <c r="G790" s="25" t="n">
        <v>0.224</v>
      </c>
      <c r="H790" s="26" t="n">
        <v>30</v>
      </c>
      <c r="I790" s="27" t="n">
        <v>40</v>
      </c>
      <c r="J790" s="28" t="n">
        <v>25</v>
      </c>
      <c r="K790" s="28" t="n">
        <v>1</v>
      </c>
      <c r="L790" s="24" t="s">
        <v>24</v>
      </c>
      <c r="M790" s="29" t="n">
        <f aca="false">IF("oui" = "oui",17.02*(1-disc),17.02)</f>
        <v>17.02</v>
      </c>
      <c r="N790" s="29" t="n">
        <f aca="false">IF("oui" = "oui",17.02*(1-disc)*1.2,17.02*1.2)</f>
        <v>20.424</v>
      </c>
      <c r="O790" s="24" t="s">
        <v>25</v>
      </c>
      <c r="P790" s="4" t="s">
        <v>25</v>
      </c>
      <c r="Q790" s="16"/>
    </row>
    <row r="791" customFormat="false" ht="12.8" hidden="false" customHeight="false" outlineLevel="0" collapsed="false">
      <c r="A791" s="22"/>
      <c r="B791" s="23" t="n">
        <v>501083000</v>
      </c>
      <c r="C791" s="24" t="n">
        <v>31</v>
      </c>
      <c r="D791" s="54" t="s">
        <v>729</v>
      </c>
      <c r="E791" s="19" t="s">
        <v>725</v>
      </c>
      <c r="F791" s="24" t="s">
        <v>23</v>
      </c>
      <c r="G791" s="25" t="n">
        <v>0.224</v>
      </c>
      <c r="H791" s="26" t="n">
        <v>30</v>
      </c>
      <c r="I791" s="27" t="n">
        <v>40</v>
      </c>
      <c r="J791" s="28" t="n">
        <v>25</v>
      </c>
      <c r="K791" s="28" t="n">
        <v>1</v>
      </c>
      <c r="L791" s="24" t="s">
        <v>24</v>
      </c>
      <c r="M791" s="29" t="n">
        <f aca="false">IF("oui" = "oui",17.02*(1-disc),17.02)</f>
        <v>17.02</v>
      </c>
      <c r="N791" s="29" t="n">
        <f aca="false">IF("oui" = "oui",17.02*(1-disc)*1.2,17.02*1.2)</f>
        <v>20.424</v>
      </c>
      <c r="O791" s="24" t="s">
        <v>25</v>
      </c>
      <c r="P791" s="4" t="s">
        <v>25</v>
      </c>
      <c r="Q791" s="16"/>
    </row>
    <row r="792" customFormat="false" ht="12.8" hidden="false" customHeight="false" outlineLevel="0" collapsed="false">
      <c r="A792" s="22"/>
      <c r="B792" s="23" t="n">
        <v>501084000</v>
      </c>
      <c r="C792" s="24" t="n">
        <v>31</v>
      </c>
      <c r="D792" s="54" t="s">
        <v>730</v>
      </c>
      <c r="E792" s="19" t="s">
        <v>725</v>
      </c>
      <c r="F792" s="24" t="s">
        <v>23</v>
      </c>
      <c r="G792" s="25" t="n">
        <v>0.224</v>
      </c>
      <c r="H792" s="26" t="n">
        <v>30</v>
      </c>
      <c r="I792" s="27" t="n">
        <v>40</v>
      </c>
      <c r="J792" s="28" t="n">
        <v>25</v>
      </c>
      <c r="K792" s="28" t="n">
        <v>1</v>
      </c>
      <c r="L792" s="24" t="s">
        <v>24</v>
      </c>
      <c r="M792" s="29" t="n">
        <f aca="false">IF("oui" = "oui",17.02*(1-disc),17.02)</f>
        <v>17.02</v>
      </c>
      <c r="N792" s="29" t="n">
        <f aca="false">IF("oui" = "oui",17.02*(1-disc)*1.2,17.02*1.2)</f>
        <v>20.424</v>
      </c>
      <c r="O792" s="24" t="s">
        <v>25</v>
      </c>
      <c r="P792" s="4" t="s">
        <v>25</v>
      </c>
      <c r="Q792" s="16"/>
    </row>
    <row r="793" customFormat="false" ht="12.8" hidden="false" customHeight="false" outlineLevel="0" collapsed="false">
      <c r="A793" s="22"/>
      <c r="B793" s="23" t="n">
        <v>501086000</v>
      </c>
      <c r="C793" s="24" t="n">
        <v>31</v>
      </c>
      <c r="D793" s="54" t="s">
        <v>731</v>
      </c>
      <c r="E793" s="19" t="s">
        <v>725</v>
      </c>
      <c r="F793" s="24" t="s">
        <v>23</v>
      </c>
      <c r="G793" s="25" t="n">
        <v>0.224</v>
      </c>
      <c r="H793" s="26" t="n">
        <v>30</v>
      </c>
      <c r="I793" s="27" t="n">
        <v>40</v>
      </c>
      <c r="J793" s="28" t="n">
        <v>25</v>
      </c>
      <c r="K793" s="28" t="n">
        <v>1</v>
      </c>
      <c r="L793" s="24" t="s">
        <v>24</v>
      </c>
      <c r="M793" s="29" t="n">
        <f aca="false">IF("oui" = "oui",17.02*(1-disc),17.02)</f>
        <v>17.02</v>
      </c>
      <c r="N793" s="29" t="n">
        <f aca="false">IF("oui" = "oui",17.02*(1-disc)*1.2,17.02*1.2)</f>
        <v>20.424</v>
      </c>
      <c r="O793" s="24" t="s">
        <v>25</v>
      </c>
      <c r="P793" s="4" t="s">
        <v>25</v>
      </c>
      <c r="Q793" s="16"/>
    </row>
    <row r="794" customFormat="false" ht="12.8" hidden="false" customHeight="false" outlineLevel="0" collapsed="false">
      <c r="A794" s="22"/>
      <c r="B794" s="23" t="n">
        <v>501087000</v>
      </c>
      <c r="C794" s="24" t="n">
        <v>31</v>
      </c>
      <c r="D794" s="54" t="s">
        <v>732</v>
      </c>
      <c r="E794" s="19" t="s">
        <v>725</v>
      </c>
      <c r="F794" s="24" t="s">
        <v>23</v>
      </c>
      <c r="G794" s="25" t="n">
        <v>0.224</v>
      </c>
      <c r="H794" s="26" t="n">
        <v>30</v>
      </c>
      <c r="I794" s="27" t="n">
        <v>40</v>
      </c>
      <c r="J794" s="28" t="n">
        <v>25</v>
      </c>
      <c r="K794" s="28" t="n">
        <v>1</v>
      </c>
      <c r="L794" s="24" t="s">
        <v>24</v>
      </c>
      <c r="M794" s="29" t="n">
        <f aca="false">IF("oui" = "oui",17.02*(1-disc),17.02)</f>
        <v>17.02</v>
      </c>
      <c r="N794" s="29" t="n">
        <f aca="false">IF("oui" = "oui",17.02*(1-disc)*1.2,17.02*1.2)</f>
        <v>20.424</v>
      </c>
      <c r="O794" s="24" t="s">
        <v>25</v>
      </c>
      <c r="P794" s="7" t="s">
        <v>26</v>
      </c>
      <c r="Q794" s="16"/>
    </row>
    <row r="795" customFormat="false" ht="12.8" hidden="false" customHeight="false" outlineLevel="0" collapsed="false">
      <c r="A795" s="22"/>
      <c r="B795" s="23" t="n">
        <v>501088000</v>
      </c>
      <c r="C795" s="24" t="n">
        <v>31</v>
      </c>
      <c r="D795" s="54" t="s">
        <v>733</v>
      </c>
      <c r="E795" s="19" t="s">
        <v>725</v>
      </c>
      <c r="F795" s="24" t="s">
        <v>23</v>
      </c>
      <c r="G795" s="25" t="n">
        <v>0.224</v>
      </c>
      <c r="H795" s="26" t="n">
        <v>30</v>
      </c>
      <c r="I795" s="27" t="n">
        <v>40</v>
      </c>
      <c r="J795" s="28" t="n">
        <v>25</v>
      </c>
      <c r="K795" s="28" t="n">
        <v>1</v>
      </c>
      <c r="L795" s="24" t="s">
        <v>24</v>
      </c>
      <c r="M795" s="29" t="n">
        <f aca="false">IF("oui" = "oui",17.02*(1-disc),17.02)</f>
        <v>17.02</v>
      </c>
      <c r="N795" s="29" t="n">
        <f aca="false">IF("oui" = "oui",17.02*(1-disc)*1.2,17.02*1.2)</f>
        <v>20.424</v>
      </c>
      <c r="O795" s="24" t="s">
        <v>25</v>
      </c>
      <c r="P795" s="7" t="s">
        <v>26</v>
      </c>
      <c r="Q795" s="16"/>
    </row>
    <row r="796" customFormat="false" ht="12.8" hidden="false" customHeight="false" outlineLevel="0" collapsed="false">
      <c r="A796" s="22"/>
      <c r="B796" s="23"/>
      <c r="C796" s="24"/>
      <c r="D796" s="22"/>
      <c r="E796" s="19"/>
      <c r="F796" s="24"/>
      <c r="G796" s="25"/>
      <c r="H796" s="26"/>
      <c r="I796" s="27"/>
      <c r="J796" s="28"/>
      <c r="K796" s="28"/>
      <c r="L796" s="24"/>
      <c r="M796" s="29"/>
      <c r="N796" s="29"/>
      <c r="O796" s="24"/>
      <c r="P796" s="4"/>
      <c r="Q796" s="16"/>
    </row>
    <row r="797" customFormat="false" ht="12.8" hidden="false" customHeight="false" outlineLevel="0" collapsed="false">
      <c r="A797" s="42" t="s">
        <v>734</v>
      </c>
      <c r="B797" s="43"/>
      <c r="C797" s="44"/>
      <c r="D797" s="45"/>
      <c r="E797" s="46"/>
      <c r="F797" s="44"/>
      <c r="G797" s="47"/>
      <c r="H797" s="48"/>
      <c r="I797" s="49"/>
      <c r="J797" s="50"/>
      <c r="K797" s="50"/>
      <c r="L797" s="44"/>
      <c r="M797" s="51"/>
      <c r="N797" s="51"/>
      <c r="O797" s="44"/>
      <c r="P797" s="52"/>
      <c r="Q797" s="53"/>
    </row>
    <row r="798" customFormat="false" ht="12.8" hidden="false" customHeight="false" outlineLevel="0" collapsed="false">
      <c r="A798" s="22"/>
      <c r="B798" s="23"/>
      <c r="C798" s="24"/>
      <c r="D798" s="22"/>
      <c r="E798" s="19"/>
      <c r="F798" s="24"/>
      <c r="G798" s="25"/>
      <c r="H798" s="26"/>
      <c r="I798" s="27"/>
      <c r="J798" s="28"/>
      <c r="K798" s="28"/>
      <c r="L798" s="24"/>
      <c r="M798" s="29"/>
      <c r="N798" s="29"/>
      <c r="O798" s="24"/>
      <c r="P798" s="4"/>
      <c r="Q798" s="16"/>
    </row>
    <row r="799" customFormat="false" ht="12.8" hidden="false" customHeight="false" outlineLevel="0" collapsed="false">
      <c r="A799" s="22"/>
      <c r="B799" s="23" t="n">
        <v>501262000</v>
      </c>
      <c r="C799" s="24" t="n">
        <v>38</v>
      </c>
      <c r="D799" s="54" t="s">
        <v>735</v>
      </c>
      <c r="E799" s="19" t="s">
        <v>736</v>
      </c>
      <c r="F799" s="24" t="s">
        <v>23</v>
      </c>
      <c r="G799" s="25" t="n">
        <v>0.418</v>
      </c>
      <c r="H799" s="26" t="n">
        <v>25</v>
      </c>
      <c r="I799" s="27" t="n">
        <v>40</v>
      </c>
      <c r="J799" s="28" t="n">
        <v>15</v>
      </c>
      <c r="K799" s="28" t="n">
        <v>1</v>
      </c>
      <c r="L799" s="24" t="s">
        <v>24</v>
      </c>
      <c r="M799" s="29" t="n">
        <f aca="false">IF("oui" = "oui",20.64*(1-disc),20.64)</f>
        <v>20.64</v>
      </c>
      <c r="N799" s="29" t="n">
        <f aca="false">IF("oui" = "oui",20.64*(1-disc)*1.2,20.64*1.2)</f>
        <v>24.768</v>
      </c>
      <c r="O799" s="24" t="s">
        <v>25</v>
      </c>
      <c r="P799" s="55" t="s">
        <v>45</v>
      </c>
      <c r="Q799" s="16"/>
    </row>
    <row r="800" customFormat="false" ht="12.8" hidden="false" customHeight="false" outlineLevel="0" collapsed="false">
      <c r="A800" s="22"/>
      <c r="B800" s="23" t="n">
        <v>501253000</v>
      </c>
      <c r="C800" s="24" t="n">
        <v>38</v>
      </c>
      <c r="D800" s="54" t="s">
        <v>737</v>
      </c>
      <c r="E800" s="19" t="s">
        <v>736</v>
      </c>
      <c r="F800" s="24" t="s">
        <v>23</v>
      </c>
      <c r="G800" s="25" t="n">
        <v>0.418</v>
      </c>
      <c r="H800" s="26" t="n">
        <v>25</v>
      </c>
      <c r="I800" s="27" t="n">
        <v>40</v>
      </c>
      <c r="J800" s="28" t="n">
        <v>15</v>
      </c>
      <c r="K800" s="28" t="n">
        <v>1</v>
      </c>
      <c r="L800" s="24" t="s">
        <v>24</v>
      </c>
      <c r="M800" s="29" t="n">
        <f aca="false">IF("oui" = "oui",20.64*(1-disc),20.64)</f>
        <v>20.64</v>
      </c>
      <c r="N800" s="29" t="n">
        <f aca="false">IF("oui" = "oui",20.64*(1-disc)*1.2,20.64*1.2)</f>
        <v>24.768</v>
      </c>
      <c r="O800" s="24" t="s">
        <v>25</v>
      </c>
      <c r="P800" s="4" t="s">
        <v>25</v>
      </c>
      <c r="Q800" s="16"/>
    </row>
    <row r="801" customFormat="false" ht="12.8" hidden="false" customHeight="false" outlineLevel="0" collapsed="false">
      <c r="A801" s="22"/>
      <c r="B801" s="23" t="n">
        <v>501254000</v>
      </c>
      <c r="C801" s="24" t="n">
        <v>38</v>
      </c>
      <c r="D801" s="54" t="s">
        <v>738</v>
      </c>
      <c r="E801" s="19" t="s">
        <v>736</v>
      </c>
      <c r="F801" s="24" t="s">
        <v>23</v>
      </c>
      <c r="G801" s="25" t="n">
        <v>0.418</v>
      </c>
      <c r="H801" s="26" t="n">
        <v>25</v>
      </c>
      <c r="I801" s="27" t="n">
        <v>40</v>
      </c>
      <c r="J801" s="28" t="n">
        <v>15</v>
      </c>
      <c r="K801" s="28" t="n">
        <v>1</v>
      </c>
      <c r="L801" s="24" t="s">
        <v>24</v>
      </c>
      <c r="M801" s="29" t="n">
        <f aca="false">IF("oui" = "oui",20.64*(1-disc),20.64)</f>
        <v>20.64</v>
      </c>
      <c r="N801" s="29" t="n">
        <f aca="false">IF("oui" = "oui",20.64*(1-disc)*1.2,20.64*1.2)</f>
        <v>24.768</v>
      </c>
      <c r="O801" s="24" t="s">
        <v>25</v>
      </c>
      <c r="P801" s="4" t="s">
        <v>25</v>
      </c>
      <c r="Q801" s="16"/>
    </row>
    <row r="802" customFormat="false" ht="12.8" hidden="false" customHeight="false" outlineLevel="0" collapsed="false">
      <c r="A802" s="22"/>
      <c r="B802" s="23" t="n">
        <v>501255000</v>
      </c>
      <c r="C802" s="24" t="n">
        <v>38</v>
      </c>
      <c r="D802" s="54" t="s">
        <v>739</v>
      </c>
      <c r="E802" s="19" t="s">
        <v>736</v>
      </c>
      <c r="F802" s="24" t="s">
        <v>23</v>
      </c>
      <c r="G802" s="25" t="n">
        <v>0.418</v>
      </c>
      <c r="H802" s="26" t="n">
        <v>25</v>
      </c>
      <c r="I802" s="27" t="n">
        <v>40</v>
      </c>
      <c r="J802" s="28" t="n">
        <v>15</v>
      </c>
      <c r="K802" s="28" t="n">
        <v>1</v>
      </c>
      <c r="L802" s="24" t="s">
        <v>24</v>
      </c>
      <c r="M802" s="29" t="n">
        <f aca="false">IF("oui" = "oui",20.64*(1-disc),20.64)</f>
        <v>20.64</v>
      </c>
      <c r="N802" s="29" t="n">
        <f aca="false">IF("oui" = "oui",20.64*(1-disc)*1.2,20.64*1.2)</f>
        <v>24.768</v>
      </c>
      <c r="O802" s="24" t="s">
        <v>25</v>
      </c>
      <c r="P802" s="4" t="s">
        <v>25</v>
      </c>
      <c r="Q802" s="16"/>
    </row>
    <row r="803" customFormat="false" ht="12.8" hidden="false" customHeight="false" outlineLevel="0" collapsed="false">
      <c r="A803" s="22"/>
      <c r="B803" s="23" t="n">
        <v>501256000</v>
      </c>
      <c r="C803" s="24" t="n">
        <v>38</v>
      </c>
      <c r="D803" s="54" t="s">
        <v>740</v>
      </c>
      <c r="E803" s="19" t="s">
        <v>736</v>
      </c>
      <c r="F803" s="24" t="s">
        <v>23</v>
      </c>
      <c r="G803" s="25" t="n">
        <v>0.418</v>
      </c>
      <c r="H803" s="26" t="n">
        <v>25</v>
      </c>
      <c r="I803" s="27" t="n">
        <v>40</v>
      </c>
      <c r="J803" s="28" t="n">
        <v>15</v>
      </c>
      <c r="K803" s="28" t="n">
        <v>1</v>
      </c>
      <c r="L803" s="24" t="s">
        <v>24</v>
      </c>
      <c r="M803" s="29" t="n">
        <f aca="false">IF("oui" = "oui",20.64*(1-disc),20.64)</f>
        <v>20.64</v>
      </c>
      <c r="N803" s="29" t="n">
        <f aca="false">IF("oui" = "oui",20.64*(1-disc)*1.2,20.64*1.2)</f>
        <v>24.768</v>
      </c>
      <c r="O803" s="24" t="s">
        <v>25</v>
      </c>
      <c r="P803" s="55" t="s">
        <v>658</v>
      </c>
      <c r="Q803" s="16"/>
    </row>
    <row r="804" customFormat="false" ht="12.8" hidden="false" customHeight="false" outlineLevel="0" collapsed="false">
      <c r="A804" s="22"/>
      <c r="B804" s="23" t="n">
        <v>501257000</v>
      </c>
      <c r="C804" s="24" t="n">
        <v>38</v>
      </c>
      <c r="D804" s="54" t="s">
        <v>741</v>
      </c>
      <c r="E804" s="19" t="s">
        <v>736</v>
      </c>
      <c r="F804" s="24" t="s">
        <v>23</v>
      </c>
      <c r="G804" s="25" t="n">
        <v>0.418</v>
      </c>
      <c r="H804" s="26" t="n">
        <v>25</v>
      </c>
      <c r="I804" s="27" t="n">
        <v>40</v>
      </c>
      <c r="J804" s="28" t="n">
        <v>15</v>
      </c>
      <c r="K804" s="28" t="n">
        <v>1</v>
      </c>
      <c r="L804" s="24" t="s">
        <v>24</v>
      </c>
      <c r="M804" s="29" t="n">
        <f aca="false">IF("oui" = "oui",20.64*(1-disc),20.64)</f>
        <v>20.64</v>
      </c>
      <c r="N804" s="29" t="n">
        <f aca="false">IF("oui" = "oui",20.64*(1-disc)*1.2,20.64*1.2)</f>
        <v>24.768</v>
      </c>
      <c r="O804" s="24" t="s">
        <v>25</v>
      </c>
      <c r="P804" s="4" t="s">
        <v>25</v>
      </c>
      <c r="Q804" s="16"/>
    </row>
    <row r="805" customFormat="false" ht="12.8" hidden="false" customHeight="false" outlineLevel="0" collapsed="false">
      <c r="A805" s="22"/>
      <c r="B805" s="23" t="n">
        <v>501258000</v>
      </c>
      <c r="C805" s="24" t="n">
        <v>38</v>
      </c>
      <c r="D805" s="54" t="s">
        <v>742</v>
      </c>
      <c r="E805" s="19" t="s">
        <v>736</v>
      </c>
      <c r="F805" s="24" t="s">
        <v>23</v>
      </c>
      <c r="G805" s="25" t="n">
        <v>0.418</v>
      </c>
      <c r="H805" s="26" t="n">
        <v>25</v>
      </c>
      <c r="I805" s="27" t="n">
        <v>40</v>
      </c>
      <c r="J805" s="28" t="n">
        <v>15</v>
      </c>
      <c r="K805" s="28" t="n">
        <v>1</v>
      </c>
      <c r="L805" s="24" t="s">
        <v>24</v>
      </c>
      <c r="M805" s="29" t="n">
        <f aca="false">IF("oui" = "oui",20.64*(1-disc),20.64)</f>
        <v>20.64</v>
      </c>
      <c r="N805" s="29" t="n">
        <f aca="false">IF("oui" = "oui",20.64*(1-disc)*1.2,20.64*1.2)</f>
        <v>24.768</v>
      </c>
      <c r="O805" s="24" t="s">
        <v>25</v>
      </c>
      <c r="P805" s="4" t="s">
        <v>25</v>
      </c>
      <c r="Q805" s="16"/>
    </row>
    <row r="806" customFormat="false" ht="12.8" hidden="false" customHeight="false" outlineLevel="0" collapsed="false">
      <c r="A806" s="22"/>
      <c r="B806" s="23" t="n">
        <v>501259000</v>
      </c>
      <c r="C806" s="24" t="n">
        <v>38</v>
      </c>
      <c r="D806" s="54" t="s">
        <v>743</v>
      </c>
      <c r="E806" s="19" t="s">
        <v>736</v>
      </c>
      <c r="F806" s="24" t="s">
        <v>23</v>
      </c>
      <c r="G806" s="25" t="n">
        <v>0.418</v>
      </c>
      <c r="H806" s="26" t="n">
        <v>25</v>
      </c>
      <c r="I806" s="27" t="n">
        <v>40</v>
      </c>
      <c r="J806" s="28" t="n">
        <v>15</v>
      </c>
      <c r="K806" s="28" t="n">
        <v>1</v>
      </c>
      <c r="L806" s="24" t="s">
        <v>24</v>
      </c>
      <c r="M806" s="29" t="n">
        <f aca="false">IF("oui" = "oui",20.64*(1-disc),20.64)</f>
        <v>20.64</v>
      </c>
      <c r="N806" s="29" t="n">
        <f aca="false">IF("oui" = "oui",20.64*(1-disc)*1.2,20.64*1.2)</f>
        <v>24.768</v>
      </c>
      <c r="O806" s="24" t="s">
        <v>25</v>
      </c>
      <c r="P806" s="4" t="s">
        <v>25</v>
      </c>
      <c r="Q806" s="16"/>
    </row>
    <row r="807" customFormat="false" ht="12.8" hidden="false" customHeight="false" outlineLevel="0" collapsed="false">
      <c r="A807" s="22"/>
      <c r="B807" s="23" t="n">
        <v>501260000</v>
      </c>
      <c r="C807" s="24" t="n">
        <v>38</v>
      </c>
      <c r="D807" s="54" t="s">
        <v>744</v>
      </c>
      <c r="E807" s="19" t="s">
        <v>736</v>
      </c>
      <c r="F807" s="24" t="s">
        <v>23</v>
      </c>
      <c r="G807" s="25" t="n">
        <v>0.418</v>
      </c>
      <c r="H807" s="26" t="n">
        <v>25</v>
      </c>
      <c r="I807" s="27" t="n">
        <v>40</v>
      </c>
      <c r="J807" s="28" t="n">
        <v>15</v>
      </c>
      <c r="K807" s="28" t="n">
        <v>1</v>
      </c>
      <c r="L807" s="24" t="s">
        <v>24</v>
      </c>
      <c r="M807" s="29" t="n">
        <f aca="false">IF("oui" = "oui",20.64*(1-disc),20.64)</f>
        <v>20.64</v>
      </c>
      <c r="N807" s="29" t="n">
        <f aca="false">IF("oui" = "oui",20.64*(1-disc)*1.2,20.64*1.2)</f>
        <v>24.768</v>
      </c>
      <c r="O807" s="24" t="s">
        <v>25</v>
      </c>
      <c r="P807" s="7" t="s">
        <v>26</v>
      </c>
      <c r="Q807" s="16"/>
    </row>
    <row r="808" customFormat="false" ht="12.8" hidden="false" customHeight="false" outlineLevel="0" collapsed="false">
      <c r="A808" s="22"/>
      <c r="B808" s="23"/>
      <c r="C808" s="24"/>
      <c r="D808" s="22"/>
      <c r="E808" s="19"/>
      <c r="F808" s="24"/>
      <c r="G808" s="25"/>
      <c r="H808" s="26"/>
      <c r="I808" s="27"/>
      <c r="J808" s="28"/>
      <c r="K808" s="28"/>
      <c r="L808" s="24"/>
      <c r="M808" s="29"/>
      <c r="N808" s="29"/>
      <c r="O808" s="24"/>
      <c r="P808" s="4"/>
      <c r="Q808" s="16"/>
    </row>
    <row r="809" customFormat="false" ht="12.8" hidden="false" customHeight="false" outlineLevel="0" collapsed="false">
      <c r="A809" s="22"/>
      <c r="B809" s="23" t="n">
        <v>501265000</v>
      </c>
      <c r="C809" s="24" t="n">
        <v>38</v>
      </c>
      <c r="D809" s="54" t="s">
        <v>745</v>
      </c>
      <c r="E809" s="19" t="s">
        <v>736</v>
      </c>
      <c r="F809" s="24" t="s">
        <v>23</v>
      </c>
      <c r="G809" s="25" t="n">
        <v>0.132</v>
      </c>
      <c r="H809" s="26" t="n">
        <v>25</v>
      </c>
      <c r="I809" s="27" t="n">
        <v>40</v>
      </c>
      <c r="J809" s="28" t="n">
        <v>15</v>
      </c>
      <c r="K809" s="28" t="n">
        <v>1</v>
      </c>
      <c r="L809" s="24" t="s">
        <v>24</v>
      </c>
      <c r="M809" s="29" t="n">
        <f aca="false">IF("oui" = "oui",20.64*(1-disc),20.64)</f>
        <v>20.64</v>
      </c>
      <c r="N809" s="29" t="n">
        <f aca="false">IF("oui" = "oui",20.64*(1-disc)*1.2,20.64*1.2)</f>
        <v>24.768</v>
      </c>
      <c r="O809" s="24" t="s">
        <v>25</v>
      </c>
      <c r="P809" s="7" t="s">
        <v>26</v>
      </c>
      <c r="Q809" s="16"/>
    </row>
    <row r="810" customFormat="false" ht="12.8" hidden="false" customHeight="false" outlineLevel="0" collapsed="false">
      <c r="A810" s="22"/>
      <c r="B810" s="23" t="n">
        <v>501261000</v>
      </c>
      <c r="C810" s="24" t="n">
        <v>38</v>
      </c>
      <c r="D810" s="54" t="s">
        <v>746</v>
      </c>
      <c r="E810" s="19" t="s">
        <v>736</v>
      </c>
      <c r="F810" s="24" t="s">
        <v>23</v>
      </c>
      <c r="G810" s="25" t="n">
        <v>0.128</v>
      </c>
      <c r="H810" s="26" t="n">
        <v>25</v>
      </c>
      <c r="I810" s="27" t="n">
        <v>70</v>
      </c>
      <c r="J810" s="28" t="n">
        <v>15</v>
      </c>
      <c r="K810" s="28" t="n">
        <v>1</v>
      </c>
      <c r="L810" s="24" t="s">
        <v>24</v>
      </c>
      <c r="M810" s="29" t="n">
        <f aca="false">IF("oui" = "oui",20.64*(1-disc),20.64)</f>
        <v>20.64</v>
      </c>
      <c r="N810" s="29" t="n">
        <f aca="false">IF("oui" = "oui",20.64*(1-disc)*1.2,20.64*1.2)</f>
        <v>24.768</v>
      </c>
      <c r="O810" s="24" t="s">
        <v>25</v>
      </c>
      <c r="P810" s="4" t="s">
        <v>25</v>
      </c>
      <c r="Q810" s="16"/>
    </row>
    <row r="811" customFormat="false" ht="12.8" hidden="false" customHeight="false" outlineLevel="0" collapsed="false">
      <c r="A811" s="22"/>
      <c r="B811" s="23" t="n">
        <v>501263000</v>
      </c>
      <c r="C811" s="24" t="n">
        <v>38</v>
      </c>
      <c r="D811" s="54" t="s">
        <v>747</v>
      </c>
      <c r="E811" s="19" t="s">
        <v>736</v>
      </c>
      <c r="F811" s="24" t="s">
        <v>23</v>
      </c>
      <c r="G811" s="25" t="n">
        <v>0.418</v>
      </c>
      <c r="H811" s="26" t="n">
        <v>25</v>
      </c>
      <c r="I811" s="27" t="n">
        <v>40</v>
      </c>
      <c r="J811" s="28" t="n">
        <v>15</v>
      </c>
      <c r="K811" s="28" t="n">
        <v>1</v>
      </c>
      <c r="L811" s="24" t="s">
        <v>24</v>
      </c>
      <c r="M811" s="29" t="n">
        <f aca="false">IF("oui" = "oui",20.64*(1-disc),20.64)</f>
        <v>20.64</v>
      </c>
      <c r="N811" s="29" t="n">
        <f aca="false">IF("oui" = "oui",20.64*(1-disc)*1.2,20.64*1.2)</f>
        <v>24.768</v>
      </c>
      <c r="O811" s="24" t="s">
        <v>25</v>
      </c>
      <c r="P811" s="7" t="s">
        <v>26</v>
      </c>
      <c r="Q811" s="16"/>
    </row>
    <row r="812" customFormat="false" ht="12.8" hidden="false" customHeight="false" outlineLevel="0" collapsed="false">
      <c r="A812" s="22"/>
      <c r="B812" s="23" t="n">
        <v>501264000</v>
      </c>
      <c r="C812" s="24" t="n">
        <v>38</v>
      </c>
      <c r="D812" s="54" t="s">
        <v>748</v>
      </c>
      <c r="E812" s="19" t="s">
        <v>736</v>
      </c>
      <c r="F812" s="24" t="s">
        <v>23</v>
      </c>
      <c r="G812" s="25" t="n">
        <v>0.418</v>
      </c>
      <c r="H812" s="26" t="n">
        <v>25</v>
      </c>
      <c r="I812" s="27" t="n">
        <v>40</v>
      </c>
      <c r="J812" s="28" t="n">
        <v>15</v>
      </c>
      <c r="K812" s="28" t="n">
        <v>1</v>
      </c>
      <c r="L812" s="24" t="s">
        <v>24</v>
      </c>
      <c r="M812" s="29" t="n">
        <f aca="false">IF("oui" = "oui",20.64*(1-disc),20.64)</f>
        <v>20.64</v>
      </c>
      <c r="N812" s="29" t="n">
        <f aca="false">IF("oui" = "oui",20.64*(1-disc)*1.2,20.64*1.2)</f>
        <v>24.768</v>
      </c>
      <c r="O812" s="24" t="s">
        <v>25</v>
      </c>
      <c r="P812" s="7" t="s">
        <v>26</v>
      </c>
      <c r="Q812" s="16"/>
    </row>
    <row r="813" customFormat="false" ht="12.8" hidden="false" customHeight="false" outlineLevel="0" collapsed="false">
      <c r="A813" s="22"/>
      <c r="B813" s="23" t="n">
        <v>501266000</v>
      </c>
      <c r="C813" s="24" t="n">
        <v>38</v>
      </c>
      <c r="D813" s="54" t="s">
        <v>749</v>
      </c>
      <c r="E813" s="19" t="s">
        <v>736</v>
      </c>
      <c r="F813" s="24" t="s">
        <v>23</v>
      </c>
      <c r="G813" s="25" t="n">
        <v>0.244</v>
      </c>
      <c r="H813" s="26" t="n">
        <v>30</v>
      </c>
      <c r="I813" s="27" t="n">
        <v>40</v>
      </c>
      <c r="J813" s="28" t="n">
        <v>15</v>
      </c>
      <c r="K813" s="28" t="n">
        <v>1</v>
      </c>
      <c r="L813" s="24" t="s">
        <v>24</v>
      </c>
      <c r="M813" s="29" t="n">
        <f aca="false">IF("oui" = "oui",18.13*(1-disc),18.13)</f>
        <v>18.13</v>
      </c>
      <c r="N813" s="29" t="n">
        <f aca="false">IF("oui" = "oui",18.13*(1-disc)*1.2,18.13*1.2)</f>
        <v>21.756</v>
      </c>
      <c r="O813" s="24" t="s">
        <v>25</v>
      </c>
      <c r="P813" s="55" t="s">
        <v>106</v>
      </c>
      <c r="Q813" s="16"/>
    </row>
    <row r="814" customFormat="false" ht="12.8" hidden="false" customHeight="false" outlineLevel="0" collapsed="false">
      <c r="A814" s="22"/>
      <c r="B814" s="23" t="n">
        <v>501267000</v>
      </c>
      <c r="C814" s="24" t="n">
        <v>38</v>
      </c>
      <c r="D814" s="54" t="s">
        <v>750</v>
      </c>
      <c r="E814" s="19" t="s">
        <v>736</v>
      </c>
      <c r="F814" s="24" t="s">
        <v>23</v>
      </c>
      <c r="G814" s="25" t="n">
        <v>0.244</v>
      </c>
      <c r="H814" s="26" t="n">
        <v>30</v>
      </c>
      <c r="I814" s="27" t="n">
        <v>40</v>
      </c>
      <c r="J814" s="28" t="n">
        <v>15</v>
      </c>
      <c r="K814" s="28" t="n">
        <v>1</v>
      </c>
      <c r="L814" s="24" t="s">
        <v>24</v>
      </c>
      <c r="M814" s="29" t="n">
        <f aca="false">IF("oui" = "oui",18.13*(1-disc),18.13)</f>
        <v>18.13</v>
      </c>
      <c r="N814" s="29" t="n">
        <f aca="false">IF("oui" = "oui",18.13*(1-disc)*1.2,18.13*1.2)</f>
        <v>21.756</v>
      </c>
      <c r="O814" s="24" t="s">
        <v>25</v>
      </c>
      <c r="P814" s="4" t="s">
        <v>25</v>
      </c>
      <c r="Q814" s="16"/>
    </row>
    <row r="815" customFormat="false" ht="12.8" hidden="false" customHeight="false" outlineLevel="0" collapsed="false">
      <c r="A815" s="22"/>
      <c r="B815" s="23" t="n">
        <v>501268000</v>
      </c>
      <c r="C815" s="24" t="n">
        <v>38</v>
      </c>
      <c r="D815" s="54" t="s">
        <v>751</v>
      </c>
      <c r="E815" s="19" t="s">
        <v>736</v>
      </c>
      <c r="F815" s="24" t="s">
        <v>23</v>
      </c>
      <c r="G815" s="25" t="n">
        <v>0.216</v>
      </c>
      <c r="H815" s="26" t="n">
        <v>30</v>
      </c>
      <c r="I815" s="27" t="n">
        <v>40</v>
      </c>
      <c r="J815" s="28" t="n">
        <v>15</v>
      </c>
      <c r="K815" s="28" t="n">
        <v>1</v>
      </c>
      <c r="L815" s="24" t="s">
        <v>24</v>
      </c>
      <c r="M815" s="29" t="n">
        <f aca="false">IF("oui" = "oui",18.13*(1-disc),18.13)</f>
        <v>18.13</v>
      </c>
      <c r="N815" s="29" t="n">
        <f aca="false">IF("oui" = "oui",18.13*(1-disc)*1.2,18.13*1.2)</f>
        <v>21.756</v>
      </c>
      <c r="O815" s="24" t="s">
        <v>25</v>
      </c>
      <c r="P815" s="7" t="s">
        <v>26</v>
      </c>
      <c r="Q815" s="16"/>
    </row>
    <row r="816" customFormat="false" ht="12.8" hidden="false" customHeight="false" outlineLevel="0" collapsed="false">
      <c r="A816" s="22"/>
      <c r="B816" s="23"/>
      <c r="C816" s="24"/>
      <c r="D816" s="22"/>
      <c r="E816" s="19"/>
      <c r="F816" s="24"/>
      <c r="G816" s="25"/>
      <c r="H816" s="26"/>
      <c r="I816" s="27"/>
      <c r="J816" s="28"/>
      <c r="K816" s="28"/>
      <c r="L816" s="24"/>
      <c r="M816" s="29"/>
      <c r="N816" s="29"/>
      <c r="O816" s="24"/>
      <c r="P816" s="4"/>
      <c r="Q816" s="16"/>
    </row>
    <row r="817" customFormat="false" ht="12.8" hidden="false" customHeight="false" outlineLevel="0" collapsed="false">
      <c r="A817" s="42" t="s">
        <v>752</v>
      </c>
      <c r="B817" s="43"/>
      <c r="C817" s="44"/>
      <c r="D817" s="45"/>
      <c r="E817" s="46"/>
      <c r="F817" s="44"/>
      <c r="G817" s="47"/>
      <c r="H817" s="48"/>
      <c r="I817" s="49"/>
      <c r="J817" s="50"/>
      <c r="K817" s="50"/>
      <c r="L817" s="44"/>
      <c r="M817" s="51"/>
      <c r="N817" s="51"/>
      <c r="O817" s="44"/>
      <c r="P817" s="52"/>
      <c r="Q817" s="53"/>
    </row>
    <row r="818" customFormat="false" ht="12.8" hidden="false" customHeight="false" outlineLevel="0" collapsed="false">
      <c r="A818" s="22"/>
      <c r="B818" s="23"/>
      <c r="C818" s="24"/>
      <c r="D818" s="22"/>
      <c r="E818" s="19"/>
      <c r="F818" s="24"/>
      <c r="G818" s="25"/>
      <c r="H818" s="26"/>
      <c r="I818" s="27"/>
      <c r="J818" s="28"/>
      <c r="K818" s="28"/>
      <c r="L818" s="24"/>
      <c r="M818" s="29"/>
      <c r="N818" s="29"/>
      <c r="O818" s="24"/>
      <c r="P818" s="4"/>
      <c r="Q818" s="16"/>
    </row>
    <row r="819" customFormat="false" ht="12.8" hidden="false" customHeight="false" outlineLevel="0" collapsed="false">
      <c r="A819" s="22"/>
      <c r="B819" s="23" t="n">
        <v>501248000</v>
      </c>
      <c r="C819" s="24" t="n">
        <v>38</v>
      </c>
      <c r="D819" s="54" t="s">
        <v>753</v>
      </c>
      <c r="E819" s="19" t="s">
        <v>754</v>
      </c>
      <c r="F819" s="24" t="s">
        <v>23</v>
      </c>
      <c r="G819" s="25" t="n">
        <v>0.074</v>
      </c>
      <c r="H819" s="26" t="n">
        <v>9</v>
      </c>
      <c r="I819" s="27" t="n">
        <v>40</v>
      </c>
      <c r="J819" s="28" t="n">
        <v>30</v>
      </c>
      <c r="K819" s="28" t="n">
        <v>1</v>
      </c>
      <c r="L819" s="24" t="s">
        <v>24</v>
      </c>
      <c r="M819" s="29" t="n">
        <f aca="false">IF("oui" = "oui",17.23*(1-disc),17.23)</f>
        <v>17.23</v>
      </c>
      <c r="N819" s="29" t="n">
        <f aca="false">IF("oui" = "oui",17.23*(1-disc)*1.2,17.23*1.2)</f>
        <v>20.676</v>
      </c>
      <c r="O819" s="24" t="s">
        <v>25</v>
      </c>
      <c r="P819" s="4" t="s">
        <v>25</v>
      </c>
      <c r="Q819" s="16"/>
    </row>
    <row r="820" customFormat="false" ht="12.8" hidden="false" customHeight="false" outlineLevel="0" collapsed="false">
      <c r="A820" s="22"/>
      <c r="B820" s="23"/>
      <c r="C820" s="24"/>
      <c r="D820" s="22"/>
      <c r="E820" s="19"/>
      <c r="F820" s="24"/>
      <c r="G820" s="25"/>
      <c r="H820" s="26"/>
      <c r="I820" s="27"/>
      <c r="J820" s="28"/>
      <c r="K820" s="28"/>
      <c r="L820" s="24"/>
      <c r="M820" s="29"/>
      <c r="N820" s="29"/>
      <c r="O820" s="24"/>
      <c r="P820" s="4"/>
      <c r="Q820" s="16"/>
    </row>
    <row r="821" customFormat="false" ht="12.8" hidden="false" customHeight="false" outlineLevel="0" collapsed="false">
      <c r="A821" s="30" t="s">
        <v>755</v>
      </c>
      <c r="B821" s="31"/>
      <c r="C821" s="32"/>
      <c r="D821" s="33"/>
      <c r="E821" s="34"/>
      <c r="F821" s="32"/>
      <c r="G821" s="35"/>
      <c r="H821" s="36"/>
      <c r="I821" s="37"/>
      <c r="J821" s="38"/>
      <c r="K821" s="38"/>
      <c r="L821" s="32"/>
      <c r="M821" s="39"/>
      <c r="N821" s="39"/>
      <c r="O821" s="32"/>
      <c r="P821" s="40"/>
      <c r="Q821" s="41"/>
    </row>
    <row r="822" customFormat="false" ht="12.8" hidden="false" customHeight="false" outlineLevel="0" collapsed="false">
      <c r="A822" s="22"/>
      <c r="B822" s="23"/>
      <c r="C822" s="24"/>
      <c r="D822" s="22"/>
      <c r="E822" s="19"/>
      <c r="F822" s="24"/>
      <c r="G822" s="25"/>
      <c r="H822" s="26"/>
      <c r="I822" s="27"/>
      <c r="J822" s="28"/>
      <c r="K822" s="28"/>
      <c r="L822" s="24"/>
      <c r="M822" s="29"/>
      <c r="N822" s="29"/>
      <c r="O822" s="24"/>
      <c r="P822" s="4"/>
      <c r="Q822" s="16"/>
    </row>
    <row r="823" customFormat="false" ht="12.8" hidden="false" customHeight="false" outlineLevel="0" collapsed="false">
      <c r="A823" s="42" t="s">
        <v>756</v>
      </c>
      <c r="B823" s="43"/>
      <c r="C823" s="44"/>
      <c r="D823" s="45"/>
      <c r="E823" s="46"/>
      <c r="F823" s="44"/>
      <c r="G823" s="47"/>
      <c r="H823" s="48"/>
      <c r="I823" s="49"/>
      <c r="J823" s="50"/>
      <c r="K823" s="50"/>
      <c r="L823" s="44"/>
      <c r="M823" s="51"/>
      <c r="N823" s="51"/>
      <c r="O823" s="44"/>
      <c r="P823" s="52"/>
      <c r="Q823" s="53"/>
    </row>
    <row r="824" customFormat="false" ht="12.8" hidden="false" customHeight="false" outlineLevel="0" collapsed="false">
      <c r="A824" s="22"/>
      <c r="B824" s="23"/>
      <c r="C824" s="24"/>
      <c r="D824" s="22"/>
      <c r="E824" s="19"/>
      <c r="F824" s="24"/>
      <c r="G824" s="25"/>
      <c r="H824" s="26"/>
      <c r="I824" s="27"/>
      <c r="J824" s="28"/>
      <c r="K824" s="28"/>
      <c r="L824" s="24"/>
      <c r="M824" s="29"/>
      <c r="N824" s="29"/>
      <c r="O824" s="24"/>
      <c r="P824" s="4"/>
      <c r="Q824" s="16"/>
    </row>
    <row r="825" customFormat="false" ht="12.8" hidden="false" customHeight="false" outlineLevel="0" collapsed="false">
      <c r="A825" s="22"/>
      <c r="B825" s="23" t="n">
        <v>602001001</v>
      </c>
      <c r="C825" s="24" t="n">
        <v>45</v>
      </c>
      <c r="D825" s="54" t="s">
        <v>757</v>
      </c>
      <c r="E825" s="19" t="s">
        <v>758</v>
      </c>
      <c r="F825" s="24" t="s">
        <v>23</v>
      </c>
      <c r="G825" s="25" t="n">
        <v>0.699</v>
      </c>
      <c r="H825" s="26" t="n">
        <v>30</v>
      </c>
      <c r="I825" s="27" t="n">
        <v>50</v>
      </c>
      <c r="J825" s="28" t="n">
        <v>25</v>
      </c>
      <c r="K825" s="28" t="n">
        <v>1</v>
      </c>
      <c r="L825" s="24" t="s">
        <v>24</v>
      </c>
      <c r="M825" s="57" t="n">
        <f aca="false">IF("non" = "oui",31.51*(1-disc),31.51)</f>
        <v>31.51</v>
      </c>
      <c r="N825" s="57" t="n">
        <f aca="false">IF("non" = "oui",31.51*(1-disc)*1.2,31.51*1.2)</f>
        <v>37.812</v>
      </c>
      <c r="O825" s="58" t="s">
        <v>26</v>
      </c>
      <c r="P825" s="7" t="s">
        <v>26</v>
      </c>
      <c r="Q825" s="59" t="s">
        <v>87</v>
      </c>
    </row>
    <row r="826" customFormat="false" ht="12.8" hidden="false" customHeight="false" outlineLevel="0" collapsed="false">
      <c r="A826" s="22"/>
      <c r="B826" s="23"/>
      <c r="C826" s="24"/>
      <c r="D826" s="22"/>
      <c r="E826" s="19"/>
      <c r="F826" s="24"/>
      <c r="G826" s="25"/>
      <c r="H826" s="26"/>
      <c r="I826" s="27"/>
      <c r="J826" s="28"/>
      <c r="K826" s="28"/>
      <c r="L826" s="24"/>
      <c r="M826" s="29"/>
      <c r="N826" s="29"/>
      <c r="O826" s="24"/>
      <c r="P826" s="4"/>
      <c r="Q826" s="16"/>
    </row>
    <row r="827" customFormat="false" ht="12.8" hidden="false" customHeight="false" outlineLevel="0" collapsed="false">
      <c r="A827" s="30" t="s">
        <v>759</v>
      </c>
      <c r="B827" s="31"/>
      <c r="C827" s="32"/>
      <c r="D827" s="33"/>
      <c r="E827" s="34"/>
      <c r="F827" s="32"/>
      <c r="G827" s="35"/>
      <c r="H827" s="36"/>
      <c r="I827" s="37"/>
      <c r="J827" s="38"/>
      <c r="K827" s="38"/>
      <c r="L827" s="32"/>
      <c r="M827" s="39"/>
      <c r="N827" s="39"/>
      <c r="O827" s="32"/>
      <c r="P827" s="40"/>
      <c r="Q827" s="41"/>
    </row>
    <row r="828" customFormat="false" ht="12.8" hidden="false" customHeight="false" outlineLevel="0" collapsed="false">
      <c r="A828" s="22"/>
      <c r="B828" s="23"/>
      <c r="C828" s="24"/>
      <c r="D828" s="22"/>
      <c r="E828" s="19"/>
      <c r="F828" s="24"/>
      <c r="G828" s="25"/>
      <c r="H828" s="26"/>
      <c r="I828" s="27"/>
      <c r="J828" s="28"/>
      <c r="K828" s="28"/>
      <c r="L828" s="24"/>
      <c r="M828" s="29"/>
      <c r="N828" s="29"/>
      <c r="O828" s="24"/>
      <c r="P828" s="4"/>
      <c r="Q828" s="16"/>
    </row>
    <row r="829" customFormat="false" ht="12.8" hidden="false" customHeight="false" outlineLevel="0" collapsed="false">
      <c r="A829" s="42" t="s">
        <v>760</v>
      </c>
      <c r="B829" s="43"/>
      <c r="C829" s="44"/>
      <c r="D829" s="45"/>
      <c r="E829" s="46"/>
      <c r="F829" s="44"/>
      <c r="G829" s="47"/>
      <c r="H829" s="48"/>
      <c r="I829" s="49"/>
      <c r="J829" s="50"/>
      <c r="K829" s="50"/>
      <c r="L829" s="44"/>
      <c r="M829" s="51"/>
      <c r="N829" s="51"/>
      <c r="O829" s="44"/>
      <c r="P829" s="52"/>
      <c r="Q829" s="53"/>
    </row>
    <row r="830" customFormat="false" ht="12.8" hidden="false" customHeight="false" outlineLevel="0" collapsed="false">
      <c r="A830" s="22"/>
      <c r="B830" s="23"/>
      <c r="C830" s="24"/>
      <c r="D830" s="22"/>
      <c r="E830" s="19"/>
      <c r="F830" s="24"/>
      <c r="G830" s="25"/>
      <c r="H830" s="26"/>
      <c r="I830" s="27"/>
      <c r="J830" s="28"/>
      <c r="K830" s="28"/>
      <c r="L830" s="24"/>
      <c r="M830" s="29"/>
      <c r="N830" s="29"/>
      <c r="O830" s="24"/>
      <c r="P830" s="4"/>
      <c r="Q830" s="16"/>
    </row>
    <row r="831" customFormat="false" ht="12.8" hidden="false" customHeight="false" outlineLevel="0" collapsed="false">
      <c r="A831" s="22"/>
      <c r="B831" s="23" t="n">
        <v>501101000</v>
      </c>
      <c r="C831" s="24" t="n">
        <v>49</v>
      </c>
      <c r="D831" s="54" t="s">
        <v>761</v>
      </c>
      <c r="E831" s="19" t="s">
        <v>762</v>
      </c>
      <c r="F831" s="24" t="s">
        <v>23</v>
      </c>
      <c r="G831" s="25" t="n">
        <v>0.448</v>
      </c>
      <c r="H831" s="26" t="n">
        <v>25</v>
      </c>
      <c r="I831" s="27" t="n">
        <v>75</v>
      </c>
      <c r="J831" s="28" t="n">
        <v>12</v>
      </c>
      <c r="K831" s="28" t="n">
        <v>1</v>
      </c>
      <c r="L831" s="24" t="s">
        <v>24</v>
      </c>
      <c r="M831" s="29" t="n">
        <f aca="false">IF("oui" = "oui",29.55*(1-disc),29.55)</f>
        <v>29.55</v>
      </c>
      <c r="N831" s="29" t="n">
        <f aca="false">IF("oui" = "oui",29.55*(1-disc)*1.2,29.55*1.2)</f>
        <v>35.46</v>
      </c>
      <c r="O831" s="24" t="s">
        <v>25</v>
      </c>
      <c r="P831" s="7" t="s">
        <v>26</v>
      </c>
      <c r="Q831" s="16"/>
    </row>
    <row r="832" customFormat="false" ht="12.8" hidden="false" customHeight="false" outlineLevel="0" collapsed="false">
      <c r="A832" s="22"/>
      <c r="B832" s="23" t="n">
        <v>501102000</v>
      </c>
      <c r="C832" s="24" t="n">
        <v>49</v>
      </c>
      <c r="D832" s="54" t="s">
        <v>763</v>
      </c>
      <c r="E832" s="19" t="s">
        <v>762</v>
      </c>
      <c r="F832" s="24" t="s">
        <v>23</v>
      </c>
      <c r="G832" s="25" t="n">
        <v>0.448</v>
      </c>
      <c r="H832" s="26" t="n">
        <v>25</v>
      </c>
      <c r="I832" s="27" t="n">
        <v>75</v>
      </c>
      <c r="J832" s="28" t="n">
        <v>12</v>
      </c>
      <c r="K832" s="28" t="n">
        <v>1</v>
      </c>
      <c r="L832" s="24" t="s">
        <v>24</v>
      </c>
      <c r="M832" s="29" t="n">
        <f aca="false">IF("oui" = "oui",29.55*(1-disc),29.55)</f>
        <v>29.55</v>
      </c>
      <c r="N832" s="29" t="n">
        <f aca="false">IF("oui" = "oui",29.55*(1-disc)*1.2,29.55*1.2)</f>
        <v>35.46</v>
      </c>
      <c r="O832" s="24" t="s">
        <v>25</v>
      </c>
      <c r="P832" s="55" t="s">
        <v>131</v>
      </c>
      <c r="Q832" s="16"/>
    </row>
    <row r="833" customFormat="false" ht="12.8" hidden="false" customHeight="false" outlineLevel="0" collapsed="false">
      <c r="A833" s="22"/>
      <c r="B833" s="23" t="n">
        <v>501099000</v>
      </c>
      <c r="C833" s="24" t="n">
        <v>49</v>
      </c>
      <c r="D833" s="54" t="s">
        <v>764</v>
      </c>
      <c r="E833" s="19" t="s">
        <v>762</v>
      </c>
      <c r="F833" s="24" t="s">
        <v>23</v>
      </c>
      <c r="G833" s="25" t="n">
        <v>0.448</v>
      </c>
      <c r="H833" s="26" t="n">
        <v>25</v>
      </c>
      <c r="I833" s="27" t="n">
        <v>75</v>
      </c>
      <c r="J833" s="28" t="n">
        <v>12</v>
      </c>
      <c r="K833" s="28" t="n">
        <v>1</v>
      </c>
      <c r="L833" s="24" t="s">
        <v>24</v>
      </c>
      <c r="M833" s="29" t="n">
        <f aca="false">IF("oui" = "oui",29.55*(1-disc),29.55)</f>
        <v>29.55</v>
      </c>
      <c r="N833" s="29" t="n">
        <f aca="false">IF("oui" = "oui",29.55*(1-disc)*1.2,29.55*1.2)</f>
        <v>35.46</v>
      </c>
      <c r="O833" s="24" t="s">
        <v>25</v>
      </c>
      <c r="P833" s="7" t="s">
        <v>26</v>
      </c>
      <c r="Q833" s="16"/>
    </row>
    <row r="834" customFormat="false" ht="12.8" hidden="false" customHeight="false" outlineLevel="0" collapsed="false">
      <c r="A834" s="22"/>
      <c r="B834" s="23" t="n">
        <v>501103000</v>
      </c>
      <c r="C834" s="24" t="n">
        <v>49</v>
      </c>
      <c r="D834" s="54" t="s">
        <v>765</v>
      </c>
      <c r="E834" s="19" t="s">
        <v>762</v>
      </c>
      <c r="F834" s="24" t="s">
        <v>23</v>
      </c>
      <c r="G834" s="25" t="n">
        <v>0.448</v>
      </c>
      <c r="H834" s="26" t="n">
        <v>25</v>
      </c>
      <c r="I834" s="27" t="n">
        <v>75</v>
      </c>
      <c r="J834" s="28" t="n">
        <v>12</v>
      </c>
      <c r="K834" s="28" t="n">
        <v>1</v>
      </c>
      <c r="L834" s="24" t="s">
        <v>24</v>
      </c>
      <c r="M834" s="29" t="n">
        <f aca="false">IF("oui" = "oui",29.55*(1-disc),29.55)</f>
        <v>29.55</v>
      </c>
      <c r="N834" s="29" t="n">
        <f aca="false">IF("oui" = "oui",29.55*(1-disc)*1.2,29.55*1.2)</f>
        <v>35.46</v>
      </c>
      <c r="O834" s="24" t="s">
        <v>25</v>
      </c>
      <c r="P834" s="7" t="s">
        <v>26</v>
      </c>
      <c r="Q834" s="16"/>
    </row>
    <row r="835" customFormat="false" ht="12.8" hidden="false" customHeight="false" outlineLevel="0" collapsed="false">
      <c r="A835" s="22"/>
      <c r="B835" s="23" t="n">
        <v>501104000</v>
      </c>
      <c r="C835" s="24" t="n">
        <v>49</v>
      </c>
      <c r="D835" s="54" t="s">
        <v>766</v>
      </c>
      <c r="E835" s="19" t="s">
        <v>762</v>
      </c>
      <c r="F835" s="24" t="s">
        <v>23</v>
      </c>
      <c r="G835" s="25" t="n">
        <v>0.448</v>
      </c>
      <c r="H835" s="26" t="n">
        <v>25</v>
      </c>
      <c r="I835" s="27" t="n">
        <v>75</v>
      </c>
      <c r="J835" s="28" t="n">
        <v>12</v>
      </c>
      <c r="K835" s="28" t="n">
        <v>1</v>
      </c>
      <c r="L835" s="24" t="s">
        <v>24</v>
      </c>
      <c r="M835" s="29" t="n">
        <f aca="false">IF("oui" = "oui",29.55*(1-disc),29.55)</f>
        <v>29.55</v>
      </c>
      <c r="N835" s="29" t="n">
        <f aca="false">IF("oui" = "oui",29.55*(1-disc)*1.2,29.55*1.2)</f>
        <v>35.46</v>
      </c>
      <c r="O835" s="24" t="s">
        <v>25</v>
      </c>
      <c r="P835" s="55" t="s">
        <v>131</v>
      </c>
      <c r="Q835" s="16"/>
    </row>
    <row r="836" customFormat="false" ht="12.8" hidden="false" customHeight="false" outlineLevel="0" collapsed="false">
      <c r="A836" s="22"/>
      <c r="B836" s="23" t="n">
        <v>501105000</v>
      </c>
      <c r="C836" s="24" t="n">
        <v>49</v>
      </c>
      <c r="D836" s="54" t="s">
        <v>767</v>
      </c>
      <c r="E836" s="19" t="s">
        <v>762</v>
      </c>
      <c r="F836" s="24" t="s">
        <v>23</v>
      </c>
      <c r="G836" s="25" t="n">
        <v>0.448</v>
      </c>
      <c r="H836" s="26" t="n">
        <v>25</v>
      </c>
      <c r="I836" s="27" t="n">
        <v>75</v>
      </c>
      <c r="J836" s="28" t="n">
        <v>12</v>
      </c>
      <c r="K836" s="28" t="n">
        <v>1</v>
      </c>
      <c r="L836" s="24" t="s">
        <v>24</v>
      </c>
      <c r="M836" s="29" t="n">
        <f aca="false">IF("oui" = "oui",29.55*(1-disc),29.55)</f>
        <v>29.55</v>
      </c>
      <c r="N836" s="29" t="n">
        <f aca="false">IF("oui" = "oui",29.55*(1-disc)*1.2,29.55*1.2)</f>
        <v>35.46</v>
      </c>
      <c r="O836" s="24" t="s">
        <v>25</v>
      </c>
      <c r="P836" s="7" t="s">
        <v>26</v>
      </c>
      <c r="Q836" s="16"/>
    </row>
    <row r="837" customFormat="false" ht="12.8" hidden="false" customHeight="false" outlineLevel="0" collapsed="false">
      <c r="A837" s="22"/>
      <c r="B837" s="23" t="n">
        <v>501098000</v>
      </c>
      <c r="C837" s="24" t="n">
        <v>49</v>
      </c>
      <c r="D837" s="54" t="s">
        <v>768</v>
      </c>
      <c r="E837" s="19" t="s">
        <v>762</v>
      </c>
      <c r="F837" s="24" t="s">
        <v>23</v>
      </c>
      <c r="G837" s="25" t="n">
        <v>0.448</v>
      </c>
      <c r="H837" s="26" t="n">
        <v>25</v>
      </c>
      <c r="I837" s="27" t="n">
        <v>75</v>
      </c>
      <c r="J837" s="28" t="n">
        <v>12</v>
      </c>
      <c r="K837" s="28" t="n">
        <v>1</v>
      </c>
      <c r="L837" s="24" t="s">
        <v>24</v>
      </c>
      <c r="M837" s="29" t="n">
        <f aca="false">IF("oui" = "oui",29.55*(1-disc),29.55)</f>
        <v>29.55</v>
      </c>
      <c r="N837" s="29" t="n">
        <f aca="false">IF("oui" = "oui",29.55*(1-disc)*1.2,29.55*1.2)</f>
        <v>35.46</v>
      </c>
      <c r="O837" s="24" t="s">
        <v>25</v>
      </c>
      <c r="P837" s="7" t="s">
        <v>26</v>
      </c>
      <c r="Q837" s="16"/>
    </row>
    <row r="838" customFormat="false" ht="12.8" hidden="false" customHeight="false" outlineLevel="0" collapsed="false">
      <c r="A838" s="22"/>
      <c r="B838" s="23"/>
      <c r="C838" s="24"/>
      <c r="D838" s="22"/>
      <c r="E838" s="19"/>
      <c r="F838" s="24"/>
      <c r="G838" s="25"/>
      <c r="H838" s="26"/>
      <c r="I838" s="27"/>
      <c r="J838" s="28"/>
      <c r="K838" s="28"/>
      <c r="L838" s="24"/>
      <c r="M838" s="29"/>
      <c r="N838" s="29"/>
      <c r="O838" s="24"/>
      <c r="P838" s="4"/>
      <c r="Q838" s="16"/>
    </row>
    <row r="839" customFormat="false" ht="12.8" hidden="false" customHeight="false" outlineLevel="0" collapsed="false">
      <c r="A839" s="30" t="s">
        <v>769</v>
      </c>
      <c r="B839" s="31"/>
      <c r="C839" s="32"/>
      <c r="D839" s="33"/>
      <c r="E839" s="34"/>
      <c r="F839" s="32"/>
      <c r="G839" s="35"/>
      <c r="H839" s="36"/>
      <c r="I839" s="37"/>
      <c r="J839" s="38"/>
      <c r="K839" s="38"/>
      <c r="L839" s="32"/>
      <c r="M839" s="39"/>
      <c r="N839" s="39"/>
      <c r="O839" s="32"/>
      <c r="P839" s="40"/>
      <c r="Q839" s="41"/>
    </row>
    <row r="840" customFormat="false" ht="12.8" hidden="false" customHeight="false" outlineLevel="0" collapsed="false">
      <c r="A840" s="22"/>
      <c r="B840" s="23"/>
      <c r="C840" s="24"/>
      <c r="D840" s="22"/>
      <c r="E840" s="19"/>
      <c r="F840" s="24"/>
      <c r="G840" s="25"/>
      <c r="H840" s="26"/>
      <c r="I840" s="27"/>
      <c r="J840" s="28"/>
      <c r="K840" s="28"/>
      <c r="L840" s="24"/>
      <c r="M840" s="29"/>
      <c r="N840" s="29"/>
      <c r="O840" s="24"/>
      <c r="P840" s="4"/>
      <c r="Q840" s="16"/>
    </row>
    <row r="841" customFormat="false" ht="12.8" hidden="false" customHeight="false" outlineLevel="0" collapsed="false">
      <c r="A841" s="42" t="s">
        <v>770</v>
      </c>
      <c r="B841" s="43"/>
      <c r="C841" s="44"/>
      <c r="D841" s="45"/>
      <c r="E841" s="46"/>
      <c r="F841" s="44"/>
      <c r="G841" s="47"/>
      <c r="H841" s="48"/>
      <c r="I841" s="49"/>
      <c r="J841" s="50"/>
      <c r="K841" s="50"/>
      <c r="L841" s="44"/>
      <c r="M841" s="51"/>
      <c r="N841" s="51"/>
      <c r="O841" s="44"/>
      <c r="P841" s="52"/>
      <c r="Q841" s="53"/>
    </row>
    <row r="842" customFormat="false" ht="12.8" hidden="false" customHeight="false" outlineLevel="0" collapsed="false">
      <c r="A842" s="22"/>
      <c r="B842" s="23"/>
      <c r="C842" s="24"/>
      <c r="D842" s="22"/>
      <c r="E842" s="19"/>
      <c r="F842" s="24"/>
      <c r="G842" s="25"/>
      <c r="H842" s="26"/>
      <c r="I842" s="27"/>
      <c r="J842" s="28"/>
      <c r="K842" s="28"/>
      <c r="L842" s="24"/>
      <c r="M842" s="29"/>
      <c r="N842" s="29"/>
      <c r="O842" s="24"/>
      <c r="P842" s="4"/>
      <c r="Q842" s="16"/>
    </row>
    <row r="843" customFormat="false" ht="12.8" hidden="false" customHeight="false" outlineLevel="0" collapsed="false">
      <c r="A843" s="22"/>
      <c r="B843" s="23" t="n">
        <v>506001000</v>
      </c>
      <c r="C843" s="24" t="n">
        <v>30</v>
      </c>
      <c r="D843" s="54" t="s">
        <v>771</v>
      </c>
      <c r="E843" s="19" t="s">
        <v>772</v>
      </c>
      <c r="F843" s="24" t="s">
        <v>630</v>
      </c>
      <c r="G843" s="25" t="n">
        <v>0.023</v>
      </c>
      <c r="H843" s="26"/>
      <c r="I843" s="27" t="n">
        <v>30</v>
      </c>
      <c r="J843" s="28" t="n">
        <v>100</v>
      </c>
      <c r="K843" s="28" t="n">
        <v>1</v>
      </c>
      <c r="L843" s="24" t="s">
        <v>631</v>
      </c>
      <c r="M843" s="29" t="n">
        <f aca="false">IF("oui" = "oui",2.12*(1-disc),2.12)</f>
        <v>2.12</v>
      </c>
      <c r="N843" s="29" t="n">
        <f aca="false">IF("oui" = "oui",2.12*(1-disc)*1.2,2.12*1.2)</f>
        <v>2.544</v>
      </c>
      <c r="O843" s="24" t="s">
        <v>25</v>
      </c>
      <c r="P843" s="7" t="s">
        <v>26</v>
      </c>
      <c r="Q843" s="16"/>
    </row>
    <row r="844" customFormat="false" ht="12.8" hidden="false" customHeight="false" outlineLevel="0" collapsed="false">
      <c r="A844" s="22"/>
      <c r="B844" s="23" t="n">
        <v>506002000</v>
      </c>
      <c r="C844" s="24" t="n">
        <v>30</v>
      </c>
      <c r="D844" s="54" t="s">
        <v>773</v>
      </c>
      <c r="E844" s="19" t="s">
        <v>772</v>
      </c>
      <c r="F844" s="24" t="s">
        <v>630</v>
      </c>
      <c r="G844" s="25" t="n">
        <v>0.024</v>
      </c>
      <c r="H844" s="26"/>
      <c r="I844" s="27" t="n">
        <v>30</v>
      </c>
      <c r="J844" s="28" t="n">
        <v>100</v>
      </c>
      <c r="K844" s="28" t="n">
        <v>1</v>
      </c>
      <c r="L844" s="24" t="s">
        <v>631</v>
      </c>
      <c r="M844" s="29" t="n">
        <f aca="false">IF("oui" = "oui",2.12*(1-disc),2.12)</f>
        <v>2.12</v>
      </c>
      <c r="N844" s="29" t="n">
        <f aca="false">IF("oui" = "oui",2.12*(1-disc)*1.2,2.12*1.2)</f>
        <v>2.544</v>
      </c>
      <c r="O844" s="24" t="s">
        <v>25</v>
      </c>
      <c r="P844" s="7" t="s">
        <v>26</v>
      </c>
      <c r="Q844" s="16"/>
    </row>
    <row r="845" customFormat="false" ht="12.8" hidden="false" customHeight="false" outlineLevel="0" collapsed="false">
      <c r="A845" s="22"/>
      <c r="B845" s="23" t="n">
        <v>506004000</v>
      </c>
      <c r="C845" s="24" t="n">
        <v>30</v>
      </c>
      <c r="D845" s="54" t="s">
        <v>774</v>
      </c>
      <c r="E845" s="19" t="s">
        <v>772</v>
      </c>
      <c r="F845" s="24" t="s">
        <v>630</v>
      </c>
      <c r="G845" s="25" t="n">
        <v>0.025</v>
      </c>
      <c r="H845" s="26"/>
      <c r="I845" s="27" t="n">
        <v>30</v>
      </c>
      <c r="J845" s="28" t="n">
        <v>100</v>
      </c>
      <c r="K845" s="28" t="n">
        <v>1</v>
      </c>
      <c r="L845" s="24" t="s">
        <v>631</v>
      </c>
      <c r="M845" s="29" t="n">
        <f aca="false">IF("oui" = "oui",2.12*(1-disc),2.12)</f>
        <v>2.12</v>
      </c>
      <c r="N845" s="29" t="n">
        <f aca="false">IF("oui" = "oui",2.12*(1-disc)*1.2,2.12*1.2)</f>
        <v>2.544</v>
      </c>
      <c r="O845" s="24" t="s">
        <v>25</v>
      </c>
      <c r="P845" s="4" t="s">
        <v>25</v>
      </c>
      <c r="Q845" s="16"/>
    </row>
    <row r="846" customFormat="false" ht="12.8" hidden="false" customHeight="false" outlineLevel="0" collapsed="false">
      <c r="A846" s="22"/>
      <c r="B846" s="23" t="n">
        <v>506007000</v>
      </c>
      <c r="C846" s="24" t="n">
        <v>30</v>
      </c>
      <c r="D846" s="54" t="s">
        <v>775</v>
      </c>
      <c r="E846" s="19" t="s">
        <v>772</v>
      </c>
      <c r="F846" s="24" t="s">
        <v>630</v>
      </c>
      <c r="G846" s="25" t="n">
        <v>0.024</v>
      </c>
      <c r="H846" s="26"/>
      <c r="I846" s="27" t="n">
        <v>30</v>
      </c>
      <c r="J846" s="28" t="n">
        <v>100</v>
      </c>
      <c r="K846" s="28" t="n">
        <v>1</v>
      </c>
      <c r="L846" s="24" t="s">
        <v>631</v>
      </c>
      <c r="M846" s="29" t="n">
        <f aca="false">IF("oui" = "oui",2.12*(1-disc),2.12)</f>
        <v>2.12</v>
      </c>
      <c r="N846" s="29" t="n">
        <f aca="false">IF("oui" = "oui",2.12*(1-disc)*1.2,2.12*1.2)</f>
        <v>2.544</v>
      </c>
      <c r="O846" s="24" t="s">
        <v>25</v>
      </c>
      <c r="P846" s="7" t="s">
        <v>26</v>
      </c>
      <c r="Q846" s="16"/>
    </row>
    <row r="847" customFormat="false" ht="12.8" hidden="false" customHeight="false" outlineLevel="0" collapsed="false">
      <c r="A847" s="22"/>
      <c r="B847" s="23" t="n">
        <v>506006000</v>
      </c>
      <c r="C847" s="24" t="n">
        <v>30</v>
      </c>
      <c r="D847" s="54" t="s">
        <v>776</v>
      </c>
      <c r="E847" s="19" t="s">
        <v>772</v>
      </c>
      <c r="F847" s="24" t="s">
        <v>630</v>
      </c>
      <c r="G847" s="25" t="n">
        <v>0.023</v>
      </c>
      <c r="H847" s="26"/>
      <c r="I847" s="27" t="n">
        <v>30</v>
      </c>
      <c r="J847" s="28" t="n">
        <v>100</v>
      </c>
      <c r="K847" s="28" t="n">
        <v>1</v>
      </c>
      <c r="L847" s="24" t="s">
        <v>631</v>
      </c>
      <c r="M847" s="29" t="n">
        <f aca="false">IF("oui" = "oui",2.12*(1-disc),2.12)</f>
        <v>2.12</v>
      </c>
      <c r="N847" s="29" t="n">
        <f aca="false">IF("oui" = "oui",2.12*(1-disc)*1.2,2.12*1.2)</f>
        <v>2.544</v>
      </c>
      <c r="O847" s="24" t="s">
        <v>25</v>
      </c>
      <c r="P847" s="7" t="s">
        <v>26</v>
      </c>
      <c r="Q847" s="16"/>
    </row>
    <row r="848" customFormat="false" ht="12.8" hidden="false" customHeight="false" outlineLevel="0" collapsed="false">
      <c r="A848" s="22"/>
      <c r="B848" s="23"/>
      <c r="C848" s="24"/>
      <c r="D848" s="22"/>
      <c r="E848" s="19"/>
      <c r="F848" s="24"/>
      <c r="G848" s="25"/>
      <c r="H848" s="26"/>
      <c r="I848" s="27"/>
      <c r="J848" s="28"/>
      <c r="K848" s="28"/>
      <c r="L848" s="24"/>
      <c r="M848" s="29"/>
      <c r="N848" s="29"/>
      <c r="O848" s="24"/>
      <c r="P848" s="4"/>
      <c r="Q848" s="16"/>
    </row>
    <row r="849" customFormat="false" ht="12.8" hidden="false" customHeight="false" outlineLevel="0" collapsed="false">
      <c r="A849" s="42" t="s">
        <v>777</v>
      </c>
      <c r="B849" s="43"/>
      <c r="C849" s="44"/>
      <c r="D849" s="45"/>
      <c r="E849" s="46"/>
      <c r="F849" s="44"/>
      <c r="G849" s="47"/>
      <c r="H849" s="48"/>
      <c r="I849" s="49"/>
      <c r="J849" s="50"/>
      <c r="K849" s="50"/>
      <c r="L849" s="44"/>
      <c r="M849" s="51"/>
      <c r="N849" s="51"/>
      <c r="O849" s="44"/>
      <c r="P849" s="52"/>
      <c r="Q849" s="53"/>
    </row>
    <row r="850" customFormat="false" ht="12.8" hidden="false" customHeight="false" outlineLevel="0" collapsed="false">
      <c r="A850" s="22"/>
      <c r="B850" s="23"/>
      <c r="C850" s="24"/>
      <c r="D850" s="22"/>
      <c r="E850" s="19"/>
      <c r="F850" s="24"/>
      <c r="G850" s="25"/>
      <c r="H850" s="26"/>
      <c r="I850" s="27"/>
      <c r="J850" s="28"/>
      <c r="K850" s="28"/>
      <c r="L850" s="24"/>
      <c r="M850" s="29"/>
      <c r="N850" s="29"/>
      <c r="O850" s="24"/>
      <c r="P850" s="4"/>
      <c r="Q850" s="16"/>
    </row>
    <row r="851" customFormat="false" ht="12.8" hidden="false" customHeight="false" outlineLevel="0" collapsed="false">
      <c r="A851" s="22"/>
      <c r="B851" s="23" t="n">
        <v>506014000</v>
      </c>
      <c r="C851" s="24" t="n">
        <v>40</v>
      </c>
      <c r="D851" s="54" t="s">
        <v>778</v>
      </c>
      <c r="E851" s="19" t="s">
        <v>779</v>
      </c>
      <c r="F851" s="24" t="s">
        <v>647</v>
      </c>
      <c r="G851" s="25" t="n">
        <v>0.064</v>
      </c>
      <c r="H851" s="26"/>
      <c r="I851" s="27" t="n">
        <v>40</v>
      </c>
      <c r="J851" s="28" t="n">
        <v>60</v>
      </c>
      <c r="K851" s="28" t="n">
        <v>1</v>
      </c>
      <c r="L851" s="24" t="s">
        <v>631</v>
      </c>
      <c r="M851" s="29" t="n">
        <f aca="false">IF("oui" = "oui",2.5*(1-disc),2.5)</f>
        <v>2.5</v>
      </c>
      <c r="N851" s="29" t="n">
        <f aca="false">IF("oui" = "oui",2.5*(1-disc)*1.2,2.5*1.2)</f>
        <v>3</v>
      </c>
      <c r="O851" s="24" t="s">
        <v>25</v>
      </c>
      <c r="P851" s="7" t="s">
        <v>26</v>
      </c>
      <c r="Q851" s="16"/>
    </row>
    <row r="852" customFormat="false" ht="12.8" hidden="false" customHeight="false" outlineLevel="0" collapsed="false">
      <c r="A852" s="22"/>
      <c r="B852" s="23" t="n">
        <v>506016000</v>
      </c>
      <c r="C852" s="24" t="n">
        <v>40</v>
      </c>
      <c r="D852" s="54" t="s">
        <v>780</v>
      </c>
      <c r="E852" s="19" t="s">
        <v>779</v>
      </c>
      <c r="F852" s="24" t="s">
        <v>647</v>
      </c>
      <c r="G852" s="25" t="n">
        <v>0.064</v>
      </c>
      <c r="H852" s="26"/>
      <c r="I852" s="27" t="n">
        <v>40</v>
      </c>
      <c r="J852" s="28" t="n">
        <v>60</v>
      </c>
      <c r="K852" s="28" t="n">
        <v>1</v>
      </c>
      <c r="L852" s="24" t="s">
        <v>631</v>
      </c>
      <c r="M852" s="29" t="n">
        <f aca="false">IF("oui" = "oui",2.5*(1-disc),2.5)</f>
        <v>2.5</v>
      </c>
      <c r="N852" s="29" t="n">
        <f aca="false">IF("oui" = "oui",2.5*(1-disc)*1.2,2.5*1.2)</f>
        <v>3</v>
      </c>
      <c r="O852" s="24" t="s">
        <v>25</v>
      </c>
      <c r="P852" s="7" t="s">
        <v>26</v>
      </c>
      <c r="Q852" s="16"/>
    </row>
    <row r="853" customFormat="false" ht="12.8" hidden="false" customHeight="false" outlineLevel="0" collapsed="false">
      <c r="A853" s="22"/>
      <c r="B853" s="23" t="n">
        <v>506017000</v>
      </c>
      <c r="C853" s="24" t="n">
        <v>40</v>
      </c>
      <c r="D853" s="54" t="s">
        <v>781</v>
      </c>
      <c r="E853" s="19" t="s">
        <v>779</v>
      </c>
      <c r="F853" s="24" t="s">
        <v>647</v>
      </c>
      <c r="G853" s="25" t="n">
        <v>0.064</v>
      </c>
      <c r="H853" s="26"/>
      <c r="I853" s="27" t="n">
        <v>40</v>
      </c>
      <c r="J853" s="28" t="n">
        <v>60</v>
      </c>
      <c r="K853" s="28" t="n">
        <v>1</v>
      </c>
      <c r="L853" s="24" t="s">
        <v>631</v>
      </c>
      <c r="M853" s="29" t="n">
        <f aca="false">IF("oui" = "oui",2.5*(1-disc),2.5)</f>
        <v>2.5</v>
      </c>
      <c r="N853" s="29" t="n">
        <f aca="false">IF("oui" = "oui",2.5*(1-disc)*1.2,2.5*1.2)</f>
        <v>3</v>
      </c>
      <c r="O853" s="24" t="s">
        <v>25</v>
      </c>
      <c r="P853" s="7" t="s">
        <v>26</v>
      </c>
      <c r="Q853" s="16"/>
    </row>
    <row r="854" customFormat="false" ht="12.8" hidden="false" customHeight="false" outlineLevel="0" collapsed="false">
      <c r="A854" s="22"/>
      <c r="B854" s="23" t="n">
        <v>506018000</v>
      </c>
      <c r="C854" s="24" t="n">
        <v>40</v>
      </c>
      <c r="D854" s="54" t="s">
        <v>782</v>
      </c>
      <c r="E854" s="19" t="s">
        <v>779</v>
      </c>
      <c r="F854" s="24" t="s">
        <v>647</v>
      </c>
      <c r="G854" s="25" t="n">
        <v>0.064</v>
      </c>
      <c r="H854" s="26"/>
      <c r="I854" s="27" t="n">
        <v>40</v>
      </c>
      <c r="J854" s="28" t="n">
        <v>60</v>
      </c>
      <c r="K854" s="28" t="n">
        <v>1</v>
      </c>
      <c r="L854" s="24" t="s">
        <v>631</v>
      </c>
      <c r="M854" s="29" t="n">
        <f aca="false">IF("oui" = "oui",2.5*(1-disc),2.5)</f>
        <v>2.5</v>
      </c>
      <c r="N854" s="29" t="n">
        <f aca="false">IF("oui" = "oui",2.5*(1-disc)*1.2,2.5*1.2)</f>
        <v>3</v>
      </c>
      <c r="O854" s="24" t="s">
        <v>25</v>
      </c>
      <c r="P854" s="4" t="s">
        <v>25</v>
      </c>
      <c r="Q854" s="16"/>
    </row>
    <row r="855" customFormat="false" ht="12.8" hidden="false" customHeight="false" outlineLevel="0" collapsed="false">
      <c r="A855" s="22"/>
      <c r="B855" s="23" t="n">
        <v>506019000</v>
      </c>
      <c r="C855" s="24" t="n">
        <v>40</v>
      </c>
      <c r="D855" s="54" t="s">
        <v>783</v>
      </c>
      <c r="E855" s="19" t="s">
        <v>779</v>
      </c>
      <c r="F855" s="24" t="s">
        <v>647</v>
      </c>
      <c r="G855" s="25" t="n">
        <v>0.064</v>
      </c>
      <c r="H855" s="26"/>
      <c r="I855" s="27" t="n">
        <v>40</v>
      </c>
      <c r="J855" s="28" t="n">
        <v>60</v>
      </c>
      <c r="K855" s="28" t="n">
        <v>1</v>
      </c>
      <c r="L855" s="24" t="s">
        <v>631</v>
      </c>
      <c r="M855" s="29" t="n">
        <f aca="false">IF("oui" = "oui",2.5*(1-disc),2.5)</f>
        <v>2.5</v>
      </c>
      <c r="N855" s="29" t="n">
        <f aca="false">IF("oui" = "oui",2.5*(1-disc)*1.2,2.5*1.2)</f>
        <v>3</v>
      </c>
      <c r="O855" s="24" t="s">
        <v>25</v>
      </c>
      <c r="P855" s="55" t="s">
        <v>141</v>
      </c>
      <c r="Q855" s="16"/>
    </row>
    <row r="856" customFormat="false" ht="12.8" hidden="false" customHeight="false" outlineLevel="0" collapsed="false">
      <c r="A856" s="22"/>
      <c r="B856" s="23" t="n">
        <v>506020000</v>
      </c>
      <c r="C856" s="24" t="n">
        <v>40</v>
      </c>
      <c r="D856" s="54" t="s">
        <v>784</v>
      </c>
      <c r="E856" s="19" t="s">
        <v>779</v>
      </c>
      <c r="F856" s="24" t="s">
        <v>647</v>
      </c>
      <c r="G856" s="25" t="n">
        <v>0.064</v>
      </c>
      <c r="H856" s="26"/>
      <c r="I856" s="27" t="n">
        <v>40</v>
      </c>
      <c r="J856" s="28" t="n">
        <v>60</v>
      </c>
      <c r="K856" s="28" t="n">
        <v>1</v>
      </c>
      <c r="L856" s="24" t="s">
        <v>631</v>
      </c>
      <c r="M856" s="29" t="n">
        <f aca="false">IF("oui" = "oui",2.5*(1-disc),2.5)</f>
        <v>2.5</v>
      </c>
      <c r="N856" s="29" t="n">
        <f aca="false">IF("oui" = "oui",2.5*(1-disc)*1.2,2.5*1.2)</f>
        <v>3</v>
      </c>
      <c r="O856" s="24" t="s">
        <v>25</v>
      </c>
      <c r="P856" s="7" t="s">
        <v>26</v>
      </c>
      <c r="Q856" s="16"/>
    </row>
    <row r="857" customFormat="false" ht="12.8" hidden="false" customHeight="false" outlineLevel="0" collapsed="false">
      <c r="A857" s="22"/>
      <c r="B857" s="23" t="n">
        <v>506021000</v>
      </c>
      <c r="C857" s="24" t="n">
        <v>40</v>
      </c>
      <c r="D857" s="54" t="s">
        <v>785</v>
      </c>
      <c r="E857" s="19" t="s">
        <v>779</v>
      </c>
      <c r="F857" s="24" t="s">
        <v>647</v>
      </c>
      <c r="G857" s="25" t="n">
        <v>0.064</v>
      </c>
      <c r="H857" s="26"/>
      <c r="I857" s="27" t="n">
        <v>40</v>
      </c>
      <c r="J857" s="28" t="n">
        <v>60</v>
      </c>
      <c r="K857" s="28" t="n">
        <v>1</v>
      </c>
      <c r="L857" s="24" t="s">
        <v>631</v>
      </c>
      <c r="M857" s="29" t="n">
        <f aca="false">IF("oui" = "oui",2.5*(1-disc),2.5)</f>
        <v>2.5</v>
      </c>
      <c r="N857" s="29" t="n">
        <f aca="false">IF("oui" = "oui",2.5*(1-disc)*1.2,2.5*1.2)</f>
        <v>3</v>
      </c>
      <c r="O857" s="24" t="s">
        <v>25</v>
      </c>
      <c r="P857" s="4" t="s">
        <v>25</v>
      </c>
      <c r="Q857" s="16"/>
    </row>
    <row r="858" customFormat="false" ht="12.8" hidden="false" customHeight="false" outlineLevel="0" collapsed="false">
      <c r="A858" s="22"/>
      <c r="B858" s="23" t="n">
        <v>506022000</v>
      </c>
      <c r="C858" s="24" t="n">
        <v>40</v>
      </c>
      <c r="D858" s="54" t="s">
        <v>786</v>
      </c>
      <c r="E858" s="19" t="s">
        <v>779</v>
      </c>
      <c r="F858" s="24" t="s">
        <v>647</v>
      </c>
      <c r="G858" s="25" t="n">
        <v>0.064</v>
      </c>
      <c r="H858" s="26"/>
      <c r="I858" s="27" t="n">
        <v>40</v>
      </c>
      <c r="J858" s="28" t="n">
        <v>60</v>
      </c>
      <c r="K858" s="28" t="n">
        <v>1</v>
      </c>
      <c r="L858" s="24" t="s">
        <v>631</v>
      </c>
      <c r="M858" s="29" t="n">
        <f aca="false">IF("oui" = "oui",2.5*(1-disc),2.5)</f>
        <v>2.5</v>
      </c>
      <c r="N858" s="29" t="n">
        <f aca="false">IF("oui" = "oui",2.5*(1-disc)*1.2,2.5*1.2)</f>
        <v>3</v>
      </c>
      <c r="O858" s="24" t="s">
        <v>25</v>
      </c>
      <c r="P858" s="7" t="s">
        <v>26</v>
      </c>
      <c r="Q858" s="16"/>
    </row>
    <row r="859" customFormat="false" ht="12.8" hidden="false" customHeight="false" outlineLevel="0" collapsed="false">
      <c r="A859" s="22"/>
      <c r="B859" s="23" t="n">
        <v>506063000</v>
      </c>
      <c r="C859" s="24" t="n">
        <v>40</v>
      </c>
      <c r="D859" s="54" t="s">
        <v>787</v>
      </c>
      <c r="E859" s="19" t="s">
        <v>788</v>
      </c>
      <c r="F859" s="24" t="s">
        <v>23</v>
      </c>
      <c r="G859" s="25" t="n">
        <v>0.059</v>
      </c>
      <c r="H859" s="26"/>
      <c r="I859" s="27" t="n">
        <v>40</v>
      </c>
      <c r="J859" s="28" t="n">
        <v>60</v>
      </c>
      <c r="K859" s="28" t="n">
        <v>1</v>
      </c>
      <c r="L859" s="24" t="s">
        <v>631</v>
      </c>
      <c r="M859" s="29" t="n">
        <f aca="false">IF("oui" = "oui",2.5*(1-disc),2.5)</f>
        <v>2.5</v>
      </c>
      <c r="N859" s="29" t="n">
        <f aca="false">IF("oui" = "oui",2.5*(1-disc)*1.2,2.5*1.2)</f>
        <v>3</v>
      </c>
      <c r="O859" s="24" t="s">
        <v>25</v>
      </c>
      <c r="P859" s="7" t="s">
        <v>26</v>
      </c>
      <c r="Q859" s="16"/>
    </row>
    <row r="860" customFormat="false" ht="12.8" hidden="false" customHeight="false" outlineLevel="0" collapsed="false">
      <c r="A860" s="22"/>
      <c r="B860" s="23"/>
      <c r="C860" s="24"/>
      <c r="D860" s="22"/>
      <c r="E860" s="19"/>
      <c r="F860" s="24"/>
      <c r="G860" s="25"/>
      <c r="H860" s="26"/>
      <c r="I860" s="27"/>
      <c r="J860" s="28"/>
      <c r="K860" s="28"/>
      <c r="L860" s="24"/>
      <c r="M860" s="29"/>
      <c r="N860" s="29"/>
      <c r="O860" s="24"/>
      <c r="P860" s="4"/>
      <c r="Q860" s="16"/>
    </row>
    <row r="861" customFormat="false" ht="12.8" hidden="false" customHeight="false" outlineLevel="0" collapsed="false">
      <c r="A861" s="42" t="s">
        <v>789</v>
      </c>
      <c r="B861" s="43"/>
      <c r="C861" s="44"/>
      <c r="D861" s="45"/>
      <c r="E861" s="46"/>
      <c r="F861" s="44"/>
      <c r="G861" s="47"/>
      <c r="H861" s="48"/>
      <c r="I861" s="49"/>
      <c r="J861" s="50"/>
      <c r="K861" s="50"/>
      <c r="L861" s="44"/>
      <c r="M861" s="51"/>
      <c r="N861" s="51"/>
      <c r="O861" s="44"/>
      <c r="P861" s="52"/>
      <c r="Q861" s="53"/>
    </row>
    <row r="862" customFormat="false" ht="12.8" hidden="false" customHeight="false" outlineLevel="0" collapsed="false">
      <c r="A862" s="22"/>
      <c r="B862" s="23"/>
      <c r="C862" s="24"/>
      <c r="D862" s="22"/>
      <c r="E862" s="19"/>
      <c r="F862" s="24"/>
      <c r="G862" s="25"/>
      <c r="H862" s="26"/>
      <c r="I862" s="27"/>
      <c r="J862" s="28"/>
      <c r="K862" s="28"/>
      <c r="L862" s="24"/>
      <c r="M862" s="29"/>
      <c r="N862" s="29"/>
      <c r="O862" s="24"/>
      <c r="P862" s="4"/>
      <c r="Q862" s="16"/>
    </row>
    <row r="863" customFormat="false" ht="12.8" hidden="false" customHeight="false" outlineLevel="0" collapsed="false">
      <c r="A863" s="22"/>
      <c r="B863" s="23" t="n">
        <v>506008000</v>
      </c>
      <c r="C863" s="24" t="n">
        <v>30</v>
      </c>
      <c r="D863" s="54" t="s">
        <v>790</v>
      </c>
      <c r="E863" s="19" t="s">
        <v>791</v>
      </c>
      <c r="F863" s="24" t="s">
        <v>630</v>
      </c>
      <c r="G863" s="25" t="n">
        <v>0.033</v>
      </c>
      <c r="H863" s="26"/>
      <c r="I863" s="27" t="n">
        <v>30</v>
      </c>
      <c r="J863" s="28" t="n">
        <v>100</v>
      </c>
      <c r="K863" s="28" t="n">
        <v>1</v>
      </c>
      <c r="L863" s="24" t="s">
        <v>631</v>
      </c>
      <c r="M863" s="29" t="n">
        <f aca="false">IF("oui" = "oui",2.12*(1-disc),2.12)</f>
        <v>2.12</v>
      </c>
      <c r="N863" s="29" t="n">
        <f aca="false">IF("oui" = "oui",2.12*(1-disc)*1.2,2.12*1.2)</f>
        <v>2.544</v>
      </c>
      <c r="O863" s="24" t="s">
        <v>25</v>
      </c>
      <c r="P863" s="7" t="s">
        <v>26</v>
      </c>
      <c r="Q863" s="16"/>
    </row>
    <row r="864" customFormat="false" ht="12.8" hidden="false" customHeight="false" outlineLevel="0" collapsed="false">
      <c r="A864" s="22"/>
      <c r="B864" s="23" t="n">
        <v>506009000</v>
      </c>
      <c r="C864" s="24" t="n">
        <v>30</v>
      </c>
      <c r="D864" s="54" t="s">
        <v>792</v>
      </c>
      <c r="E864" s="19" t="s">
        <v>791</v>
      </c>
      <c r="F864" s="24" t="s">
        <v>630</v>
      </c>
      <c r="G864" s="25" t="n">
        <v>0.034</v>
      </c>
      <c r="H864" s="26"/>
      <c r="I864" s="27" t="n">
        <v>30</v>
      </c>
      <c r="J864" s="28" t="n">
        <v>100</v>
      </c>
      <c r="K864" s="28" t="n">
        <v>1</v>
      </c>
      <c r="L864" s="24" t="s">
        <v>631</v>
      </c>
      <c r="M864" s="29" t="n">
        <f aca="false">IF("oui" = "oui",2.12*(1-disc),2.12)</f>
        <v>2.12</v>
      </c>
      <c r="N864" s="29" t="n">
        <f aca="false">IF("oui" = "oui",2.12*(1-disc)*1.2,2.12*1.2)</f>
        <v>2.544</v>
      </c>
      <c r="O864" s="24" t="s">
        <v>25</v>
      </c>
      <c r="P864" s="4" t="s">
        <v>25</v>
      </c>
      <c r="Q864" s="16"/>
    </row>
    <row r="865" customFormat="false" ht="12.8" hidden="false" customHeight="false" outlineLevel="0" collapsed="false">
      <c r="A865" s="22"/>
      <c r="B865" s="23"/>
      <c r="C865" s="24"/>
      <c r="D865" s="22"/>
      <c r="E865" s="19"/>
      <c r="F865" s="24"/>
      <c r="G865" s="25"/>
      <c r="H865" s="26"/>
      <c r="I865" s="27"/>
      <c r="J865" s="28"/>
      <c r="K865" s="28"/>
      <c r="L865" s="24"/>
      <c r="M865" s="29"/>
      <c r="N865" s="29"/>
      <c r="O865" s="24"/>
      <c r="P865" s="4"/>
      <c r="Q865" s="16"/>
    </row>
    <row r="866" customFormat="false" ht="12.8" hidden="false" customHeight="false" outlineLevel="0" collapsed="false">
      <c r="A866" s="22"/>
      <c r="B866" s="23" t="n">
        <v>506023000</v>
      </c>
      <c r="C866" s="24" t="n">
        <v>30</v>
      </c>
      <c r="D866" s="54" t="s">
        <v>793</v>
      </c>
      <c r="E866" s="19" t="s">
        <v>794</v>
      </c>
      <c r="F866" s="24" t="s">
        <v>647</v>
      </c>
      <c r="G866" s="25" t="n">
        <v>0.036</v>
      </c>
      <c r="H866" s="26"/>
      <c r="I866" s="27" t="n">
        <v>30</v>
      </c>
      <c r="J866" s="28" t="n">
        <v>100</v>
      </c>
      <c r="K866" s="28" t="n">
        <v>1</v>
      </c>
      <c r="L866" s="24" t="s">
        <v>631</v>
      </c>
      <c r="M866" s="29" t="n">
        <f aca="false">IF("oui" = "oui",2.12*(1-disc),2.12)</f>
        <v>2.12</v>
      </c>
      <c r="N866" s="29" t="n">
        <f aca="false">IF("oui" = "oui",2.12*(1-disc)*1.2,2.12*1.2)</f>
        <v>2.544</v>
      </c>
      <c r="O866" s="24" t="s">
        <v>25</v>
      </c>
      <c r="P866" s="4" t="s">
        <v>25</v>
      </c>
      <c r="Q866" s="16"/>
    </row>
    <row r="867" customFormat="false" ht="12.8" hidden="false" customHeight="false" outlineLevel="0" collapsed="false">
      <c r="A867" s="22"/>
      <c r="B867" s="23" t="n">
        <v>506024000</v>
      </c>
      <c r="C867" s="24" t="n">
        <v>30</v>
      </c>
      <c r="D867" s="54" t="s">
        <v>795</v>
      </c>
      <c r="E867" s="19" t="s">
        <v>794</v>
      </c>
      <c r="F867" s="24" t="s">
        <v>647</v>
      </c>
      <c r="G867" s="25" t="n">
        <v>0.036</v>
      </c>
      <c r="H867" s="26"/>
      <c r="I867" s="27" t="n">
        <v>30</v>
      </c>
      <c r="J867" s="28" t="n">
        <v>100</v>
      </c>
      <c r="K867" s="28" t="n">
        <v>1</v>
      </c>
      <c r="L867" s="24" t="s">
        <v>631</v>
      </c>
      <c r="M867" s="29" t="n">
        <f aca="false">IF("oui" = "oui",2.12*(1-disc),2.12)</f>
        <v>2.12</v>
      </c>
      <c r="N867" s="29" t="n">
        <f aca="false">IF("oui" = "oui",2.12*(1-disc)*1.2,2.12*1.2)</f>
        <v>2.544</v>
      </c>
      <c r="O867" s="24" t="s">
        <v>25</v>
      </c>
      <c r="P867" s="4" t="s">
        <v>25</v>
      </c>
      <c r="Q867" s="16"/>
    </row>
    <row r="868" customFormat="false" ht="12.8" hidden="false" customHeight="false" outlineLevel="0" collapsed="false">
      <c r="A868" s="22"/>
      <c r="B868" s="23" t="n">
        <v>506025000</v>
      </c>
      <c r="C868" s="24" t="n">
        <v>30</v>
      </c>
      <c r="D868" s="54" t="s">
        <v>796</v>
      </c>
      <c r="E868" s="19" t="s">
        <v>794</v>
      </c>
      <c r="F868" s="24" t="s">
        <v>647</v>
      </c>
      <c r="G868" s="25" t="n">
        <v>0.036</v>
      </c>
      <c r="H868" s="26"/>
      <c r="I868" s="27" t="n">
        <v>30</v>
      </c>
      <c r="J868" s="28" t="n">
        <v>100</v>
      </c>
      <c r="K868" s="28" t="n">
        <v>1</v>
      </c>
      <c r="L868" s="24" t="s">
        <v>631</v>
      </c>
      <c r="M868" s="29" t="n">
        <f aca="false">IF("oui" = "oui",2.12*(1-disc),2.12)</f>
        <v>2.12</v>
      </c>
      <c r="N868" s="29" t="n">
        <f aca="false">IF("oui" = "oui",2.12*(1-disc)*1.2,2.12*1.2)</f>
        <v>2.544</v>
      </c>
      <c r="O868" s="24" t="s">
        <v>25</v>
      </c>
      <c r="P868" s="7" t="s">
        <v>26</v>
      </c>
      <c r="Q868" s="16"/>
    </row>
    <row r="869" customFormat="false" ht="12.8" hidden="false" customHeight="false" outlineLevel="0" collapsed="false">
      <c r="A869" s="22"/>
      <c r="B869" s="23" t="n">
        <v>506026000</v>
      </c>
      <c r="C869" s="24" t="n">
        <v>30</v>
      </c>
      <c r="D869" s="54" t="s">
        <v>797</v>
      </c>
      <c r="E869" s="19" t="s">
        <v>794</v>
      </c>
      <c r="F869" s="24" t="s">
        <v>647</v>
      </c>
      <c r="G869" s="25" t="n">
        <v>0.036</v>
      </c>
      <c r="H869" s="26"/>
      <c r="I869" s="27" t="n">
        <v>30</v>
      </c>
      <c r="J869" s="28" t="n">
        <v>100</v>
      </c>
      <c r="K869" s="28" t="n">
        <v>1</v>
      </c>
      <c r="L869" s="24" t="s">
        <v>631</v>
      </c>
      <c r="M869" s="29" t="n">
        <f aca="false">IF("oui" = "oui",2.12*(1-disc),2.12)</f>
        <v>2.12</v>
      </c>
      <c r="N869" s="29" t="n">
        <f aca="false">IF("oui" = "oui",2.12*(1-disc)*1.2,2.12*1.2)</f>
        <v>2.544</v>
      </c>
      <c r="O869" s="24" t="s">
        <v>25</v>
      </c>
      <c r="P869" s="7" t="s">
        <v>26</v>
      </c>
      <c r="Q869" s="16"/>
    </row>
    <row r="870" customFormat="false" ht="12.8" hidden="false" customHeight="false" outlineLevel="0" collapsed="false">
      <c r="A870" s="22"/>
      <c r="B870" s="23"/>
      <c r="C870" s="24"/>
      <c r="D870" s="22"/>
      <c r="E870" s="19"/>
      <c r="F870" s="24"/>
      <c r="G870" s="25"/>
      <c r="H870" s="26"/>
      <c r="I870" s="27"/>
      <c r="J870" s="28"/>
      <c r="K870" s="28"/>
      <c r="L870" s="24"/>
      <c r="M870" s="29"/>
      <c r="N870" s="29"/>
      <c r="O870" s="24"/>
      <c r="P870" s="4"/>
      <c r="Q870" s="16"/>
    </row>
    <row r="871" customFormat="false" ht="12.8" hidden="false" customHeight="false" outlineLevel="0" collapsed="false">
      <c r="A871" s="42" t="s">
        <v>798</v>
      </c>
      <c r="B871" s="43"/>
      <c r="C871" s="44"/>
      <c r="D871" s="45"/>
      <c r="E871" s="46"/>
      <c r="F871" s="44"/>
      <c r="G871" s="47"/>
      <c r="H871" s="48"/>
      <c r="I871" s="49"/>
      <c r="J871" s="50"/>
      <c r="K871" s="50"/>
      <c r="L871" s="44"/>
      <c r="M871" s="51"/>
      <c r="N871" s="51"/>
      <c r="O871" s="44"/>
      <c r="P871" s="52"/>
      <c r="Q871" s="53"/>
    </row>
    <row r="872" customFormat="false" ht="12.8" hidden="false" customHeight="false" outlineLevel="0" collapsed="false">
      <c r="A872" s="22"/>
      <c r="B872" s="23"/>
      <c r="C872" s="24"/>
      <c r="D872" s="22"/>
      <c r="E872" s="19"/>
      <c r="F872" s="24"/>
      <c r="G872" s="25"/>
      <c r="H872" s="26"/>
      <c r="I872" s="27"/>
      <c r="J872" s="28"/>
      <c r="K872" s="28"/>
      <c r="L872" s="24"/>
      <c r="M872" s="29"/>
      <c r="N872" s="29"/>
      <c r="O872" s="24"/>
      <c r="P872" s="4"/>
      <c r="Q872" s="16"/>
    </row>
    <row r="873" customFormat="false" ht="12.8" hidden="false" customHeight="false" outlineLevel="0" collapsed="false">
      <c r="A873" s="22"/>
      <c r="B873" s="23" t="n">
        <v>506027000</v>
      </c>
      <c r="C873" s="24" t="n">
        <v>30</v>
      </c>
      <c r="D873" s="54" t="s">
        <v>799</v>
      </c>
      <c r="E873" s="19" t="s">
        <v>800</v>
      </c>
      <c r="F873" s="24" t="s">
        <v>647</v>
      </c>
      <c r="G873" s="25" t="n">
        <v>0.024</v>
      </c>
      <c r="H873" s="26"/>
      <c r="I873" s="27" t="n">
        <v>30</v>
      </c>
      <c r="J873" s="28" t="n">
        <v>100</v>
      </c>
      <c r="K873" s="28" t="n">
        <v>1</v>
      </c>
      <c r="L873" s="24" t="s">
        <v>631</v>
      </c>
      <c r="M873" s="29" t="n">
        <f aca="false">IF("oui" = "oui",2.12*(1-disc),2.12)</f>
        <v>2.12</v>
      </c>
      <c r="N873" s="29" t="n">
        <f aca="false">IF("oui" = "oui",2.12*(1-disc)*1.2,2.12*1.2)</f>
        <v>2.544</v>
      </c>
      <c r="O873" s="24" t="s">
        <v>25</v>
      </c>
      <c r="P873" s="4" t="s">
        <v>25</v>
      </c>
      <c r="Q873" s="16"/>
    </row>
    <row r="874" customFormat="false" ht="12.8" hidden="false" customHeight="false" outlineLevel="0" collapsed="false">
      <c r="A874" s="22"/>
      <c r="B874" s="23" t="n">
        <v>506028000</v>
      </c>
      <c r="C874" s="24" t="n">
        <v>30</v>
      </c>
      <c r="D874" s="54" t="s">
        <v>801</v>
      </c>
      <c r="E874" s="19" t="s">
        <v>800</v>
      </c>
      <c r="F874" s="24" t="s">
        <v>647</v>
      </c>
      <c r="G874" s="25" t="n">
        <v>0.024</v>
      </c>
      <c r="H874" s="26"/>
      <c r="I874" s="27" t="n">
        <v>30</v>
      </c>
      <c r="J874" s="28" t="n">
        <v>100</v>
      </c>
      <c r="K874" s="28" t="n">
        <v>1</v>
      </c>
      <c r="L874" s="24" t="s">
        <v>631</v>
      </c>
      <c r="M874" s="29" t="n">
        <f aca="false">IF("oui" = "oui",2.12*(1-disc),2.12)</f>
        <v>2.12</v>
      </c>
      <c r="N874" s="29" t="n">
        <f aca="false">IF("oui" = "oui",2.12*(1-disc)*1.2,2.12*1.2)</f>
        <v>2.544</v>
      </c>
      <c r="O874" s="24" t="s">
        <v>25</v>
      </c>
      <c r="P874" s="4" t="s">
        <v>25</v>
      </c>
      <c r="Q874" s="16"/>
    </row>
    <row r="875" customFormat="false" ht="12.8" hidden="false" customHeight="false" outlineLevel="0" collapsed="false">
      <c r="A875" s="22"/>
      <c r="B875" s="23"/>
      <c r="C875" s="24"/>
      <c r="D875" s="22"/>
      <c r="E875" s="19"/>
      <c r="F875" s="24"/>
      <c r="G875" s="25"/>
      <c r="H875" s="26"/>
      <c r="I875" s="27"/>
      <c r="J875" s="28"/>
      <c r="K875" s="28"/>
      <c r="L875" s="24"/>
      <c r="M875" s="29"/>
      <c r="N875" s="29"/>
      <c r="O875" s="24"/>
      <c r="P875" s="4"/>
      <c r="Q875" s="16"/>
    </row>
    <row r="876" customFormat="false" ht="12.8" hidden="false" customHeight="false" outlineLevel="0" collapsed="false">
      <c r="A876" s="42" t="s">
        <v>802</v>
      </c>
      <c r="B876" s="43"/>
      <c r="C876" s="44"/>
      <c r="D876" s="45"/>
      <c r="E876" s="46"/>
      <c r="F876" s="44"/>
      <c r="G876" s="47"/>
      <c r="H876" s="48"/>
      <c r="I876" s="49"/>
      <c r="J876" s="50"/>
      <c r="K876" s="50"/>
      <c r="L876" s="44"/>
      <c r="M876" s="51"/>
      <c r="N876" s="51"/>
      <c r="O876" s="44"/>
      <c r="P876" s="52"/>
      <c r="Q876" s="53"/>
    </row>
    <row r="877" customFormat="false" ht="12.8" hidden="false" customHeight="false" outlineLevel="0" collapsed="false">
      <c r="A877" s="22"/>
      <c r="B877" s="23"/>
      <c r="C877" s="24"/>
      <c r="D877" s="22"/>
      <c r="E877" s="19"/>
      <c r="F877" s="24"/>
      <c r="G877" s="25"/>
      <c r="H877" s="26"/>
      <c r="I877" s="27"/>
      <c r="J877" s="28"/>
      <c r="K877" s="28"/>
      <c r="L877" s="24"/>
      <c r="M877" s="29"/>
      <c r="N877" s="29"/>
      <c r="O877" s="24"/>
      <c r="P877" s="4"/>
      <c r="Q877" s="16"/>
    </row>
    <row r="878" customFormat="false" ht="12.8" hidden="false" customHeight="false" outlineLevel="0" collapsed="false">
      <c r="A878" s="22"/>
      <c r="B878" s="23" t="n">
        <v>506040000</v>
      </c>
      <c r="C878" s="24" t="n">
        <v>30</v>
      </c>
      <c r="D878" s="54" t="s">
        <v>803</v>
      </c>
      <c r="E878" s="19" t="s">
        <v>804</v>
      </c>
      <c r="F878" s="24" t="s">
        <v>647</v>
      </c>
      <c r="G878" s="25" t="n">
        <v>0.026</v>
      </c>
      <c r="H878" s="26"/>
      <c r="I878" s="27" t="n">
        <v>30</v>
      </c>
      <c r="J878" s="28" t="n">
        <v>100</v>
      </c>
      <c r="K878" s="28" t="n">
        <v>1</v>
      </c>
      <c r="L878" s="24" t="s">
        <v>631</v>
      </c>
      <c r="M878" s="29" t="n">
        <f aca="false">IF("oui" = "oui",2.12*(1-disc),2.12)</f>
        <v>2.12</v>
      </c>
      <c r="N878" s="29" t="n">
        <f aca="false">IF("oui" = "oui",2.12*(1-disc)*1.2,2.12*1.2)</f>
        <v>2.544</v>
      </c>
      <c r="O878" s="24" t="s">
        <v>25</v>
      </c>
      <c r="P878" s="55" t="s">
        <v>570</v>
      </c>
      <c r="Q878" s="16"/>
    </row>
    <row r="879" customFormat="false" ht="12.8" hidden="false" customHeight="false" outlineLevel="0" collapsed="false">
      <c r="A879" s="22"/>
      <c r="B879" s="23" t="n">
        <v>506041000</v>
      </c>
      <c r="C879" s="24" t="n">
        <v>30</v>
      </c>
      <c r="D879" s="54" t="s">
        <v>805</v>
      </c>
      <c r="E879" s="19" t="s">
        <v>804</v>
      </c>
      <c r="F879" s="24" t="s">
        <v>647</v>
      </c>
      <c r="G879" s="25" t="n">
        <v>0.026</v>
      </c>
      <c r="H879" s="26"/>
      <c r="I879" s="27" t="n">
        <v>30</v>
      </c>
      <c r="J879" s="28" t="n">
        <v>100</v>
      </c>
      <c r="K879" s="28" t="n">
        <v>1</v>
      </c>
      <c r="L879" s="24" t="s">
        <v>631</v>
      </c>
      <c r="M879" s="29" t="n">
        <f aca="false">IF("oui" = "oui",2.12*(1-disc),2.12)</f>
        <v>2.12</v>
      </c>
      <c r="N879" s="29" t="n">
        <f aca="false">IF("oui" = "oui",2.12*(1-disc)*1.2,2.12*1.2)</f>
        <v>2.544</v>
      </c>
      <c r="O879" s="24" t="s">
        <v>25</v>
      </c>
      <c r="P879" s="4" t="s">
        <v>25</v>
      </c>
      <c r="Q879" s="16"/>
    </row>
    <row r="880" customFormat="false" ht="12.8" hidden="false" customHeight="false" outlineLevel="0" collapsed="false">
      <c r="A880" s="22"/>
      <c r="B880" s="23" t="n">
        <v>506042000</v>
      </c>
      <c r="C880" s="24" t="n">
        <v>30</v>
      </c>
      <c r="D880" s="54" t="s">
        <v>806</v>
      </c>
      <c r="E880" s="19" t="s">
        <v>804</v>
      </c>
      <c r="F880" s="24" t="s">
        <v>647</v>
      </c>
      <c r="G880" s="25" t="n">
        <v>0.026</v>
      </c>
      <c r="H880" s="26"/>
      <c r="I880" s="27" t="n">
        <v>30</v>
      </c>
      <c r="J880" s="28" t="n">
        <v>100</v>
      </c>
      <c r="K880" s="28" t="n">
        <v>1</v>
      </c>
      <c r="L880" s="24" t="s">
        <v>631</v>
      </c>
      <c r="M880" s="29" t="n">
        <f aca="false">IF("oui" = "oui",2.12*(1-disc),2.12)</f>
        <v>2.12</v>
      </c>
      <c r="N880" s="29" t="n">
        <f aca="false">IF("oui" = "oui",2.12*(1-disc)*1.2,2.12*1.2)</f>
        <v>2.544</v>
      </c>
      <c r="O880" s="24" t="s">
        <v>25</v>
      </c>
      <c r="P880" s="4" t="s">
        <v>25</v>
      </c>
      <c r="Q880" s="16"/>
    </row>
    <row r="881" customFormat="false" ht="12.8" hidden="false" customHeight="false" outlineLevel="0" collapsed="false">
      <c r="A881" s="22"/>
      <c r="B881" s="23" t="n">
        <v>506043000</v>
      </c>
      <c r="C881" s="24" t="n">
        <v>30</v>
      </c>
      <c r="D881" s="54" t="s">
        <v>807</v>
      </c>
      <c r="E881" s="19" t="s">
        <v>804</v>
      </c>
      <c r="F881" s="24" t="s">
        <v>647</v>
      </c>
      <c r="G881" s="25" t="n">
        <v>0.026</v>
      </c>
      <c r="H881" s="26"/>
      <c r="I881" s="27" t="n">
        <v>30</v>
      </c>
      <c r="J881" s="28" t="n">
        <v>100</v>
      </c>
      <c r="K881" s="28" t="n">
        <v>1</v>
      </c>
      <c r="L881" s="24" t="s">
        <v>631</v>
      </c>
      <c r="M881" s="29" t="n">
        <f aca="false">IF("oui" = "oui",2.12*(1-disc),2.12)</f>
        <v>2.12</v>
      </c>
      <c r="N881" s="29" t="n">
        <f aca="false">IF("oui" = "oui",2.12*(1-disc)*1.2,2.12*1.2)</f>
        <v>2.544</v>
      </c>
      <c r="O881" s="24" t="s">
        <v>25</v>
      </c>
      <c r="P881" s="4" t="s">
        <v>25</v>
      </c>
      <c r="Q881" s="16"/>
    </row>
    <row r="882" customFormat="false" ht="12.8" hidden="false" customHeight="false" outlineLevel="0" collapsed="false">
      <c r="A882" s="22"/>
      <c r="B882" s="23" t="n">
        <v>506044000</v>
      </c>
      <c r="C882" s="24" t="n">
        <v>30</v>
      </c>
      <c r="D882" s="54" t="s">
        <v>808</v>
      </c>
      <c r="E882" s="19" t="s">
        <v>804</v>
      </c>
      <c r="F882" s="24" t="s">
        <v>647</v>
      </c>
      <c r="G882" s="25" t="n">
        <v>0.026</v>
      </c>
      <c r="H882" s="26"/>
      <c r="I882" s="27" t="n">
        <v>30</v>
      </c>
      <c r="J882" s="28" t="n">
        <v>100</v>
      </c>
      <c r="K882" s="28" t="n">
        <v>1</v>
      </c>
      <c r="L882" s="24" t="s">
        <v>631</v>
      </c>
      <c r="M882" s="29" t="n">
        <f aca="false">IF("oui" = "oui",2.12*(1-disc),2.12)</f>
        <v>2.12</v>
      </c>
      <c r="N882" s="29" t="n">
        <f aca="false">IF("oui" = "oui",2.12*(1-disc)*1.2,2.12*1.2)</f>
        <v>2.544</v>
      </c>
      <c r="O882" s="24" t="s">
        <v>25</v>
      </c>
      <c r="P882" s="4" t="s">
        <v>25</v>
      </c>
      <c r="Q882" s="16"/>
    </row>
    <row r="883" customFormat="false" ht="12.8" hidden="false" customHeight="false" outlineLevel="0" collapsed="false">
      <c r="A883" s="22"/>
      <c r="B883" s="23" t="n">
        <v>506045000</v>
      </c>
      <c r="C883" s="24" t="n">
        <v>30</v>
      </c>
      <c r="D883" s="54" t="s">
        <v>809</v>
      </c>
      <c r="E883" s="19" t="s">
        <v>804</v>
      </c>
      <c r="F883" s="24" t="s">
        <v>647</v>
      </c>
      <c r="G883" s="25" t="n">
        <v>0.026</v>
      </c>
      <c r="H883" s="26"/>
      <c r="I883" s="27" t="n">
        <v>30</v>
      </c>
      <c r="J883" s="28" t="n">
        <v>100</v>
      </c>
      <c r="K883" s="28" t="n">
        <v>1</v>
      </c>
      <c r="L883" s="24" t="s">
        <v>631</v>
      </c>
      <c r="M883" s="29" t="n">
        <f aca="false">IF("oui" = "oui",2.12*(1-disc),2.12)</f>
        <v>2.12</v>
      </c>
      <c r="N883" s="29" t="n">
        <f aca="false">IF("oui" = "oui",2.12*(1-disc)*1.2,2.12*1.2)</f>
        <v>2.544</v>
      </c>
      <c r="O883" s="24" t="s">
        <v>25</v>
      </c>
      <c r="P883" s="4" t="s">
        <v>25</v>
      </c>
      <c r="Q883" s="16"/>
    </row>
    <row r="884" customFormat="false" ht="12.8" hidden="false" customHeight="false" outlineLevel="0" collapsed="false">
      <c r="A884" s="22"/>
      <c r="B884" s="23" t="n">
        <v>506046000</v>
      </c>
      <c r="C884" s="24" t="n">
        <v>30</v>
      </c>
      <c r="D884" s="54" t="s">
        <v>810</v>
      </c>
      <c r="E884" s="19" t="s">
        <v>804</v>
      </c>
      <c r="F884" s="24" t="s">
        <v>647</v>
      </c>
      <c r="G884" s="25" t="n">
        <v>0.026</v>
      </c>
      <c r="H884" s="26"/>
      <c r="I884" s="27" t="n">
        <v>30</v>
      </c>
      <c r="J884" s="28" t="n">
        <v>100</v>
      </c>
      <c r="K884" s="28" t="n">
        <v>1</v>
      </c>
      <c r="L884" s="24" t="s">
        <v>631</v>
      </c>
      <c r="M884" s="29" t="n">
        <f aca="false">IF("oui" = "oui",2.12*(1-disc),2.12)</f>
        <v>2.12</v>
      </c>
      <c r="N884" s="29" t="n">
        <f aca="false">IF("oui" = "oui",2.12*(1-disc)*1.2,2.12*1.2)</f>
        <v>2.544</v>
      </c>
      <c r="O884" s="24" t="s">
        <v>25</v>
      </c>
      <c r="P884" s="4" t="s">
        <v>25</v>
      </c>
      <c r="Q884" s="16"/>
    </row>
    <row r="885" customFormat="false" ht="12.8" hidden="false" customHeight="false" outlineLevel="0" collapsed="false">
      <c r="A885" s="22"/>
      <c r="B885" s="23" t="n">
        <v>506047000</v>
      </c>
      <c r="C885" s="24" t="n">
        <v>30</v>
      </c>
      <c r="D885" s="54" t="s">
        <v>811</v>
      </c>
      <c r="E885" s="19" t="s">
        <v>804</v>
      </c>
      <c r="F885" s="24" t="s">
        <v>647</v>
      </c>
      <c r="G885" s="25" t="n">
        <v>0.026</v>
      </c>
      <c r="H885" s="26"/>
      <c r="I885" s="27" t="n">
        <v>30</v>
      </c>
      <c r="J885" s="28" t="n">
        <v>100</v>
      </c>
      <c r="K885" s="28" t="n">
        <v>1</v>
      </c>
      <c r="L885" s="24" t="s">
        <v>631</v>
      </c>
      <c r="M885" s="29" t="n">
        <f aca="false">IF("oui" = "oui",2.12*(1-disc),2.12)</f>
        <v>2.12</v>
      </c>
      <c r="N885" s="29" t="n">
        <f aca="false">IF("oui" = "oui",2.12*(1-disc)*1.2,2.12*1.2)</f>
        <v>2.544</v>
      </c>
      <c r="O885" s="24" t="s">
        <v>25</v>
      </c>
      <c r="P885" s="4" t="s">
        <v>25</v>
      </c>
      <c r="Q885" s="16"/>
    </row>
    <row r="886" customFormat="false" ht="12.8" hidden="false" customHeight="false" outlineLevel="0" collapsed="false">
      <c r="A886" s="22"/>
      <c r="B886" s="23" t="n">
        <v>506048000</v>
      </c>
      <c r="C886" s="24" t="n">
        <v>30</v>
      </c>
      <c r="D886" s="54" t="s">
        <v>812</v>
      </c>
      <c r="E886" s="19" t="s">
        <v>804</v>
      </c>
      <c r="F886" s="24" t="s">
        <v>647</v>
      </c>
      <c r="G886" s="25" t="n">
        <v>0.026</v>
      </c>
      <c r="H886" s="26"/>
      <c r="I886" s="27" t="n">
        <v>30</v>
      </c>
      <c r="J886" s="28" t="n">
        <v>100</v>
      </c>
      <c r="K886" s="28" t="n">
        <v>1</v>
      </c>
      <c r="L886" s="24" t="s">
        <v>631</v>
      </c>
      <c r="M886" s="29" t="n">
        <f aca="false">IF("oui" = "oui",2.12*(1-disc),2.12)</f>
        <v>2.12</v>
      </c>
      <c r="N886" s="29" t="n">
        <f aca="false">IF("oui" = "oui",2.12*(1-disc)*1.2,2.12*1.2)</f>
        <v>2.544</v>
      </c>
      <c r="O886" s="24" t="s">
        <v>25</v>
      </c>
      <c r="P886" s="4" t="s">
        <v>25</v>
      </c>
      <c r="Q886" s="16"/>
    </row>
    <row r="887" customFormat="false" ht="12.8" hidden="false" customHeight="false" outlineLevel="0" collapsed="false">
      <c r="A887" s="22"/>
      <c r="B887" s="23" t="n">
        <v>506049000</v>
      </c>
      <c r="C887" s="24" t="n">
        <v>30</v>
      </c>
      <c r="D887" s="54" t="s">
        <v>813</v>
      </c>
      <c r="E887" s="19" t="s">
        <v>804</v>
      </c>
      <c r="F887" s="24" t="s">
        <v>647</v>
      </c>
      <c r="G887" s="25" t="n">
        <v>0.026</v>
      </c>
      <c r="H887" s="26"/>
      <c r="I887" s="27" t="n">
        <v>30</v>
      </c>
      <c r="J887" s="28" t="n">
        <v>100</v>
      </c>
      <c r="K887" s="28" t="n">
        <v>1</v>
      </c>
      <c r="L887" s="24" t="s">
        <v>631</v>
      </c>
      <c r="M887" s="29" t="n">
        <f aca="false">IF("oui" = "oui",2.12*(1-disc),2.12)</f>
        <v>2.12</v>
      </c>
      <c r="N887" s="29" t="n">
        <f aca="false">IF("oui" = "oui",2.12*(1-disc)*1.2,2.12*1.2)</f>
        <v>2.544</v>
      </c>
      <c r="O887" s="24" t="s">
        <v>25</v>
      </c>
      <c r="P887" s="7" t="s">
        <v>26</v>
      </c>
      <c r="Q887" s="16"/>
    </row>
    <row r="888" customFormat="false" ht="12.8" hidden="false" customHeight="false" outlineLevel="0" collapsed="false">
      <c r="A888" s="22"/>
      <c r="B888" s="23" t="n">
        <v>506050000</v>
      </c>
      <c r="C888" s="24" t="n">
        <v>30</v>
      </c>
      <c r="D888" s="54" t="s">
        <v>814</v>
      </c>
      <c r="E888" s="19" t="s">
        <v>804</v>
      </c>
      <c r="F888" s="24" t="s">
        <v>647</v>
      </c>
      <c r="G888" s="25" t="n">
        <v>0.026</v>
      </c>
      <c r="H888" s="26"/>
      <c r="I888" s="27" t="n">
        <v>30</v>
      </c>
      <c r="J888" s="28" t="n">
        <v>100</v>
      </c>
      <c r="K888" s="28" t="n">
        <v>1</v>
      </c>
      <c r="L888" s="24" t="s">
        <v>631</v>
      </c>
      <c r="M888" s="29" t="n">
        <f aca="false">IF("oui" = "oui",2.12*(1-disc),2.12)</f>
        <v>2.12</v>
      </c>
      <c r="N888" s="29" t="n">
        <f aca="false">IF("oui" = "oui",2.12*(1-disc)*1.2,2.12*1.2)</f>
        <v>2.544</v>
      </c>
      <c r="O888" s="24" t="s">
        <v>25</v>
      </c>
      <c r="P888" s="7" t="s">
        <v>26</v>
      </c>
      <c r="Q888" s="16"/>
    </row>
    <row r="889" customFormat="false" ht="12.8" hidden="false" customHeight="false" outlineLevel="0" collapsed="false">
      <c r="A889" s="22"/>
      <c r="B889" s="23"/>
      <c r="C889" s="24"/>
      <c r="D889" s="22"/>
      <c r="E889" s="19"/>
      <c r="F889" s="24"/>
      <c r="G889" s="25"/>
      <c r="H889" s="26"/>
      <c r="I889" s="27"/>
      <c r="J889" s="28"/>
      <c r="K889" s="28"/>
      <c r="L889" s="24"/>
      <c r="M889" s="29"/>
      <c r="N889" s="29"/>
      <c r="O889" s="24"/>
      <c r="P889" s="4"/>
      <c r="Q889" s="16"/>
    </row>
    <row r="890" customFormat="false" ht="12.8" hidden="false" customHeight="false" outlineLevel="0" collapsed="false">
      <c r="A890" s="22"/>
      <c r="B890" s="23" t="n">
        <v>506061000</v>
      </c>
      <c r="C890" s="24" t="n">
        <v>50</v>
      </c>
      <c r="D890" s="22" t="s">
        <v>815</v>
      </c>
      <c r="E890" s="19" t="s">
        <v>816</v>
      </c>
      <c r="F890" s="24" t="s">
        <v>23</v>
      </c>
      <c r="G890" s="25" t="n">
        <v>0.09</v>
      </c>
      <c r="H890" s="26"/>
      <c r="I890" s="27" t="n">
        <v>40</v>
      </c>
      <c r="J890" s="28" t="n">
        <v>40</v>
      </c>
      <c r="K890" s="28" t="n">
        <v>1</v>
      </c>
      <c r="L890" s="24" t="s">
        <v>24</v>
      </c>
      <c r="M890" s="29" t="n">
        <f aca="false">IF("oui" = "oui",4.08*(1-disc),4.08)</f>
        <v>4.08</v>
      </c>
      <c r="N890" s="29" t="n">
        <f aca="false">IF("oui" = "oui",4.08*(1-disc)*1.2,4.08*1.2)</f>
        <v>4.896</v>
      </c>
      <c r="O890" s="24" t="s">
        <v>25</v>
      </c>
      <c r="P890" s="7" t="s">
        <v>26</v>
      </c>
      <c r="Q890" s="16"/>
    </row>
    <row r="891" customFormat="false" ht="12.8" hidden="false" customHeight="false" outlineLevel="0" collapsed="false">
      <c r="A891" s="22"/>
      <c r="B891" s="23" t="n">
        <v>506062000</v>
      </c>
      <c r="C891" s="24" t="n">
        <v>50</v>
      </c>
      <c r="D891" s="54" t="s">
        <v>817</v>
      </c>
      <c r="E891" s="19" t="s">
        <v>816</v>
      </c>
      <c r="F891" s="24" t="s">
        <v>23</v>
      </c>
      <c r="G891" s="25" t="n">
        <v>0.09</v>
      </c>
      <c r="H891" s="26"/>
      <c r="I891" s="27" t="n">
        <v>40</v>
      </c>
      <c r="J891" s="28" t="n">
        <v>40</v>
      </c>
      <c r="K891" s="28" t="n">
        <v>1</v>
      </c>
      <c r="L891" s="24" t="s">
        <v>24</v>
      </c>
      <c r="M891" s="29" t="n">
        <f aca="false">IF("oui" = "oui",4.08*(1-disc),4.08)</f>
        <v>4.08</v>
      </c>
      <c r="N891" s="29" t="n">
        <f aca="false">IF("oui" = "oui",4.08*(1-disc)*1.2,4.08*1.2)</f>
        <v>4.896</v>
      </c>
      <c r="O891" s="24" t="s">
        <v>25</v>
      </c>
      <c r="P891" s="7" t="s">
        <v>26</v>
      </c>
      <c r="Q891" s="16"/>
    </row>
    <row r="892" customFormat="false" ht="12.8" hidden="false" customHeight="false" outlineLevel="0" collapsed="false">
      <c r="A892" s="22"/>
      <c r="B892" s="23"/>
      <c r="C892" s="24"/>
      <c r="D892" s="22"/>
      <c r="E892" s="19"/>
      <c r="F892" s="24"/>
      <c r="G892" s="25"/>
      <c r="H892" s="26"/>
      <c r="I892" s="27"/>
      <c r="J892" s="28"/>
      <c r="K892" s="28"/>
      <c r="L892" s="24"/>
      <c r="M892" s="29"/>
      <c r="N892" s="29"/>
      <c r="O892" s="24"/>
      <c r="P892" s="4"/>
      <c r="Q892" s="16"/>
    </row>
    <row r="893" customFormat="false" ht="12.8" hidden="false" customHeight="false" outlineLevel="0" collapsed="false">
      <c r="A893" s="42" t="s">
        <v>818</v>
      </c>
      <c r="B893" s="43"/>
      <c r="C893" s="44"/>
      <c r="D893" s="45"/>
      <c r="E893" s="46"/>
      <c r="F893" s="44"/>
      <c r="G893" s="47"/>
      <c r="H893" s="48"/>
      <c r="I893" s="49"/>
      <c r="J893" s="50"/>
      <c r="K893" s="50"/>
      <c r="L893" s="44"/>
      <c r="M893" s="51"/>
      <c r="N893" s="51"/>
      <c r="O893" s="44"/>
      <c r="P893" s="52"/>
      <c r="Q893" s="53"/>
    </row>
    <row r="894" customFormat="false" ht="12.8" hidden="false" customHeight="false" outlineLevel="0" collapsed="false">
      <c r="A894" s="22"/>
      <c r="B894" s="23"/>
      <c r="C894" s="24"/>
      <c r="D894" s="22"/>
      <c r="E894" s="19"/>
      <c r="F894" s="24"/>
      <c r="G894" s="25"/>
      <c r="H894" s="26"/>
      <c r="I894" s="27"/>
      <c r="J894" s="28"/>
      <c r="K894" s="28"/>
      <c r="L894" s="24"/>
      <c r="M894" s="29"/>
      <c r="N894" s="29"/>
      <c r="O894" s="24"/>
      <c r="P894" s="4"/>
      <c r="Q894" s="16"/>
    </row>
    <row r="895" customFormat="false" ht="12.8" hidden="false" customHeight="false" outlineLevel="0" collapsed="false">
      <c r="A895" s="22"/>
      <c r="B895" s="23" t="n">
        <v>506010000</v>
      </c>
      <c r="C895" s="24" t="n">
        <v>40</v>
      </c>
      <c r="D895" s="54" t="s">
        <v>819</v>
      </c>
      <c r="E895" s="19" t="s">
        <v>791</v>
      </c>
      <c r="F895" s="24" t="s">
        <v>630</v>
      </c>
      <c r="G895" s="25" t="n">
        <v>0.034</v>
      </c>
      <c r="H895" s="26"/>
      <c r="I895" s="27" t="n">
        <v>40</v>
      </c>
      <c r="J895" s="28" t="n">
        <v>60</v>
      </c>
      <c r="K895" s="28" t="n">
        <v>1</v>
      </c>
      <c r="L895" s="24" t="s">
        <v>631</v>
      </c>
      <c r="M895" s="29" t="n">
        <f aca="false">IF("oui" = "oui",2.5*(1-disc),2.5)</f>
        <v>2.5</v>
      </c>
      <c r="N895" s="29" t="n">
        <f aca="false">IF("oui" = "oui",2.5*(1-disc)*1.2,2.5*1.2)</f>
        <v>3</v>
      </c>
      <c r="O895" s="24" t="s">
        <v>25</v>
      </c>
      <c r="P895" s="7" t="s">
        <v>26</v>
      </c>
      <c r="Q895" s="16"/>
    </row>
    <row r="896" customFormat="false" ht="12.8" hidden="false" customHeight="false" outlineLevel="0" collapsed="false">
      <c r="A896" s="22"/>
      <c r="B896" s="23" t="n">
        <v>506011000</v>
      </c>
      <c r="C896" s="24" t="n">
        <v>40</v>
      </c>
      <c r="D896" s="54" t="s">
        <v>820</v>
      </c>
      <c r="E896" s="19" t="s">
        <v>791</v>
      </c>
      <c r="F896" s="24" t="s">
        <v>630</v>
      </c>
      <c r="G896" s="25" t="n">
        <v>0.037</v>
      </c>
      <c r="H896" s="26"/>
      <c r="I896" s="27" t="n">
        <v>40</v>
      </c>
      <c r="J896" s="28" t="n">
        <v>60</v>
      </c>
      <c r="K896" s="28" t="n">
        <v>1</v>
      </c>
      <c r="L896" s="24" t="s">
        <v>631</v>
      </c>
      <c r="M896" s="29" t="n">
        <f aca="false">IF("oui" = "oui",2.5*(1-disc),2.5)</f>
        <v>2.5</v>
      </c>
      <c r="N896" s="29" t="n">
        <f aca="false">IF("oui" = "oui",2.5*(1-disc)*1.2,2.5*1.2)</f>
        <v>3</v>
      </c>
      <c r="O896" s="24" t="s">
        <v>25</v>
      </c>
      <c r="P896" s="4" t="s">
        <v>25</v>
      </c>
      <c r="Q896" s="16"/>
    </row>
    <row r="897" customFormat="false" ht="12.8" hidden="false" customHeight="false" outlineLevel="0" collapsed="false">
      <c r="A897" s="22"/>
      <c r="B897" s="23" t="n">
        <v>506012000</v>
      </c>
      <c r="C897" s="24" t="n">
        <v>40</v>
      </c>
      <c r="D897" s="54" t="s">
        <v>821</v>
      </c>
      <c r="E897" s="19" t="s">
        <v>791</v>
      </c>
      <c r="F897" s="24" t="s">
        <v>630</v>
      </c>
      <c r="G897" s="25" t="n">
        <v>0.037</v>
      </c>
      <c r="H897" s="26"/>
      <c r="I897" s="27" t="n">
        <v>40</v>
      </c>
      <c r="J897" s="28" t="n">
        <v>60</v>
      </c>
      <c r="K897" s="28" t="n">
        <v>1</v>
      </c>
      <c r="L897" s="24" t="s">
        <v>631</v>
      </c>
      <c r="M897" s="29" t="n">
        <f aca="false">IF("oui" = "oui",2.5*(1-disc),2.5)</f>
        <v>2.5</v>
      </c>
      <c r="N897" s="29" t="n">
        <f aca="false">IF("oui" = "oui",2.5*(1-disc)*1.2,2.5*1.2)</f>
        <v>3</v>
      </c>
      <c r="O897" s="24" t="s">
        <v>25</v>
      </c>
      <c r="P897" s="4" t="s">
        <v>25</v>
      </c>
      <c r="Q897" s="16"/>
    </row>
    <row r="898" customFormat="false" ht="12.8" hidden="false" customHeight="false" outlineLevel="0" collapsed="false">
      <c r="A898" s="22"/>
      <c r="B898" s="23" t="n">
        <v>506013000</v>
      </c>
      <c r="C898" s="24" t="n">
        <v>40</v>
      </c>
      <c r="D898" s="54" t="s">
        <v>822</v>
      </c>
      <c r="E898" s="19" t="s">
        <v>791</v>
      </c>
      <c r="F898" s="24" t="s">
        <v>630</v>
      </c>
      <c r="G898" s="25" t="n">
        <v>0.037</v>
      </c>
      <c r="H898" s="26"/>
      <c r="I898" s="27" t="n">
        <v>40</v>
      </c>
      <c r="J898" s="28" t="n">
        <v>60</v>
      </c>
      <c r="K898" s="28" t="n">
        <v>1</v>
      </c>
      <c r="L898" s="24" t="s">
        <v>631</v>
      </c>
      <c r="M898" s="29" t="n">
        <f aca="false">IF("oui" = "oui",2.5*(1-disc),2.5)</f>
        <v>2.5</v>
      </c>
      <c r="N898" s="29" t="n">
        <f aca="false">IF("oui" = "oui",2.5*(1-disc)*1.2,2.5*1.2)</f>
        <v>3</v>
      </c>
      <c r="O898" s="24" t="s">
        <v>25</v>
      </c>
      <c r="P898" s="7" t="s">
        <v>26</v>
      </c>
      <c r="Q898" s="16"/>
    </row>
    <row r="899" customFormat="false" ht="12.8" hidden="false" customHeight="false" outlineLevel="0" collapsed="false">
      <c r="A899" s="22"/>
      <c r="B899" s="23"/>
      <c r="C899" s="24"/>
      <c r="D899" s="22"/>
      <c r="E899" s="19"/>
      <c r="F899" s="24"/>
      <c r="G899" s="25"/>
      <c r="H899" s="26"/>
      <c r="I899" s="27"/>
      <c r="J899" s="28"/>
      <c r="K899" s="28"/>
      <c r="L899" s="24"/>
      <c r="M899" s="29"/>
      <c r="N899" s="29"/>
      <c r="O899" s="24"/>
      <c r="P899" s="4"/>
      <c r="Q899" s="16"/>
    </row>
    <row r="900" customFormat="false" ht="12.8" hidden="false" customHeight="false" outlineLevel="0" collapsed="false">
      <c r="A900" s="30" t="s">
        <v>823</v>
      </c>
      <c r="B900" s="31"/>
      <c r="C900" s="32"/>
      <c r="D900" s="33"/>
      <c r="E900" s="34"/>
      <c r="F900" s="32"/>
      <c r="G900" s="35"/>
      <c r="H900" s="36"/>
      <c r="I900" s="37"/>
      <c r="J900" s="38"/>
      <c r="K900" s="38"/>
      <c r="L900" s="32"/>
      <c r="M900" s="39"/>
      <c r="N900" s="39"/>
      <c r="O900" s="32"/>
      <c r="P900" s="40"/>
      <c r="Q900" s="41"/>
    </row>
    <row r="901" customFormat="false" ht="12.8" hidden="false" customHeight="false" outlineLevel="0" collapsed="false">
      <c r="A901" s="22"/>
      <c r="B901" s="23"/>
      <c r="C901" s="24"/>
      <c r="D901" s="22"/>
      <c r="E901" s="19"/>
      <c r="F901" s="24"/>
      <c r="G901" s="25"/>
      <c r="H901" s="26"/>
      <c r="I901" s="27"/>
      <c r="J901" s="28"/>
      <c r="K901" s="28"/>
      <c r="L901" s="24"/>
      <c r="M901" s="29"/>
      <c r="N901" s="29"/>
      <c r="O901" s="24"/>
      <c r="P901" s="4"/>
      <c r="Q901" s="16"/>
    </row>
    <row r="902" customFormat="false" ht="12.8" hidden="false" customHeight="false" outlineLevel="0" collapsed="false">
      <c r="A902" s="22" t="s">
        <v>69</v>
      </c>
      <c r="B902" s="23" t="n">
        <v>202007000</v>
      </c>
      <c r="C902" s="24" t="n">
        <v>30</v>
      </c>
      <c r="D902" s="22" t="s">
        <v>824</v>
      </c>
      <c r="E902" s="19" t="s">
        <v>825</v>
      </c>
      <c r="F902" s="24" t="s">
        <v>647</v>
      </c>
      <c r="G902" s="25" t="n">
        <v>0.437</v>
      </c>
      <c r="H902" s="26" t="n">
        <v>33</v>
      </c>
      <c r="I902" s="27"/>
      <c r="J902" s="28" t="n">
        <v>6</v>
      </c>
      <c r="K902" s="28" t="n">
        <v>1</v>
      </c>
      <c r="L902" s="24" t="s">
        <v>24</v>
      </c>
      <c r="M902" s="57" t="n">
        <f aca="false">IF("non" = "oui",30*(1-disc),30)</f>
        <v>30</v>
      </c>
      <c r="N902" s="57" t="n">
        <f aca="false">IF("non" = "oui",30*(1-disc)*1.2,30*1.2)</f>
        <v>36</v>
      </c>
      <c r="O902" s="58" t="s">
        <v>26</v>
      </c>
      <c r="P902" s="7" t="s">
        <v>26</v>
      </c>
      <c r="Q902" s="59" t="s">
        <v>81</v>
      </c>
    </row>
    <row r="903" customFormat="false" ht="12.8" hidden="false" customHeight="false" outlineLevel="0" collapsed="false">
      <c r="A903" s="22" t="s">
        <v>69</v>
      </c>
      <c r="B903" s="23" t="n">
        <v>202009000</v>
      </c>
      <c r="C903" s="24" t="n">
        <v>30</v>
      </c>
      <c r="D903" s="54" t="s">
        <v>826</v>
      </c>
      <c r="E903" s="19" t="s">
        <v>825</v>
      </c>
      <c r="F903" s="24" t="s">
        <v>647</v>
      </c>
      <c r="G903" s="25" t="n">
        <v>0.437</v>
      </c>
      <c r="H903" s="26" t="n">
        <v>33</v>
      </c>
      <c r="I903" s="27"/>
      <c r="J903" s="28" t="n">
        <v>6</v>
      </c>
      <c r="K903" s="28" t="n">
        <v>1</v>
      </c>
      <c r="L903" s="24" t="s">
        <v>24</v>
      </c>
      <c r="M903" s="57" t="n">
        <f aca="false">IF("non" = "oui",30*(1-disc),30)</f>
        <v>30</v>
      </c>
      <c r="N903" s="57" t="n">
        <f aca="false">IF("non" = "oui",30*(1-disc)*1.2,30*1.2)</f>
        <v>36</v>
      </c>
      <c r="O903" s="58" t="s">
        <v>26</v>
      </c>
      <c r="P903" s="7" t="s">
        <v>26</v>
      </c>
      <c r="Q903" s="59" t="s">
        <v>81</v>
      </c>
    </row>
    <row r="904" customFormat="false" ht="12.8" hidden="false" customHeight="false" outlineLevel="0" collapsed="false">
      <c r="A904" s="22" t="s">
        <v>69</v>
      </c>
      <c r="B904" s="23" t="n">
        <v>202008000</v>
      </c>
      <c r="C904" s="24" t="n">
        <v>30</v>
      </c>
      <c r="D904" s="22" t="s">
        <v>827</v>
      </c>
      <c r="E904" s="19" t="s">
        <v>825</v>
      </c>
      <c r="F904" s="24" t="s">
        <v>647</v>
      </c>
      <c r="G904" s="25" t="n">
        <v>0.437</v>
      </c>
      <c r="H904" s="26" t="n">
        <v>33</v>
      </c>
      <c r="I904" s="27"/>
      <c r="J904" s="28" t="n">
        <v>6</v>
      </c>
      <c r="K904" s="28" t="n">
        <v>1</v>
      </c>
      <c r="L904" s="24" t="s">
        <v>24</v>
      </c>
      <c r="M904" s="57" t="n">
        <f aca="false">IF("non" = "oui",30*(1-disc),30)</f>
        <v>30</v>
      </c>
      <c r="N904" s="57" t="n">
        <f aca="false">IF("non" = "oui",30*(1-disc)*1.2,30*1.2)</f>
        <v>36</v>
      </c>
      <c r="O904" s="58" t="s">
        <v>26</v>
      </c>
      <c r="P904" s="7" t="s">
        <v>26</v>
      </c>
      <c r="Q904" s="59" t="s">
        <v>81</v>
      </c>
    </row>
    <row r="905" customFormat="false" ht="12.8" hidden="false" customHeight="false" outlineLevel="0" collapsed="false">
      <c r="A905" s="22" t="s">
        <v>69</v>
      </c>
      <c r="B905" s="23" t="n">
        <v>202012000</v>
      </c>
      <c r="C905" s="24" t="n">
        <v>30</v>
      </c>
      <c r="D905" s="54" t="s">
        <v>828</v>
      </c>
      <c r="E905" s="19" t="s">
        <v>825</v>
      </c>
      <c r="F905" s="24" t="s">
        <v>647</v>
      </c>
      <c r="G905" s="25" t="n">
        <v>0.437</v>
      </c>
      <c r="H905" s="26" t="n">
        <v>33</v>
      </c>
      <c r="I905" s="27"/>
      <c r="J905" s="28" t="n">
        <v>6</v>
      </c>
      <c r="K905" s="28" t="n">
        <v>1</v>
      </c>
      <c r="L905" s="24" t="s">
        <v>24</v>
      </c>
      <c r="M905" s="57" t="n">
        <f aca="false">IF("non" = "oui",30*(1-disc),30)</f>
        <v>30</v>
      </c>
      <c r="N905" s="57" t="n">
        <f aca="false">IF("non" = "oui",30*(1-disc)*1.2,30*1.2)</f>
        <v>36</v>
      </c>
      <c r="O905" s="58" t="s">
        <v>26</v>
      </c>
      <c r="P905" s="7" t="s">
        <v>26</v>
      </c>
      <c r="Q905" s="59" t="s">
        <v>81</v>
      </c>
    </row>
    <row r="906" customFormat="false" ht="12.8" hidden="false" customHeight="false" outlineLevel="0" collapsed="false">
      <c r="A906" s="22" t="s">
        <v>69</v>
      </c>
      <c r="B906" s="23" t="n">
        <v>202010000</v>
      </c>
      <c r="C906" s="24" t="n">
        <v>30</v>
      </c>
      <c r="D906" s="54" t="s">
        <v>829</v>
      </c>
      <c r="E906" s="19" t="s">
        <v>825</v>
      </c>
      <c r="F906" s="24" t="s">
        <v>647</v>
      </c>
      <c r="G906" s="25" t="n">
        <v>0.437</v>
      </c>
      <c r="H906" s="26" t="n">
        <v>33</v>
      </c>
      <c r="I906" s="27"/>
      <c r="J906" s="28" t="n">
        <v>6</v>
      </c>
      <c r="K906" s="28" t="n">
        <v>1</v>
      </c>
      <c r="L906" s="24" t="s">
        <v>24</v>
      </c>
      <c r="M906" s="57" t="n">
        <f aca="false">IF("non" = "oui",30*(1-disc),30)</f>
        <v>30</v>
      </c>
      <c r="N906" s="57" t="n">
        <f aca="false">IF("non" = "oui",30*(1-disc)*1.2,30*1.2)</f>
        <v>36</v>
      </c>
      <c r="O906" s="58" t="s">
        <v>26</v>
      </c>
      <c r="P906" s="7" t="s">
        <v>26</v>
      </c>
      <c r="Q906" s="59" t="s">
        <v>81</v>
      </c>
    </row>
    <row r="907" customFormat="false" ht="12.8" hidden="false" customHeight="false" outlineLevel="0" collapsed="false">
      <c r="A907" s="22" t="s">
        <v>69</v>
      </c>
      <c r="B907" s="23" t="n">
        <v>202011000</v>
      </c>
      <c r="C907" s="24" t="n">
        <v>30</v>
      </c>
      <c r="D907" s="22" t="s">
        <v>830</v>
      </c>
      <c r="E907" s="19" t="s">
        <v>825</v>
      </c>
      <c r="F907" s="24" t="s">
        <v>647</v>
      </c>
      <c r="G907" s="25" t="n">
        <v>0.437</v>
      </c>
      <c r="H907" s="26" t="n">
        <v>33</v>
      </c>
      <c r="I907" s="27"/>
      <c r="J907" s="28" t="n">
        <v>6</v>
      </c>
      <c r="K907" s="28" t="n">
        <v>1</v>
      </c>
      <c r="L907" s="24" t="s">
        <v>24</v>
      </c>
      <c r="M907" s="57" t="n">
        <f aca="false">IF("non" = "oui",30*(1-disc),30)</f>
        <v>30</v>
      </c>
      <c r="N907" s="57" t="n">
        <f aca="false">IF("non" = "oui",30*(1-disc)*1.2,30*1.2)</f>
        <v>36</v>
      </c>
      <c r="O907" s="58" t="s">
        <v>26</v>
      </c>
      <c r="P907" s="7" t="s">
        <v>26</v>
      </c>
      <c r="Q907" s="59" t="s">
        <v>81</v>
      </c>
    </row>
    <row r="908" customFormat="false" ht="12.8" hidden="false" customHeight="false" outlineLevel="0" collapsed="false">
      <c r="A908" s="22"/>
      <c r="B908" s="23"/>
      <c r="C908" s="24"/>
      <c r="D908" s="22"/>
      <c r="E908" s="19"/>
      <c r="F908" s="24"/>
      <c r="G908" s="25"/>
      <c r="H908" s="26"/>
      <c r="I908" s="27"/>
      <c r="J908" s="28"/>
      <c r="K908" s="28"/>
      <c r="L908" s="24"/>
      <c r="M908" s="29"/>
      <c r="N908" s="29"/>
      <c r="O908" s="24"/>
      <c r="P908" s="4"/>
      <c r="Q908" s="16"/>
    </row>
    <row r="909" customFormat="false" ht="12.8" hidden="false" customHeight="false" outlineLevel="0" collapsed="false">
      <c r="A909" s="22" t="s">
        <v>69</v>
      </c>
      <c r="B909" s="23" t="n">
        <v>202015000</v>
      </c>
      <c r="C909" s="24" t="n">
        <v>30</v>
      </c>
      <c r="D909" s="54" t="s">
        <v>831</v>
      </c>
      <c r="E909" s="19" t="s">
        <v>825</v>
      </c>
      <c r="F909" s="24" t="s">
        <v>647</v>
      </c>
      <c r="G909" s="25" t="n">
        <v>0.5</v>
      </c>
      <c r="H909" s="26"/>
      <c r="I909" s="27"/>
      <c r="J909" s="28" t="n">
        <v>4</v>
      </c>
      <c r="K909" s="28" t="n">
        <v>1</v>
      </c>
      <c r="L909" s="24" t="s">
        <v>24</v>
      </c>
      <c r="M909" s="57" t="n">
        <f aca="false">IF("non" = "oui",24*(1-disc),24)</f>
        <v>24</v>
      </c>
      <c r="N909" s="57" t="n">
        <f aca="false">IF("non" = "oui",24*(1-disc)*1.2,24*1.2)</f>
        <v>28.8</v>
      </c>
      <c r="O909" s="58" t="s">
        <v>26</v>
      </c>
      <c r="P909" s="7" t="s">
        <v>26</v>
      </c>
      <c r="Q909" s="59" t="s">
        <v>81</v>
      </c>
    </row>
    <row r="910" customFormat="false" ht="12.8" hidden="false" customHeight="false" outlineLevel="0" collapsed="false">
      <c r="A910" s="22" t="s">
        <v>69</v>
      </c>
      <c r="B910" s="23" t="n">
        <v>202016000</v>
      </c>
      <c r="C910" s="24" t="n">
        <v>30</v>
      </c>
      <c r="D910" s="54" t="s">
        <v>832</v>
      </c>
      <c r="E910" s="19" t="s">
        <v>825</v>
      </c>
      <c r="F910" s="24" t="s">
        <v>647</v>
      </c>
      <c r="G910" s="25" t="n">
        <v>0.5</v>
      </c>
      <c r="H910" s="26" t="n">
        <v>20</v>
      </c>
      <c r="I910" s="27"/>
      <c r="J910" s="28" t="n">
        <v>4</v>
      </c>
      <c r="K910" s="28" t="n">
        <v>1</v>
      </c>
      <c r="L910" s="24" t="s">
        <v>24</v>
      </c>
      <c r="M910" s="57" t="n">
        <f aca="false">IF("non" = "oui",24*(1-disc),24)</f>
        <v>24</v>
      </c>
      <c r="N910" s="57" t="n">
        <f aca="false">IF("non" = "oui",24*(1-disc)*1.2,24*1.2)</f>
        <v>28.8</v>
      </c>
      <c r="O910" s="58" t="s">
        <v>26</v>
      </c>
      <c r="P910" s="7" t="s">
        <v>26</v>
      </c>
      <c r="Q910" s="59" t="s">
        <v>81</v>
      </c>
    </row>
    <row r="911" customFormat="false" ht="12.8" hidden="false" customHeight="false" outlineLevel="0" collapsed="false">
      <c r="A911" s="22" t="s">
        <v>69</v>
      </c>
      <c r="B911" s="23" t="n">
        <v>202035000</v>
      </c>
      <c r="C911" s="24" t="n">
        <v>30</v>
      </c>
      <c r="D911" s="54" t="s">
        <v>833</v>
      </c>
      <c r="E911" s="17" t="s">
        <v>834</v>
      </c>
      <c r="F911" s="24" t="s">
        <v>647</v>
      </c>
      <c r="G911" s="25" t="n">
        <v>0.5</v>
      </c>
      <c r="H911" s="26" t="n">
        <v>15</v>
      </c>
      <c r="I911" s="27"/>
      <c r="J911" s="28" t="n">
        <v>4</v>
      </c>
      <c r="K911" s="28" t="n">
        <v>1</v>
      </c>
      <c r="L911" s="24" t="s">
        <v>24</v>
      </c>
      <c r="M911" s="57" t="n">
        <f aca="false">IF("non" = "oui",45*(1-disc),45)</f>
        <v>45</v>
      </c>
      <c r="N911" s="57" t="n">
        <f aca="false">IF("non" = "oui",45*(1-disc)*1.2,45*1.2)</f>
        <v>54</v>
      </c>
      <c r="O911" s="58" t="s">
        <v>26</v>
      </c>
      <c r="P911" s="7" t="s">
        <v>26</v>
      </c>
      <c r="Q911" s="59" t="s">
        <v>81</v>
      </c>
    </row>
    <row r="912" customFormat="false" ht="12.8" hidden="false" customHeight="false" outlineLevel="0" collapsed="false">
      <c r="A912" s="22" t="s">
        <v>69</v>
      </c>
      <c r="B912" s="23" t="n">
        <v>202013000</v>
      </c>
      <c r="C912" s="24" t="n">
        <v>30</v>
      </c>
      <c r="D912" s="54" t="s">
        <v>835</v>
      </c>
      <c r="E912" s="19" t="s">
        <v>825</v>
      </c>
      <c r="F912" s="24" t="s">
        <v>647</v>
      </c>
      <c r="G912" s="25" t="n">
        <v>0.5</v>
      </c>
      <c r="H912" s="26" t="n">
        <v>20</v>
      </c>
      <c r="I912" s="27"/>
      <c r="J912" s="28" t="n">
        <v>4</v>
      </c>
      <c r="K912" s="28" t="n">
        <v>1</v>
      </c>
      <c r="L912" s="24" t="s">
        <v>24</v>
      </c>
      <c r="M912" s="57" t="n">
        <f aca="false">IF("non" = "oui",24*(1-disc),24)</f>
        <v>24</v>
      </c>
      <c r="N912" s="57" t="n">
        <f aca="false">IF("non" = "oui",24*(1-disc)*1.2,24*1.2)</f>
        <v>28.8</v>
      </c>
      <c r="O912" s="58" t="s">
        <v>26</v>
      </c>
      <c r="P912" s="7" t="s">
        <v>26</v>
      </c>
      <c r="Q912" s="59" t="s">
        <v>81</v>
      </c>
    </row>
    <row r="913" customFormat="false" ht="12.8" hidden="false" customHeight="false" outlineLevel="0" collapsed="false">
      <c r="A913" s="22" t="s">
        <v>69</v>
      </c>
      <c r="B913" s="23" t="n">
        <v>202014000</v>
      </c>
      <c r="C913" s="24" t="n">
        <v>30</v>
      </c>
      <c r="D913" s="54" t="s">
        <v>836</v>
      </c>
      <c r="E913" s="19" t="s">
        <v>825</v>
      </c>
      <c r="F913" s="24" t="s">
        <v>647</v>
      </c>
      <c r="G913" s="25" t="n">
        <v>0.5</v>
      </c>
      <c r="H913" s="26" t="n">
        <v>20</v>
      </c>
      <c r="I913" s="27"/>
      <c r="J913" s="28" t="n">
        <v>4</v>
      </c>
      <c r="K913" s="28" t="n">
        <v>1</v>
      </c>
      <c r="L913" s="24" t="s">
        <v>24</v>
      </c>
      <c r="M913" s="57" t="n">
        <f aca="false">IF("non" = "oui",24*(1-disc),24)</f>
        <v>24</v>
      </c>
      <c r="N913" s="57" t="n">
        <f aca="false">IF("non" = "oui",24*(1-disc)*1.2,24*1.2)</f>
        <v>28.8</v>
      </c>
      <c r="O913" s="58" t="s">
        <v>26</v>
      </c>
      <c r="P913" s="7" t="s">
        <v>26</v>
      </c>
      <c r="Q913" s="59" t="s">
        <v>81</v>
      </c>
    </row>
    <row r="914" customFormat="false" ht="12.8" hidden="false" customHeight="false" outlineLevel="0" collapsed="false">
      <c r="A914" s="22"/>
      <c r="B914" s="23"/>
      <c r="C914" s="24"/>
      <c r="D914" s="22"/>
      <c r="E914" s="19"/>
      <c r="F914" s="24"/>
      <c r="G914" s="25"/>
      <c r="H914" s="26"/>
      <c r="I914" s="27"/>
      <c r="J914" s="28"/>
      <c r="K914" s="28"/>
      <c r="L914" s="24"/>
      <c r="M914" s="29"/>
      <c r="N914" s="29"/>
      <c r="O914" s="24"/>
      <c r="P914" s="4"/>
      <c r="Q914" s="16"/>
    </row>
    <row r="915" customFormat="false" ht="12.8" hidden="false" customHeight="false" outlineLevel="0" collapsed="false">
      <c r="A915" s="22" t="s">
        <v>69</v>
      </c>
      <c r="B915" s="23" t="n">
        <v>101010000</v>
      </c>
      <c r="C915" s="24" t="n">
        <v>30</v>
      </c>
      <c r="D915" s="54" t="s">
        <v>837</v>
      </c>
      <c r="E915" s="19" t="s">
        <v>838</v>
      </c>
      <c r="F915" s="24" t="s">
        <v>630</v>
      </c>
      <c r="G915" s="25" t="n">
        <v>0.5</v>
      </c>
      <c r="H915" s="26" t="n">
        <v>45</v>
      </c>
      <c r="I915" s="27" t="n">
        <v>30</v>
      </c>
      <c r="J915" s="28" t="n">
        <v>4</v>
      </c>
      <c r="K915" s="28" t="n">
        <v>1</v>
      </c>
      <c r="L915" s="24" t="s">
        <v>631</v>
      </c>
      <c r="M915" s="57" t="n">
        <f aca="false">IF("non" = "oui",28.37*(1-disc),28.37)</f>
        <v>28.37</v>
      </c>
      <c r="N915" s="57" t="n">
        <f aca="false">IF("non" = "oui",28.37*(1-disc)*1.2,28.37*1.2)</f>
        <v>34.044</v>
      </c>
      <c r="O915" s="58" t="s">
        <v>26</v>
      </c>
      <c r="P915" s="4" t="s">
        <v>25</v>
      </c>
      <c r="Q915" s="16"/>
    </row>
    <row r="916" customFormat="false" ht="12.8" hidden="false" customHeight="false" outlineLevel="0" collapsed="false">
      <c r="A916" s="22" t="s">
        <v>69</v>
      </c>
      <c r="B916" s="23" t="n">
        <v>605006000</v>
      </c>
      <c r="C916" s="24" t="n">
        <v>30</v>
      </c>
      <c r="D916" s="54" t="s">
        <v>839</v>
      </c>
      <c r="E916" s="19" t="s">
        <v>840</v>
      </c>
      <c r="F916" s="24" t="s">
        <v>23</v>
      </c>
      <c r="G916" s="25" t="n">
        <v>0.6</v>
      </c>
      <c r="H916" s="26" t="n">
        <v>30</v>
      </c>
      <c r="I916" s="27" t="n">
        <v>50</v>
      </c>
      <c r="J916" s="28" t="n">
        <v>6</v>
      </c>
      <c r="K916" s="28" t="n">
        <v>1</v>
      </c>
      <c r="L916" s="24" t="s">
        <v>24</v>
      </c>
      <c r="M916" s="57" t="n">
        <f aca="false">IF("non" = "oui",32*(1-disc),32)</f>
        <v>32</v>
      </c>
      <c r="N916" s="57" t="n">
        <f aca="false">IF("non" = "oui",32*(1-disc)*1.2,32*1.2)</f>
        <v>38.4</v>
      </c>
      <c r="O916" s="58" t="s">
        <v>26</v>
      </c>
      <c r="P916" s="7" t="s">
        <v>26</v>
      </c>
      <c r="Q916" s="59" t="s">
        <v>87</v>
      </c>
    </row>
    <row r="917" customFormat="false" ht="12.8" hidden="false" customHeight="false" outlineLevel="0" collapsed="false">
      <c r="A917" s="22" t="s">
        <v>69</v>
      </c>
      <c r="B917" s="23" t="n">
        <v>605014000</v>
      </c>
      <c r="C917" s="24" t="n">
        <v>25</v>
      </c>
      <c r="D917" s="54" t="s">
        <v>841</v>
      </c>
      <c r="E917" s="19" t="s">
        <v>842</v>
      </c>
      <c r="F917" s="24" t="s">
        <v>630</v>
      </c>
      <c r="G917" s="25" t="n">
        <v>0.49</v>
      </c>
      <c r="H917" s="26" t="n">
        <v>23</v>
      </c>
      <c r="I917" s="27" t="n">
        <v>30</v>
      </c>
      <c r="J917" s="28" t="n">
        <v>4</v>
      </c>
      <c r="K917" s="28" t="n">
        <v>1</v>
      </c>
      <c r="L917" s="24" t="s">
        <v>631</v>
      </c>
      <c r="M917" s="57" t="n">
        <f aca="false">IF("non" = "oui",32*(1-disc),32)</f>
        <v>32</v>
      </c>
      <c r="N917" s="57" t="n">
        <f aca="false">IF("non" = "oui",32*(1-disc)*1.2,32*1.2)</f>
        <v>38.4</v>
      </c>
      <c r="O917" s="58" t="s">
        <v>26</v>
      </c>
      <c r="P917" s="7" t="s">
        <v>26</v>
      </c>
      <c r="Q917" s="59" t="s">
        <v>87</v>
      </c>
    </row>
    <row r="918" customFormat="false" ht="12.8" hidden="false" customHeight="false" outlineLevel="0" collapsed="false">
      <c r="A918" s="22"/>
      <c r="B918" s="23"/>
      <c r="C918" s="24"/>
      <c r="D918" s="22"/>
      <c r="E918" s="19"/>
      <c r="F918" s="24"/>
      <c r="G918" s="25"/>
      <c r="H918" s="26"/>
      <c r="I918" s="27"/>
      <c r="J918" s="28"/>
      <c r="K918" s="28"/>
      <c r="L918" s="24"/>
      <c r="M918" s="29"/>
      <c r="N918" s="29"/>
      <c r="O918" s="24"/>
      <c r="P918" s="4"/>
      <c r="Q918" s="16"/>
    </row>
    <row r="919" customFormat="false" ht="12.8" hidden="false" customHeight="false" outlineLevel="0" collapsed="false">
      <c r="A919" s="22" t="s">
        <v>69</v>
      </c>
      <c r="B919" s="23" t="n">
        <v>202019000</v>
      </c>
      <c r="C919" s="24" t="n">
        <v>30</v>
      </c>
      <c r="D919" s="54" t="s">
        <v>843</v>
      </c>
      <c r="E919" s="19" t="s">
        <v>825</v>
      </c>
      <c r="F919" s="24" t="s">
        <v>647</v>
      </c>
      <c r="G919" s="25" t="n">
        <v>0.72</v>
      </c>
      <c r="H919" s="26" t="n">
        <v>30</v>
      </c>
      <c r="I919" s="27"/>
      <c r="J919" s="28" t="n">
        <v>3</v>
      </c>
      <c r="K919" s="28" t="n">
        <v>1</v>
      </c>
      <c r="L919" s="24" t="s">
        <v>24</v>
      </c>
      <c r="M919" s="57" t="n">
        <f aca="false">IF("non" = "oui",37.5*(1-disc),37.5)</f>
        <v>37.5</v>
      </c>
      <c r="N919" s="57" t="n">
        <f aca="false">IF("non" = "oui",37.5*(1-disc)*1.2,37.5*1.2)</f>
        <v>45</v>
      </c>
      <c r="O919" s="58" t="s">
        <v>26</v>
      </c>
      <c r="P919" s="7" t="s">
        <v>26</v>
      </c>
      <c r="Q919" s="59" t="s">
        <v>81</v>
      </c>
    </row>
    <row r="920" customFormat="false" ht="12.8" hidden="false" customHeight="false" outlineLevel="0" collapsed="false">
      <c r="A920" s="22" t="s">
        <v>69</v>
      </c>
      <c r="B920" s="23" t="n">
        <v>202022000</v>
      </c>
      <c r="C920" s="24" t="n">
        <v>30</v>
      </c>
      <c r="D920" s="54" t="s">
        <v>844</v>
      </c>
      <c r="E920" s="19" t="s">
        <v>825</v>
      </c>
      <c r="F920" s="24" t="s">
        <v>647</v>
      </c>
      <c r="G920" s="25" t="n">
        <v>0.72</v>
      </c>
      <c r="H920" s="26" t="n">
        <v>30</v>
      </c>
      <c r="I920" s="27"/>
      <c r="J920" s="28" t="n">
        <v>3</v>
      </c>
      <c r="K920" s="28" t="n">
        <v>1</v>
      </c>
      <c r="L920" s="24" t="s">
        <v>24</v>
      </c>
      <c r="M920" s="57" t="n">
        <f aca="false">IF("non" = "oui",37.5*(1-disc),37.5)</f>
        <v>37.5</v>
      </c>
      <c r="N920" s="57" t="n">
        <f aca="false">IF("non" = "oui",37.5*(1-disc)*1.2,37.5*1.2)</f>
        <v>45</v>
      </c>
      <c r="O920" s="58" t="s">
        <v>26</v>
      </c>
      <c r="P920" s="7" t="s">
        <v>26</v>
      </c>
      <c r="Q920" s="59" t="s">
        <v>81</v>
      </c>
    </row>
    <row r="921" customFormat="false" ht="12.8" hidden="false" customHeight="false" outlineLevel="0" collapsed="false">
      <c r="A921" s="22" t="s">
        <v>69</v>
      </c>
      <c r="B921" s="23" t="n">
        <v>202018000</v>
      </c>
      <c r="C921" s="24" t="n">
        <v>30</v>
      </c>
      <c r="D921" s="54" t="s">
        <v>845</v>
      </c>
      <c r="E921" s="19" t="s">
        <v>825</v>
      </c>
      <c r="F921" s="24" t="s">
        <v>647</v>
      </c>
      <c r="G921" s="25" t="n">
        <v>0.72</v>
      </c>
      <c r="H921" s="26" t="n">
        <v>30</v>
      </c>
      <c r="I921" s="27"/>
      <c r="J921" s="28" t="n">
        <v>3</v>
      </c>
      <c r="K921" s="28" t="n">
        <v>1</v>
      </c>
      <c r="L921" s="24" t="s">
        <v>24</v>
      </c>
      <c r="M921" s="57" t="n">
        <f aca="false">IF("non" = "oui",37.5*(1-disc),37.5)</f>
        <v>37.5</v>
      </c>
      <c r="N921" s="57" t="n">
        <f aca="false">IF("non" = "oui",37.5*(1-disc)*1.2,37.5*1.2)</f>
        <v>45</v>
      </c>
      <c r="O921" s="58" t="s">
        <v>26</v>
      </c>
      <c r="P921" s="7" t="s">
        <v>26</v>
      </c>
      <c r="Q921" s="59" t="s">
        <v>81</v>
      </c>
    </row>
    <row r="922" customFormat="false" ht="12.8" hidden="false" customHeight="false" outlineLevel="0" collapsed="false">
      <c r="A922" s="22" t="s">
        <v>69</v>
      </c>
      <c r="B922" s="23" t="n">
        <v>202017000</v>
      </c>
      <c r="C922" s="24" t="n">
        <v>30</v>
      </c>
      <c r="D922" s="54" t="s">
        <v>846</v>
      </c>
      <c r="E922" s="19" t="s">
        <v>825</v>
      </c>
      <c r="F922" s="24" t="s">
        <v>647</v>
      </c>
      <c r="G922" s="25" t="n">
        <v>0.72</v>
      </c>
      <c r="H922" s="26" t="n">
        <v>30</v>
      </c>
      <c r="I922" s="27"/>
      <c r="J922" s="28" t="n">
        <v>3</v>
      </c>
      <c r="K922" s="28" t="n">
        <v>1</v>
      </c>
      <c r="L922" s="24" t="s">
        <v>24</v>
      </c>
      <c r="M922" s="57" t="n">
        <f aca="false">IF("non" = "oui",37.5*(1-disc),37.5)</f>
        <v>37.5</v>
      </c>
      <c r="N922" s="57" t="n">
        <f aca="false">IF("non" = "oui",37.5*(1-disc)*1.2,37.5*1.2)</f>
        <v>45</v>
      </c>
      <c r="O922" s="58" t="s">
        <v>26</v>
      </c>
      <c r="P922" s="7" t="s">
        <v>26</v>
      </c>
      <c r="Q922" s="59" t="s">
        <v>81</v>
      </c>
    </row>
    <row r="923" customFormat="false" ht="12.8" hidden="false" customHeight="false" outlineLevel="0" collapsed="false">
      <c r="A923" s="22" t="s">
        <v>69</v>
      </c>
      <c r="B923" s="23" t="n">
        <v>202020000</v>
      </c>
      <c r="C923" s="24" t="n">
        <v>30</v>
      </c>
      <c r="D923" s="54" t="s">
        <v>847</v>
      </c>
      <c r="E923" s="19" t="s">
        <v>825</v>
      </c>
      <c r="F923" s="24" t="s">
        <v>647</v>
      </c>
      <c r="G923" s="25" t="n">
        <v>0.828</v>
      </c>
      <c r="H923" s="26" t="n">
        <v>30</v>
      </c>
      <c r="I923" s="27"/>
      <c r="J923" s="28" t="n">
        <v>3</v>
      </c>
      <c r="K923" s="28" t="n">
        <v>1</v>
      </c>
      <c r="L923" s="24" t="s">
        <v>24</v>
      </c>
      <c r="M923" s="57" t="n">
        <f aca="false">IF("non" = "oui",37.5*(1-disc),37.5)</f>
        <v>37.5</v>
      </c>
      <c r="N923" s="57" t="n">
        <f aca="false">IF("non" = "oui",37.5*(1-disc)*1.2,37.5*1.2)</f>
        <v>45</v>
      </c>
      <c r="O923" s="58" t="s">
        <v>26</v>
      </c>
      <c r="P923" s="7" t="s">
        <v>26</v>
      </c>
      <c r="Q923" s="59" t="s">
        <v>81</v>
      </c>
    </row>
    <row r="924" customFormat="false" ht="12.8" hidden="false" customHeight="false" outlineLevel="0" collapsed="false">
      <c r="A924" s="22" t="s">
        <v>69</v>
      </c>
      <c r="B924" s="23" t="n">
        <v>202021000</v>
      </c>
      <c r="C924" s="24" t="n">
        <v>30</v>
      </c>
      <c r="D924" s="54" t="s">
        <v>848</v>
      </c>
      <c r="E924" s="19" t="s">
        <v>825</v>
      </c>
      <c r="F924" s="24" t="s">
        <v>647</v>
      </c>
      <c r="G924" s="25" t="n">
        <v>0.828</v>
      </c>
      <c r="H924" s="26" t="n">
        <v>30</v>
      </c>
      <c r="I924" s="27"/>
      <c r="J924" s="28" t="n">
        <v>3</v>
      </c>
      <c r="K924" s="28" t="n">
        <v>1</v>
      </c>
      <c r="L924" s="24" t="s">
        <v>24</v>
      </c>
      <c r="M924" s="57" t="n">
        <f aca="false">IF("non" = "oui",37.5*(1-disc),37.5)</f>
        <v>37.5</v>
      </c>
      <c r="N924" s="57" t="n">
        <f aca="false">IF("non" = "oui",37.5*(1-disc)*1.2,37.5*1.2)</f>
        <v>45</v>
      </c>
      <c r="O924" s="58" t="s">
        <v>26</v>
      </c>
      <c r="P924" s="7" t="s">
        <v>26</v>
      </c>
      <c r="Q924" s="59" t="s">
        <v>81</v>
      </c>
    </row>
    <row r="925" customFormat="false" ht="12.8" hidden="false" customHeight="false" outlineLevel="0" collapsed="false">
      <c r="A925" s="22" t="s">
        <v>69</v>
      </c>
      <c r="B925" s="23" t="n">
        <v>202036000</v>
      </c>
      <c r="C925" s="24" t="n">
        <v>30</v>
      </c>
      <c r="D925" s="54" t="s">
        <v>849</v>
      </c>
      <c r="E925" s="19" t="s">
        <v>850</v>
      </c>
      <c r="F925" s="24" t="s">
        <v>647</v>
      </c>
      <c r="G925" s="25" t="n">
        <v>0.577</v>
      </c>
      <c r="H925" s="26" t="n">
        <v>30</v>
      </c>
      <c r="I925" s="27"/>
      <c r="J925" s="28" t="n">
        <v>3</v>
      </c>
      <c r="K925" s="28" t="n">
        <v>1</v>
      </c>
      <c r="L925" s="24" t="s">
        <v>24</v>
      </c>
      <c r="M925" s="57" t="n">
        <f aca="false">IF("non" = "oui",55*(1-disc),55)</f>
        <v>55</v>
      </c>
      <c r="N925" s="57" t="n">
        <f aca="false">IF("non" = "oui",55*(1-disc)*1.2,55*1.2)</f>
        <v>66</v>
      </c>
      <c r="O925" s="58" t="s">
        <v>26</v>
      </c>
      <c r="P925" s="7" t="s">
        <v>26</v>
      </c>
      <c r="Q925" s="59" t="s">
        <v>81</v>
      </c>
    </row>
    <row r="926" customFormat="false" ht="12.8" hidden="false" customHeight="false" outlineLevel="0" collapsed="false">
      <c r="A926" s="22" t="s">
        <v>69</v>
      </c>
      <c r="B926" s="23" t="n">
        <v>605015000</v>
      </c>
      <c r="C926" s="24" t="n">
        <v>25</v>
      </c>
      <c r="D926" s="54" t="s">
        <v>851</v>
      </c>
      <c r="E926" s="19" t="s">
        <v>842</v>
      </c>
      <c r="F926" s="24" t="s">
        <v>630</v>
      </c>
      <c r="G926" s="25" t="n">
        <v>0.468</v>
      </c>
      <c r="H926" s="26" t="n">
        <v>20</v>
      </c>
      <c r="I926" s="27" t="n">
        <v>30</v>
      </c>
      <c r="J926" s="28" t="n">
        <v>4</v>
      </c>
      <c r="K926" s="28" t="n">
        <v>1</v>
      </c>
      <c r="L926" s="24" t="s">
        <v>631</v>
      </c>
      <c r="M926" s="57" t="n">
        <f aca="false">IF("non" = "oui",32*(1-disc),32)</f>
        <v>32</v>
      </c>
      <c r="N926" s="57" t="n">
        <f aca="false">IF("non" = "oui",32*(1-disc)*1.2,32*1.2)</f>
        <v>38.4</v>
      </c>
      <c r="O926" s="58" t="s">
        <v>26</v>
      </c>
      <c r="P926" s="7" t="s">
        <v>26</v>
      </c>
      <c r="Q926" s="59" t="s">
        <v>87</v>
      </c>
    </row>
    <row r="927" customFormat="false" ht="12.8" hidden="false" customHeight="false" outlineLevel="0" collapsed="false">
      <c r="A927" s="22" t="s">
        <v>69</v>
      </c>
      <c r="B927" s="23" t="n">
        <v>605016000</v>
      </c>
      <c r="C927" s="24" t="n">
        <v>25</v>
      </c>
      <c r="D927" s="54" t="s">
        <v>852</v>
      </c>
      <c r="E927" s="19" t="s">
        <v>842</v>
      </c>
      <c r="F927" s="24" t="s">
        <v>630</v>
      </c>
      <c r="G927" s="25" t="n">
        <v>0.468</v>
      </c>
      <c r="H927" s="26" t="n">
        <v>20</v>
      </c>
      <c r="I927" s="27" t="n">
        <v>30</v>
      </c>
      <c r="J927" s="28" t="n">
        <v>4</v>
      </c>
      <c r="K927" s="28" t="n">
        <v>1</v>
      </c>
      <c r="L927" s="24" t="s">
        <v>631</v>
      </c>
      <c r="M927" s="57" t="n">
        <f aca="false">IF("non" = "oui",32*(1-disc),32)</f>
        <v>32</v>
      </c>
      <c r="N927" s="57" t="n">
        <f aca="false">IF("non" = "oui",32*(1-disc)*1.2,32*1.2)</f>
        <v>38.4</v>
      </c>
      <c r="O927" s="58" t="s">
        <v>26</v>
      </c>
      <c r="P927" s="7" t="s">
        <v>26</v>
      </c>
      <c r="Q927" s="59" t="s">
        <v>87</v>
      </c>
    </row>
    <row r="928" customFormat="false" ht="12.8" hidden="false" customHeight="false" outlineLevel="0" collapsed="false">
      <c r="A928" s="22" t="s">
        <v>69</v>
      </c>
      <c r="B928" s="23" t="n">
        <v>605018000</v>
      </c>
      <c r="C928" s="24" t="n">
        <v>25</v>
      </c>
      <c r="D928" s="54" t="s">
        <v>853</v>
      </c>
      <c r="E928" s="19" t="s">
        <v>842</v>
      </c>
      <c r="F928" s="24" t="s">
        <v>630</v>
      </c>
      <c r="G928" s="25" t="n">
        <v>0.468</v>
      </c>
      <c r="H928" s="26" t="n">
        <v>20</v>
      </c>
      <c r="I928" s="27" t="n">
        <v>30</v>
      </c>
      <c r="J928" s="28" t="n">
        <v>4</v>
      </c>
      <c r="K928" s="28" t="n">
        <v>1</v>
      </c>
      <c r="L928" s="24" t="s">
        <v>631</v>
      </c>
      <c r="M928" s="57" t="n">
        <f aca="false">IF("non" = "oui",32*(1-disc),32)</f>
        <v>32</v>
      </c>
      <c r="N928" s="57" t="n">
        <f aca="false">IF("non" = "oui",32*(1-disc)*1.2,32*1.2)</f>
        <v>38.4</v>
      </c>
      <c r="O928" s="58" t="s">
        <v>26</v>
      </c>
      <c r="P928" s="7" t="s">
        <v>26</v>
      </c>
      <c r="Q928" s="59" t="s">
        <v>87</v>
      </c>
    </row>
    <row r="929" customFormat="false" ht="12.8" hidden="false" customHeight="false" outlineLevel="0" collapsed="false">
      <c r="A929" s="22" t="s">
        <v>69</v>
      </c>
      <c r="B929" s="23" t="n">
        <v>605013000</v>
      </c>
      <c r="C929" s="24" t="n">
        <v>25</v>
      </c>
      <c r="D929" s="54" t="s">
        <v>854</v>
      </c>
      <c r="E929" s="19" t="s">
        <v>855</v>
      </c>
      <c r="F929" s="24" t="s">
        <v>630</v>
      </c>
      <c r="G929" s="25" t="n">
        <v>0.417</v>
      </c>
      <c r="H929" s="26" t="n">
        <v>25</v>
      </c>
      <c r="I929" s="27" t="n">
        <v>30</v>
      </c>
      <c r="J929" s="28" t="n">
        <v>6</v>
      </c>
      <c r="K929" s="28" t="n">
        <v>1</v>
      </c>
      <c r="L929" s="24" t="s">
        <v>631</v>
      </c>
      <c r="M929" s="57" t="n">
        <f aca="false">IF("non" = "oui",32*(1-disc),32)</f>
        <v>32</v>
      </c>
      <c r="N929" s="57" t="n">
        <f aca="false">IF("non" = "oui",32*(1-disc)*1.2,32*1.2)</f>
        <v>38.4</v>
      </c>
      <c r="O929" s="58" t="s">
        <v>26</v>
      </c>
      <c r="P929" s="7" t="s">
        <v>26</v>
      </c>
      <c r="Q929" s="59" t="s">
        <v>87</v>
      </c>
    </row>
    <row r="930" customFormat="false" ht="12.8" hidden="false" customHeight="false" outlineLevel="0" collapsed="false">
      <c r="A930" s="22" t="s">
        <v>69</v>
      </c>
      <c r="B930" s="23" t="n">
        <v>605019000</v>
      </c>
      <c r="C930" s="24" t="n">
        <v>20</v>
      </c>
      <c r="D930" s="54" t="s">
        <v>856</v>
      </c>
      <c r="E930" s="19" t="s">
        <v>857</v>
      </c>
      <c r="F930" s="24" t="s">
        <v>630</v>
      </c>
      <c r="G930" s="25" t="n">
        <v>0.417</v>
      </c>
      <c r="H930" s="26" t="n">
        <v>20</v>
      </c>
      <c r="I930" s="27" t="n">
        <v>30</v>
      </c>
      <c r="J930" s="28" t="n">
        <v>6</v>
      </c>
      <c r="K930" s="28" t="n">
        <v>1</v>
      </c>
      <c r="L930" s="24" t="s">
        <v>631</v>
      </c>
      <c r="M930" s="57" t="n">
        <f aca="false">IF("non" = "oui",33*(1-disc),33)</f>
        <v>33</v>
      </c>
      <c r="N930" s="57" t="n">
        <f aca="false">IF("non" = "oui",33*(1-disc)*1.2,33*1.2)</f>
        <v>39.6</v>
      </c>
      <c r="O930" s="58" t="s">
        <v>26</v>
      </c>
      <c r="P930" s="7" t="s">
        <v>26</v>
      </c>
      <c r="Q930" s="59" t="s">
        <v>87</v>
      </c>
    </row>
    <row r="931" customFormat="false" ht="12.8" hidden="false" customHeight="false" outlineLevel="0" collapsed="false">
      <c r="A931" s="22"/>
      <c r="B931" s="23"/>
      <c r="C931" s="24"/>
      <c r="D931" s="22"/>
      <c r="E931" s="19"/>
      <c r="F931" s="24"/>
      <c r="G931" s="25"/>
      <c r="H931" s="26"/>
      <c r="I931" s="27"/>
      <c r="J931" s="28"/>
      <c r="K931" s="28"/>
      <c r="L931" s="24"/>
      <c r="M931" s="29"/>
      <c r="N931" s="29"/>
      <c r="O931" s="24"/>
      <c r="P931" s="4"/>
      <c r="Q931" s="16"/>
    </row>
    <row r="932" customFormat="false" ht="12.8" hidden="false" customHeight="false" outlineLevel="0" collapsed="false">
      <c r="A932" s="22" t="s">
        <v>69</v>
      </c>
      <c r="B932" s="23" t="n">
        <v>202025000</v>
      </c>
      <c r="C932" s="24" t="n">
        <v>30</v>
      </c>
      <c r="D932" s="54" t="s">
        <v>858</v>
      </c>
      <c r="E932" s="19" t="s">
        <v>825</v>
      </c>
      <c r="F932" s="24" t="s">
        <v>647</v>
      </c>
      <c r="G932" s="25" t="n">
        <v>0.98</v>
      </c>
      <c r="H932" s="26" t="n">
        <v>40</v>
      </c>
      <c r="I932" s="27"/>
      <c r="J932" s="28" t="n">
        <v>2</v>
      </c>
      <c r="K932" s="28" t="n">
        <v>1</v>
      </c>
      <c r="L932" s="24" t="s">
        <v>24</v>
      </c>
      <c r="M932" s="57" t="n">
        <f aca="false">IF("non" = "oui",65*(1-disc),65)</f>
        <v>65</v>
      </c>
      <c r="N932" s="57" t="n">
        <f aca="false">IF("non" = "oui",65*(1-disc)*1.2,65*1.2)</f>
        <v>78</v>
      </c>
      <c r="O932" s="58" t="s">
        <v>26</v>
      </c>
      <c r="P932" s="7" t="s">
        <v>26</v>
      </c>
      <c r="Q932" s="59" t="s">
        <v>81</v>
      </c>
    </row>
    <row r="933" customFormat="false" ht="12.8" hidden="false" customHeight="false" outlineLevel="0" collapsed="false">
      <c r="A933" s="22" t="s">
        <v>69</v>
      </c>
      <c r="B933" s="23" t="n">
        <v>202024000</v>
      </c>
      <c r="C933" s="24" t="n">
        <v>30</v>
      </c>
      <c r="D933" s="54" t="s">
        <v>859</v>
      </c>
      <c r="E933" s="19" t="s">
        <v>825</v>
      </c>
      <c r="F933" s="24" t="s">
        <v>647</v>
      </c>
      <c r="G933" s="25" t="n">
        <v>0.98</v>
      </c>
      <c r="H933" s="26" t="n">
        <v>40</v>
      </c>
      <c r="I933" s="27"/>
      <c r="J933" s="28" t="n">
        <v>2</v>
      </c>
      <c r="K933" s="28" t="n">
        <v>1</v>
      </c>
      <c r="L933" s="24" t="s">
        <v>24</v>
      </c>
      <c r="M933" s="57" t="n">
        <f aca="false">IF("non" = "oui",65*(1-disc),65)</f>
        <v>65</v>
      </c>
      <c r="N933" s="57" t="n">
        <f aca="false">IF("non" = "oui",65*(1-disc)*1.2,65*1.2)</f>
        <v>78</v>
      </c>
      <c r="O933" s="58" t="s">
        <v>26</v>
      </c>
      <c r="P933" s="7" t="s">
        <v>26</v>
      </c>
      <c r="Q933" s="59" t="s">
        <v>81</v>
      </c>
    </row>
    <row r="934" customFormat="false" ht="12.8" hidden="false" customHeight="false" outlineLevel="0" collapsed="false">
      <c r="A934" s="22" t="s">
        <v>69</v>
      </c>
      <c r="B934" s="23" t="n">
        <v>202028000</v>
      </c>
      <c r="C934" s="24" t="n">
        <v>20</v>
      </c>
      <c r="D934" s="54" t="s">
        <v>860</v>
      </c>
      <c r="E934" s="19" t="s">
        <v>861</v>
      </c>
      <c r="F934" s="24" t="s">
        <v>630</v>
      </c>
      <c r="G934" s="25" t="n">
        <v>0.5</v>
      </c>
      <c r="H934" s="26" t="n">
        <v>30</v>
      </c>
      <c r="I934" s="27"/>
      <c r="J934" s="28" t="n">
        <v>8</v>
      </c>
      <c r="K934" s="28" t="n">
        <v>1</v>
      </c>
      <c r="L934" s="24" t="s">
        <v>24</v>
      </c>
      <c r="M934" s="57" t="n">
        <f aca="false">IF("non" = "oui",30*(1-disc),30)</f>
        <v>30</v>
      </c>
      <c r="N934" s="57" t="n">
        <f aca="false">IF("non" = "oui",30*(1-disc)*1.2,30*1.2)</f>
        <v>36</v>
      </c>
      <c r="O934" s="58" t="s">
        <v>26</v>
      </c>
      <c r="P934" s="7" t="s">
        <v>26</v>
      </c>
      <c r="Q934" s="59" t="s">
        <v>81</v>
      </c>
    </row>
    <row r="935" customFormat="false" ht="12.8" hidden="false" customHeight="false" outlineLevel="0" collapsed="false">
      <c r="A935" s="22" t="s">
        <v>69</v>
      </c>
      <c r="B935" s="23" t="n">
        <v>202026000</v>
      </c>
      <c r="C935" s="24" t="n">
        <v>30</v>
      </c>
      <c r="D935" s="54" t="s">
        <v>862</v>
      </c>
      <c r="E935" s="19" t="s">
        <v>825</v>
      </c>
      <c r="F935" s="24" t="s">
        <v>647</v>
      </c>
      <c r="G935" s="25" t="n">
        <v>0.98</v>
      </c>
      <c r="H935" s="26" t="n">
        <v>40</v>
      </c>
      <c r="I935" s="27"/>
      <c r="J935" s="28" t="n">
        <v>2</v>
      </c>
      <c r="K935" s="28" t="n">
        <v>1</v>
      </c>
      <c r="L935" s="24" t="s">
        <v>24</v>
      </c>
      <c r="M935" s="57" t="n">
        <f aca="false">IF("non" = "oui",65*(1-disc),65)</f>
        <v>65</v>
      </c>
      <c r="N935" s="57" t="n">
        <f aca="false">IF("non" = "oui",65*(1-disc)*1.2,65*1.2)</f>
        <v>78</v>
      </c>
      <c r="O935" s="58" t="s">
        <v>26</v>
      </c>
      <c r="P935" s="7" t="s">
        <v>26</v>
      </c>
      <c r="Q935" s="59" t="s">
        <v>81</v>
      </c>
    </row>
    <row r="936" customFormat="false" ht="12.8" hidden="false" customHeight="false" outlineLevel="0" collapsed="false">
      <c r="A936" s="22" t="s">
        <v>69</v>
      </c>
      <c r="B936" s="23" t="n">
        <v>202023000</v>
      </c>
      <c r="C936" s="24" t="n">
        <v>30</v>
      </c>
      <c r="D936" s="54" t="s">
        <v>863</v>
      </c>
      <c r="E936" s="19" t="s">
        <v>825</v>
      </c>
      <c r="F936" s="24" t="s">
        <v>647</v>
      </c>
      <c r="G936" s="25" t="n">
        <v>0.98</v>
      </c>
      <c r="H936" s="26"/>
      <c r="I936" s="27"/>
      <c r="J936" s="28" t="n">
        <v>2</v>
      </c>
      <c r="K936" s="28" t="n">
        <v>1</v>
      </c>
      <c r="L936" s="24" t="s">
        <v>24</v>
      </c>
      <c r="M936" s="57" t="n">
        <f aca="false">IF("non" = "oui",65*(1-disc),65)</f>
        <v>65</v>
      </c>
      <c r="N936" s="57" t="n">
        <f aca="false">IF("non" = "oui",65*(1-disc)*1.2,65*1.2)</f>
        <v>78</v>
      </c>
      <c r="O936" s="58" t="s">
        <v>26</v>
      </c>
      <c r="P936" s="7" t="s">
        <v>26</v>
      </c>
      <c r="Q936" s="59" t="s">
        <v>81</v>
      </c>
    </row>
    <row r="937" customFormat="false" ht="12.8" hidden="false" customHeight="false" outlineLevel="0" collapsed="false">
      <c r="A937" s="22" t="s">
        <v>69</v>
      </c>
      <c r="B937" s="23" t="n">
        <v>605020000</v>
      </c>
      <c r="C937" s="24" t="n">
        <v>20</v>
      </c>
      <c r="D937" s="54" t="s">
        <v>864</v>
      </c>
      <c r="E937" s="19" t="s">
        <v>857</v>
      </c>
      <c r="F937" s="24" t="s">
        <v>630</v>
      </c>
      <c r="G937" s="25" t="n">
        <v>0.417</v>
      </c>
      <c r="H937" s="26" t="n">
        <v>20</v>
      </c>
      <c r="I937" s="27" t="n">
        <v>30</v>
      </c>
      <c r="J937" s="28" t="n">
        <v>6</v>
      </c>
      <c r="K937" s="28" t="n">
        <v>1</v>
      </c>
      <c r="L937" s="24" t="s">
        <v>631</v>
      </c>
      <c r="M937" s="57" t="n">
        <f aca="false">IF("non" = "oui",33*(1-disc),33)</f>
        <v>33</v>
      </c>
      <c r="N937" s="57" t="n">
        <f aca="false">IF("non" = "oui",33*(1-disc)*1.2,33*1.2)</f>
        <v>39.6</v>
      </c>
      <c r="O937" s="58" t="s">
        <v>26</v>
      </c>
      <c r="P937" s="7" t="s">
        <v>26</v>
      </c>
      <c r="Q937" s="59" t="s">
        <v>87</v>
      </c>
    </row>
    <row r="938" customFormat="false" ht="12.8" hidden="false" customHeight="false" outlineLevel="0" collapsed="false">
      <c r="A938" s="22" t="s">
        <v>69</v>
      </c>
      <c r="B938" s="23" t="n">
        <v>605021000</v>
      </c>
      <c r="C938" s="24" t="n">
        <v>20</v>
      </c>
      <c r="D938" s="54" t="s">
        <v>865</v>
      </c>
      <c r="E938" s="19" t="s">
        <v>857</v>
      </c>
      <c r="F938" s="24" t="s">
        <v>630</v>
      </c>
      <c r="G938" s="25" t="n">
        <v>0.417</v>
      </c>
      <c r="H938" s="26" t="n">
        <v>20</v>
      </c>
      <c r="I938" s="27" t="n">
        <v>30</v>
      </c>
      <c r="J938" s="28" t="n">
        <v>6</v>
      </c>
      <c r="K938" s="28" t="n">
        <v>1</v>
      </c>
      <c r="L938" s="24" t="s">
        <v>631</v>
      </c>
      <c r="M938" s="57" t="n">
        <f aca="false">IF("non" = "oui",33*(1-disc),33)</f>
        <v>33</v>
      </c>
      <c r="N938" s="57" t="n">
        <f aca="false">IF("non" = "oui",33*(1-disc)*1.2,33*1.2)</f>
        <v>39.6</v>
      </c>
      <c r="O938" s="58" t="s">
        <v>26</v>
      </c>
      <c r="P938" s="7" t="s">
        <v>26</v>
      </c>
      <c r="Q938" s="59" t="s">
        <v>87</v>
      </c>
    </row>
    <row r="939" customFormat="false" ht="12.8" hidden="false" customHeight="false" outlineLevel="0" collapsed="false">
      <c r="A939" s="22" t="s">
        <v>69</v>
      </c>
      <c r="B939" s="23" t="n">
        <v>605008000</v>
      </c>
      <c r="C939" s="24" t="n">
        <v>30</v>
      </c>
      <c r="D939" s="54" t="s">
        <v>866</v>
      </c>
      <c r="E939" s="19" t="s">
        <v>840</v>
      </c>
      <c r="F939" s="24" t="s">
        <v>23</v>
      </c>
      <c r="G939" s="25" t="n">
        <v>0.9</v>
      </c>
      <c r="H939" s="26" t="n">
        <v>25</v>
      </c>
      <c r="I939" s="27" t="n">
        <v>50</v>
      </c>
      <c r="J939" s="28" t="n">
        <v>2</v>
      </c>
      <c r="K939" s="28" t="n">
        <v>1</v>
      </c>
      <c r="L939" s="24" t="s">
        <v>24</v>
      </c>
      <c r="M939" s="57" t="n">
        <f aca="false">IF("non" = "oui",60*(1-disc),60)</f>
        <v>60</v>
      </c>
      <c r="N939" s="57" t="n">
        <f aca="false">IF("non" = "oui",60*(1-disc)*1.2,60*1.2)</f>
        <v>72</v>
      </c>
      <c r="O939" s="58" t="s">
        <v>26</v>
      </c>
      <c r="P939" s="7" t="s">
        <v>26</v>
      </c>
      <c r="Q939" s="59" t="s">
        <v>87</v>
      </c>
    </row>
    <row r="940" customFormat="false" ht="12.8" hidden="false" customHeight="false" outlineLevel="0" collapsed="false">
      <c r="A940" s="22" t="s">
        <v>69</v>
      </c>
      <c r="B940" s="23" t="n">
        <v>605007000</v>
      </c>
      <c r="C940" s="24" t="n">
        <v>30</v>
      </c>
      <c r="D940" s="54" t="s">
        <v>867</v>
      </c>
      <c r="E940" s="19" t="s">
        <v>840</v>
      </c>
      <c r="F940" s="24" t="s">
        <v>23</v>
      </c>
      <c r="G940" s="25" t="n">
        <v>0.95</v>
      </c>
      <c r="H940" s="26" t="n">
        <v>35</v>
      </c>
      <c r="I940" s="27" t="n">
        <v>50</v>
      </c>
      <c r="J940" s="28" t="n">
        <v>2</v>
      </c>
      <c r="K940" s="28" t="n">
        <v>1</v>
      </c>
      <c r="L940" s="24" t="s">
        <v>24</v>
      </c>
      <c r="M940" s="57" t="n">
        <f aca="false">IF("non" = "oui",60*(1-disc),60)</f>
        <v>60</v>
      </c>
      <c r="N940" s="57" t="n">
        <f aca="false">IF("non" = "oui",60*(1-disc)*1.2,60*1.2)</f>
        <v>72</v>
      </c>
      <c r="O940" s="58" t="s">
        <v>26</v>
      </c>
      <c r="P940" s="7" t="s">
        <v>26</v>
      </c>
      <c r="Q940" s="59" t="s">
        <v>87</v>
      </c>
    </row>
    <row r="941" customFormat="false" ht="12.8" hidden="false" customHeight="false" outlineLevel="0" collapsed="false">
      <c r="A941" s="22"/>
      <c r="B941" s="23"/>
      <c r="C941" s="24"/>
      <c r="D941" s="22"/>
      <c r="E941" s="19"/>
      <c r="F941" s="24"/>
      <c r="G941" s="25"/>
      <c r="H941" s="26"/>
      <c r="I941" s="27"/>
      <c r="J941" s="28"/>
      <c r="K941" s="28"/>
      <c r="L941" s="24"/>
      <c r="M941" s="29"/>
      <c r="N941" s="29"/>
      <c r="O941" s="24"/>
      <c r="P941" s="4"/>
      <c r="Q941" s="16"/>
    </row>
    <row r="942" customFormat="false" ht="12.8" hidden="false" customHeight="false" outlineLevel="0" collapsed="false">
      <c r="A942" s="22" t="s">
        <v>69</v>
      </c>
      <c r="B942" s="23" t="n">
        <v>202027000</v>
      </c>
      <c r="C942" s="24" t="n">
        <v>30</v>
      </c>
      <c r="D942" s="54" t="s">
        <v>868</v>
      </c>
      <c r="E942" s="19" t="s">
        <v>869</v>
      </c>
      <c r="F942" s="24" t="s">
        <v>647</v>
      </c>
      <c r="G942" s="25" t="n">
        <v>1</v>
      </c>
      <c r="H942" s="26" t="n">
        <v>30</v>
      </c>
      <c r="I942" s="27"/>
      <c r="J942" s="28" t="n">
        <v>2</v>
      </c>
      <c r="K942" s="28" t="n">
        <v>1</v>
      </c>
      <c r="L942" s="24" t="s">
        <v>24</v>
      </c>
      <c r="M942" s="57" t="n">
        <f aca="false">IF("non" = "oui",80*(1-disc),80)</f>
        <v>80</v>
      </c>
      <c r="N942" s="57" t="n">
        <f aca="false">IF("non" = "oui",80*(1-disc)*1.2,80*1.2)</f>
        <v>96</v>
      </c>
      <c r="O942" s="58" t="s">
        <v>26</v>
      </c>
      <c r="P942" s="7" t="s">
        <v>26</v>
      </c>
      <c r="Q942" s="59" t="s">
        <v>81</v>
      </c>
    </row>
    <row r="943" customFormat="false" ht="12.8" hidden="false" customHeight="false" outlineLevel="0" collapsed="false">
      <c r="A943" s="22"/>
      <c r="B943" s="23"/>
      <c r="C943" s="24"/>
      <c r="D943" s="22"/>
      <c r="E943" s="19"/>
      <c r="F943" s="24"/>
      <c r="G943" s="25"/>
      <c r="H943" s="26"/>
      <c r="I943" s="27"/>
      <c r="J943" s="28"/>
      <c r="K943" s="28"/>
      <c r="L943" s="24"/>
      <c r="M943" s="29"/>
      <c r="N943" s="29"/>
      <c r="O943" s="24"/>
      <c r="P943" s="4"/>
      <c r="Q943" s="16"/>
    </row>
    <row r="944" customFormat="false" ht="12.8" hidden="false" customHeight="false" outlineLevel="0" collapsed="false">
      <c r="A944" s="22" t="s">
        <v>69</v>
      </c>
      <c r="B944" s="23" t="n">
        <v>202037000</v>
      </c>
      <c r="C944" s="24" t="n">
        <v>20</v>
      </c>
      <c r="D944" s="54" t="s">
        <v>870</v>
      </c>
      <c r="E944" s="19" t="s">
        <v>871</v>
      </c>
      <c r="F944" s="24" t="s">
        <v>23</v>
      </c>
      <c r="G944" s="25" t="n">
        <v>1.599</v>
      </c>
      <c r="H944" s="26"/>
      <c r="I944" s="27"/>
      <c r="J944" s="28" t="n">
        <v>1</v>
      </c>
      <c r="K944" s="28" t="n">
        <v>1</v>
      </c>
      <c r="L944" s="24" t="s">
        <v>24</v>
      </c>
      <c r="M944" s="57" t="n">
        <f aca="false">IF("non" = "oui",100*(1-disc),100)</f>
        <v>100</v>
      </c>
      <c r="N944" s="57" t="n">
        <f aca="false">IF("non" = "oui",100*(1-disc)*1.2,100*1.2)</f>
        <v>120</v>
      </c>
      <c r="O944" s="58" t="s">
        <v>26</v>
      </c>
      <c r="P944" s="7" t="s">
        <v>26</v>
      </c>
      <c r="Q944" s="59" t="s">
        <v>81</v>
      </c>
    </row>
    <row r="945" customFormat="false" ht="12.8" hidden="false" customHeight="false" outlineLevel="0" collapsed="false">
      <c r="A945" s="22" t="s">
        <v>69</v>
      </c>
      <c r="B945" s="23" t="n">
        <v>202033000</v>
      </c>
      <c r="C945" s="24" t="n">
        <v>20</v>
      </c>
      <c r="D945" s="54" t="s">
        <v>872</v>
      </c>
      <c r="E945" s="19" t="s">
        <v>873</v>
      </c>
      <c r="F945" s="24" t="s">
        <v>647</v>
      </c>
      <c r="G945" s="25" t="n">
        <v>0.66</v>
      </c>
      <c r="H945" s="26"/>
      <c r="I945" s="27"/>
      <c r="J945" s="28" t="n">
        <v>2</v>
      </c>
      <c r="K945" s="28" t="n">
        <v>1</v>
      </c>
      <c r="L945" s="24" t="s">
        <v>24</v>
      </c>
      <c r="M945" s="57" t="n">
        <f aca="false">IF("non" = "oui",70*(1-disc),70)</f>
        <v>70</v>
      </c>
      <c r="N945" s="57" t="n">
        <f aca="false">IF("non" = "oui",70*(1-disc)*1.2,70*1.2)</f>
        <v>84</v>
      </c>
      <c r="O945" s="58" t="s">
        <v>26</v>
      </c>
      <c r="P945" s="7" t="s">
        <v>26</v>
      </c>
      <c r="Q945" s="59" t="s">
        <v>81</v>
      </c>
    </row>
    <row r="946" customFormat="false" ht="12.8" hidden="false" customHeight="false" outlineLevel="0" collapsed="false">
      <c r="A946" s="22" t="s">
        <v>69</v>
      </c>
      <c r="B946" s="23" t="n">
        <v>202034000</v>
      </c>
      <c r="C946" s="24" t="n">
        <v>20</v>
      </c>
      <c r="D946" s="54" t="s">
        <v>874</v>
      </c>
      <c r="E946" s="19" t="s">
        <v>873</v>
      </c>
      <c r="F946" s="24" t="s">
        <v>647</v>
      </c>
      <c r="G946" s="25" t="n">
        <v>0.65</v>
      </c>
      <c r="H946" s="26"/>
      <c r="I946" s="27"/>
      <c r="J946" s="28" t="n">
        <v>2</v>
      </c>
      <c r="K946" s="28" t="n">
        <v>1</v>
      </c>
      <c r="L946" s="24" t="s">
        <v>24</v>
      </c>
      <c r="M946" s="57" t="n">
        <f aca="false">IF("non" = "oui",75*(1-disc),75)</f>
        <v>75</v>
      </c>
      <c r="N946" s="57" t="n">
        <f aca="false">IF("non" = "oui",75*(1-disc)*1.2,75*1.2)</f>
        <v>90</v>
      </c>
      <c r="O946" s="58" t="s">
        <v>26</v>
      </c>
      <c r="P946" s="7" t="s">
        <v>26</v>
      </c>
      <c r="Q946" s="59" t="s">
        <v>81</v>
      </c>
    </row>
    <row r="947" customFormat="false" ht="12.8" hidden="false" customHeight="false" outlineLevel="0" collapsed="false">
      <c r="A947" s="22" t="s">
        <v>69</v>
      </c>
      <c r="B947" s="23" t="n">
        <v>202032000</v>
      </c>
      <c r="C947" s="24" t="n">
        <v>20</v>
      </c>
      <c r="D947" s="54" t="s">
        <v>875</v>
      </c>
      <c r="E947" s="19" t="s">
        <v>876</v>
      </c>
      <c r="F947" s="24" t="s">
        <v>630</v>
      </c>
      <c r="G947" s="25" t="n">
        <v>0.499</v>
      </c>
      <c r="H947" s="26" t="n">
        <v>90</v>
      </c>
      <c r="I947" s="27"/>
      <c r="J947" s="28" t="n">
        <v>4</v>
      </c>
      <c r="K947" s="28" t="n">
        <v>1</v>
      </c>
      <c r="L947" s="24" t="s">
        <v>24</v>
      </c>
      <c r="M947" s="57" t="n">
        <f aca="false">IF("non" = "oui",50*(1-disc),50)</f>
        <v>50</v>
      </c>
      <c r="N947" s="57" t="n">
        <f aca="false">IF("non" = "oui",50*(1-disc)*1.2,50*1.2)</f>
        <v>60</v>
      </c>
      <c r="O947" s="58" t="s">
        <v>26</v>
      </c>
      <c r="P947" s="7" t="s">
        <v>26</v>
      </c>
      <c r="Q947" s="59" t="s">
        <v>81</v>
      </c>
    </row>
    <row r="948" customFormat="false" ht="12.8" hidden="false" customHeight="false" outlineLevel="0" collapsed="false">
      <c r="A948" s="22" t="s">
        <v>69</v>
      </c>
      <c r="B948" s="23" t="n">
        <v>202030000</v>
      </c>
      <c r="C948" s="24" t="n">
        <v>20</v>
      </c>
      <c r="D948" s="54" t="s">
        <v>877</v>
      </c>
      <c r="E948" s="19" t="s">
        <v>876</v>
      </c>
      <c r="F948" s="24" t="s">
        <v>630</v>
      </c>
      <c r="G948" s="25" t="n">
        <v>0.499</v>
      </c>
      <c r="H948" s="26" t="n">
        <v>50</v>
      </c>
      <c r="I948" s="27"/>
      <c r="J948" s="28" t="n">
        <v>4</v>
      </c>
      <c r="K948" s="28" t="n">
        <v>1</v>
      </c>
      <c r="L948" s="24" t="s">
        <v>24</v>
      </c>
      <c r="M948" s="57" t="n">
        <f aca="false">IF("non" = "oui",50*(1-disc),50)</f>
        <v>50</v>
      </c>
      <c r="N948" s="57" t="n">
        <f aca="false">IF("non" = "oui",50*(1-disc)*1.2,50*1.2)</f>
        <v>60</v>
      </c>
      <c r="O948" s="58" t="s">
        <v>26</v>
      </c>
      <c r="P948" s="7" t="s">
        <v>26</v>
      </c>
      <c r="Q948" s="59" t="s">
        <v>81</v>
      </c>
    </row>
    <row r="949" customFormat="false" ht="12.8" hidden="false" customHeight="false" outlineLevel="0" collapsed="false">
      <c r="A949" s="22" t="s">
        <v>69</v>
      </c>
      <c r="B949" s="23" t="n">
        <v>202031000</v>
      </c>
      <c r="C949" s="24" t="n">
        <v>20</v>
      </c>
      <c r="D949" s="54" t="s">
        <v>878</v>
      </c>
      <c r="E949" s="19" t="s">
        <v>876</v>
      </c>
      <c r="F949" s="24" t="s">
        <v>630</v>
      </c>
      <c r="G949" s="25" t="n">
        <v>0.499</v>
      </c>
      <c r="H949" s="26" t="n">
        <v>50</v>
      </c>
      <c r="I949" s="27"/>
      <c r="J949" s="28" t="n">
        <v>4</v>
      </c>
      <c r="K949" s="28" t="n">
        <v>1</v>
      </c>
      <c r="L949" s="24" t="s">
        <v>24</v>
      </c>
      <c r="M949" s="57" t="n">
        <f aca="false">IF("non" = "oui",50*(1-disc),50)</f>
        <v>50</v>
      </c>
      <c r="N949" s="57" t="n">
        <f aca="false">IF("non" = "oui",50*(1-disc)*1.2,50*1.2)</f>
        <v>60</v>
      </c>
      <c r="O949" s="58" t="s">
        <v>26</v>
      </c>
      <c r="P949" s="7" t="s">
        <v>26</v>
      </c>
      <c r="Q949" s="59" t="s">
        <v>81</v>
      </c>
    </row>
    <row r="950" customFormat="false" ht="12.8" hidden="false" customHeight="false" outlineLevel="0" collapsed="false">
      <c r="A950" s="22" t="s">
        <v>69</v>
      </c>
      <c r="B950" s="23" t="n">
        <v>202029000</v>
      </c>
      <c r="C950" s="24" t="n">
        <v>20</v>
      </c>
      <c r="D950" s="54" t="s">
        <v>879</v>
      </c>
      <c r="E950" s="19" t="s">
        <v>876</v>
      </c>
      <c r="F950" s="24" t="s">
        <v>630</v>
      </c>
      <c r="G950" s="25" t="n">
        <v>0.499</v>
      </c>
      <c r="H950" s="26" t="n">
        <v>50</v>
      </c>
      <c r="I950" s="27"/>
      <c r="J950" s="28" t="n">
        <v>4</v>
      </c>
      <c r="K950" s="28" t="n">
        <v>1</v>
      </c>
      <c r="L950" s="24" t="s">
        <v>24</v>
      </c>
      <c r="M950" s="57" t="n">
        <f aca="false">IF("non" = "oui",55*(1-disc),55)</f>
        <v>55</v>
      </c>
      <c r="N950" s="57" t="n">
        <f aca="false">IF("non" = "oui",55*(1-disc)*1.2,55*1.2)</f>
        <v>66</v>
      </c>
      <c r="O950" s="58" t="s">
        <v>26</v>
      </c>
      <c r="P950" s="7" t="s">
        <v>26</v>
      </c>
      <c r="Q950" s="59" t="s">
        <v>81</v>
      </c>
    </row>
    <row r="951" customFormat="false" ht="12.8" hidden="false" customHeight="false" outlineLevel="0" collapsed="false">
      <c r="A951" s="22"/>
      <c r="B951" s="23"/>
      <c r="C951" s="24"/>
      <c r="D951" s="22"/>
      <c r="E951" s="19"/>
      <c r="F951" s="24"/>
      <c r="G951" s="25"/>
      <c r="H951" s="26"/>
      <c r="I951" s="27"/>
      <c r="J951" s="28"/>
      <c r="K951" s="28"/>
      <c r="L951" s="24"/>
      <c r="M951" s="29"/>
      <c r="N951" s="29"/>
      <c r="O951" s="24"/>
      <c r="P951" s="4"/>
      <c r="Q951" s="16"/>
    </row>
    <row r="952" customFormat="false" ht="12.8" hidden="false" customHeight="false" outlineLevel="0" collapsed="false">
      <c r="A952" s="22" t="s">
        <v>69</v>
      </c>
      <c r="B952" s="23" t="n">
        <v>202006000</v>
      </c>
      <c r="C952" s="24" t="n">
        <v>20</v>
      </c>
      <c r="D952" s="54" t="s">
        <v>880</v>
      </c>
      <c r="E952" s="19" t="s">
        <v>873</v>
      </c>
      <c r="F952" s="24" t="s">
        <v>647</v>
      </c>
      <c r="G952" s="25" t="n">
        <v>0.976</v>
      </c>
      <c r="H952" s="26" t="n">
        <v>60</v>
      </c>
      <c r="I952" s="27"/>
      <c r="J952" s="28" t="n">
        <v>2</v>
      </c>
      <c r="K952" s="28" t="n">
        <v>1</v>
      </c>
      <c r="L952" s="24" t="s">
        <v>24</v>
      </c>
      <c r="M952" s="57" t="n">
        <f aca="false">IF("non" = "oui",100*(1-disc),100)</f>
        <v>100</v>
      </c>
      <c r="N952" s="57" t="n">
        <f aca="false">IF("non" = "oui",100*(1-disc)*1.2,100*1.2)</f>
        <v>120</v>
      </c>
      <c r="O952" s="58" t="s">
        <v>26</v>
      </c>
      <c r="P952" s="7" t="s">
        <v>26</v>
      </c>
      <c r="Q952" s="59" t="s">
        <v>81</v>
      </c>
    </row>
    <row r="953" customFormat="false" ht="12.8" hidden="false" customHeight="false" outlineLevel="0" collapsed="false">
      <c r="A953" s="22"/>
      <c r="B953" s="23"/>
      <c r="C953" s="24"/>
      <c r="D953" s="22"/>
      <c r="E953" s="19"/>
      <c r="F953" s="24"/>
      <c r="G953" s="25"/>
      <c r="H953" s="26"/>
      <c r="I953" s="27"/>
      <c r="J953" s="28"/>
      <c r="K953" s="28"/>
      <c r="L953" s="24"/>
      <c r="M953" s="29"/>
      <c r="N953" s="29"/>
      <c r="O953" s="24"/>
      <c r="P953" s="4"/>
      <c r="Q953" s="16"/>
    </row>
    <row r="954" customFormat="false" ht="12.8" hidden="false" customHeight="false" outlineLevel="0" collapsed="false">
      <c r="A954" s="30" t="s">
        <v>881</v>
      </c>
      <c r="B954" s="31"/>
      <c r="C954" s="32"/>
      <c r="D954" s="33"/>
      <c r="E954" s="34"/>
      <c r="F954" s="32"/>
      <c r="G954" s="35"/>
      <c r="H954" s="36"/>
      <c r="I954" s="37"/>
      <c r="J954" s="38"/>
      <c r="K954" s="38"/>
      <c r="L954" s="32"/>
      <c r="M954" s="39"/>
      <c r="N954" s="39"/>
      <c r="O954" s="32"/>
      <c r="P954" s="40"/>
      <c r="Q954" s="41"/>
    </row>
    <row r="955" customFormat="false" ht="12.8" hidden="false" customHeight="false" outlineLevel="0" collapsed="false">
      <c r="A955" s="22"/>
      <c r="B955" s="23"/>
      <c r="C955" s="24"/>
      <c r="D955" s="22"/>
      <c r="E955" s="19"/>
      <c r="F955" s="24"/>
      <c r="G955" s="25"/>
      <c r="H955" s="26"/>
      <c r="I955" s="27"/>
      <c r="J955" s="28"/>
      <c r="K955" s="28"/>
      <c r="L955" s="24"/>
      <c r="M955" s="29"/>
      <c r="N955" s="29"/>
      <c r="O955" s="24"/>
      <c r="P955" s="4"/>
      <c r="Q955" s="16"/>
    </row>
    <row r="956" customFormat="false" ht="12.8" hidden="false" customHeight="false" outlineLevel="0" collapsed="false">
      <c r="A956" s="42" t="s">
        <v>882</v>
      </c>
      <c r="B956" s="43"/>
      <c r="C956" s="44"/>
      <c r="D956" s="45"/>
      <c r="E956" s="46"/>
      <c r="F956" s="44"/>
      <c r="G956" s="47"/>
      <c r="H956" s="48"/>
      <c r="I956" s="49"/>
      <c r="J956" s="50"/>
      <c r="K956" s="50"/>
      <c r="L956" s="44"/>
      <c r="M956" s="51"/>
      <c r="N956" s="51"/>
      <c r="O956" s="44"/>
      <c r="P956" s="52"/>
      <c r="Q956" s="53"/>
    </row>
    <row r="957" customFormat="false" ht="12.8" hidden="false" customHeight="false" outlineLevel="0" collapsed="false">
      <c r="A957" s="22"/>
      <c r="B957" s="23"/>
      <c r="C957" s="24"/>
      <c r="D957" s="22"/>
      <c r="E957" s="19"/>
      <c r="F957" s="24"/>
      <c r="G957" s="25"/>
      <c r="H957" s="26"/>
      <c r="I957" s="27"/>
      <c r="J957" s="28"/>
      <c r="K957" s="28"/>
      <c r="L957" s="24"/>
      <c r="M957" s="29"/>
      <c r="N957" s="29"/>
      <c r="O957" s="24"/>
      <c r="P957" s="4"/>
      <c r="Q957" s="16"/>
    </row>
    <row r="958" customFormat="false" ht="12.8" hidden="false" customHeight="false" outlineLevel="0" collapsed="false">
      <c r="A958" s="22"/>
      <c r="B958" s="23" t="n">
        <v>500297000</v>
      </c>
      <c r="C958" s="24" t="n">
        <v>50</v>
      </c>
      <c r="D958" s="54" t="s">
        <v>883</v>
      </c>
      <c r="E958" s="19" t="s">
        <v>884</v>
      </c>
      <c r="F958" s="24" t="s">
        <v>23</v>
      </c>
      <c r="G958" s="25" t="n">
        <v>0.52</v>
      </c>
      <c r="H958" s="26" t="n">
        <v>40</v>
      </c>
      <c r="I958" s="27" t="n">
        <v>70</v>
      </c>
      <c r="J958" s="28" t="n">
        <v>4</v>
      </c>
      <c r="K958" s="28" t="n">
        <v>1</v>
      </c>
      <c r="L958" s="24" t="s">
        <v>631</v>
      </c>
      <c r="M958" s="29" t="n">
        <f aca="false">IF("oui" = "oui",35.85*(1-disc),35.85)</f>
        <v>35.85</v>
      </c>
      <c r="N958" s="29" t="n">
        <f aca="false">IF("oui" = "oui",35.85*(1-disc)*1.2,35.85*1.2)</f>
        <v>43.02</v>
      </c>
      <c r="O958" s="24" t="s">
        <v>25</v>
      </c>
      <c r="P958" s="7" t="s">
        <v>26</v>
      </c>
      <c r="Q958" s="16"/>
    </row>
    <row r="959" customFormat="false" ht="12.8" hidden="false" customHeight="false" outlineLevel="0" collapsed="false">
      <c r="A959" s="22"/>
      <c r="B959" s="23" t="n">
        <v>500298000</v>
      </c>
      <c r="C959" s="24" t="n">
        <v>50</v>
      </c>
      <c r="D959" s="54" t="s">
        <v>885</v>
      </c>
      <c r="E959" s="19" t="s">
        <v>884</v>
      </c>
      <c r="F959" s="24" t="s">
        <v>23</v>
      </c>
      <c r="G959" s="25" t="n">
        <v>0.52</v>
      </c>
      <c r="H959" s="26" t="n">
        <v>40</v>
      </c>
      <c r="I959" s="27" t="n">
        <v>70</v>
      </c>
      <c r="J959" s="28" t="n">
        <v>4</v>
      </c>
      <c r="K959" s="28" t="n">
        <v>1</v>
      </c>
      <c r="L959" s="24" t="s">
        <v>631</v>
      </c>
      <c r="M959" s="29" t="n">
        <f aca="false">IF("oui" = "oui",35.85*(1-disc),35.85)</f>
        <v>35.85</v>
      </c>
      <c r="N959" s="29" t="n">
        <f aca="false">IF("oui" = "oui",35.85*(1-disc)*1.2,35.85*1.2)</f>
        <v>43.02</v>
      </c>
      <c r="O959" s="24" t="s">
        <v>25</v>
      </c>
      <c r="P959" s="7" t="s">
        <v>26</v>
      </c>
      <c r="Q959" s="16"/>
    </row>
    <row r="960" customFormat="false" ht="12.8" hidden="false" customHeight="false" outlineLevel="0" collapsed="false">
      <c r="A960" s="22"/>
      <c r="B960" s="23"/>
      <c r="C960" s="24"/>
      <c r="D960" s="22"/>
      <c r="E960" s="19"/>
      <c r="F960" s="24"/>
      <c r="G960" s="25"/>
      <c r="H960" s="26"/>
      <c r="I960" s="27"/>
      <c r="J960" s="28"/>
      <c r="K960" s="28"/>
      <c r="L960" s="24"/>
      <c r="M960" s="29"/>
      <c r="N960" s="29"/>
      <c r="O960" s="24"/>
      <c r="P960" s="4"/>
      <c r="Q960" s="16"/>
    </row>
    <row r="961" customFormat="false" ht="12.8" hidden="false" customHeight="false" outlineLevel="0" collapsed="false">
      <c r="A961" s="42" t="s">
        <v>886</v>
      </c>
      <c r="B961" s="43"/>
      <c r="C961" s="44"/>
      <c r="D961" s="45"/>
      <c r="E961" s="46"/>
      <c r="F961" s="44"/>
      <c r="G961" s="47"/>
      <c r="H961" s="48"/>
      <c r="I961" s="49"/>
      <c r="J961" s="50"/>
      <c r="K961" s="50"/>
      <c r="L961" s="44"/>
      <c r="M961" s="51"/>
      <c r="N961" s="51"/>
      <c r="O961" s="44"/>
      <c r="P961" s="52"/>
      <c r="Q961" s="53"/>
    </row>
    <row r="962" customFormat="false" ht="12.8" hidden="false" customHeight="false" outlineLevel="0" collapsed="false">
      <c r="A962" s="22"/>
      <c r="B962" s="23"/>
      <c r="C962" s="24"/>
      <c r="D962" s="22"/>
      <c r="E962" s="19"/>
      <c r="F962" s="24"/>
      <c r="G962" s="25"/>
      <c r="H962" s="26"/>
      <c r="I962" s="27"/>
      <c r="J962" s="28"/>
      <c r="K962" s="28"/>
      <c r="L962" s="24"/>
      <c r="M962" s="29"/>
      <c r="N962" s="29"/>
      <c r="O962" s="24"/>
      <c r="P962" s="4"/>
      <c r="Q962" s="16"/>
    </row>
    <row r="963" customFormat="false" ht="12.8" hidden="false" customHeight="false" outlineLevel="0" collapsed="false">
      <c r="A963" s="22"/>
      <c r="B963" s="23" t="n">
        <v>500004000</v>
      </c>
      <c r="C963" s="24" t="n">
        <v>30</v>
      </c>
      <c r="D963" s="54" t="s">
        <v>887</v>
      </c>
      <c r="E963" s="19" t="s">
        <v>888</v>
      </c>
      <c r="F963" s="24" t="s">
        <v>630</v>
      </c>
      <c r="G963" s="25" t="n">
        <v>0.219</v>
      </c>
      <c r="H963" s="26" t="n">
        <v>35</v>
      </c>
      <c r="I963" s="27" t="n">
        <v>30</v>
      </c>
      <c r="J963" s="28" t="n">
        <v>8</v>
      </c>
      <c r="K963" s="28" t="n">
        <v>1</v>
      </c>
      <c r="L963" s="24" t="s">
        <v>631</v>
      </c>
      <c r="M963" s="29" t="n">
        <f aca="false">IF("oui" = "oui",14.78*(1-disc),14.78)</f>
        <v>14.78</v>
      </c>
      <c r="N963" s="29" t="n">
        <f aca="false">IF("oui" = "oui",14.78*(1-disc)*1.2,14.78*1.2)</f>
        <v>17.736</v>
      </c>
      <c r="O963" s="24" t="s">
        <v>25</v>
      </c>
      <c r="P963" s="7" t="s">
        <v>26</v>
      </c>
      <c r="Q963" s="16"/>
    </row>
    <row r="964" customFormat="false" ht="12.8" hidden="false" customHeight="false" outlineLevel="0" collapsed="false">
      <c r="A964" s="22"/>
      <c r="B964" s="23" t="n">
        <v>500005000</v>
      </c>
      <c r="C964" s="24" t="n">
        <v>30</v>
      </c>
      <c r="D964" s="54" t="s">
        <v>889</v>
      </c>
      <c r="E964" s="19" t="s">
        <v>888</v>
      </c>
      <c r="F964" s="24" t="s">
        <v>630</v>
      </c>
      <c r="G964" s="25" t="n">
        <v>0.219</v>
      </c>
      <c r="H964" s="26" t="n">
        <v>35</v>
      </c>
      <c r="I964" s="27" t="n">
        <v>30</v>
      </c>
      <c r="J964" s="28" t="n">
        <v>8</v>
      </c>
      <c r="K964" s="28" t="n">
        <v>1</v>
      </c>
      <c r="L964" s="24" t="s">
        <v>631</v>
      </c>
      <c r="M964" s="29" t="n">
        <f aca="false">IF("oui" = "oui",14.78*(1-disc),14.78)</f>
        <v>14.78</v>
      </c>
      <c r="N964" s="29" t="n">
        <f aca="false">IF("oui" = "oui",14.78*(1-disc)*1.2,14.78*1.2)</f>
        <v>17.736</v>
      </c>
      <c r="O964" s="24" t="s">
        <v>25</v>
      </c>
      <c r="P964" s="7" t="s">
        <v>26</v>
      </c>
      <c r="Q964" s="16"/>
    </row>
    <row r="965" customFormat="false" ht="12.8" hidden="false" customHeight="false" outlineLevel="0" collapsed="false">
      <c r="A965" s="22"/>
      <c r="B965" s="23" t="n">
        <v>500006000</v>
      </c>
      <c r="C965" s="24" t="n">
        <v>30</v>
      </c>
      <c r="D965" s="54" t="s">
        <v>890</v>
      </c>
      <c r="E965" s="19" t="s">
        <v>888</v>
      </c>
      <c r="F965" s="24" t="s">
        <v>630</v>
      </c>
      <c r="G965" s="25" t="n">
        <v>0.219</v>
      </c>
      <c r="H965" s="26" t="n">
        <v>35</v>
      </c>
      <c r="I965" s="27" t="n">
        <v>30</v>
      </c>
      <c r="J965" s="28" t="n">
        <v>8</v>
      </c>
      <c r="K965" s="28" t="n">
        <v>1</v>
      </c>
      <c r="L965" s="24" t="s">
        <v>631</v>
      </c>
      <c r="M965" s="29" t="n">
        <f aca="false">IF("oui" = "oui",14.78*(1-disc),14.78)</f>
        <v>14.78</v>
      </c>
      <c r="N965" s="29" t="n">
        <f aca="false">IF("oui" = "oui",14.78*(1-disc)*1.2,14.78*1.2)</f>
        <v>17.736</v>
      </c>
      <c r="O965" s="24" t="s">
        <v>25</v>
      </c>
      <c r="P965" s="7" t="s">
        <v>26</v>
      </c>
      <c r="Q965" s="16"/>
    </row>
    <row r="966" customFormat="false" ht="12.8" hidden="false" customHeight="false" outlineLevel="0" collapsed="false">
      <c r="A966" s="22"/>
      <c r="B966" s="23" t="n">
        <v>500007000</v>
      </c>
      <c r="C966" s="24" t="n">
        <v>30</v>
      </c>
      <c r="D966" s="54" t="s">
        <v>891</v>
      </c>
      <c r="E966" s="19" t="s">
        <v>888</v>
      </c>
      <c r="F966" s="24" t="s">
        <v>630</v>
      </c>
      <c r="G966" s="25" t="n">
        <v>0.219</v>
      </c>
      <c r="H966" s="26" t="n">
        <v>35</v>
      </c>
      <c r="I966" s="27" t="n">
        <v>30</v>
      </c>
      <c r="J966" s="28" t="n">
        <v>8</v>
      </c>
      <c r="K966" s="28" t="n">
        <v>1</v>
      </c>
      <c r="L966" s="24" t="s">
        <v>631</v>
      </c>
      <c r="M966" s="29" t="n">
        <f aca="false">IF("oui" = "oui",14.78*(1-disc),14.78)</f>
        <v>14.78</v>
      </c>
      <c r="N966" s="29" t="n">
        <f aca="false">IF("oui" = "oui",14.78*(1-disc)*1.2,14.78*1.2)</f>
        <v>17.736</v>
      </c>
      <c r="O966" s="24" t="s">
        <v>25</v>
      </c>
      <c r="P966" s="7" t="s">
        <v>26</v>
      </c>
      <c r="Q966" s="16"/>
    </row>
    <row r="967" customFormat="false" ht="12.8" hidden="false" customHeight="false" outlineLevel="0" collapsed="false">
      <c r="A967" s="22"/>
      <c r="B967" s="23" t="n">
        <v>500008000</v>
      </c>
      <c r="C967" s="24" t="n">
        <v>30</v>
      </c>
      <c r="D967" s="54" t="s">
        <v>892</v>
      </c>
      <c r="E967" s="19" t="s">
        <v>888</v>
      </c>
      <c r="F967" s="24" t="s">
        <v>630</v>
      </c>
      <c r="G967" s="25" t="n">
        <v>0.219</v>
      </c>
      <c r="H967" s="26" t="n">
        <v>35</v>
      </c>
      <c r="I967" s="27" t="n">
        <v>30</v>
      </c>
      <c r="J967" s="28" t="n">
        <v>8</v>
      </c>
      <c r="K967" s="28" t="n">
        <v>1</v>
      </c>
      <c r="L967" s="24" t="s">
        <v>631</v>
      </c>
      <c r="M967" s="29" t="n">
        <f aca="false">IF("oui" = "oui",14.78*(1-disc),14.78)</f>
        <v>14.78</v>
      </c>
      <c r="N967" s="29" t="n">
        <f aca="false">IF("oui" = "oui",14.78*(1-disc)*1.2,14.78*1.2)</f>
        <v>17.736</v>
      </c>
      <c r="O967" s="24" t="s">
        <v>25</v>
      </c>
      <c r="P967" s="7" t="s">
        <v>26</v>
      </c>
      <c r="Q967" s="16"/>
    </row>
    <row r="968" customFormat="false" ht="12.8" hidden="false" customHeight="false" outlineLevel="0" collapsed="false">
      <c r="A968" s="22"/>
      <c r="B968" s="23"/>
      <c r="C968" s="24"/>
      <c r="D968" s="22"/>
      <c r="E968" s="19"/>
      <c r="F968" s="24"/>
      <c r="G968" s="25"/>
      <c r="H968" s="26"/>
      <c r="I968" s="27"/>
      <c r="J968" s="28"/>
      <c r="K968" s="28"/>
      <c r="L968" s="24"/>
      <c r="M968" s="29"/>
      <c r="N968" s="29"/>
      <c r="O968" s="24"/>
      <c r="P968" s="4"/>
      <c r="Q968" s="16"/>
    </row>
    <row r="969" customFormat="false" ht="12.8" hidden="false" customHeight="false" outlineLevel="0" collapsed="false">
      <c r="A969" s="42" t="s">
        <v>893</v>
      </c>
      <c r="B969" s="43"/>
      <c r="C969" s="44"/>
      <c r="D969" s="45"/>
      <c r="E969" s="46"/>
      <c r="F969" s="44"/>
      <c r="G969" s="47"/>
      <c r="H969" s="48"/>
      <c r="I969" s="49"/>
      <c r="J969" s="50"/>
      <c r="K969" s="50"/>
      <c r="L969" s="44"/>
      <c r="M969" s="51"/>
      <c r="N969" s="51"/>
      <c r="O969" s="44"/>
      <c r="P969" s="52"/>
      <c r="Q969" s="53"/>
    </row>
    <row r="970" customFormat="false" ht="12.8" hidden="false" customHeight="false" outlineLevel="0" collapsed="false">
      <c r="A970" s="22"/>
      <c r="B970" s="23"/>
      <c r="C970" s="24"/>
      <c r="D970" s="22"/>
      <c r="E970" s="19"/>
      <c r="F970" s="24"/>
      <c r="G970" s="25"/>
      <c r="H970" s="26"/>
      <c r="I970" s="27"/>
      <c r="J970" s="28"/>
      <c r="K970" s="28"/>
      <c r="L970" s="24"/>
      <c r="M970" s="29"/>
      <c r="N970" s="29"/>
      <c r="O970" s="24"/>
      <c r="P970" s="4"/>
      <c r="Q970" s="16"/>
    </row>
    <row r="971" customFormat="false" ht="12.8" hidden="false" customHeight="false" outlineLevel="0" collapsed="false">
      <c r="A971" s="22"/>
      <c r="B971" s="23" t="n">
        <v>500010000</v>
      </c>
      <c r="C971" s="24" t="n">
        <v>25</v>
      </c>
      <c r="D971" s="54" t="s">
        <v>894</v>
      </c>
      <c r="E971" s="19" t="s">
        <v>895</v>
      </c>
      <c r="F971" s="24" t="s">
        <v>630</v>
      </c>
      <c r="G971" s="25" t="n">
        <v>0.168</v>
      </c>
      <c r="H971" s="26" t="n">
        <v>30</v>
      </c>
      <c r="I971" s="27" t="n">
        <v>30</v>
      </c>
      <c r="J971" s="28" t="n">
        <v>18</v>
      </c>
      <c r="K971" s="28" t="n">
        <v>1</v>
      </c>
      <c r="L971" s="24" t="s">
        <v>631</v>
      </c>
      <c r="M971" s="29" t="n">
        <f aca="false">IF("oui" = "oui",10.87*(1-disc),10.87)</f>
        <v>10.87</v>
      </c>
      <c r="N971" s="29" t="n">
        <f aca="false">IF("oui" = "oui",10.87*(1-disc)*1.2,10.87*1.2)</f>
        <v>13.044</v>
      </c>
      <c r="O971" s="24" t="s">
        <v>25</v>
      </c>
      <c r="P971" s="7" t="s">
        <v>26</v>
      </c>
      <c r="Q971" s="16"/>
    </row>
    <row r="972" customFormat="false" ht="12.8" hidden="false" customHeight="false" outlineLevel="0" collapsed="false">
      <c r="A972" s="22"/>
      <c r="B972" s="23"/>
      <c r="C972" s="24"/>
      <c r="D972" s="22"/>
      <c r="E972" s="19"/>
      <c r="F972" s="24"/>
      <c r="G972" s="25"/>
      <c r="H972" s="26"/>
      <c r="I972" s="27"/>
      <c r="J972" s="28"/>
      <c r="K972" s="28"/>
      <c r="L972" s="24"/>
      <c r="M972" s="29"/>
      <c r="N972" s="29"/>
      <c r="O972" s="24"/>
      <c r="P972" s="4"/>
      <c r="Q972" s="16"/>
    </row>
    <row r="973" customFormat="false" ht="12.8" hidden="false" customHeight="false" outlineLevel="0" collapsed="false">
      <c r="A973" s="22"/>
      <c r="B973" s="23" t="n">
        <v>500011000</v>
      </c>
      <c r="C973" s="24" t="n">
        <v>30</v>
      </c>
      <c r="D973" s="54" t="s">
        <v>896</v>
      </c>
      <c r="E973" s="19" t="s">
        <v>897</v>
      </c>
      <c r="F973" s="24" t="s">
        <v>647</v>
      </c>
      <c r="G973" s="25" t="n">
        <v>0.434</v>
      </c>
      <c r="H973" s="26" t="n">
        <v>30</v>
      </c>
      <c r="I973" s="27" t="n">
        <v>30</v>
      </c>
      <c r="J973" s="28" t="n">
        <v>8</v>
      </c>
      <c r="K973" s="28" t="n">
        <v>1</v>
      </c>
      <c r="L973" s="24" t="s">
        <v>631</v>
      </c>
      <c r="M973" s="29" t="n">
        <f aca="false">IF("oui" = "oui",16.46*(1-disc),16.46)</f>
        <v>16.46</v>
      </c>
      <c r="N973" s="29" t="n">
        <f aca="false">IF("oui" = "oui",16.46*(1-disc)*1.2,16.46*1.2)</f>
        <v>19.752</v>
      </c>
      <c r="O973" s="24" t="s">
        <v>25</v>
      </c>
      <c r="P973" s="7" t="s">
        <v>26</v>
      </c>
      <c r="Q973" s="16"/>
    </row>
    <row r="974" customFormat="false" ht="12.8" hidden="false" customHeight="false" outlineLevel="0" collapsed="false">
      <c r="A974" s="22"/>
      <c r="B974" s="23" t="n">
        <v>500012000</v>
      </c>
      <c r="C974" s="24" t="n">
        <v>30</v>
      </c>
      <c r="D974" s="54" t="s">
        <v>898</v>
      </c>
      <c r="E974" s="19" t="s">
        <v>897</v>
      </c>
      <c r="F974" s="24" t="s">
        <v>647</v>
      </c>
      <c r="G974" s="25" t="n">
        <v>0.434</v>
      </c>
      <c r="H974" s="26" t="n">
        <v>30</v>
      </c>
      <c r="I974" s="27" t="n">
        <v>30</v>
      </c>
      <c r="J974" s="28" t="n">
        <v>8</v>
      </c>
      <c r="K974" s="28" t="n">
        <v>1</v>
      </c>
      <c r="L974" s="24" t="s">
        <v>631</v>
      </c>
      <c r="M974" s="29" t="n">
        <f aca="false">IF("oui" = "oui",16.46*(1-disc),16.46)</f>
        <v>16.46</v>
      </c>
      <c r="N974" s="29" t="n">
        <f aca="false">IF("oui" = "oui",16.46*(1-disc)*1.2,16.46*1.2)</f>
        <v>19.752</v>
      </c>
      <c r="O974" s="24" t="s">
        <v>25</v>
      </c>
      <c r="P974" s="7" t="s">
        <v>26</v>
      </c>
      <c r="Q974" s="16"/>
    </row>
    <row r="975" customFormat="false" ht="12.8" hidden="false" customHeight="false" outlineLevel="0" collapsed="false">
      <c r="A975" s="22"/>
      <c r="B975" s="23" t="n">
        <v>500013000</v>
      </c>
      <c r="C975" s="24" t="n">
        <v>30</v>
      </c>
      <c r="D975" s="54" t="s">
        <v>899</v>
      </c>
      <c r="E975" s="19" t="s">
        <v>897</v>
      </c>
      <c r="F975" s="24" t="s">
        <v>647</v>
      </c>
      <c r="G975" s="25" t="n">
        <v>0.434</v>
      </c>
      <c r="H975" s="26" t="n">
        <v>30</v>
      </c>
      <c r="I975" s="27" t="n">
        <v>30</v>
      </c>
      <c r="J975" s="28" t="n">
        <v>8</v>
      </c>
      <c r="K975" s="28" t="n">
        <v>1</v>
      </c>
      <c r="L975" s="24" t="s">
        <v>631</v>
      </c>
      <c r="M975" s="29" t="n">
        <f aca="false">IF("oui" = "oui",16.46*(1-disc),16.46)</f>
        <v>16.46</v>
      </c>
      <c r="N975" s="29" t="n">
        <f aca="false">IF("oui" = "oui",16.46*(1-disc)*1.2,16.46*1.2)</f>
        <v>19.752</v>
      </c>
      <c r="O975" s="24" t="s">
        <v>25</v>
      </c>
      <c r="P975" s="7" t="s">
        <v>26</v>
      </c>
      <c r="Q975" s="16"/>
    </row>
    <row r="976" customFormat="false" ht="12.8" hidden="false" customHeight="false" outlineLevel="0" collapsed="false">
      <c r="A976" s="22"/>
      <c r="B976" s="23" t="n">
        <v>500014000</v>
      </c>
      <c r="C976" s="24" t="n">
        <v>30</v>
      </c>
      <c r="D976" s="54" t="s">
        <v>900</v>
      </c>
      <c r="E976" s="19" t="s">
        <v>897</v>
      </c>
      <c r="F976" s="24" t="s">
        <v>647</v>
      </c>
      <c r="G976" s="25" t="n">
        <v>0.434</v>
      </c>
      <c r="H976" s="26" t="n">
        <v>30</v>
      </c>
      <c r="I976" s="27" t="n">
        <v>30</v>
      </c>
      <c r="J976" s="28" t="n">
        <v>8</v>
      </c>
      <c r="K976" s="28" t="n">
        <v>1</v>
      </c>
      <c r="L976" s="24" t="s">
        <v>631</v>
      </c>
      <c r="M976" s="29" t="n">
        <f aca="false">IF("oui" = "oui",16.46*(1-disc),16.46)</f>
        <v>16.46</v>
      </c>
      <c r="N976" s="29" t="n">
        <f aca="false">IF("oui" = "oui",16.46*(1-disc)*1.2,16.46*1.2)</f>
        <v>19.752</v>
      </c>
      <c r="O976" s="24" t="s">
        <v>25</v>
      </c>
      <c r="P976" s="7" t="s">
        <v>26</v>
      </c>
      <c r="Q976" s="16"/>
    </row>
    <row r="977" customFormat="false" ht="12.8" hidden="false" customHeight="false" outlineLevel="0" collapsed="false">
      <c r="A977" s="22"/>
      <c r="B977" s="23" t="n">
        <v>500015000</v>
      </c>
      <c r="C977" s="24" t="n">
        <v>30</v>
      </c>
      <c r="D977" s="54" t="s">
        <v>901</v>
      </c>
      <c r="E977" s="19" t="s">
        <v>897</v>
      </c>
      <c r="F977" s="24" t="s">
        <v>647</v>
      </c>
      <c r="G977" s="25" t="n">
        <v>0.434</v>
      </c>
      <c r="H977" s="26" t="n">
        <v>30</v>
      </c>
      <c r="I977" s="27" t="n">
        <v>30</v>
      </c>
      <c r="J977" s="28" t="n">
        <v>8</v>
      </c>
      <c r="K977" s="28" t="n">
        <v>1</v>
      </c>
      <c r="L977" s="24" t="s">
        <v>631</v>
      </c>
      <c r="M977" s="29" t="n">
        <f aca="false">IF("oui" = "oui",16.46*(1-disc),16.46)</f>
        <v>16.46</v>
      </c>
      <c r="N977" s="29" t="n">
        <f aca="false">IF("oui" = "oui",16.46*(1-disc)*1.2,16.46*1.2)</f>
        <v>19.752</v>
      </c>
      <c r="O977" s="24" t="s">
        <v>25</v>
      </c>
      <c r="P977" s="7" t="s">
        <v>26</v>
      </c>
      <c r="Q977" s="16"/>
    </row>
    <row r="978" customFormat="false" ht="12.8" hidden="false" customHeight="false" outlineLevel="0" collapsed="false">
      <c r="A978" s="22"/>
      <c r="B978" s="23" t="n">
        <v>500016000</v>
      </c>
      <c r="C978" s="24" t="n">
        <v>30</v>
      </c>
      <c r="D978" s="54" t="s">
        <v>902</v>
      </c>
      <c r="E978" s="19" t="s">
        <v>897</v>
      </c>
      <c r="F978" s="24" t="s">
        <v>647</v>
      </c>
      <c r="G978" s="25" t="n">
        <v>0.434</v>
      </c>
      <c r="H978" s="26" t="n">
        <v>30</v>
      </c>
      <c r="I978" s="27" t="n">
        <v>30</v>
      </c>
      <c r="J978" s="28" t="n">
        <v>8</v>
      </c>
      <c r="K978" s="28" t="n">
        <v>1</v>
      </c>
      <c r="L978" s="24" t="s">
        <v>631</v>
      </c>
      <c r="M978" s="29" t="n">
        <f aca="false">IF("oui" = "oui",16.46*(1-disc),16.46)</f>
        <v>16.46</v>
      </c>
      <c r="N978" s="29" t="n">
        <f aca="false">IF("oui" = "oui",16.46*(1-disc)*1.2,16.46*1.2)</f>
        <v>19.752</v>
      </c>
      <c r="O978" s="24" t="s">
        <v>25</v>
      </c>
      <c r="P978" s="7" t="s">
        <v>26</v>
      </c>
      <c r="Q978" s="16"/>
    </row>
    <row r="979" customFormat="false" ht="12.8" hidden="false" customHeight="false" outlineLevel="0" collapsed="false">
      <c r="A979" s="22"/>
      <c r="B979" s="23" t="n">
        <v>500017000</v>
      </c>
      <c r="C979" s="24" t="n">
        <v>30</v>
      </c>
      <c r="D979" s="54" t="s">
        <v>903</v>
      </c>
      <c r="E979" s="19" t="s">
        <v>897</v>
      </c>
      <c r="F979" s="24" t="s">
        <v>647</v>
      </c>
      <c r="G979" s="25" t="n">
        <v>0.434</v>
      </c>
      <c r="H979" s="26" t="n">
        <v>30</v>
      </c>
      <c r="I979" s="27" t="n">
        <v>30</v>
      </c>
      <c r="J979" s="28" t="n">
        <v>8</v>
      </c>
      <c r="K979" s="28" t="n">
        <v>1</v>
      </c>
      <c r="L979" s="24" t="s">
        <v>631</v>
      </c>
      <c r="M979" s="29" t="n">
        <f aca="false">IF("oui" = "oui",16.46*(1-disc),16.46)</f>
        <v>16.46</v>
      </c>
      <c r="N979" s="29" t="n">
        <f aca="false">IF("oui" = "oui",16.46*(1-disc)*1.2,16.46*1.2)</f>
        <v>19.752</v>
      </c>
      <c r="O979" s="24" t="s">
        <v>25</v>
      </c>
      <c r="P979" s="7" t="s">
        <v>26</v>
      </c>
      <c r="Q979" s="16"/>
    </row>
    <row r="980" customFormat="false" ht="12.8" hidden="false" customHeight="false" outlineLevel="0" collapsed="false">
      <c r="A980" s="22"/>
      <c r="B980" s="23" t="n">
        <v>500018000</v>
      </c>
      <c r="C980" s="24" t="n">
        <v>30</v>
      </c>
      <c r="D980" s="54" t="s">
        <v>904</v>
      </c>
      <c r="E980" s="19" t="s">
        <v>897</v>
      </c>
      <c r="F980" s="24" t="s">
        <v>647</v>
      </c>
      <c r="G980" s="25" t="n">
        <v>0.434</v>
      </c>
      <c r="H980" s="26" t="n">
        <v>30</v>
      </c>
      <c r="I980" s="27" t="n">
        <v>30</v>
      </c>
      <c r="J980" s="28" t="n">
        <v>8</v>
      </c>
      <c r="K980" s="28" t="n">
        <v>1</v>
      </c>
      <c r="L980" s="24" t="s">
        <v>631</v>
      </c>
      <c r="M980" s="29" t="n">
        <f aca="false">IF("oui" = "oui",16.46*(1-disc),16.46)</f>
        <v>16.46</v>
      </c>
      <c r="N980" s="29" t="n">
        <f aca="false">IF("oui" = "oui",16.46*(1-disc)*1.2,16.46*1.2)</f>
        <v>19.752</v>
      </c>
      <c r="O980" s="24" t="s">
        <v>25</v>
      </c>
      <c r="P980" s="7" t="s">
        <v>26</v>
      </c>
      <c r="Q980" s="16"/>
    </row>
    <row r="981" customFormat="false" ht="12.8" hidden="false" customHeight="false" outlineLevel="0" collapsed="false">
      <c r="A981" s="22"/>
      <c r="B981" s="23" t="n">
        <v>500020000</v>
      </c>
      <c r="C981" s="24" t="n">
        <v>30</v>
      </c>
      <c r="D981" s="54" t="s">
        <v>905</v>
      </c>
      <c r="E981" s="19" t="s">
        <v>897</v>
      </c>
      <c r="F981" s="24" t="s">
        <v>647</v>
      </c>
      <c r="G981" s="25" t="n">
        <v>0.434</v>
      </c>
      <c r="H981" s="26" t="n">
        <v>30</v>
      </c>
      <c r="I981" s="27" t="n">
        <v>30</v>
      </c>
      <c r="J981" s="28" t="n">
        <v>8</v>
      </c>
      <c r="K981" s="28" t="n">
        <v>1</v>
      </c>
      <c r="L981" s="24" t="s">
        <v>631</v>
      </c>
      <c r="M981" s="29" t="n">
        <f aca="false">IF("oui" = "oui",16.46*(1-disc),16.46)</f>
        <v>16.46</v>
      </c>
      <c r="N981" s="29" t="n">
        <f aca="false">IF("oui" = "oui",16.46*(1-disc)*1.2,16.46*1.2)</f>
        <v>19.752</v>
      </c>
      <c r="O981" s="24" t="s">
        <v>25</v>
      </c>
      <c r="P981" s="7" t="s">
        <v>26</v>
      </c>
      <c r="Q981" s="16"/>
    </row>
    <row r="982" customFormat="false" ht="12.8" hidden="false" customHeight="false" outlineLevel="0" collapsed="false">
      <c r="A982" s="22"/>
      <c r="B982" s="23"/>
      <c r="C982" s="24"/>
      <c r="D982" s="22"/>
      <c r="E982" s="19"/>
      <c r="F982" s="24"/>
      <c r="G982" s="25"/>
      <c r="H982" s="26"/>
      <c r="I982" s="27"/>
      <c r="J982" s="28"/>
      <c r="K982" s="28"/>
      <c r="L982" s="24"/>
      <c r="M982" s="29"/>
      <c r="N982" s="29"/>
      <c r="O982" s="24"/>
      <c r="P982" s="4"/>
      <c r="Q982" s="16"/>
    </row>
    <row r="983" customFormat="false" ht="12.8" hidden="false" customHeight="false" outlineLevel="0" collapsed="false">
      <c r="A983" s="42" t="s">
        <v>906</v>
      </c>
      <c r="B983" s="43"/>
      <c r="C983" s="44"/>
      <c r="D983" s="45"/>
      <c r="E983" s="46"/>
      <c r="F983" s="44"/>
      <c r="G983" s="47"/>
      <c r="H983" s="48"/>
      <c r="I983" s="49"/>
      <c r="J983" s="50"/>
      <c r="K983" s="50"/>
      <c r="L983" s="44"/>
      <c r="M983" s="51"/>
      <c r="N983" s="51"/>
      <c r="O983" s="44"/>
      <c r="P983" s="52"/>
      <c r="Q983" s="53"/>
    </row>
    <row r="984" customFormat="false" ht="12.8" hidden="false" customHeight="false" outlineLevel="0" collapsed="false">
      <c r="A984" s="22"/>
      <c r="B984" s="23"/>
      <c r="C984" s="24"/>
      <c r="D984" s="22"/>
      <c r="E984" s="19"/>
      <c r="F984" s="24"/>
      <c r="G984" s="25"/>
      <c r="H984" s="26"/>
      <c r="I984" s="27"/>
      <c r="J984" s="28"/>
      <c r="K984" s="28"/>
      <c r="L984" s="24"/>
      <c r="M984" s="29"/>
      <c r="N984" s="29"/>
      <c r="O984" s="24"/>
      <c r="P984" s="4"/>
      <c r="Q984" s="16"/>
    </row>
    <row r="985" customFormat="false" ht="12.8" hidden="false" customHeight="false" outlineLevel="0" collapsed="false">
      <c r="A985" s="22"/>
      <c r="B985" s="23" t="n">
        <v>500026000</v>
      </c>
      <c r="C985" s="24" t="n">
        <v>30</v>
      </c>
      <c r="D985" s="54" t="s">
        <v>907</v>
      </c>
      <c r="E985" s="19" t="s">
        <v>908</v>
      </c>
      <c r="F985" s="24" t="s">
        <v>23</v>
      </c>
      <c r="G985" s="25" t="n">
        <v>0.322</v>
      </c>
      <c r="H985" s="26" t="n">
        <v>25</v>
      </c>
      <c r="I985" s="27" t="n">
        <v>50</v>
      </c>
      <c r="J985" s="28" t="n">
        <v>6</v>
      </c>
      <c r="K985" s="28" t="n">
        <v>1</v>
      </c>
      <c r="L985" s="24" t="s">
        <v>631</v>
      </c>
      <c r="M985" s="29" t="n">
        <f aca="false">IF("oui" = "oui",21.84*(1-disc),21.84)</f>
        <v>21.84</v>
      </c>
      <c r="N985" s="29" t="n">
        <f aca="false">IF("oui" = "oui",21.84*(1-disc)*1.2,21.84*1.2)</f>
        <v>26.208</v>
      </c>
      <c r="O985" s="24" t="s">
        <v>25</v>
      </c>
      <c r="P985" s="7" t="s">
        <v>26</v>
      </c>
      <c r="Q985" s="16"/>
    </row>
    <row r="986" customFormat="false" ht="12.8" hidden="false" customHeight="false" outlineLevel="0" collapsed="false">
      <c r="A986" s="22"/>
      <c r="B986" s="23"/>
      <c r="C986" s="24"/>
      <c r="D986" s="22"/>
      <c r="E986" s="19"/>
      <c r="F986" s="24"/>
      <c r="G986" s="25"/>
      <c r="H986" s="26"/>
      <c r="I986" s="27"/>
      <c r="J986" s="28"/>
      <c r="K986" s="28"/>
      <c r="L986" s="24"/>
      <c r="M986" s="29"/>
      <c r="N986" s="29"/>
      <c r="O986" s="24"/>
      <c r="P986" s="4"/>
      <c r="Q986" s="16"/>
    </row>
    <row r="987" customFormat="false" ht="12.8" hidden="false" customHeight="false" outlineLevel="0" collapsed="false">
      <c r="A987" s="22"/>
      <c r="B987" s="23" t="n">
        <v>500220000</v>
      </c>
      <c r="C987" s="24" t="n">
        <v>30</v>
      </c>
      <c r="D987" s="54" t="s">
        <v>909</v>
      </c>
      <c r="E987" s="19" t="s">
        <v>910</v>
      </c>
      <c r="F987" s="24" t="s">
        <v>630</v>
      </c>
      <c r="G987" s="25" t="n">
        <v>0.397</v>
      </c>
      <c r="H987" s="26" t="n">
        <v>30</v>
      </c>
      <c r="I987" s="27" t="n">
        <v>30</v>
      </c>
      <c r="J987" s="28" t="n">
        <v>6</v>
      </c>
      <c r="K987" s="28" t="n">
        <v>1</v>
      </c>
      <c r="L987" s="24" t="s">
        <v>631</v>
      </c>
      <c r="M987" s="29" t="n">
        <f aca="false">IF("oui" = "oui",21.84*(1-disc),21.84)</f>
        <v>21.84</v>
      </c>
      <c r="N987" s="29" t="n">
        <f aca="false">IF("oui" = "oui",21.84*(1-disc)*1.2,21.84*1.2)</f>
        <v>26.208</v>
      </c>
      <c r="O987" s="24" t="s">
        <v>25</v>
      </c>
      <c r="P987" s="7" t="s">
        <v>26</v>
      </c>
      <c r="Q987" s="16"/>
    </row>
    <row r="988" customFormat="false" ht="12.8" hidden="false" customHeight="false" outlineLevel="0" collapsed="false">
      <c r="A988" s="22"/>
      <c r="B988" s="23" t="n">
        <v>500025000</v>
      </c>
      <c r="C988" s="24" t="n">
        <v>30</v>
      </c>
      <c r="D988" s="54" t="s">
        <v>911</v>
      </c>
      <c r="E988" s="19" t="s">
        <v>910</v>
      </c>
      <c r="F988" s="24" t="s">
        <v>630</v>
      </c>
      <c r="G988" s="25" t="n">
        <v>0.337</v>
      </c>
      <c r="H988" s="26" t="n">
        <v>30</v>
      </c>
      <c r="I988" s="27" t="n">
        <v>30</v>
      </c>
      <c r="J988" s="28" t="n">
        <v>6</v>
      </c>
      <c r="K988" s="28" t="n">
        <v>1</v>
      </c>
      <c r="L988" s="24" t="s">
        <v>631</v>
      </c>
      <c r="M988" s="29" t="n">
        <f aca="false">IF("oui" = "oui",21.84*(1-disc),21.84)</f>
        <v>21.84</v>
      </c>
      <c r="N988" s="29" t="n">
        <f aca="false">IF("oui" = "oui",21.84*(1-disc)*1.2,21.84*1.2)</f>
        <v>26.208</v>
      </c>
      <c r="O988" s="24" t="s">
        <v>25</v>
      </c>
      <c r="P988" s="7" t="s">
        <v>26</v>
      </c>
      <c r="Q988" s="16"/>
    </row>
    <row r="989" customFormat="false" ht="12.8" hidden="false" customHeight="false" outlineLevel="0" collapsed="false">
      <c r="A989" s="22"/>
      <c r="B989" s="23"/>
      <c r="C989" s="24"/>
      <c r="D989" s="22"/>
      <c r="E989" s="19"/>
      <c r="F989" s="24"/>
      <c r="G989" s="25"/>
      <c r="H989" s="26"/>
      <c r="I989" s="27"/>
      <c r="J989" s="28"/>
      <c r="K989" s="28"/>
      <c r="L989" s="24"/>
      <c r="M989" s="29"/>
      <c r="N989" s="29"/>
      <c r="O989" s="24"/>
      <c r="P989" s="4"/>
      <c r="Q989" s="16"/>
    </row>
    <row r="990" customFormat="false" ht="12.8" hidden="false" customHeight="false" outlineLevel="0" collapsed="false">
      <c r="A990" s="22"/>
      <c r="B990" s="23" t="n">
        <v>500044000</v>
      </c>
      <c r="C990" s="24" t="n">
        <v>30</v>
      </c>
      <c r="D990" s="54" t="s">
        <v>912</v>
      </c>
      <c r="E990" s="19" t="s">
        <v>910</v>
      </c>
      <c r="F990" s="24" t="s">
        <v>630</v>
      </c>
      <c r="G990" s="25" t="n">
        <v>0.397</v>
      </c>
      <c r="H990" s="26" t="n">
        <v>30</v>
      </c>
      <c r="I990" s="27" t="n">
        <v>30</v>
      </c>
      <c r="J990" s="28" t="n">
        <v>6</v>
      </c>
      <c r="K990" s="28" t="n">
        <v>1</v>
      </c>
      <c r="L990" s="24" t="s">
        <v>631</v>
      </c>
      <c r="M990" s="29" t="n">
        <f aca="false">IF("oui" = "oui",21.84*(1-disc),21.84)</f>
        <v>21.84</v>
      </c>
      <c r="N990" s="29" t="n">
        <f aca="false">IF("oui" = "oui",21.84*(1-disc)*1.2,21.84*1.2)</f>
        <v>26.208</v>
      </c>
      <c r="O990" s="24" t="s">
        <v>25</v>
      </c>
      <c r="P990" s="7" t="s">
        <v>26</v>
      </c>
      <c r="Q990" s="16"/>
    </row>
    <row r="991" customFormat="false" ht="12.8" hidden="false" customHeight="false" outlineLevel="0" collapsed="false">
      <c r="A991" s="22"/>
      <c r="B991" s="23" t="n">
        <v>500045000</v>
      </c>
      <c r="C991" s="24" t="n">
        <v>30</v>
      </c>
      <c r="D991" s="54" t="s">
        <v>913</v>
      </c>
      <c r="E991" s="19" t="s">
        <v>910</v>
      </c>
      <c r="F991" s="24" t="s">
        <v>630</v>
      </c>
      <c r="G991" s="25" t="n">
        <v>0.397</v>
      </c>
      <c r="H991" s="26" t="n">
        <v>30</v>
      </c>
      <c r="I991" s="27" t="n">
        <v>30</v>
      </c>
      <c r="J991" s="28" t="n">
        <v>6</v>
      </c>
      <c r="K991" s="28" t="n">
        <v>1</v>
      </c>
      <c r="L991" s="24" t="s">
        <v>631</v>
      </c>
      <c r="M991" s="29" t="n">
        <f aca="false">IF("oui" = "oui",21.84*(1-disc),21.84)</f>
        <v>21.84</v>
      </c>
      <c r="N991" s="29" t="n">
        <f aca="false">IF("oui" = "oui",21.84*(1-disc)*1.2,21.84*1.2)</f>
        <v>26.208</v>
      </c>
      <c r="O991" s="24" t="s">
        <v>25</v>
      </c>
      <c r="P991" s="7" t="s">
        <v>26</v>
      </c>
      <c r="Q991" s="16"/>
    </row>
    <row r="992" customFormat="false" ht="12.8" hidden="false" customHeight="false" outlineLevel="0" collapsed="false">
      <c r="A992" s="22"/>
      <c r="B992" s="23" t="n">
        <v>500046000</v>
      </c>
      <c r="C992" s="24" t="n">
        <v>30</v>
      </c>
      <c r="D992" s="54" t="s">
        <v>914</v>
      </c>
      <c r="E992" s="19" t="s">
        <v>910</v>
      </c>
      <c r="F992" s="24" t="s">
        <v>630</v>
      </c>
      <c r="G992" s="25" t="n">
        <v>0.397</v>
      </c>
      <c r="H992" s="26" t="n">
        <v>30</v>
      </c>
      <c r="I992" s="27" t="n">
        <v>30</v>
      </c>
      <c r="J992" s="28" t="n">
        <v>6</v>
      </c>
      <c r="K992" s="28" t="n">
        <v>1</v>
      </c>
      <c r="L992" s="24" t="s">
        <v>631</v>
      </c>
      <c r="M992" s="29" t="n">
        <f aca="false">IF("oui" = "oui",21.84*(1-disc),21.84)</f>
        <v>21.84</v>
      </c>
      <c r="N992" s="29" t="n">
        <f aca="false">IF("oui" = "oui",21.84*(1-disc)*1.2,21.84*1.2)</f>
        <v>26.208</v>
      </c>
      <c r="O992" s="24" t="s">
        <v>25</v>
      </c>
      <c r="P992" s="7" t="s">
        <v>26</v>
      </c>
      <c r="Q992" s="16"/>
    </row>
    <row r="993" customFormat="false" ht="12.8" hidden="false" customHeight="false" outlineLevel="0" collapsed="false">
      <c r="A993" s="22"/>
      <c r="B993" s="23" t="n">
        <v>500047000</v>
      </c>
      <c r="C993" s="24" t="n">
        <v>30</v>
      </c>
      <c r="D993" s="54" t="s">
        <v>915</v>
      </c>
      <c r="E993" s="19" t="s">
        <v>910</v>
      </c>
      <c r="F993" s="24" t="s">
        <v>630</v>
      </c>
      <c r="G993" s="25" t="n">
        <v>0.397</v>
      </c>
      <c r="H993" s="26" t="n">
        <v>30</v>
      </c>
      <c r="I993" s="27" t="n">
        <v>30</v>
      </c>
      <c r="J993" s="28" t="n">
        <v>6</v>
      </c>
      <c r="K993" s="28" t="n">
        <v>1</v>
      </c>
      <c r="L993" s="24" t="s">
        <v>631</v>
      </c>
      <c r="M993" s="29" t="n">
        <f aca="false">IF("oui" = "oui",21.84*(1-disc),21.84)</f>
        <v>21.84</v>
      </c>
      <c r="N993" s="29" t="n">
        <f aca="false">IF("oui" = "oui",21.84*(1-disc)*1.2,21.84*1.2)</f>
        <v>26.208</v>
      </c>
      <c r="O993" s="24" t="s">
        <v>25</v>
      </c>
      <c r="P993" s="7" t="s">
        <v>26</v>
      </c>
      <c r="Q993" s="16"/>
    </row>
    <row r="994" customFormat="false" ht="12.8" hidden="false" customHeight="false" outlineLevel="0" collapsed="false">
      <c r="A994" s="22"/>
      <c r="B994" s="23" t="n">
        <v>500049000</v>
      </c>
      <c r="C994" s="24" t="n">
        <v>30</v>
      </c>
      <c r="D994" s="54" t="s">
        <v>916</v>
      </c>
      <c r="E994" s="19" t="s">
        <v>910</v>
      </c>
      <c r="F994" s="24" t="s">
        <v>630</v>
      </c>
      <c r="G994" s="25" t="n">
        <v>0.397</v>
      </c>
      <c r="H994" s="26" t="n">
        <v>30</v>
      </c>
      <c r="I994" s="27" t="n">
        <v>30</v>
      </c>
      <c r="J994" s="28" t="n">
        <v>6</v>
      </c>
      <c r="K994" s="28" t="n">
        <v>1</v>
      </c>
      <c r="L994" s="24" t="s">
        <v>631</v>
      </c>
      <c r="M994" s="29" t="n">
        <f aca="false">IF("oui" = "oui",21.84*(1-disc),21.84)</f>
        <v>21.84</v>
      </c>
      <c r="N994" s="29" t="n">
        <f aca="false">IF("oui" = "oui",21.84*(1-disc)*1.2,21.84*1.2)</f>
        <v>26.208</v>
      </c>
      <c r="O994" s="24" t="s">
        <v>25</v>
      </c>
      <c r="P994" s="7" t="s">
        <v>26</v>
      </c>
      <c r="Q994" s="16"/>
    </row>
    <row r="995" customFormat="false" ht="12.8" hidden="false" customHeight="false" outlineLevel="0" collapsed="false">
      <c r="A995" s="22"/>
      <c r="B995" s="23" t="n">
        <v>500050000</v>
      </c>
      <c r="C995" s="24" t="n">
        <v>30</v>
      </c>
      <c r="D995" s="54" t="s">
        <v>917</v>
      </c>
      <c r="E995" s="19" t="s">
        <v>910</v>
      </c>
      <c r="F995" s="24" t="s">
        <v>630</v>
      </c>
      <c r="G995" s="25" t="n">
        <v>0.397</v>
      </c>
      <c r="H995" s="26" t="n">
        <v>30</v>
      </c>
      <c r="I995" s="27" t="n">
        <v>30</v>
      </c>
      <c r="J995" s="28" t="n">
        <v>6</v>
      </c>
      <c r="K995" s="28" t="n">
        <v>1</v>
      </c>
      <c r="L995" s="24" t="s">
        <v>631</v>
      </c>
      <c r="M995" s="29" t="n">
        <f aca="false">IF("oui" = "oui",21.84*(1-disc),21.84)</f>
        <v>21.84</v>
      </c>
      <c r="N995" s="29" t="n">
        <f aca="false">IF("oui" = "oui",21.84*(1-disc)*1.2,21.84*1.2)</f>
        <v>26.208</v>
      </c>
      <c r="O995" s="24" t="s">
        <v>25</v>
      </c>
      <c r="P995" s="7" t="s">
        <v>26</v>
      </c>
      <c r="Q995" s="16"/>
    </row>
    <row r="996" customFormat="false" ht="12.8" hidden="false" customHeight="false" outlineLevel="0" collapsed="false">
      <c r="A996" s="22"/>
      <c r="B996" s="23" t="n">
        <v>500134000</v>
      </c>
      <c r="C996" s="24" t="n">
        <v>30</v>
      </c>
      <c r="D996" s="54" t="s">
        <v>918</v>
      </c>
      <c r="E996" s="19" t="s">
        <v>910</v>
      </c>
      <c r="F996" s="24" t="s">
        <v>630</v>
      </c>
      <c r="G996" s="25" t="n">
        <v>0.397</v>
      </c>
      <c r="H996" s="26" t="n">
        <v>30</v>
      </c>
      <c r="I996" s="27" t="n">
        <v>30</v>
      </c>
      <c r="J996" s="28" t="n">
        <v>6</v>
      </c>
      <c r="K996" s="28" t="n">
        <v>1</v>
      </c>
      <c r="L996" s="24" t="s">
        <v>631</v>
      </c>
      <c r="M996" s="29" t="n">
        <f aca="false">IF("oui" = "oui",21.84*(1-disc),21.84)</f>
        <v>21.84</v>
      </c>
      <c r="N996" s="29" t="n">
        <f aca="false">IF("oui" = "oui",21.84*(1-disc)*1.2,21.84*1.2)</f>
        <v>26.208</v>
      </c>
      <c r="O996" s="24" t="s">
        <v>25</v>
      </c>
      <c r="P996" s="7" t="s">
        <v>26</v>
      </c>
      <c r="Q996" s="16"/>
    </row>
    <row r="997" customFormat="false" ht="12.8" hidden="false" customHeight="false" outlineLevel="0" collapsed="false">
      <c r="A997" s="22"/>
      <c r="B997" s="23" t="n">
        <v>500048000</v>
      </c>
      <c r="C997" s="24" t="n">
        <v>30</v>
      </c>
      <c r="D997" s="54" t="s">
        <v>919</v>
      </c>
      <c r="E997" s="19" t="s">
        <v>910</v>
      </c>
      <c r="F997" s="24" t="s">
        <v>630</v>
      </c>
      <c r="G997" s="25" t="n">
        <v>0.397</v>
      </c>
      <c r="H997" s="26" t="n">
        <v>30</v>
      </c>
      <c r="I997" s="27" t="n">
        <v>30</v>
      </c>
      <c r="J997" s="28" t="n">
        <v>6</v>
      </c>
      <c r="K997" s="28" t="n">
        <v>1</v>
      </c>
      <c r="L997" s="24" t="s">
        <v>631</v>
      </c>
      <c r="M997" s="29" t="n">
        <f aca="false">IF("oui" = "oui",21.84*(1-disc),21.84)</f>
        <v>21.84</v>
      </c>
      <c r="N997" s="29" t="n">
        <f aca="false">IF("oui" = "oui",21.84*(1-disc)*1.2,21.84*1.2)</f>
        <v>26.208</v>
      </c>
      <c r="O997" s="24" t="s">
        <v>25</v>
      </c>
      <c r="P997" s="7" t="s">
        <v>26</v>
      </c>
      <c r="Q997" s="16"/>
    </row>
    <row r="998" customFormat="false" ht="12.8" hidden="false" customHeight="false" outlineLevel="0" collapsed="false">
      <c r="A998" s="22"/>
      <c r="B998" s="23" t="n">
        <v>500241000</v>
      </c>
      <c r="C998" s="24" t="n">
        <v>30</v>
      </c>
      <c r="D998" s="54" t="s">
        <v>920</v>
      </c>
      <c r="E998" s="19" t="s">
        <v>910</v>
      </c>
      <c r="F998" s="24" t="s">
        <v>630</v>
      </c>
      <c r="G998" s="25" t="n">
        <v>0.397</v>
      </c>
      <c r="H998" s="26" t="n">
        <v>30</v>
      </c>
      <c r="I998" s="27" t="n">
        <v>30</v>
      </c>
      <c r="J998" s="28" t="n">
        <v>6</v>
      </c>
      <c r="K998" s="28" t="n">
        <v>1</v>
      </c>
      <c r="L998" s="24" t="s">
        <v>631</v>
      </c>
      <c r="M998" s="29" t="n">
        <f aca="false">IF("oui" = "oui",21.84*(1-disc),21.84)</f>
        <v>21.84</v>
      </c>
      <c r="N998" s="29" t="n">
        <f aca="false">IF("oui" = "oui",21.84*(1-disc)*1.2,21.84*1.2)</f>
        <v>26.208</v>
      </c>
      <c r="O998" s="24" t="s">
        <v>25</v>
      </c>
      <c r="P998" s="7" t="s">
        <v>26</v>
      </c>
      <c r="Q998" s="16"/>
    </row>
    <row r="999" customFormat="false" ht="12.8" hidden="false" customHeight="false" outlineLevel="0" collapsed="false">
      <c r="A999" s="22"/>
      <c r="B999" s="23"/>
      <c r="C999" s="24"/>
      <c r="D999" s="22"/>
      <c r="E999" s="19"/>
      <c r="F999" s="24"/>
      <c r="G999" s="25"/>
      <c r="H999" s="26"/>
      <c r="I999" s="27"/>
      <c r="J999" s="28"/>
      <c r="K999" s="28"/>
      <c r="L999" s="24"/>
      <c r="M999" s="29"/>
      <c r="N999" s="29"/>
      <c r="O999" s="24"/>
      <c r="P999" s="4"/>
      <c r="Q999" s="16"/>
    </row>
    <row r="1000" customFormat="false" ht="12.8" hidden="false" customHeight="false" outlineLevel="0" collapsed="false">
      <c r="A1000" s="22"/>
      <c r="B1000" s="23" t="n">
        <v>500136000</v>
      </c>
      <c r="C1000" s="24" t="n">
        <v>30</v>
      </c>
      <c r="D1000" s="54" t="s">
        <v>921</v>
      </c>
      <c r="E1000" s="19" t="s">
        <v>910</v>
      </c>
      <c r="F1000" s="24" t="s">
        <v>630</v>
      </c>
      <c r="G1000" s="25" t="n">
        <v>0.422</v>
      </c>
      <c r="H1000" s="26" t="n">
        <v>30</v>
      </c>
      <c r="I1000" s="27" t="n">
        <v>30</v>
      </c>
      <c r="J1000" s="28" t="n">
        <v>6</v>
      </c>
      <c r="K1000" s="28" t="n">
        <v>1</v>
      </c>
      <c r="L1000" s="24" t="s">
        <v>631</v>
      </c>
      <c r="M1000" s="29" t="n">
        <f aca="false">IF("oui" = "oui",21.84*(1-disc),21.84)</f>
        <v>21.84</v>
      </c>
      <c r="N1000" s="29" t="n">
        <f aca="false">IF("oui" = "oui",21.84*(1-disc)*1.2,21.84*1.2)</f>
        <v>26.208</v>
      </c>
      <c r="O1000" s="24" t="s">
        <v>25</v>
      </c>
      <c r="P1000" s="7" t="s">
        <v>26</v>
      </c>
      <c r="Q1000" s="16"/>
    </row>
    <row r="1001" customFormat="false" ht="12.8" hidden="false" customHeight="false" outlineLevel="0" collapsed="false">
      <c r="A1001" s="22"/>
      <c r="B1001" s="23" t="n">
        <v>500132000</v>
      </c>
      <c r="C1001" s="24" t="n">
        <v>30</v>
      </c>
      <c r="D1001" s="54" t="s">
        <v>922</v>
      </c>
      <c r="E1001" s="19" t="s">
        <v>910</v>
      </c>
      <c r="F1001" s="24" t="s">
        <v>630</v>
      </c>
      <c r="G1001" s="25" t="n">
        <v>0.422</v>
      </c>
      <c r="H1001" s="26" t="n">
        <v>30</v>
      </c>
      <c r="I1001" s="27" t="n">
        <v>30</v>
      </c>
      <c r="J1001" s="28" t="n">
        <v>6</v>
      </c>
      <c r="K1001" s="28" t="n">
        <v>1</v>
      </c>
      <c r="L1001" s="24" t="s">
        <v>631</v>
      </c>
      <c r="M1001" s="29" t="n">
        <f aca="false">IF("oui" = "oui",21.84*(1-disc),21.84)</f>
        <v>21.84</v>
      </c>
      <c r="N1001" s="29" t="n">
        <f aca="false">IF("oui" = "oui",21.84*(1-disc)*1.2,21.84*1.2)</f>
        <v>26.208</v>
      </c>
      <c r="O1001" s="24" t="s">
        <v>25</v>
      </c>
      <c r="P1001" s="7" t="s">
        <v>26</v>
      </c>
      <c r="Q1001" s="16"/>
    </row>
    <row r="1002" customFormat="false" ht="12.8" hidden="false" customHeight="false" outlineLevel="0" collapsed="false">
      <c r="A1002" s="22"/>
      <c r="B1002" s="23" t="n">
        <v>500028000</v>
      </c>
      <c r="C1002" s="24" t="n">
        <v>30</v>
      </c>
      <c r="D1002" s="54" t="s">
        <v>923</v>
      </c>
      <c r="E1002" s="19" t="s">
        <v>910</v>
      </c>
      <c r="F1002" s="24" t="s">
        <v>630</v>
      </c>
      <c r="G1002" s="25" t="n">
        <v>0.422</v>
      </c>
      <c r="H1002" s="26" t="n">
        <v>30</v>
      </c>
      <c r="I1002" s="27" t="n">
        <v>30</v>
      </c>
      <c r="J1002" s="28" t="n">
        <v>6</v>
      </c>
      <c r="K1002" s="28" t="n">
        <v>1</v>
      </c>
      <c r="L1002" s="24" t="s">
        <v>631</v>
      </c>
      <c r="M1002" s="29" t="n">
        <f aca="false">IF("oui" = "oui",21.84*(1-disc),21.84)</f>
        <v>21.84</v>
      </c>
      <c r="N1002" s="29" t="n">
        <f aca="false">IF("oui" = "oui",21.84*(1-disc)*1.2,21.84*1.2)</f>
        <v>26.208</v>
      </c>
      <c r="O1002" s="24" t="s">
        <v>25</v>
      </c>
      <c r="P1002" s="7" t="s">
        <v>26</v>
      </c>
      <c r="Q1002" s="16"/>
    </row>
    <row r="1003" customFormat="false" ht="12.8" hidden="false" customHeight="false" outlineLevel="0" collapsed="false">
      <c r="A1003" s="22"/>
      <c r="B1003" s="23" t="n">
        <v>500029000</v>
      </c>
      <c r="C1003" s="24" t="n">
        <v>30</v>
      </c>
      <c r="D1003" s="54" t="s">
        <v>924</v>
      </c>
      <c r="E1003" s="19" t="s">
        <v>910</v>
      </c>
      <c r="F1003" s="24" t="s">
        <v>630</v>
      </c>
      <c r="G1003" s="25" t="n">
        <v>0.422</v>
      </c>
      <c r="H1003" s="26" t="n">
        <v>30</v>
      </c>
      <c r="I1003" s="27" t="n">
        <v>30</v>
      </c>
      <c r="J1003" s="28" t="n">
        <v>6</v>
      </c>
      <c r="K1003" s="28" t="n">
        <v>1</v>
      </c>
      <c r="L1003" s="24" t="s">
        <v>631</v>
      </c>
      <c r="M1003" s="29" t="n">
        <f aca="false">IF("oui" = "oui",21.84*(1-disc),21.84)</f>
        <v>21.84</v>
      </c>
      <c r="N1003" s="29" t="n">
        <f aca="false">IF("oui" = "oui",21.84*(1-disc)*1.2,21.84*1.2)</f>
        <v>26.208</v>
      </c>
      <c r="O1003" s="24" t="s">
        <v>25</v>
      </c>
      <c r="P1003" s="55" t="s">
        <v>45</v>
      </c>
      <c r="Q1003" s="16"/>
    </row>
    <row r="1004" customFormat="false" ht="12.8" hidden="false" customHeight="false" outlineLevel="0" collapsed="false">
      <c r="A1004" s="22"/>
      <c r="B1004" s="23" t="n">
        <v>500032000</v>
      </c>
      <c r="C1004" s="24" t="n">
        <v>30</v>
      </c>
      <c r="D1004" s="54" t="s">
        <v>925</v>
      </c>
      <c r="E1004" s="19" t="s">
        <v>910</v>
      </c>
      <c r="F1004" s="24" t="s">
        <v>630</v>
      </c>
      <c r="G1004" s="25" t="n">
        <v>0.422</v>
      </c>
      <c r="H1004" s="26" t="n">
        <v>30</v>
      </c>
      <c r="I1004" s="27" t="n">
        <v>30</v>
      </c>
      <c r="J1004" s="28" t="n">
        <v>6</v>
      </c>
      <c r="K1004" s="28" t="n">
        <v>1</v>
      </c>
      <c r="L1004" s="24" t="s">
        <v>631</v>
      </c>
      <c r="M1004" s="29" t="n">
        <f aca="false">IF("oui" = "oui",21.84*(1-disc),21.84)</f>
        <v>21.84</v>
      </c>
      <c r="N1004" s="29" t="n">
        <f aca="false">IF("oui" = "oui",21.84*(1-disc)*1.2,21.84*1.2)</f>
        <v>26.208</v>
      </c>
      <c r="O1004" s="24" t="s">
        <v>25</v>
      </c>
      <c r="P1004" s="7" t="s">
        <v>26</v>
      </c>
      <c r="Q1004" s="16"/>
    </row>
    <row r="1005" customFormat="false" ht="12.8" hidden="false" customHeight="false" outlineLevel="0" collapsed="false">
      <c r="A1005" s="22"/>
      <c r="B1005" s="23" t="n">
        <v>500034000</v>
      </c>
      <c r="C1005" s="24" t="n">
        <v>30</v>
      </c>
      <c r="D1005" s="54" t="s">
        <v>926</v>
      </c>
      <c r="E1005" s="19" t="s">
        <v>910</v>
      </c>
      <c r="F1005" s="24" t="s">
        <v>630</v>
      </c>
      <c r="G1005" s="25" t="n">
        <v>0.422</v>
      </c>
      <c r="H1005" s="26" t="n">
        <v>30</v>
      </c>
      <c r="I1005" s="27" t="n">
        <v>30</v>
      </c>
      <c r="J1005" s="28" t="n">
        <v>6</v>
      </c>
      <c r="K1005" s="28" t="n">
        <v>1</v>
      </c>
      <c r="L1005" s="24" t="s">
        <v>631</v>
      </c>
      <c r="M1005" s="29" t="n">
        <f aca="false">IF("oui" = "oui",21.84*(1-disc),21.84)</f>
        <v>21.84</v>
      </c>
      <c r="N1005" s="29" t="n">
        <f aca="false">IF("oui" = "oui",21.84*(1-disc)*1.2,21.84*1.2)</f>
        <v>26.208</v>
      </c>
      <c r="O1005" s="24" t="s">
        <v>25</v>
      </c>
      <c r="P1005" s="7" t="s">
        <v>26</v>
      </c>
      <c r="Q1005" s="16"/>
    </row>
    <row r="1006" customFormat="false" ht="12.8" hidden="false" customHeight="false" outlineLevel="0" collapsed="false">
      <c r="A1006" s="22"/>
      <c r="B1006" s="23" t="n">
        <v>500037000</v>
      </c>
      <c r="C1006" s="24" t="n">
        <v>30</v>
      </c>
      <c r="D1006" s="54" t="s">
        <v>927</v>
      </c>
      <c r="E1006" s="19" t="s">
        <v>910</v>
      </c>
      <c r="F1006" s="24" t="s">
        <v>630</v>
      </c>
      <c r="G1006" s="25" t="n">
        <v>0.422</v>
      </c>
      <c r="H1006" s="26" t="n">
        <v>30</v>
      </c>
      <c r="I1006" s="27" t="n">
        <v>30</v>
      </c>
      <c r="J1006" s="28" t="n">
        <v>6</v>
      </c>
      <c r="K1006" s="28" t="n">
        <v>1</v>
      </c>
      <c r="L1006" s="24" t="s">
        <v>631</v>
      </c>
      <c r="M1006" s="29" t="n">
        <f aca="false">IF("oui" = "oui",21.84*(1-disc),21.84)</f>
        <v>21.84</v>
      </c>
      <c r="N1006" s="29" t="n">
        <f aca="false">IF("oui" = "oui",21.84*(1-disc)*1.2,21.84*1.2)</f>
        <v>26.208</v>
      </c>
      <c r="O1006" s="24" t="s">
        <v>25</v>
      </c>
      <c r="P1006" s="7" t="s">
        <v>26</v>
      </c>
      <c r="Q1006" s="16"/>
    </row>
    <row r="1007" customFormat="false" ht="12.8" hidden="false" customHeight="false" outlineLevel="0" collapsed="false">
      <c r="A1007" s="22"/>
      <c r="B1007" s="23" t="n">
        <v>500038000</v>
      </c>
      <c r="C1007" s="24" t="n">
        <v>30</v>
      </c>
      <c r="D1007" s="54" t="s">
        <v>928</v>
      </c>
      <c r="E1007" s="19" t="s">
        <v>910</v>
      </c>
      <c r="F1007" s="24" t="s">
        <v>630</v>
      </c>
      <c r="G1007" s="25" t="n">
        <v>0.422</v>
      </c>
      <c r="H1007" s="26" t="n">
        <v>30</v>
      </c>
      <c r="I1007" s="27" t="n">
        <v>30</v>
      </c>
      <c r="J1007" s="28" t="n">
        <v>6</v>
      </c>
      <c r="K1007" s="28" t="n">
        <v>1</v>
      </c>
      <c r="L1007" s="24" t="s">
        <v>631</v>
      </c>
      <c r="M1007" s="29" t="n">
        <f aca="false">IF("oui" = "oui",21.84*(1-disc),21.84)</f>
        <v>21.84</v>
      </c>
      <c r="N1007" s="29" t="n">
        <f aca="false">IF("oui" = "oui",21.84*(1-disc)*1.2,21.84*1.2)</f>
        <v>26.208</v>
      </c>
      <c r="O1007" s="24" t="s">
        <v>25</v>
      </c>
      <c r="P1007" s="7" t="s">
        <v>26</v>
      </c>
      <c r="Q1007" s="16"/>
    </row>
    <row r="1008" customFormat="false" ht="12.8" hidden="false" customHeight="false" outlineLevel="0" collapsed="false">
      <c r="A1008" s="22"/>
      <c r="B1008" s="23"/>
      <c r="C1008" s="24"/>
      <c r="D1008" s="22"/>
      <c r="E1008" s="19"/>
      <c r="F1008" s="24"/>
      <c r="G1008" s="25"/>
      <c r="H1008" s="26"/>
      <c r="I1008" s="27"/>
      <c r="J1008" s="28"/>
      <c r="K1008" s="28"/>
      <c r="L1008" s="24"/>
      <c r="M1008" s="29"/>
      <c r="N1008" s="29"/>
      <c r="O1008" s="24"/>
      <c r="P1008" s="4"/>
      <c r="Q1008" s="16"/>
    </row>
    <row r="1009" customFormat="false" ht="12.8" hidden="false" customHeight="false" outlineLevel="0" collapsed="false">
      <c r="A1009" s="22"/>
      <c r="B1009" s="23" t="n">
        <v>500036000</v>
      </c>
      <c r="C1009" s="24" t="n">
        <v>30</v>
      </c>
      <c r="D1009" s="54" t="s">
        <v>929</v>
      </c>
      <c r="E1009" s="19" t="s">
        <v>910</v>
      </c>
      <c r="F1009" s="24" t="s">
        <v>630</v>
      </c>
      <c r="G1009" s="25" t="n">
        <v>0.422</v>
      </c>
      <c r="H1009" s="26" t="n">
        <v>30</v>
      </c>
      <c r="I1009" s="27" t="n">
        <v>30</v>
      </c>
      <c r="J1009" s="28" t="n">
        <v>6</v>
      </c>
      <c r="K1009" s="28" t="n">
        <v>1</v>
      </c>
      <c r="L1009" s="24" t="s">
        <v>631</v>
      </c>
      <c r="M1009" s="29" t="n">
        <f aca="false">IF("oui" = "oui",21.84*(1-disc),21.84)</f>
        <v>21.84</v>
      </c>
      <c r="N1009" s="29" t="n">
        <f aca="false">IF("oui" = "oui",21.84*(1-disc)*1.2,21.84*1.2)</f>
        <v>26.208</v>
      </c>
      <c r="O1009" s="24" t="s">
        <v>25</v>
      </c>
      <c r="P1009" s="7" t="s">
        <v>26</v>
      </c>
      <c r="Q1009" s="16"/>
    </row>
    <row r="1010" customFormat="false" ht="12.8" hidden="false" customHeight="false" outlineLevel="0" collapsed="false">
      <c r="A1010" s="22"/>
      <c r="B1010" s="23" t="n">
        <v>500027000</v>
      </c>
      <c r="C1010" s="24" t="n">
        <v>30</v>
      </c>
      <c r="D1010" s="54" t="s">
        <v>930</v>
      </c>
      <c r="E1010" s="19" t="s">
        <v>910</v>
      </c>
      <c r="F1010" s="24" t="s">
        <v>630</v>
      </c>
      <c r="G1010" s="25" t="n">
        <v>0.422</v>
      </c>
      <c r="H1010" s="26" t="n">
        <v>30</v>
      </c>
      <c r="I1010" s="27" t="n">
        <v>30</v>
      </c>
      <c r="J1010" s="28" t="n">
        <v>6</v>
      </c>
      <c r="K1010" s="28" t="n">
        <v>1</v>
      </c>
      <c r="L1010" s="24" t="s">
        <v>631</v>
      </c>
      <c r="M1010" s="29" t="n">
        <f aca="false">IF("oui" = "oui",21.84*(1-disc),21.84)</f>
        <v>21.84</v>
      </c>
      <c r="N1010" s="29" t="n">
        <f aca="false">IF("oui" = "oui",21.84*(1-disc)*1.2,21.84*1.2)</f>
        <v>26.208</v>
      </c>
      <c r="O1010" s="24" t="s">
        <v>25</v>
      </c>
      <c r="P1010" s="7" t="s">
        <v>26</v>
      </c>
      <c r="Q1010" s="16"/>
    </row>
    <row r="1011" customFormat="false" ht="12.8" hidden="false" customHeight="false" outlineLevel="0" collapsed="false">
      <c r="A1011" s="22"/>
      <c r="B1011" s="23" t="n">
        <v>500212000</v>
      </c>
      <c r="C1011" s="24" t="n">
        <v>30</v>
      </c>
      <c r="D1011" s="54" t="s">
        <v>931</v>
      </c>
      <c r="E1011" s="19" t="s">
        <v>910</v>
      </c>
      <c r="F1011" s="24" t="s">
        <v>630</v>
      </c>
      <c r="G1011" s="25" t="n">
        <v>0.422</v>
      </c>
      <c r="H1011" s="26" t="n">
        <v>30</v>
      </c>
      <c r="I1011" s="27" t="n">
        <v>30</v>
      </c>
      <c r="J1011" s="28" t="n">
        <v>6</v>
      </c>
      <c r="K1011" s="28" t="n">
        <v>1</v>
      </c>
      <c r="L1011" s="24" t="s">
        <v>631</v>
      </c>
      <c r="M1011" s="29" t="n">
        <f aca="false">IF("oui" = "oui",21.84*(1-disc),21.84)</f>
        <v>21.84</v>
      </c>
      <c r="N1011" s="29" t="n">
        <f aca="false">IF("oui" = "oui",21.84*(1-disc)*1.2,21.84*1.2)</f>
        <v>26.208</v>
      </c>
      <c r="O1011" s="24" t="s">
        <v>25</v>
      </c>
      <c r="P1011" s="7" t="s">
        <v>26</v>
      </c>
      <c r="Q1011" s="16"/>
    </row>
    <row r="1012" customFormat="false" ht="12.8" hidden="false" customHeight="false" outlineLevel="0" collapsed="false">
      <c r="A1012" s="22"/>
      <c r="B1012" s="56"/>
      <c r="C1012" s="24"/>
      <c r="D1012" s="22"/>
      <c r="E1012" s="19"/>
      <c r="F1012" s="24"/>
      <c r="G1012" s="25"/>
      <c r="H1012" s="26"/>
      <c r="I1012" s="27"/>
      <c r="J1012" s="28"/>
      <c r="K1012" s="28"/>
      <c r="L1012" s="24"/>
      <c r="M1012" s="29"/>
      <c r="N1012" s="29"/>
      <c r="O1012" s="24"/>
      <c r="P1012" s="4"/>
      <c r="Q1012" s="16"/>
    </row>
    <row r="1013" customFormat="false" ht="12.8" hidden="false" customHeight="false" outlineLevel="0" collapsed="false">
      <c r="A1013" s="22"/>
      <c r="B1013" s="23" t="n">
        <v>500230000</v>
      </c>
      <c r="C1013" s="24" t="n">
        <v>30</v>
      </c>
      <c r="D1013" s="54" t="s">
        <v>932</v>
      </c>
      <c r="E1013" s="19" t="s">
        <v>910</v>
      </c>
      <c r="F1013" s="24" t="s">
        <v>630</v>
      </c>
      <c r="G1013" s="25" t="n">
        <v>0.422</v>
      </c>
      <c r="H1013" s="26" t="n">
        <v>30</v>
      </c>
      <c r="I1013" s="27" t="n">
        <v>30</v>
      </c>
      <c r="J1013" s="28" t="n">
        <v>6</v>
      </c>
      <c r="K1013" s="28" t="n">
        <v>1</v>
      </c>
      <c r="L1013" s="24" t="s">
        <v>631</v>
      </c>
      <c r="M1013" s="29" t="n">
        <f aca="false">IF("oui" = "oui",21.84*(1-disc),21.84)</f>
        <v>21.84</v>
      </c>
      <c r="N1013" s="29" t="n">
        <f aca="false">IF("oui" = "oui",21.84*(1-disc)*1.2,21.84*1.2)</f>
        <v>26.208</v>
      </c>
      <c r="O1013" s="24" t="s">
        <v>25</v>
      </c>
      <c r="P1013" s="7" t="s">
        <v>26</v>
      </c>
      <c r="Q1013" s="16"/>
    </row>
    <row r="1014" customFormat="false" ht="12.8" hidden="false" customHeight="false" outlineLevel="0" collapsed="false">
      <c r="A1014" s="22"/>
      <c r="B1014" s="23" t="n">
        <v>500140000</v>
      </c>
      <c r="C1014" s="24" t="n">
        <v>30</v>
      </c>
      <c r="D1014" s="54" t="s">
        <v>933</v>
      </c>
      <c r="E1014" s="19" t="s">
        <v>910</v>
      </c>
      <c r="F1014" s="24" t="s">
        <v>630</v>
      </c>
      <c r="G1014" s="25" t="n">
        <v>0.422</v>
      </c>
      <c r="H1014" s="26" t="n">
        <v>30</v>
      </c>
      <c r="I1014" s="27" t="n">
        <v>30</v>
      </c>
      <c r="J1014" s="28" t="n">
        <v>6</v>
      </c>
      <c r="K1014" s="28" t="n">
        <v>1</v>
      </c>
      <c r="L1014" s="24" t="s">
        <v>631</v>
      </c>
      <c r="M1014" s="29" t="n">
        <f aca="false">IF("oui" = "oui",21.84*(1-disc),21.84)</f>
        <v>21.84</v>
      </c>
      <c r="N1014" s="29" t="n">
        <f aca="false">IF("oui" = "oui",21.84*(1-disc)*1.2,21.84*1.2)</f>
        <v>26.208</v>
      </c>
      <c r="O1014" s="24" t="s">
        <v>25</v>
      </c>
      <c r="P1014" s="7" t="s">
        <v>26</v>
      </c>
      <c r="Q1014" s="16"/>
    </row>
    <row r="1015" customFormat="false" ht="12.8" hidden="false" customHeight="false" outlineLevel="0" collapsed="false">
      <c r="A1015" s="22"/>
      <c r="B1015" s="23" t="n">
        <v>500139000</v>
      </c>
      <c r="C1015" s="24" t="n">
        <v>30</v>
      </c>
      <c r="D1015" s="54" t="s">
        <v>934</v>
      </c>
      <c r="E1015" s="19" t="s">
        <v>910</v>
      </c>
      <c r="F1015" s="24" t="s">
        <v>630</v>
      </c>
      <c r="G1015" s="25" t="n">
        <v>0.422</v>
      </c>
      <c r="H1015" s="26" t="n">
        <v>30</v>
      </c>
      <c r="I1015" s="27" t="n">
        <v>30</v>
      </c>
      <c r="J1015" s="28" t="n">
        <v>6</v>
      </c>
      <c r="K1015" s="28" t="n">
        <v>1</v>
      </c>
      <c r="L1015" s="24" t="s">
        <v>631</v>
      </c>
      <c r="M1015" s="29" t="n">
        <f aca="false">IF("oui" = "oui",21.84*(1-disc),21.84)</f>
        <v>21.84</v>
      </c>
      <c r="N1015" s="29" t="n">
        <f aca="false">IF("oui" = "oui",21.84*(1-disc)*1.2,21.84*1.2)</f>
        <v>26.208</v>
      </c>
      <c r="O1015" s="24" t="s">
        <v>25</v>
      </c>
      <c r="P1015" s="7" t="s">
        <v>26</v>
      </c>
      <c r="Q1015" s="16"/>
    </row>
    <row r="1016" customFormat="false" ht="12.8" hidden="false" customHeight="false" outlineLevel="0" collapsed="false">
      <c r="A1016" s="22"/>
      <c r="B1016" s="23" t="n">
        <v>500043000</v>
      </c>
      <c r="C1016" s="24" t="n">
        <v>30</v>
      </c>
      <c r="D1016" s="54" t="s">
        <v>935</v>
      </c>
      <c r="E1016" s="19" t="s">
        <v>910</v>
      </c>
      <c r="F1016" s="24" t="s">
        <v>630</v>
      </c>
      <c r="G1016" s="25" t="n">
        <v>0.422</v>
      </c>
      <c r="H1016" s="26" t="n">
        <v>30</v>
      </c>
      <c r="I1016" s="27" t="n">
        <v>30</v>
      </c>
      <c r="J1016" s="28" t="n">
        <v>6</v>
      </c>
      <c r="K1016" s="28" t="n">
        <v>1</v>
      </c>
      <c r="L1016" s="24" t="s">
        <v>631</v>
      </c>
      <c r="M1016" s="29" t="n">
        <f aca="false">IF("oui" = "oui",21.84*(1-disc),21.84)</f>
        <v>21.84</v>
      </c>
      <c r="N1016" s="29" t="n">
        <f aca="false">IF("oui" = "oui",21.84*(1-disc)*1.2,21.84*1.2)</f>
        <v>26.208</v>
      </c>
      <c r="O1016" s="24" t="s">
        <v>25</v>
      </c>
      <c r="P1016" s="7" t="s">
        <v>26</v>
      </c>
      <c r="Q1016" s="16"/>
    </row>
    <row r="1017" customFormat="false" ht="12.8" hidden="false" customHeight="false" outlineLevel="0" collapsed="false">
      <c r="A1017" s="22"/>
      <c r="B1017" s="23"/>
      <c r="C1017" s="24"/>
      <c r="D1017" s="22"/>
      <c r="E1017" s="19"/>
      <c r="F1017" s="24"/>
      <c r="G1017" s="25"/>
      <c r="H1017" s="26"/>
      <c r="I1017" s="27"/>
      <c r="J1017" s="28"/>
      <c r="K1017" s="28"/>
      <c r="L1017" s="24"/>
      <c r="M1017" s="29"/>
      <c r="N1017" s="29"/>
      <c r="O1017" s="24"/>
      <c r="P1017" s="4"/>
      <c r="Q1017" s="16"/>
    </row>
    <row r="1018" customFormat="false" ht="12.8" hidden="false" customHeight="false" outlineLevel="0" collapsed="false">
      <c r="A1018" s="22"/>
      <c r="B1018" s="23" t="n">
        <v>500040000</v>
      </c>
      <c r="C1018" s="24" t="n">
        <v>30</v>
      </c>
      <c r="D1018" s="54" t="s">
        <v>936</v>
      </c>
      <c r="E1018" s="19" t="s">
        <v>937</v>
      </c>
      <c r="F1018" s="24" t="s">
        <v>630</v>
      </c>
      <c r="G1018" s="25" t="n">
        <v>0.477</v>
      </c>
      <c r="H1018" s="26" t="n">
        <v>30</v>
      </c>
      <c r="I1018" s="27" t="n">
        <v>30</v>
      </c>
      <c r="J1018" s="28" t="n">
        <v>6</v>
      </c>
      <c r="K1018" s="28" t="n">
        <v>1</v>
      </c>
      <c r="L1018" s="24" t="s">
        <v>631</v>
      </c>
      <c r="M1018" s="29" t="n">
        <f aca="false">IF("oui" = "oui",21.84*(1-disc),21.84)</f>
        <v>21.84</v>
      </c>
      <c r="N1018" s="29" t="n">
        <f aca="false">IF("oui" = "oui",21.84*(1-disc)*1.2,21.84*1.2)</f>
        <v>26.208</v>
      </c>
      <c r="O1018" s="24" t="s">
        <v>25</v>
      </c>
      <c r="P1018" s="7" t="s">
        <v>26</v>
      </c>
      <c r="Q1018" s="16"/>
    </row>
    <row r="1019" customFormat="false" ht="12.8" hidden="false" customHeight="false" outlineLevel="0" collapsed="false">
      <c r="A1019" s="22"/>
      <c r="B1019" s="23" t="n">
        <v>500042000</v>
      </c>
      <c r="C1019" s="24" t="n">
        <v>30</v>
      </c>
      <c r="D1019" s="54" t="s">
        <v>938</v>
      </c>
      <c r="E1019" s="19" t="s">
        <v>937</v>
      </c>
      <c r="F1019" s="24" t="s">
        <v>630</v>
      </c>
      <c r="G1019" s="25" t="n">
        <v>0.477</v>
      </c>
      <c r="H1019" s="26" t="n">
        <v>30</v>
      </c>
      <c r="I1019" s="27" t="n">
        <v>30</v>
      </c>
      <c r="J1019" s="28" t="n">
        <v>6</v>
      </c>
      <c r="K1019" s="28" t="n">
        <v>1</v>
      </c>
      <c r="L1019" s="24" t="s">
        <v>631</v>
      </c>
      <c r="M1019" s="29" t="n">
        <f aca="false">IF("oui" = "oui",21.84*(1-disc),21.84)</f>
        <v>21.84</v>
      </c>
      <c r="N1019" s="29" t="n">
        <f aca="false">IF("oui" = "oui",21.84*(1-disc)*1.2,21.84*1.2)</f>
        <v>26.208</v>
      </c>
      <c r="O1019" s="24" t="s">
        <v>25</v>
      </c>
      <c r="P1019" s="7" t="s">
        <v>26</v>
      </c>
      <c r="Q1019" s="16"/>
    </row>
    <row r="1020" customFormat="false" ht="12.8" hidden="false" customHeight="false" outlineLevel="0" collapsed="false">
      <c r="A1020" s="22"/>
      <c r="B1020" s="23"/>
      <c r="C1020" s="24"/>
      <c r="D1020" s="22"/>
      <c r="E1020" s="19"/>
      <c r="F1020" s="24"/>
      <c r="G1020" s="25"/>
      <c r="H1020" s="26"/>
      <c r="I1020" s="27"/>
      <c r="J1020" s="28"/>
      <c r="K1020" s="28"/>
      <c r="L1020" s="24"/>
      <c r="M1020" s="29"/>
      <c r="N1020" s="29"/>
      <c r="O1020" s="24"/>
      <c r="P1020" s="4"/>
      <c r="Q1020" s="16"/>
    </row>
    <row r="1021" customFormat="false" ht="12.8" hidden="false" customHeight="false" outlineLevel="0" collapsed="false">
      <c r="A1021" s="22"/>
      <c r="B1021" s="23" t="n">
        <v>500151000</v>
      </c>
      <c r="C1021" s="24" t="n">
        <v>30</v>
      </c>
      <c r="D1021" s="54" t="s">
        <v>939</v>
      </c>
      <c r="E1021" s="19" t="s">
        <v>940</v>
      </c>
      <c r="F1021" s="24" t="s">
        <v>630</v>
      </c>
      <c r="G1021" s="25" t="n">
        <v>0.39</v>
      </c>
      <c r="H1021" s="26" t="n">
        <v>30</v>
      </c>
      <c r="I1021" s="27" t="n">
        <v>30</v>
      </c>
      <c r="J1021" s="28" t="n">
        <v>6</v>
      </c>
      <c r="K1021" s="28" t="n">
        <v>1</v>
      </c>
      <c r="L1021" s="24" t="s">
        <v>631</v>
      </c>
      <c r="M1021" s="29" t="n">
        <f aca="false">IF("oui" = "oui",21.84*(1-disc),21.84)</f>
        <v>21.84</v>
      </c>
      <c r="N1021" s="29" t="n">
        <f aca="false">IF("oui" = "oui",21.84*(1-disc)*1.2,21.84*1.2)</f>
        <v>26.208</v>
      </c>
      <c r="O1021" s="24" t="s">
        <v>25</v>
      </c>
      <c r="P1021" s="7" t="s">
        <v>26</v>
      </c>
      <c r="Q1021" s="16"/>
    </row>
    <row r="1022" customFormat="false" ht="12.8" hidden="false" customHeight="false" outlineLevel="0" collapsed="false">
      <c r="A1022" s="22"/>
      <c r="B1022" s="23" t="n">
        <v>500152000</v>
      </c>
      <c r="C1022" s="24" t="n">
        <v>30</v>
      </c>
      <c r="D1022" s="54" t="s">
        <v>941</v>
      </c>
      <c r="E1022" s="19" t="s">
        <v>940</v>
      </c>
      <c r="F1022" s="24" t="s">
        <v>630</v>
      </c>
      <c r="G1022" s="25" t="n">
        <v>0.39</v>
      </c>
      <c r="H1022" s="26" t="n">
        <v>30</v>
      </c>
      <c r="I1022" s="27" t="n">
        <v>30</v>
      </c>
      <c r="J1022" s="28" t="n">
        <v>6</v>
      </c>
      <c r="K1022" s="28" t="n">
        <v>1</v>
      </c>
      <c r="L1022" s="24" t="s">
        <v>631</v>
      </c>
      <c r="M1022" s="29" t="n">
        <f aca="false">IF("oui" = "oui",21.84*(1-disc),21.84)</f>
        <v>21.84</v>
      </c>
      <c r="N1022" s="29" t="n">
        <f aca="false">IF("oui" = "oui",21.84*(1-disc)*1.2,21.84*1.2)</f>
        <v>26.208</v>
      </c>
      <c r="O1022" s="24" t="s">
        <v>25</v>
      </c>
      <c r="P1022" s="7" t="s">
        <v>26</v>
      </c>
      <c r="Q1022" s="16"/>
    </row>
    <row r="1023" customFormat="false" ht="12.8" hidden="false" customHeight="false" outlineLevel="0" collapsed="false">
      <c r="A1023" s="22"/>
      <c r="B1023" s="23" t="n">
        <v>500153000</v>
      </c>
      <c r="C1023" s="24" t="n">
        <v>30</v>
      </c>
      <c r="D1023" s="54" t="s">
        <v>942</v>
      </c>
      <c r="E1023" s="19" t="s">
        <v>940</v>
      </c>
      <c r="F1023" s="24" t="s">
        <v>630</v>
      </c>
      <c r="G1023" s="25" t="n">
        <v>0.39</v>
      </c>
      <c r="H1023" s="26" t="n">
        <v>30</v>
      </c>
      <c r="I1023" s="27" t="n">
        <v>30</v>
      </c>
      <c r="J1023" s="28" t="n">
        <v>6</v>
      </c>
      <c r="K1023" s="28" t="n">
        <v>1</v>
      </c>
      <c r="L1023" s="24" t="s">
        <v>631</v>
      </c>
      <c r="M1023" s="29" t="n">
        <f aca="false">IF("oui" = "oui",21.84*(1-disc),21.84)</f>
        <v>21.84</v>
      </c>
      <c r="N1023" s="29" t="n">
        <f aca="false">IF("oui" = "oui",21.84*(1-disc)*1.2,21.84*1.2)</f>
        <v>26.208</v>
      </c>
      <c r="O1023" s="24" t="s">
        <v>25</v>
      </c>
      <c r="P1023" s="7" t="s">
        <v>26</v>
      </c>
      <c r="Q1023" s="16"/>
    </row>
    <row r="1024" customFormat="false" ht="12.8" hidden="false" customHeight="false" outlineLevel="0" collapsed="false">
      <c r="A1024" s="22"/>
      <c r="B1024" s="23" t="n">
        <v>500154000</v>
      </c>
      <c r="C1024" s="24" t="n">
        <v>30</v>
      </c>
      <c r="D1024" s="54" t="s">
        <v>943</v>
      </c>
      <c r="E1024" s="19" t="s">
        <v>940</v>
      </c>
      <c r="F1024" s="24" t="s">
        <v>630</v>
      </c>
      <c r="G1024" s="25" t="n">
        <v>0.39</v>
      </c>
      <c r="H1024" s="26" t="n">
        <v>30</v>
      </c>
      <c r="I1024" s="27" t="n">
        <v>30</v>
      </c>
      <c r="J1024" s="28" t="n">
        <v>6</v>
      </c>
      <c r="K1024" s="28" t="n">
        <v>1</v>
      </c>
      <c r="L1024" s="24" t="s">
        <v>631</v>
      </c>
      <c r="M1024" s="29" t="n">
        <f aca="false">IF("oui" = "oui",21.84*(1-disc),21.84)</f>
        <v>21.84</v>
      </c>
      <c r="N1024" s="29" t="n">
        <f aca="false">IF("oui" = "oui",21.84*(1-disc)*1.2,21.84*1.2)</f>
        <v>26.208</v>
      </c>
      <c r="O1024" s="24" t="s">
        <v>25</v>
      </c>
      <c r="P1024" s="7" t="s">
        <v>26</v>
      </c>
      <c r="Q1024" s="16"/>
    </row>
    <row r="1025" customFormat="false" ht="12.8" hidden="false" customHeight="false" outlineLevel="0" collapsed="false">
      <c r="A1025" s="22"/>
      <c r="B1025" s="23" t="n">
        <v>500155000</v>
      </c>
      <c r="C1025" s="24" t="n">
        <v>30</v>
      </c>
      <c r="D1025" s="54" t="s">
        <v>944</v>
      </c>
      <c r="E1025" s="19" t="s">
        <v>940</v>
      </c>
      <c r="F1025" s="24" t="s">
        <v>630</v>
      </c>
      <c r="G1025" s="25" t="n">
        <v>0.39</v>
      </c>
      <c r="H1025" s="26" t="n">
        <v>30</v>
      </c>
      <c r="I1025" s="27" t="n">
        <v>30</v>
      </c>
      <c r="J1025" s="28" t="n">
        <v>6</v>
      </c>
      <c r="K1025" s="28" t="n">
        <v>1</v>
      </c>
      <c r="L1025" s="24" t="s">
        <v>631</v>
      </c>
      <c r="M1025" s="29" t="n">
        <f aca="false">IF("oui" = "oui",21.84*(1-disc),21.84)</f>
        <v>21.84</v>
      </c>
      <c r="N1025" s="29" t="n">
        <f aca="false">IF("oui" = "oui",21.84*(1-disc)*1.2,21.84*1.2)</f>
        <v>26.208</v>
      </c>
      <c r="O1025" s="24" t="s">
        <v>25</v>
      </c>
      <c r="P1025" s="7" t="s">
        <v>26</v>
      </c>
      <c r="Q1025" s="16"/>
    </row>
    <row r="1026" customFormat="false" ht="12.8" hidden="false" customHeight="false" outlineLevel="0" collapsed="false">
      <c r="A1026" s="22"/>
      <c r="B1026" s="23"/>
      <c r="C1026" s="24"/>
      <c r="D1026" s="22"/>
      <c r="E1026" s="19"/>
      <c r="F1026" s="24"/>
      <c r="G1026" s="25"/>
      <c r="H1026" s="26"/>
      <c r="I1026" s="27"/>
      <c r="J1026" s="28"/>
      <c r="K1026" s="28"/>
      <c r="L1026" s="24"/>
      <c r="M1026" s="29"/>
      <c r="N1026" s="29"/>
      <c r="O1026" s="24"/>
      <c r="P1026" s="4"/>
      <c r="Q1026" s="16"/>
    </row>
    <row r="1027" customFormat="false" ht="12.8" hidden="false" customHeight="false" outlineLevel="0" collapsed="false">
      <c r="A1027" s="22"/>
      <c r="B1027" s="23" t="n">
        <v>500143000</v>
      </c>
      <c r="C1027" s="24" t="n">
        <v>30</v>
      </c>
      <c r="D1027" s="54" t="s">
        <v>945</v>
      </c>
      <c r="E1027" s="19" t="s">
        <v>946</v>
      </c>
      <c r="F1027" s="24" t="s">
        <v>630</v>
      </c>
      <c r="G1027" s="25" t="n">
        <v>0.31</v>
      </c>
      <c r="H1027" s="26" t="n">
        <v>30</v>
      </c>
      <c r="I1027" s="27" t="n">
        <v>30</v>
      </c>
      <c r="J1027" s="28" t="n">
        <v>6</v>
      </c>
      <c r="K1027" s="28" t="n">
        <v>1</v>
      </c>
      <c r="L1027" s="24" t="s">
        <v>631</v>
      </c>
      <c r="M1027" s="29" t="n">
        <f aca="false">IF("oui" = "oui",21.84*(1-disc),21.84)</f>
        <v>21.84</v>
      </c>
      <c r="N1027" s="29" t="n">
        <f aca="false">IF("oui" = "oui",21.84*(1-disc)*1.2,21.84*1.2)</f>
        <v>26.208</v>
      </c>
      <c r="O1027" s="24" t="s">
        <v>25</v>
      </c>
      <c r="P1027" s="7" t="s">
        <v>26</v>
      </c>
      <c r="Q1027" s="16"/>
    </row>
    <row r="1028" customFormat="false" ht="12.8" hidden="false" customHeight="false" outlineLevel="0" collapsed="false">
      <c r="A1028" s="22"/>
      <c r="B1028" s="23" t="n">
        <v>500147000</v>
      </c>
      <c r="C1028" s="24" t="n">
        <v>30</v>
      </c>
      <c r="D1028" s="54" t="s">
        <v>947</v>
      </c>
      <c r="E1028" s="19" t="s">
        <v>946</v>
      </c>
      <c r="F1028" s="24" t="s">
        <v>630</v>
      </c>
      <c r="G1028" s="25" t="n">
        <v>0.31</v>
      </c>
      <c r="H1028" s="26" t="n">
        <v>30</v>
      </c>
      <c r="I1028" s="27" t="n">
        <v>30</v>
      </c>
      <c r="J1028" s="28" t="n">
        <v>6</v>
      </c>
      <c r="K1028" s="28" t="n">
        <v>1</v>
      </c>
      <c r="L1028" s="24" t="s">
        <v>631</v>
      </c>
      <c r="M1028" s="29" t="n">
        <f aca="false">IF("oui" = "oui",21.84*(1-disc),21.84)</f>
        <v>21.84</v>
      </c>
      <c r="N1028" s="29" t="n">
        <f aca="false">IF("oui" = "oui",21.84*(1-disc)*1.2,21.84*1.2)</f>
        <v>26.208</v>
      </c>
      <c r="O1028" s="24" t="s">
        <v>25</v>
      </c>
      <c r="P1028" s="7" t="s">
        <v>26</v>
      </c>
      <c r="Q1028" s="16"/>
    </row>
    <row r="1029" customFormat="false" ht="12.8" hidden="false" customHeight="false" outlineLevel="0" collapsed="false">
      <c r="A1029" s="22"/>
      <c r="B1029" s="23" t="n">
        <v>500156000</v>
      </c>
      <c r="C1029" s="24" t="n">
        <v>30</v>
      </c>
      <c r="D1029" s="54" t="s">
        <v>948</v>
      </c>
      <c r="E1029" s="19" t="s">
        <v>949</v>
      </c>
      <c r="F1029" s="24" t="s">
        <v>630</v>
      </c>
      <c r="G1029" s="25" t="n">
        <v>0.283</v>
      </c>
      <c r="H1029" s="26" t="n">
        <v>30</v>
      </c>
      <c r="I1029" s="27" t="n">
        <v>30</v>
      </c>
      <c r="J1029" s="28" t="n">
        <v>6</v>
      </c>
      <c r="K1029" s="28" t="n">
        <v>1</v>
      </c>
      <c r="L1029" s="24" t="s">
        <v>631</v>
      </c>
      <c r="M1029" s="29" t="n">
        <f aca="false">IF("oui" = "oui",21.84*(1-disc),21.84)</f>
        <v>21.84</v>
      </c>
      <c r="N1029" s="29" t="n">
        <f aca="false">IF("oui" = "oui",21.84*(1-disc)*1.2,21.84*1.2)</f>
        <v>26.208</v>
      </c>
      <c r="O1029" s="24" t="s">
        <v>25</v>
      </c>
      <c r="P1029" s="55" t="s">
        <v>45</v>
      </c>
      <c r="Q1029" s="16"/>
    </row>
    <row r="1030" customFormat="false" ht="12.8" hidden="false" customHeight="false" outlineLevel="0" collapsed="false">
      <c r="A1030" s="22"/>
      <c r="B1030" s="23"/>
      <c r="C1030" s="24"/>
      <c r="D1030" s="22"/>
      <c r="E1030" s="19"/>
      <c r="F1030" s="24"/>
      <c r="G1030" s="25"/>
      <c r="H1030" s="26"/>
      <c r="I1030" s="27"/>
      <c r="J1030" s="28"/>
      <c r="K1030" s="28"/>
      <c r="L1030" s="24"/>
      <c r="M1030" s="29"/>
      <c r="N1030" s="29"/>
      <c r="O1030" s="24"/>
      <c r="P1030" s="4"/>
      <c r="Q1030" s="16"/>
    </row>
    <row r="1031" customFormat="false" ht="12.8" hidden="false" customHeight="false" outlineLevel="0" collapsed="false">
      <c r="A1031" s="22"/>
      <c r="B1031" s="23"/>
      <c r="C1031" s="24"/>
      <c r="D1031" s="22"/>
      <c r="E1031" s="19"/>
      <c r="F1031" s="24"/>
      <c r="G1031" s="25"/>
      <c r="H1031" s="26"/>
      <c r="I1031" s="27"/>
      <c r="J1031" s="28"/>
      <c r="K1031" s="28"/>
      <c r="L1031" s="24"/>
      <c r="M1031" s="29"/>
      <c r="N1031" s="29"/>
      <c r="O1031" s="24"/>
      <c r="P1031" s="4"/>
      <c r="Q1031" s="16"/>
    </row>
    <row r="1032" customFormat="false" ht="12.8" hidden="false" customHeight="false" outlineLevel="0" collapsed="false">
      <c r="A1032" s="22"/>
      <c r="B1032" s="23" t="n">
        <v>500021000</v>
      </c>
      <c r="C1032" s="24" t="n">
        <v>30</v>
      </c>
      <c r="D1032" s="54" t="s">
        <v>950</v>
      </c>
      <c r="E1032" s="19" t="s">
        <v>951</v>
      </c>
      <c r="F1032" s="24" t="s">
        <v>647</v>
      </c>
      <c r="G1032" s="25" t="n">
        <v>0.275</v>
      </c>
      <c r="H1032" s="26" t="n">
        <v>30</v>
      </c>
      <c r="I1032" s="27" t="n">
        <v>30</v>
      </c>
      <c r="J1032" s="28" t="n">
        <v>6</v>
      </c>
      <c r="K1032" s="28" t="n">
        <v>1</v>
      </c>
      <c r="L1032" s="24" t="s">
        <v>631</v>
      </c>
      <c r="M1032" s="29" t="n">
        <f aca="false">IF("oui" = "oui",21.84*(1-disc),21.84)</f>
        <v>21.84</v>
      </c>
      <c r="N1032" s="29" t="n">
        <f aca="false">IF("oui" = "oui",21.84*(1-disc)*1.2,21.84*1.2)</f>
        <v>26.208</v>
      </c>
      <c r="O1032" s="24" t="s">
        <v>25</v>
      </c>
      <c r="P1032" s="7" t="s">
        <v>26</v>
      </c>
      <c r="Q1032" s="16"/>
    </row>
    <row r="1033" customFormat="false" ht="12.8" hidden="false" customHeight="false" outlineLevel="0" collapsed="false">
      <c r="A1033" s="22"/>
      <c r="B1033" s="23" t="n">
        <v>500022000</v>
      </c>
      <c r="C1033" s="24" t="n">
        <v>30</v>
      </c>
      <c r="D1033" s="54" t="s">
        <v>952</v>
      </c>
      <c r="E1033" s="19" t="s">
        <v>951</v>
      </c>
      <c r="F1033" s="24" t="s">
        <v>647</v>
      </c>
      <c r="G1033" s="25" t="n">
        <v>0.275</v>
      </c>
      <c r="H1033" s="26" t="n">
        <v>30</v>
      </c>
      <c r="I1033" s="27" t="n">
        <v>30</v>
      </c>
      <c r="J1033" s="28" t="n">
        <v>6</v>
      </c>
      <c r="K1033" s="28" t="n">
        <v>1</v>
      </c>
      <c r="L1033" s="24" t="s">
        <v>631</v>
      </c>
      <c r="M1033" s="29" t="n">
        <f aca="false">IF("oui" = "oui",21.84*(1-disc),21.84)</f>
        <v>21.84</v>
      </c>
      <c r="N1033" s="29" t="n">
        <f aca="false">IF("oui" = "oui",21.84*(1-disc)*1.2,21.84*1.2)</f>
        <v>26.208</v>
      </c>
      <c r="O1033" s="24" t="s">
        <v>25</v>
      </c>
      <c r="P1033" s="7" t="s">
        <v>26</v>
      </c>
      <c r="Q1033" s="16"/>
    </row>
    <row r="1034" customFormat="false" ht="12.8" hidden="false" customHeight="false" outlineLevel="0" collapsed="false">
      <c r="A1034" s="22"/>
      <c r="B1034" s="23" t="n">
        <v>500023000</v>
      </c>
      <c r="C1034" s="24" t="n">
        <v>30</v>
      </c>
      <c r="D1034" s="54" t="s">
        <v>953</v>
      </c>
      <c r="E1034" s="19" t="s">
        <v>951</v>
      </c>
      <c r="F1034" s="24" t="s">
        <v>647</v>
      </c>
      <c r="G1034" s="25" t="n">
        <v>0.275</v>
      </c>
      <c r="H1034" s="26" t="n">
        <v>30</v>
      </c>
      <c r="I1034" s="27" t="n">
        <v>30</v>
      </c>
      <c r="J1034" s="28" t="n">
        <v>6</v>
      </c>
      <c r="K1034" s="28" t="n">
        <v>1</v>
      </c>
      <c r="L1034" s="24" t="s">
        <v>631</v>
      </c>
      <c r="M1034" s="29" t="n">
        <f aca="false">IF("oui" = "oui",21.84*(1-disc),21.84)</f>
        <v>21.84</v>
      </c>
      <c r="N1034" s="29" t="n">
        <f aca="false">IF("oui" = "oui",21.84*(1-disc)*1.2,21.84*1.2)</f>
        <v>26.208</v>
      </c>
      <c r="O1034" s="24" t="s">
        <v>25</v>
      </c>
      <c r="P1034" s="7" t="s">
        <v>26</v>
      </c>
      <c r="Q1034" s="16"/>
    </row>
    <row r="1035" customFormat="false" ht="12.8" hidden="false" customHeight="false" outlineLevel="0" collapsed="false">
      <c r="A1035" s="22"/>
      <c r="B1035" s="23" t="n">
        <v>500024000</v>
      </c>
      <c r="C1035" s="24" t="n">
        <v>30</v>
      </c>
      <c r="D1035" s="54" t="s">
        <v>954</v>
      </c>
      <c r="E1035" s="19" t="s">
        <v>951</v>
      </c>
      <c r="F1035" s="24" t="s">
        <v>647</v>
      </c>
      <c r="G1035" s="25" t="n">
        <v>0.275</v>
      </c>
      <c r="H1035" s="26" t="n">
        <v>30</v>
      </c>
      <c r="I1035" s="27" t="n">
        <v>30</v>
      </c>
      <c r="J1035" s="28" t="n">
        <v>6</v>
      </c>
      <c r="K1035" s="28" t="n">
        <v>1</v>
      </c>
      <c r="L1035" s="24" t="s">
        <v>631</v>
      </c>
      <c r="M1035" s="29" t="n">
        <f aca="false">IF("oui" = "oui",21.84*(1-disc),21.84)</f>
        <v>21.84</v>
      </c>
      <c r="N1035" s="29" t="n">
        <f aca="false">IF("oui" = "oui",21.84*(1-disc)*1.2,21.84*1.2)</f>
        <v>26.208</v>
      </c>
      <c r="O1035" s="24" t="s">
        <v>25</v>
      </c>
      <c r="P1035" s="55" t="s">
        <v>45</v>
      </c>
      <c r="Q1035" s="16"/>
    </row>
    <row r="1036" customFormat="false" ht="12.8" hidden="false" customHeight="false" outlineLevel="0" collapsed="false">
      <c r="A1036" s="22"/>
      <c r="B1036" s="23"/>
      <c r="C1036" s="24"/>
      <c r="D1036" s="22"/>
      <c r="E1036" s="19"/>
      <c r="F1036" s="24"/>
      <c r="G1036" s="25"/>
      <c r="H1036" s="26"/>
      <c r="I1036" s="27"/>
      <c r="J1036" s="28"/>
      <c r="K1036" s="28"/>
      <c r="L1036" s="24"/>
      <c r="M1036" s="29"/>
      <c r="N1036" s="29"/>
      <c r="O1036" s="24"/>
      <c r="P1036" s="4"/>
      <c r="Q1036" s="16"/>
    </row>
    <row r="1037" customFormat="false" ht="12.8" hidden="false" customHeight="false" outlineLevel="0" collapsed="false">
      <c r="A1037" s="22"/>
      <c r="B1037" s="23" t="n">
        <v>500300000</v>
      </c>
      <c r="C1037" s="24" t="n">
        <v>30</v>
      </c>
      <c r="D1037" s="54" t="s">
        <v>955</v>
      </c>
      <c r="E1037" s="19" t="s">
        <v>956</v>
      </c>
      <c r="F1037" s="24" t="s">
        <v>630</v>
      </c>
      <c r="G1037" s="25" t="n">
        <v>0.392</v>
      </c>
      <c r="H1037" s="26" t="n">
        <v>30</v>
      </c>
      <c r="I1037" s="27" t="n">
        <v>30</v>
      </c>
      <c r="J1037" s="28" t="n">
        <v>6</v>
      </c>
      <c r="K1037" s="28" t="n">
        <v>1</v>
      </c>
      <c r="L1037" s="24" t="s">
        <v>631</v>
      </c>
      <c r="M1037" s="29" t="n">
        <f aca="false">IF("oui" = "oui",36.94*(1-disc),36.94)</f>
        <v>36.94</v>
      </c>
      <c r="N1037" s="29" t="n">
        <f aca="false">IF("oui" = "oui",36.94*(1-disc)*1.2,36.94*1.2)</f>
        <v>44.328</v>
      </c>
      <c r="O1037" s="24" t="s">
        <v>25</v>
      </c>
      <c r="P1037" s="7" t="s">
        <v>26</v>
      </c>
      <c r="Q1037" s="16"/>
    </row>
    <row r="1038" customFormat="false" ht="12.8" hidden="false" customHeight="false" outlineLevel="0" collapsed="false">
      <c r="A1038" s="22"/>
      <c r="B1038" s="23" t="n">
        <v>500301000</v>
      </c>
      <c r="C1038" s="24" t="n">
        <v>30</v>
      </c>
      <c r="D1038" s="54" t="s">
        <v>957</v>
      </c>
      <c r="E1038" s="19" t="s">
        <v>956</v>
      </c>
      <c r="F1038" s="24" t="s">
        <v>630</v>
      </c>
      <c r="G1038" s="25" t="n">
        <v>0.392</v>
      </c>
      <c r="H1038" s="26" t="n">
        <v>30</v>
      </c>
      <c r="I1038" s="27" t="n">
        <v>30</v>
      </c>
      <c r="J1038" s="28" t="n">
        <v>6</v>
      </c>
      <c r="K1038" s="28" t="n">
        <v>1</v>
      </c>
      <c r="L1038" s="24" t="s">
        <v>631</v>
      </c>
      <c r="M1038" s="29" t="n">
        <f aca="false">IF("oui" = "oui",36.94*(1-disc),36.94)</f>
        <v>36.94</v>
      </c>
      <c r="N1038" s="29" t="n">
        <f aca="false">IF("oui" = "oui",36.94*(1-disc)*1.2,36.94*1.2)</f>
        <v>44.328</v>
      </c>
      <c r="O1038" s="24" t="s">
        <v>25</v>
      </c>
      <c r="P1038" s="7" t="s">
        <v>26</v>
      </c>
      <c r="Q1038" s="16"/>
    </row>
    <row r="1039" customFormat="false" ht="12.8" hidden="false" customHeight="false" outlineLevel="0" collapsed="false">
      <c r="A1039" s="22"/>
      <c r="B1039" s="23" t="n">
        <v>500302000</v>
      </c>
      <c r="C1039" s="24" t="n">
        <v>30</v>
      </c>
      <c r="D1039" s="54" t="s">
        <v>958</v>
      </c>
      <c r="E1039" s="19" t="s">
        <v>956</v>
      </c>
      <c r="F1039" s="24" t="s">
        <v>630</v>
      </c>
      <c r="G1039" s="25" t="n">
        <v>0.392</v>
      </c>
      <c r="H1039" s="26" t="n">
        <v>30</v>
      </c>
      <c r="I1039" s="27" t="n">
        <v>30</v>
      </c>
      <c r="J1039" s="28" t="n">
        <v>6</v>
      </c>
      <c r="K1039" s="28" t="n">
        <v>1</v>
      </c>
      <c r="L1039" s="24" t="s">
        <v>631</v>
      </c>
      <c r="M1039" s="29" t="n">
        <f aca="false">IF("oui" = "oui",36.94*(1-disc),36.94)</f>
        <v>36.94</v>
      </c>
      <c r="N1039" s="29" t="n">
        <f aca="false">IF("oui" = "oui",36.94*(1-disc)*1.2,36.94*1.2)</f>
        <v>44.328</v>
      </c>
      <c r="O1039" s="24" t="s">
        <v>25</v>
      </c>
      <c r="P1039" s="7" t="s">
        <v>26</v>
      </c>
      <c r="Q1039" s="16"/>
    </row>
    <row r="1040" customFormat="false" ht="12.8" hidden="false" customHeight="false" outlineLevel="0" collapsed="false">
      <c r="A1040" s="22"/>
      <c r="B1040" s="23" t="n">
        <v>500303000</v>
      </c>
      <c r="C1040" s="24" t="n">
        <v>30</v>
      </c>
      <c r="D1040" s="54" t="s">
        <v>959</v>
      </c>
      <c r="E1040" s="19" t="s">
        <v>956</v>
      </c>
      <c r="F1040" s="24" t="s">
        <v>630</v>
      </c>
      <c r="G1040" s="25" t="n">
        <v>0.392</v>
      </c>
      <c r="H1040" s="26" t="n">
        <v>30</v>
      </c>
      <c r="I1040" s="27" t="n">
        <v>30</v>
      </c>
      <c r="J1040" s="28" t="n">
        <v>6</v>
      </c>
      <c r="K1040" s="28" t="n">
        <v>1</v>
      </c>
      <c r="L1040" s="24" t="s">
        <v>631</v>
      </c>
      <c r="M1040" s="29" t="n">
        <f aca="false">IF("oui" = "oui",36.94*(1-disc),36.94)</f>
        <v>36.94</v>
      </c>
      <c r="N1040" s="29" t="n">
        <f aca="false">IF("oui" = "oui",36.94*(1-disc)*1.2,36.94*1.2)</f>
        <v>44.328</v>
      </c>
      <c r="O1040" s="24" t="s">
        <v>25</v>
      </c>
      <c r="P1040" s="7" t="s">
        <v>26</v>
      </c>
      <c r="Q1040" s="16"/>
    </row>
    <row r="1041" customFormat="false" ht="12.8" hidden="false" customHeight="false" outlineLevel="0" collapsed="false">
      <c r="A1041" s="22"/>
      <c r="B1041" s="23" t="n">
        <v>500304000</v>
      </c>
      <c r="C1041" s="24" t="n">
        <v>30</v>
      </c>
      <c r="D1041" s="54" t="s">
        <v>960</v>
      </c>
      <c r="E1041" s="19" t="s">
        <v>956</v>
      </c>
      <c r="F1041" s="24" t="s">
        <v>630</v>
      </c>
      <c r="G1041" s="25" t="n">
        <v>0.392</v>
      </c>
      <c r="H1041" s="26" t="n">
        <v>30</v>
      </c>
      <c r="I1041" s="27" t="n">
        <v>30</v>
      </c>
      <c r="J1041" s="28" t="n">
        <v>6</v>
      </c>
      <c r="K1041" s="28" t="n">
        <v>1</v>
      </c>
      <c r="L1041" s="24" t="s">
        <v>631</v>
      </c>
      <c r="M1041" s="29" t="n">
        <f aca="false">IF("oui" = "oui",36.94*(1-disc),36.94)</f>
        <v>36.94</v>
      </c>
      <c r="N1041" s="29" t="n">
        <f aca="false">IF("oui" = "oui",36.94*(1-disc)*1.2,36.94*1.2)</f>
        <v>44.328</v>
      </c>
      <c r="O1041" s="24" t="s">
        <v>25</v>
      </c>
      <c r="P1041" s="7" t="s">
        <v>26</v>
      </c>
      <c r="Q1041" s="16"/>
    </row>
    <row r="1042" customFormat="false" ht="12.8" hidden="false" customHeight="false" outlineLevel="0" collapsed="false">
      <c r="A1042" s="22"/>
      <c r="B1042" s="23" t="n">
        <v>500305000</v>
      </c>
      <c r="C1042" s="24" t="n">
        <v>30</v>
      </c>
      <c r="D1042" s="54" t="s">
        <v>961</v>
      </c>
      <c r="E1042" s="19" t="s">
        <v>956</v>
      </c>
      <c r="F1042" s="24" t="s">
        <v>630</v>
      </c>
      <c r="G1042" s="25" t="n">
        <v>0.392</v>
      </c>
      <c r="H1042" s="26" t="n">
        <v>30</v>
      </c>
      <c r="I1042" s="27" t="n">
        <v>30</v>
      </c>
      <c r="J1042" s="28" t="n">
        <v>6</v>
      </c>
      <c r="K1042" s="28" t="n">
        <v>1</v>
      </c>
      <c r="L1042" s="24" t="s">
        <v>631</v>
      </c>
      <c r="M1042" s="29" t="n">
        <f aca="false">IF("oui" = "oui",36.94*(1-disc),36.94)</f>
        <v>36.94</v>
      </c>
      <c r="N1042" s="29" t="n">
        <f aca="false">IF("oui" = "oui",36.94*(1-disc)*1.2,36.94*1.2)</f>
        <v>44.328</v>
      </c>
      <c r="O1042" s="24" t="s">
        <v>25</v>
      </c>
      <c r="P1042" s="7" t="s">
        <v>26</v>
      </c>
      <c r="Q1042" s="16"/>
    </row>
    <row r="1043" customFormat="false" ht="12.8" hidden="false" customHeight="false" outlineLevel="0" collapsed="false">
      <c r="A1043" s="22"/>
      <c r="B1043" s="23" t="n">
        <v>500306000</v>
      </c>
      <c r="C1043" s="24" t="n">
        <v>30</v>
      </c>
      <c r="D1043" s="54" t="s">
        <v>962</v>
      </c>
      <c r="E1043" s="19" t="s">
        <v>956</v>
      </c>
      <c r="F1043" s="24" t="s">
        <v>630</v>
      </c>
      <c r="G1043" s="25" t="n">
        <v>0.392</v>
      </c>
      <c r="H1043" s="26" t="n">
        <v>30</v>
      </c>
      <c r="I1043" s="27" t="n">
        <v>30</v>
      </c>
      <c r="J1043" s="28" t="n">
        <v>6</v>
      </c>
      <c r="K1043" s="28" t="n">
        <v>1</v>
      </c>
      <c r="L1043" s="24" t="s">
        <v>631</v>
      </c>
      <c r="M1043" s="29" t="n">
        <f aca="false">IF("oui" = "oui",36.94*(1-disc),36.94)</f>
        <v>36.94</v>
      </c>
      <c r="N1043" s="29" t="n">
        <f aca="false">IF("oui" = "oui",36.94*(1-disc)*1.2,36.94*1.2)</f>
        <v>44.328</v>
      </c>
      <c r="O1043" s="24" t="s">
        <v>25</v>
      </c>
      <c r="P1043" s="7" t="s">
        <v>26</v>
      </c>
      <c r="Q1043" s="16"/>
    </row>
    <row r="1044" customFormat="false" ht="12.8" hidden="false" customHeight="false" outlineLevel="0" collapsed="false">
      <c r="A1044" s="22"/>
      <c r="B1044" s="23"/>
      <c r="C1044" s="24"/>
      <c r="D1044" s="22"/>
      <c r="E1044" s="19"/>
      <c r="F1044" s="24"/>
      <c r="G1044" s="25"/>
      <c r="H1044" s="26"/>
      <c r="I1044" s="27"/>
      <c r="J1044" s="28"/>
      <c r="K1044" s="28"/>
      <c r="L1044" s="24"/>
      <c r="M1044" s="29"/>
      <c r="N1044" s="29"/>
      <c r="O1044" s="24"/>
      <c r="P1044" s="4"/>
      <c r="Q1044" s="16"/>
    </row>
    <row r="1045" customFormat="false" ht="12.8" hidden="false" customHeight="false" outlineLevel="0" collapsed="false">
      <c r="A1045" s="42" t="s">
        <v>963</v>
      </c>
      <c r="B1045" s="43"/>
      <c r="C1045" s="44"/>
      <c r="D1045" s="45"/>
      <c r="E1045" s="46"/>
      <c r="F1045" s="44"/>
      <c r="G1045" s="47"/>
      <c r="H1045" s="48"/>
      <c r="I1045" s="49"/>
      <c r="J1045" s="50"/>
      <c r="K1045" s="50"/>
      <c r="L1045" s="44"/>
      <c r="M1045" s="51"/>
      <c r="N1045" s="51"/>
      <c r="O1045" s="44"/>
      <c r="P1045" s="52"/>
      <c r="Q1045" s="53"/>
    </row>
    <row r="1046" customFormat="false" ht="12.8" hidden="false" customHeight="false" outlineLevel="0" collapsed="false">
      <c r="A1046" s="22"/>
      <c r="B1046" s="23"/>
      <c r="C1046" s="24"/>
      <c r="D1046" s="22"/>
      <c r="E1046" s="19"/>
      <c r="F1046" s="24"/>
      <c r="G1046" s="25"/>
      <c r="H1046" s="26"/>
      <c r="I1046" s="27"/>
      <c r="J1046" s="28"/>
      <c r="K1046" s="28"/>
      <c r="L1046" s="24"/>
      <c r="M1046" s="29"/>
      <c r="N1046" s="29"/>
      <c r="O1046" s="24"/>
      <c r="P1046" s="4"/>
      <c r="Q1046" s="16"/>
    </row>
    <row r="1047" customFormat="false" ht="12.8" hidden="false" customHeight="false" outlineLevel="0" collapsed="false">
      <c r="A1047" s="22"/>
      <c r="B1047" s="23" t="n">
        <v>500062000</v>
      </c>
      <c r="C1047" s="24" t="n">
        <v>25</v>
      </c>
      <c r="D1047" s="54" t="s">
        <v>964</v>
      </c>
      <c r="E1047" s="19" t="s">
        <v>965</v>
      </c>
      <c r="F1047" s="24" t="s">
        <v>630</v>
      </c>
      <c r="G1047" s="25" t="n">
        <v>0.245</v>
      </c>
      <c r="H1047" s="26" t="n">
        <v>25</v>
      </c>
      <c r="I1047" s="27" t="n">
        <v>50</v>
      </c>
      <c r="J1047" s="28" t="n">
        <v>8</v>
      </c>
      <c r="K1047" s="28" t="n">
        <v>1</v>
      </c>
      <c r="L1047" s="24" t="s">
        <v>631</v>
      </c>
      <c r="M1047" s="29" t="n">
        <f aca="false">IF("oui" = "oui",19.56*(1-disc),19.56)</f>
        <v>19.56</v>
      </c>
      <c r="N1047" s="29" t="n">
        <f aca="false">IF("oui" = "oui",19.56*(1-disc)*1.2,19.56*1.2)</f>
        <v>23.472</v>
      </c>
      <c r="O1047" s="24" t="s">
        <v>25</v>
      </c>
      <c r="P1047" s="7" t="s">
        <v>26</v>
      </c>
      <c r="Q1047" s="16"/>
    </row>
    <row r="1048" customFormat="false" ht="12.8" hidden="false" customHeight="false" outlineLevel="0" collapsed="false">
      <c r="A1048" s="22"/>
      <c r="B1048" s="23" t="n">
        <v>500061000</v>
      </c>
      <c r="C1048" s="24" t="n">
        <v>25</v>
      </c>
      <c r="D1048" s="54" t="s">
        <v>966</v>
      </c>
      <c r="E1048" s="19" t="s">
        <v>965</v>
      </c>
      <c r="F1048" s="24" t="s">
        <v>630</v>
      </c>
      <c r="G1048" s="25" t="n">
        <v>0.245</v>
      </c>
      <c r="H1048" s="26" t="n">
        <v>3</v>
      </c>
      <c r="I1048" s="27" t="n">
        <v>50</v>
      </c>
      <c r="J1048" s="28" t="n">
        <v>8</v>
      </c>
      <c r="K1048" s="28" t="n">
        <v>1</v>
      </c>
      <c r="L1048" s="24" t="s">
        <v>631</v>
      </c>
      <c r="M1048" s="29" t="n">
        <f aca="false">IF("oui" = "oui",19.56*(1-disc),19.56)</f>
        <v>19.56</v>
      </c>
      <c r="N1048" s="29" t="n">
        <f aca="false">IF("oui" = "oui",19.56*(1-disc)*1.2,19.56*1.2)</f>
        <v>23.472</v>
      </c>
      <c r="O1048" s="24" t="s">
        <v>25</v>
      </c>
      <c r="P1048" s="7" t="s">
        <v>26</v>
      </c>
      <c r="Q1048" s="16"/>
    </row>
    <row r="1049" customFormat="false" ht="12.8" hidden="false" customHeight="false" outlineLevel="0" collapsed="false">
      <c r="A1049" s="22"/>
      <c r="B1049" s="23" t="n">
        <v>605004000</v>
      </c>
      <c r="C1049" s="24" t="n">
        <v>18</v>
      </c>
      <c r="D1049" s="54" t="s">
        <v>967</v>
      </c>
      <c r="E1049" s="19" t="s">
        <v>840</v>
      </c>
      <c r="F1049" s="24" t="s">
        <v>23</v>
      </c>
      <c r="G1049" s="25" t="n">
        <v>0.208</v>
      </c>
      <c r="H1049" s="26" t="n">
        <v>5</v>
      </c>
      <c r="I1049" s="27" t="n">
        <v>50</v>
      </c>
      <c r="J1049" s="28" t="n">
        <v>8</v>
      </c>
      <c r="K1049" s="28" t="n">
        <v>1</v>
      </c>
      <c r="L1049" s="24" t="s">
        <v>631</v>
      </c>
      <c r="M1049" s="57" t="n">
        <f aca="false">IF("non" = "oui",20.5*(1-disc),20.5)</f>
        <v>20.5</v>
      </c>
      <c r="N1049" s="57" t="n">
        <f aca="false">IF("non" = "oui",20.5*(1-disc)*1.2,20.5*1.2)</f>
        <v>24.6</v>
      </c>
      <c r="O1049" s="58" t="s">
        <v>26</v>
      </c>
      <c r="P1049" s="7" t="s">
        <v>26</v>
      </c>
      <c r="Q1049" s="59" t="s">
        <v>87</v>
      </c>
    </row>
    <row r="1050" customFormat="false" ht="12.8" hidden="false" customHeight="false" outlineLevel="0" collapsed="false">
      <c r="A1050" s="22"/>
      <c r="B1050" s="23"/>
      <c r="C1050" s="24"/>
      <c r="D1050" s="22"/>
      <c r="E1050" s="19"/>
      <c r="F1050" s="24"/>
      <c r="G1050" s="25"/>
      <c r="H1050" s="26"/>
      <c r="I1050" s="27"/>
      <c r="J1050" s="28"/>
      <c r="K1050" s="28"/>
      <c r="L1050" s="24"/>
      <c r="M1050" s="29"/>
      <c r="N1050" s="29"/>
      <c r="O1050" s="24"/>
      <c r="P1050" s="4"/>
      <c r="Q1050" s="16"/>
    </row>
    <row r="1051" customFormat="false" ht="12.8" hidden="false" customHeight="false" outlineLevel="0" collapsed="false">
      <c r="A1051" s="22"/>
      <c r="B1051" s="23" t="n">
        <v>500053000</v>
      </c>
      <c r="C1051" s="24" t="n">
        <v>30</v>
      </c>
      <c r="D1051" s="54" t="s">
        <v>968</v>
      </c>
      <c r="E1051" s="19" t="s">
        <v>969</v>
      </c>
      <c r="F1051" s="24" t="s">
        <v>630</v>
      </c>
      <c r="G1051" s="25" t="n">
        <v>0.457</v>
      </c>
      <c r="H1051" s="26" t="n">
        <v>30</v>
      </c>
      <c r="I1051" s="27" t="n">
        <v>30</v>
      </c>
      <c r="J1051" s="28" t="n">
        <v>6</v>
      </c>
      <c r="K1051" s="28" t="n">
        <v>1</v>
      </c>
      <c r="L1051" s="24" t="s">
        <v>631</v>
      </c>
      <c r="M1051" s="29" t="n">
        <f aca="false">IF("oui" = "oui",26.08*(1-disc),26.08)</f>
        <v>26.08</v>
      </c>
      <c r="N1051" s="29" t="n">
        <f aca="false">IF("oui" = "oui",26.08*(1-disc)*1.2,26.08*1.2)</f>
        <v>31.296</v>
      </c>
      <c r="O1051" s="24" t="s">
        <v>25</v>
      </c>
      <c r="P1051" s="7" t="s">
        <v>26</v>
      </c>
      <c r="Q1051" s="16"/>
    </row>
    <row r="1052" customFormat="false" ht="12.8" hidden="false" customHeight="false" outlineLevel="0" collapsed="false">
      <c r="A1052" s="22"/>
      <c r="B1052" s="23" t="n">
        <v>500054000</v>
      </c>
      <c r="C1052" s="24" t="n">
        <v>30</v>
      </c>
      <c r="D1052" s="54" t="s">
        <v>970</v>
      </c>
      <c r="E1052" s="19" t="s">
        <v>969</v>
      </c>
      <c r="F1052" s="24" t="s">
        <v>630</v>
      </c>
      <c r="G1052" s="25" t="n">
        <v>0.457</v>
      </c>
      <c r="H1052" s="26" t="n">
        <v>30</v>
      </c>
      <c r="I1052" s="27" t="n">
        <v>30</v>
      </c>
      <c r="J1052" s="28" t="n">
        <v>6</v>
      </c>
      <c r="K1052" s="28" t="n">
        <v>1</v>
      </c>
      <c r="L1052" s="24" t="s">
        <v>631</v>
      </c>
      <c r="M1052" s="29" t="n">
        <f aca="false">IF("oui" = "oui",26.08*(1-disc),26.08)</f>
        <v>26.08</v>
      </c>
      <c r="N1052" s="29" t="n">
        <f aca="false">IF("oui" = "oui",26.08*(1-disc)*1.2,26.08*1.2)</f>
        <v>31.296</v>
      </c>
      <c r="O1052" s="24" t="s">
        <v>25</v>
      </c>
      <c r="P1052" s="7" t="s">
        <v>26</v>
      </c>
      <c r="Q1052" s="16"/>
    </row>
    <row r="1053" customFormat="false" ht="12.8" hidden="false" customHeight="false" outlineLevel="0" collapsed="false">
      <c r="A1053" s="22"/>
      <c r="B1053" s="23" t="n">
        <v>500055000</v>
      </c>
      <c r="C1053" s="24" t="n">
        <v>30</v>
      </c>
      <c r="D1053" s="54" t="s">
        <v>971</v>
      </c>
      <c r="E1053" s="19" t="s">
        <v>969</v>
      </c>
      <c r="F1053" s="24" t="s">
        <v>630</v>
      </c>
      <c r="G1053" s="25" t="n">
        <v>0.457</v>
      </c>
      <c r="H1053" s="26" t="n">
        <v>30</v>
      </c>
      <c r="I1053" s="27" t="n">
        <v>30</v>
      </c>
      <c r="J1053" s="28" t="n">
        <v>6</v>
      </c>
      <c r="K1053" s="28" t="n">
        <v>1</v>
      </c>
      <c r="L1053" s="24" t="s">
        <v>631</v>
      </c>
      <c r="M1053" s="29" t="n">
        <f aca="false">IF("oui" = "oui",26.08*(1-disc),26.08)</f>
        <v>26.08</v>
      </c>
      <c r="N1053" s="29" t="n">
        <f aca="false">IF("oui" = "oui",26.08*(1-disc)*1.2,26.08*1.2)</f>
        <v>31.296</v>
      </c>
      <c r="O1053" s="24" t="s">
        <v>25</v>
      </c>
      <c r="P1053" s="7" t="s">
        <v>26</v>
      </c>
      <c r="Q1053" s="16"/>
    </row>
    <row r="1054" customFormat="false" ht="12.8" hidden="false" customHeight="false" outlineLevel="0" collapsed="false">
      <c r="A1054" s="22"/>
      <c r="B1054" s="23" t="n">
        <v>500056000</v>
      </c>
      <c r="C1054" s="24" t="n">
        <v>30</v>
      </c>
      <c r="D1054" s="54" t="s">
        <v>972</v>
      </c>
      <c r="E1054" s="19" t="s">
        <v>969</v>
      </c>
      <c r="F1054" s="24" t="s">
        <v>630</v>
      </c>
      <c r="G1054" s="25" t="n">
        <v>0.457</v>
      </c>
      <c r="H1054" s="26" t="n">
        <v>30</v>
      </c>
      <c r="I1054" s="27" t="n">
        <v>30</v>
      </c>
      <c r="J1054" s="28" t="n">
        <v>6</v>
      </c>
      <c r="K1054" s="28" t="n">
        <v>1</v>
      </c>
      <c r="L1054" s="24" t="s">
        <v>631</v>
      </c>
      <c r="M1054" s="29" t="n">
        <f aca="false">IF("oui" = "oui",26.08*(1-disc),26.08)</f>
        <v>26.08</v>
      </c>
      <c r="N1054" s="29" t="n">
        <f aca="false">IF("oui" = "oui",26.08*(1-disc)*1.2,26.08*1.2)</f>
        <v>31.296</v>
      </c>
      <c r="O1054" s="24" t="s">
        <v>25</v>
      </c>
      <c r="P1054" s="7" t="s">
        <v>26</v>
      </c>
      <c r="Q1054" s="16"/>
    </row>
    <row r="1055" customFormat="false" ht="12.8" hidden="false" customHeight="false" outlineLevel="0" collapsed="false">
      <c r="A1055" s="22"/>
      <c r="B1055" s="23" t="n">
        <v>500057000</v>
      </c>
      <c r="C1055" s="24" t="n">
        <v>30</v>
      </c>
      <c r="D1055" s="54" t="s">
        <v>973</v>
      </c>
      <c r="E1055" s="19" t="s">
        <v>969</v>
      </c>
      <c r="F1055" s="24" t="s">
        <v>630</v>
      </c>
      <c r="G1055" s="25" t="n">
        <v>0.457</v>
      </c>
      <c r="H1055" s="26" t="n">
        <v>30</v>
      </c>
      <c r="I1055" s="27" t="n">
        <v>30</v>
      </c>
      <c r="J1055" s="28" t="n">
        <v>6</v>
      </c>
      <c r="K1055" s="28" t="n">
        <v>1</v>
      </c>
      <c r="L1055" s="24" t="s">
        <v>631</v>
      </c>
      <c r="M1055" s="29" t="n">
        <f aca="false">IF("oui" = "oui",26.08*(1-disc),26.08)</f>
        <v>26.08</v>
      </c>
      <c r="N1055" s="29" t="n">
        <f aca="false">IF("oui" = "oui",26.08*(1-disc)*1.2,26.08*1.2)</f>
        <v>31.296</v>
      </c>
      <c r="O1055" s="24" t="s">
        <v>25</v>
      </c>
      <c r="P1055" s="55" t="s">
        <v>141</v>
      </c>
      <c r="Q1055" s="16"/>
    </row>
    <row r="1056" customFormat="false" ht="12.8" hidden="false" customHeight="false" outlineLevel="0" collapsed="false">
      <c r="A1056" s="22"/>
      <c r="B1056" s="23" t="n">
        <v>500058000</v>
      </c>
      <c r="C1056" s="24" t="n">
        <v>30</v>
      </c>
      <c r="D1056" s="54" t="s">
        <v>974</v>
      </c>
      <c r="E1056" s="19" t="s">
        <v>969</v>
      </c>
      <c r="F1056" s="24" t="s">
        <v>630</v>
      </c>
      <c r="G1056" s="25" t="n">
        <v>0.457</v>
      </c>
      <c r="H1056" s="26" t="n">
        <v>30</v>
      </c>
      <c r="I1056" s="27" t="n">
        <v>30</v>
      </c>
      <c r="J1056" s="28" t="n">
        <v>6</v>
      </c>
      <c r="K1056" s="28" t="n">
        <v>1</v>
      </c>
      <c r="L1056" s="24" t="s">
        <v>631</v>
      </c>
      <c r="M1056" s="29" t="n">
        <f aca="false">IF("oui" = "oui",26.08*(1-disc),26.08)</f>
        <v>26.08</v>
      </c>
      <c r="N1056" s="29" t="n">
        <f aca="false">IF("oui" = "oui",26.08*(1-disc)*1.2,26.08*1.2)</f>
        <v>31.296</v>
      </c>
      <c r="O1056" s="24" t="s">
        <v>25</v>
      </c>
      <c r="P1056" s="7" t="s">
        <v>26</v>
      </c>
      <c r="Q1056" s="16"/>
    </row>
    <row r="1057" customFormat="false" ht="12.8" hidden="false" customHeight="false" outlineLevel="0" collapsed="false">
      <c r="A1057" s="22"/>
      <c r="B1057" s="23" t="n">
        <v>500059000</v>
      </c>
      <c r="C1057" s="24" t="n">
        <v>30</v>
      </c>
      <c r="D1057" s="54" t="s">
        <v>975</v>
      </c>
      <c r="E1057" s="19" t="s">
        <v>969</v>
      </c>
      <c r="F1057" s="24" t="s">
        <v>630</v>
      </c>
      <c r="G1057" s="25" t="n">
        <v>0.457</v>
      </c>
      <c r="H1057" s="26" t="n">
        <v>30</v>
      </c>
      <c r="I1057" s="27" t="n">
        <v>30</v>
      </c>
      <c r="J1057" s="28" t="n">
        <v>6</v>
      </c>
      <c r="K1057" s="28" t="n">
        <v>1</v>
      </c>
      <c r="L1057" s="24" t="s">
        <v>631</v>
      </c>
      <c r="M1057" s="29" t="n">
        <f aca="false">IF("oui" = "oui",26.08*(1-disc),26.08)</f>
        <v>26.08</v>
      </c>
      <c r="N1057" s="29" t="n">
        <f aca="false">IF("oui" = "oui",26.08*(1-disc)*1.2,26.08*1.2)</f>
        <v>31.296</v>
      </c>
      <c r="O1057" s="24" t="s">
        <v>25</v>
      </c>
      <c r="P1057" s="7" t="s">
        <v>26</v>
      </c>
      <c r="Q1057" s="16"/>
    </row>
    <row r="1058" customFormat="false" ht="12.8" hidden="false" customHeight="false" outlineLevel="0" collapsed="false">
      <c r="A1058" s="22"/>
      <c r="B1058" s="23" t="n">
        <v>500060000</v>
      </c>
      <c r="C1058" s="24" t="n">
        <v>30</v>
      </c>
      <c r="D1058" s="54" t="s">
        <v>976</v>
      </c>
      <c r="E1058" s="19" t="s">
        <v>969</v>
      </c>
      <c r="F1058" s="24" t="s">
        <v>630</v>
      </c>
      <c r="G1058" s="25" t="n">
        <v>0.457</v>
      </c>
      <c r="H1058" s="26" t="n">
        <v>30</v>
      </c>
      <c r="I1058" s="27" t="n">
        <v>30</v>
      </c>
      <c r="J1058" s="28" t="n">
        <v>6</v>
      </c>
      <c r="K1058" s="28" t="n">
        <v>1</v>
      </c>
      <c r="L1058" s="24" t="s">
        <v>631</v>
      </c>
      <c r="M1058" s="29" t="n">
        <f aca="false">IF("oui" = "oui",26.08*(1-disc),26.08)</f>
        <v>26.08</v>
      </c>
      <c r="N1058" s="29" t="n">
        <f aca="false">IF("oui" = "oui",26.08*(1-disc)*1.2,26.08*1.2)</f>
        <v>31.296</v>
      </c>
      <c r="O1058" s="24" t="s">
        <v>25</v>
      </c>
      <c r="P1058" s="7" t="s">
        <v>26</v>
      </c>
      <c r="Q1058" s="16"/>
    </row>
    <row r="1059" customFormat="false" ht="12.8" hidden="false" customHeight="false" outlineLevel="0" collapsed="false">
      <c r="A1059" s="22"/>
      <c r="B1059" s="23"/>
      <c r="C1059" s="24"/>
      <c r="D1059" s="22"/>
      <c r="E1059" s="19"/>
      <c r="F1059" s="24"/>
      <c r="G1059" s="25"/>
      <c r="H1059" s="26"/>
      <c r="I1059" s="27"/>
      <c r="J1059" s="28"/>
      <c r="K1059" s="28"/>
      <c r="L1059" s="24"/>
      <c r="M1059" s="29"/>
      <c r="N1059" s="29"/>
      <c r="O1059" s="24"/>
      <c r="P1059" s="4"/>
      <c r="Q1059" s="16"/>
    </row>
    <row r="1060" customFormat="false" ht="12.8" hidden="false" customHeight="false" outlineLevel="0" collapsed="false">
      <c r="A1060" s="42" t="s">
        <v>977</v>
      </c>
      <c r="B1060" s="43"/>
      <c r="C1060" s="44"/>
      <c r="D1060" s="45"/>
      <c r="E1060" s="46"/>
      <c r="F1060" s="44"/>
      <c r="G1060" s="47"/>
      <c r="H1060" s="48"/>
      <c r="I1060" s="49"/>
      <c r="J1060" s="50"/>
      <c r="K1060" s="50"/>
      <c r="L1060" s="44"/>
      <c r="M1060" s="51"/>
      <c r="N1060" s="51"/>
      <c r="O1060" s="44"/>
      <c r="P1060" s="52"/>
      <c r="Q1060" s="53"/>
    </row>
    <row r="1061" customFormat="false" ht="12.8" hidden="false" customHeight="false" outlineLevel="0" collapsed="false">
      <c r="A1061" s="22"/>
      <c r="B1061" s="23"/>
      <c r="C1061" s="24"/>
      <c r="D1061" s="22"/>
      <c r="E1061" s="19"/>
      <c r="F1061" s="24"/>
      <c r="G1061" s="25"/>
      <c r="H1061" s="26"/>
      <c r="I1061" s="27"/>
      <c r="J1061" s="28"/>
      <c r="K1061" s="28"/>
      <c r="L1061" s="24"/>
      <c r="M1061" s="29"/>
      <c r="N1061" s="29"/>
      <c r="O1061" s="24"/>
      <c r="P1061" s="4"/>
      <c r="Q1061" s="16"/>
    </row>
    <row r="1062" customFormat="false" ht="12.8" hidden="false" customHeight="false" outlineLevel="0" collapsed="false">
      <c r="A1062" s="22"/>
      <c r="B1062" s="23" t="n">
        <v>500221000</v>
      </c>
      <c r="C1062" s="24" t="n">
        <v>38</v>
      </c>
      <c r="D1062" s="54" t="s">
        <v>978</v>
      </c>
      <c r="E1062" s="19" t="s">
        <v>979</v>
      </c>
      <c r="F1062" s="24" t="s">
        <v>647</v>
      </c>
      <c r="G1062" s="25" t="n">
        <v>0.699</v>
      </c>
      <c r="H1062" s="26" t="n">
        <v>30</v>
      </c>
      <c r="I1062" s="27" t="n">
        <v>40</v>
      </c>
      <c r="J1062" s="28" t="n">
        <v>1</v>
      </c>
      <c r="K1062" s="28" t="n">
        <v>1</v>
      </c>
      <c r="L1062" s="24" t="s">
        <v>631</v>
      </c>
      <c r="M1062" s="29" t="n">
        <f aca="false">IF("oui" = "oui",78.77*(1-disc),78.77)</f>
        <v>78.77</v>
      </c>
      <c r="N1062" s="29" t="n">
        <f aca="false">IF("oui" = "oui",78.77*(1-disc)*1.2,78.77*1.2)</f>
        <v>94.524</v>
      </c>
      <c r="O1062" s="24" t="s">
        <v>25</v>
      </c>
      <c r="P1062" s="7" t="s">
        <v>26</v>
      </c>
      <c r="Q1062" s="16"/>
    </row>
    <row r="1063" customFormat="false" ht="12.8" hidden="false" customHeight="false" outlineLevel="0" collapsed="false">
      <c r="A1063" s="22"/>
      <c r="B1063" s="23" t="n">
        <v>500222000</v>
      </c>
      <c r="C1063" s="24" t="n">
        <v>38</v>
      </c>
      <c r="D1063" s="54" t="s">
        <v>980</v>
      </c>
      <c r="E1063" s="19" t="s">
        <v>979</v>
      </c>
      <c r="F1063" s="24" t="s">
        <v>647</v>
      </c>
      <c r="G1063" s="25" t="n">
        <v>0.699</v>
      </c>
      <c r="H1063" s="26" t="n">
        <v>30</v>
      </c>
      <c r="I1063" s="27" t="n">
        <v>40</v>
      </c>
      <c r="J1063" s="28" t="n">
        <v>1</v>
      </c>
      <c r="K1063" s="28" t="n">
        <v>1</v>
      </c>
      <c r="L1063" s="24" t="s">
        <v>631</v>
      </c>
      <c r="M1063" s="29" t="n">
        <f aca="false">IF("oui" = "oui",78.77*(1-disc),78.77)</f>
        <v>78.77</v>
      </c>
      <c r="N1063" s="29" t="n">
        <f aca="false">IF("oui" = "oui",78.77*(1-disc)*1.2,78.77*1.2)</f>
        <v>94.524</v>
      </c>
      <c r="O1063" s="24" t="s">
        <v>25</v>
      </c>
      <c r="P1063" s="7" t="s">
        <v>26</v>
      </c>
      <c r="Q1063" s="16"/>
    </row>
    <row r="1064" customFormat="false" ht="12.8" hidden="false" customHeight="false" outlineLevel="0" collapsed="false">
      <c r="A1064" s="22"/>
      <c r="B1064" s="23" t="n">
        <v>500223000</v>
      </c>
      <c r="C1064" s="24" t="n">
        <v>38</v>
      </c>
      <c r="D1064" s="54" t="s">
        <v>981</v>
      </c>
      <c r="E1064" s="19" t="s">
        <v>979</v>
      </c>
      <c r="F1064" s="24" t="s">
        <v>647</v>
      </c>
      <c r="G1064" s="25" t="n">
        <v>0.699</v>
      </c>
      <c r="H1064" s="26" t="n">
        <v>30</v>
      </c>
      <c r="I1064" s="27" t="n">
        <v>40</v>
      </c>
      <c r="J1064" s="28" t="n">
        <v>1</v>
      </c>
      <c r="K1064" s="28" t="n">
        <v>1</v>
      </c>
      <c r="L1064" s="24" t="s">
        <v>631</v>
      </c>
      <c r="M1064" s="29" t="n">
        <f aca="false">IF("oui" = "oui",78.77*(1-disc),78.77)</f>
        <v>78.77</v>
      </c>
      <c r="N1064" s="29" t="n">
        <f aca="false">IF("oui" = "oui",78.77*(1-disc)*1.2,78.77*1.2)</f>
        <v>94.524</v>
      </c>
      <c r="O1064" s="24" t="s">
        <v>25</v>
      </c>
      <c r="P1064" s="7" t="s">
        <v>26</v>
      </c>
      <c r="Q1064" s="16"/>
    </row>
    <row r="1065" s="3" customFormat="true" ht="12.8" hidden="false" customHeight="false" outlineLevel="0" collapsed="false">
      <c r="A1065" s="72"/>
      <c r="B1065" s="56"/>
      <c r="C1065" s="73"/>
      <c r="D1065" s="72"/>
      <c r="E1065" s="75"/>
      <c r="F1065" s="73"/>
      <c r="G1065" s="76"/>
      <c r="H1065" s="77"/>
      <c r="I1065" s="78"/>
      <c r="J1065" s="79"/>
      <c r="K1065" s="79"/>
      <c r="L1065" s="73"/>
      <c r="M1065" s="80"/>
      <c r="N1065" s="80"/>
      <c r="O1065" s="73"/>
      <c r="P1065" s="81"/>
      <c r="Q1065" s="82"/>
    </row>
    <row r="1066" customFormat="false" ht="12.8" hidden="false" customHeight="false" outlineLevel="0" collapsed="false">
      <c r="A1066" s="42" t="s">
        <v>982</v>
      </c>
      <c r="B1066" s="43"/>
      <c r="C1066" s="44"/>
      <c r="D1066" s="45"/>
      <c r="E1066" s="46"/>
      <c r="F1066" s="44"/>
      <c r="G1066" s="47"/>
      <c r="H1066" s="48"/>
      <c r="I1066" s="49"/>
      <c r="J1066" s="50"/>
      <c r="K1066" s="50"/>
      <c r="L1066" s="44"/>
      <c r="M1066" s="51"/>
      <c r="N1066" s="51"/>
      <c r="O1066" s="44"/>
      <c r="P1066" s="52"/>
      <c r="Q1066" s="53"/>
    </row>
    <row r="1067" customFormat="false" ht="12.8" hidden="false" customHeight="false" outlineLevel="0" collapsed="false">
      <c r="A1067" s="22"/>
      <c r="B1067" s="23"/>
      <c r="C1067" s="24"/>
      <c r="D1067" s="22"/>
      <c r="E1067" s="19"/>
      <c r="F1067" s="24"/>
      <c r="G1067" s="25"/>
      <c r="H1067" s="26"/>
      <c r="I1067" s="27"/>
      <c r="J1067" s="28"/>
      <c r="K1067" s="28"/>
      <c r="L1067" s="24"/>
      <c r="M1067" s="29"/>
      <c r="N1067" s="29"/>
      <c r="O1067" s="24"/>
      <c r="P1067" s="4"/>
      <c r="Q1067" s="16"/>
    </row>
    <row r="1068" customFormat="false" ht="12.8" hidden="false" customHeight="false" outlineLevel="0" collapsed="false">
      <c r="A1068" s="22"/>
      <c r="B1068" s="23" t="n">
        <v>500293000</v>
      </c>
      <c r="C1068" s="24" t="n">
        <v>50</v>
      </c>
      <c r="D1068" s="54" t="s">
        <v>983</v>
      </c>
      <c r="E1068" s="19" t="s">
        <v>984</v>
      </c>
      <c r="F1068" s="24" t="s">
        <v>23</v>
      </c>
      <c r="G1068" s="25" t="n">
        <v>1.72</v>
      </c>
      <c r="H1068" s="26" t="n">
        <v>25</v>
      </c>
      <c r="I1068" s="27" t="n">
        <v>70</v>
      </c>
      <c r="J1068" s="28" t="n">
        <v>1</v>
      </c>
      <c r="K1068" s="28" t="n">
        <v>1</v>
      </c>
      <c r="L1068" s="24" t="s">
        <v>631</v>
      </c>
      <c r="M1068" s="29" t="n">
        <f aca="false">IF("oui" = "oui",109.19*(1-disc),109.19)</f>
        <v>109.19</v>
      </c>
      <c r="N1068" s="29" t="n">
        <f aca="false">IF("oui" = "oui",109.19*(1-disc)*1.2,109.19*1.2)</f>
        <v>131.028</v>
      </c>
      <c r="O1068" s="24" t="s">
        <v>25</v>
      </c>
      <c r="P1068" s="55" t="s">
        <v>45</v>
      </c>
      <c r="Q1068" s="16"/>
    </row>
    <row r="1069" customFormat="false" ht="12.8" hidden="false" customHeight="false" outlineLevel="0" collapsed="false">
      <c r="A1069" s="22"/>
      <c r="B1069" s="23" t="n">
        <v>500294000</v>
      </c>
      <c r="C1069" s="24" t="n">
        <v>50</v>
      </c>
      <c r="D1069" s="54" t="s">
        <v>985</v>
      </c>
      <c r="E1069" s="19" t="s">
        <v>984</v>
      </c>
      <c r="F1069" s="24" t="s">
        <v>23</v>
      </c>
      <c r="G1069" s="25" t="n">
        <v>1.72</v>
      </c>
      <c r="H1069" s="26" t="n">
        <v>25</v>
      </c>
      <c r="I1069" s="27" t="n">
        <v>70</v>
      </c>
      <c r="J1069" s="28" t="n">
        <v>1</v>
      </c>
      <c r="K1069" s="28" t="n">
        <v>1</v>
      </c>
      <c r="L1069" s="24" t="s">
        <v>631</v>
      </c>
      <c r="M1069" s="29" t="n">
        <f aca="false">IF("oui" = "oui",109.19*(1-disc),109.19)</f>
        <v>109.19</v>
      </c>
      <c r="N1069" s="29" t="n">
        <f aca="false">IF("oui" = "oui",109.19*(1-disc)*1.2,109.19*1.2)</f>
        <v>131.028</v>
      </c>
      <c r="O1069" s="24" t="s">
        <v>25</v>
      </c>
      <c r="P1069" s="55" t="s">
        <v>45</v>
      </c>
      <c r="Q1069" s="16"/>
    </row>
    <row r="1070" customFormat="false" ht="12.8" hidden="false" customHeight="false" outlineLevel="0" collapsed="false">
      <c r="A1070" s="22"/>
      <c r="B1070" s="23" t="n">
        <v>500296000</v>
      </c>
      <c r="C1070" s="24" t="n">
        <v>50</v>
      </c>
      <c r="D1070" s="54" t="s">
        <v>986</v>
      </c>
      <c r="E1070" s="19" t="s">
        <v>984</v>
      </c>
      <c r="F1070" s="24" t="s">
        <v>23</v>
      </c>
      <c r="G1070" s="25" t="n">
        <v>1.72</v>
      </c>
      <c r="H1070" s="26" t="n">
        <v>25</v>
      </c>
      <c r="I1070" s="27" t="n">
        <v>70</v>
      </c>
      <c r="J1070" s="28" t="n">
        <v>1</v>
      </c>
      <c r="K1070" s="28" t="n">
        <v>1</v>
      </c>
      <c r="L1070" s="24" t="s">
        <v>631</v>
      </c>
      <c r="M1070" s="29" t="n">
        <f aca="false">IF("oui" = "oui",109.19*(1-disc),109.19)</f>
        <v>109.19</v>
      </c>
      <c r="N1070" s="29" t="n">
        <f aca="false">IF("oui" = "oui",109.19*(1-disc)*1.2,109.19*1.2)</f>
        <v>131.028</v>
      </c>
      <c r="O1070" s="24" t="s">
        <v>25</v>
      </c>
      <c r="P1070" s="55" t="s">
        <v>294</v>
      </c>
      <c r="Q1070" s="16"/>
    </row>
    <row r="1071" customFormat="false" ht="12.8" hidden="false" customHeight="false" outlineLevel="0" collapsed="false">
      <c r="A1071" s="22"/>
      <c r="B1071" s="23"/>
      <c r="C1071" s="24"/>
      <c r="D1071" s="22"/>
      <c r="E1071" s="19"/>
      <c r="F1071" s="24"/>
      <c r="G1071" s="25"/>
      <c r="H1071" s="26"/>
      <c r="I1071" s="27"/>
      <c r="J1071" s="28"/>
      <c r="K1071" s="28"/>
      <c r="L1071" s="24"/>
      <c r="M1071" s="29"/>
      <c r="N1071" s="29"/>
      <c r="O1071" s="24"/>
      <c r="P1071" s="4"/>
      <c r="Q1071" s="16"/>
    </row>
    <row r="1072" customFormat="false" ht="12.8" hidden="false" customHeight="false" outlineLevel="0" collapsed="false">
      <c r="A1072" s="42" t="s">
        <v>987</v>
      </c>
      <c r="B1072" s="43"/>
      <c r="C1072" s="44"/>
      <c r="D1072" s="45"/>
      <c r="E1072" s="46"/>
      <c r="F1072" s="44"/>
      <c r="G1072" s="47"/>
      <c r="H1072" s="48"/>
      <c r="I1072" s="49"/>
      <c r="J1072" s="50"/>
      <c r="K1072" s="50"/>
      <c r="L1072" s="44"/>
      <c r="M1072" s="51"/>
      <c r="N1072" s="51"/>
      <c r="O1072" s="44"/>
      <c r="P1072" s="52"/>
      <c r="Q1072" s="53"/>
    </row>
    <row r="1073" customFormat="false" ht="12.8" hidden="false" customHeight="false" outlineLevel="0" collapsed="false">
      <c r="A1073" s="22"/>
      <c r="B1073" s="23"/>
      <c r="C1073" s="24"/>
      <c r="D1073" s="22"/>
      <c r="E1073" s="19"/>
      <c r="F1073" s="24"/>
      <c r="G1073" s="25"/>
      <c r="H1073" s="26"/>
      <c r="I1073" s="27"/>
      <c r="J1073" s="28"/>
      <c r="K1073" s="28"/>
      <c r="L1073" s="24"/>
      <c r="M1073" s="29"/>
      <c r="N1073" s="29"/>
      <c r="O1073" s="24"/>
      <c r="P1073" s="4"/>
      <c r="Q1073" s="16"/>
    </row>
    <row r="1074" customFormat="false" ht="12.8" hidden="false" customHeight="false" outlineLevel="0" collapsed="false">
      <c r="A1074" s="22"/>
      <c r="B1074" s="23" t="n">
        <v>500079000</v>
      </c>
      <c r="C1074" s="24" t="n">
        <v>20</v>
      </c>
      <c r="D1074" s="54" t="s">
        <v>988</v>
      </c>
      <c r="E1074" s="19" t="s">
        <v>989</v>
      </c>
      <c r="F1074" s="24" t="s">
        <v>23</v>
      </c>
      <c r="G1074" s="25" t="n">
        <v>0.348</v>
      </c>
      <c r="H1074" s="26" t="n">
        <v>30</v>
      </c>
      <c r="I1074" s="27" t="n">
        <v>30</v>
      </c>
      <c r="J1074" s="28" t="n">
        <v>8</v>
      </c>
      <c r="K1074" s="28" t="n">
        <v>1</v>
      </c>
      <c r="L1074" s="24" t="s">
        <v>631</v>
      </c>
      <c r="M1074" s="29" t="n">
        <f aca="false">IF("oui" = "oui",26.35*(1-disc),26.35)</f>
        <v>26.35</v>
      </c>
      <c r="N1074" s="29" t="n">
        <f aca="false">IF("oui" = "oui",26.35*(1-disc)*1.2,26.35*1.2)</f>
        <v>31.62</v>
      </c>
      <c r="O1074" s="24" t="s">
        <v>25</v>
      </c>
      <c r="P1074" s="7" t="s">
        <v>26</v>
      </c>
      <c r="Q1074" s="16"/>
    </row>
    <row r="1075" customFormat="false" ht="12.8" hidden="false" customHeight="false" outlineLevel="0" collapsed="false">
      <c r="A1075" s="22"/>
      <c r="B1075" s="23" t="n">
        <v>500081000</v>
      </c>
      <c r="C1075" s="24" t="n">
        <v>20</v>
      </c>
      <c r="D1075" s="54" t="s">
        <v>990</v>
      </c>
      <c r="E1075" s="19" t="s">
        <v>989</v>
      </c>
      <c r="F1075" s="24" t="s">
        <v>23</v>
      </c>
      <c r="G1075" s="25" t="n">
        <v>0.348</v>
      </c>
      <c r="H1075" s="26" t="n">
        <v>30</v>
      </c>
      <c r="I1075" s="27" t="n">
        <v>30</v>
      </c>
      <c r="J1075" s="28" t="n">
        <v>8</v>
      </c>
      <c r="K1075" s="28" t="n">
        <v>1</v>
      </c>
      <c r="L1075" s="24" t="s">
        <v>631</v>
      </c>
      <c r="M1075" s="29" t="n">
        <f aca="false">IF("oui" = "oui",26.35*(1-disc),26.35)</f>
        <v>26.35</v>
      </c>
      <c r="N1075" s="29" t="n">
        <f aca="false">IF("oui" = "oui",26.35*(1-disc)*1.2,26.35*1.2)</f>
        <v>31.62</v>
      </c>
      <c r="O1075" s="24" t="s">
        <v>25</v>
      </c>
      <c r="P1075" s="7" t="s">
        <v>26</v>
      </c>
      <c r="Q1075" s="16"/>
    </row>
    <row r="1076" customFormat="false" ht="12.8" hidden="false" customHeight="false" outlineLevel="0" collapsed="false">
      <c r="A1076" s="22"/>
      <c r="B1076" s="23" t="n">
        <v>500084000</v>
      </c>
      <c r="C1076" s="24" t="n">
        <v>20</v>
      </c>
      <c r="D1076" s="54" t="s">
        <v>991</v>
      </c>
      <c r="E1076" s="19" t="s">
        <v>989</v>
      </c>
      <c r="F1076" s="24" t="s">
        <v>23</v>
      </c>
      <c r="G1076" s="25" t="n">
        <v>0.348</v>
      </c>
      <c r="H1076" s="26" t="n">
        <v>40</v>
      </c>
      <c r="I1076" s="27" t="n">
        <v>30</v>
      </c>
      <c r="J1076" s="28" t="n">
        <v>8</v>
      </c>
      <c r="K1076" s="28" t="n">
        <v>1</v>
      </c>
      <c r="L1076" s="24" t="s">
        <v>631</v>
      </c>
      <c r="M1076" s="29" t="n">
        <f aca="false">IF("oui" = "oui",26.35*(1-disc),26.35)</f>
        <v>26.35</v>
      </c>
      <c r="N1076" s="29" t="n">
        <f aca="false">IF("oui" = "oui",26.35*(1-disc)*1.2,26.35*1.2)</f>
        <v>31.62</v>
      </c>
      <c r="O1076" s="24" t="s">
        <v>25</v>
      </c>
      <c r="P1076" s="7" t="s">
        <v>26</v>
      </c>
      <c r="Q1076" s="16"/>
    </row>
    <row r="1077" customFormat="false" ht="12.8" hidden="false" customHeight="false" outlineLevel="0" collapsed="false">
      <c r="A1077" s="22"/>
      <c r="B1077" s="23" t="n">
        <v>500085000</v>
      </c>
      <c r="C1077" s="24" t="n">
        <v>20</v>
      </c>
      <c r="D1077" s="54" t="s">
        <v>992</v>
      </c>
      <c r="E1077" s="19" t="s">
        <v>989</v>
      </c>
      <c r="F1077" s="24" t="s">
        <v>23</v>
      </c>
      <c r="G1077" s="25" t="n">
        <v>0.348</v>
      </c>
      <c r="H1077" s="26" t="n">
        <v>30</v>
      </c>
      <c r="I1077" s="27" t="n">
        <v>30</v>
      </c>
      <c r="J1077" s="28" t="n">
        <v>8</v>
      </c>
      <c r="K1077" s="28" t="n">
        <v>1</v>
      </c>
      <c r="L1077" s="24" t="s">
        <v>631</v>
      </c>
      <c r="M1077" s="29" t="n">
        <f aca="false">IF("oui" = "oui",26.35*(1-disc),26.35)</f>
        <v>26.35</v>
      </c>
      <c r="N1077" s="29" t="n">
        <f aca="false">IF("oui" = "oui",26.35*(1-disc)*1.2,26.35*1.2)</f>
        <v>31.62</v>
      </c>
      <c r="O1077" s="24" t="s">
        <v>25</v>
      </c>
      <c r="P1077" s="7" t="s">
        <v>26</v>
      </c>
      <c r="Q1077" s="16"/>
    </row>
    <row r="1078" customFormat="false" ht="12.8" hidden="false" customHeight="false" outlineLevel="0" collapsed="false">
      <c r="A1078" s="22"/>
      <c r="B1078" s="23" t="n">
        <v>500086000</v>
      </c>
      <c r="C1078" s="24" t="n">
        <v>20</v>
      </c>
      <c r="D1078" s="54" t="s">
        <v>993</v>
      </c>
      <c r="E1078" s="19" t="s">
        <v>989</v>
      </c>
      <c r="F1078" s="24" t="s">
        <v>23</v>
      </c>
      <c r="G1078" s="25" t="n">
        <v>0.348</v>
      </c>
      <c r="H1078" s="26" t="n">
        <v>30</v>
      </c>
      <c r="I1078" s="27" t="n">
        <v>30</v>
      </c>
      <c r="J1078" s="28" t="n">
        <v>8</v>
      </c>
      <c r="K1078" s="28" t="n">
        <v>1</v>
      </c>
      <c r="L1078" s="24" t="s">
        <v>631</v>
      </c>
      <c r="M1078" s="29" t="n">
        <f aca="false">IF("oui" = "oui",26.35*(1-disc),26.35)</f>
        <v>26.35</v>
      </c>
      <c r="N1078" s="29" t="n">
        <f aca="false">IF("oui" = "oui",26.35*(1-disc)*1.2,26.35*1.2)</f>
        <v>31.62</v>
      </c>
      <c r="O1078" s="24" t="s">
        <v>25</v>
      </c>
      <c r="P1078" s="7" t="s">
        <v>26</v>
      </c>
      <c r="Q1078" s="16"/>
    </row>
    <row r="1079" customFormat="false" ht="12.8" hidden="false" customHeight="false" outlineLevel="0" collapsed="false">
      <c r="A1079" s="22"/>
      <c r="B1079" s="23" t="n">
        <v>500135000</v>
      </c>
      <c r="C1079" s="24" t="n">
        <v>20</v>
      </c>
      <c r="D1079" s="54" t="s">
        <v>994</v>
      </c>
      <c r="E1079" s="19" t="s">
        <v>989</v>
      </c>
      <c r="F1079" s="24" t="s">
        <v>23</v>
      </c>
      <c r="G1079" s="25" t="n">
        <v>0.348</v>
      </c>
      <c r="H1079" s="26" t="n">
        <v>30</v>
      </c>
      <c r="I1079" s="27" t="n">
        <v>30</v>
      </c>
      <c r="J1079" s="28" t="n">
        <v>8</v>
      </c>
      <c r="K1079" s="28" t="n">
        <v>1</v>
      </c>
      <c r="L1079" s="24" t="s">
        <v>631</v>
      </c>
      <c r="M1079" s="29" t="n">
        <f aca="false">IF("oui" = "oui",26.35*(1-disc),26.35)</f>
        <v>26.35</v>
      </c>
      <c r="N1079" s="29" t="n">
        <f aca="false">IF("oui" = "oui",26.35*(1-disc)*1.2,26.35*1.2)</f>
        <v>31.62</v>
      </c>
      <c r="O1079" s="24" t="s">
        <v>25</v>
      </c>
      <c r="P1079" s="7" t="s">
        <v>26</v>
      </c>
      <c r="Q1079" s="16"/>
    </row>
    <row r="1080" customFormat="false" ht="12.8" hidden="false" customHeight="false" outlineLevel="0" collapsed="false">
      <c r="A1080" s="22"/>
      <c r="B1080" s="23" t="n">
        <v>500215000</v>
      </c>
      <c r="C1080" s="24" t="n">
        <v>20</v>
      </c>
      <c r="D1080" s="54" t="s">
        <v>995</v>
      </c>
      <c r="E1080" s="19" t="s">
        <v>989</v>
      </c>
      <c r="F1080" s="24" t="s">
        <v>23</v>
      </c>
      <c r="G1080" s="25" t="n">
        <v>0.348</v>
      </c>
      <c r="H1080" s="26" t="n">
        <v>30</v>
      </c>
      <c r="I1080" s="27" t="n">
        <v>30</v>
      </c>
      <c r="J1080" s="28" t="n">
        <v>8</v>
      </c>
      <c r="K1080" s="28" t="n">
        <v>1</v>
      </c>
      <c r="L1080" s="24" t="s">
        <v>631</v>
      </c>
      <c r="M1080" s="29" t="n">
        <f aca="false">IF("oui" = "oui",26.35*(1-disc),26.35)</f>
        <v>26.35</v>
      </c>
      <c r="N1080" s="29" t="n">
        <f aca="false">IF("oui" = "oui",26.35*(1-disc)*1.2,26.35*1.2)</f>
        <v>31.62</v>
      </c>
      <c r="O1080" s="24" t="s">
        <v>25</v>
      </c>
      <c r="P1080" s="7" t="s">
        <v>26</v>
      </c>
      <c r="Q1080" s="16"/>
    </row>
    <row r="1081" customFormat="false" ht="12.8" hidden="false" customHeight="false" outlineLevel="0" collapsed="false">
      <c r="A1081" s="22"/>
      <c r="B1081" s="23" t="n">
        <v>500157000</v>
      </c>
      <c r="C1081" s="24" t="n">
        <v>20</v>
      </c>
      <c r="D1081" s="54" t="s">
        <v>996</v>
      </c>
      <c r="E1081" s="19" t="s">
        <v>997</v>
      </c>
      <c r="F1081" s="24" t="s">
        <v>647</v>
      </c>
      <c r="G1081" s="25" t="n">
        <v>0.275</v>
      </c>
      <c r="H1081" s="26" t="n">
        <v>30</v>
      </c>
      <c r="I1081" s="27" t="n">
        <v>30</v>
      </c>
      <c r="J1081" s="28" t="n">
        <v>8</v>
      </c>
      <c r="K1081" s="28" t="n">
        <v>1</v>
      </c>
      <c r="L1081" s="24" t="s">
        <v>631</v>
      </c>
      <c r="M1081" s="29" t="n">
        <f aca="false">IF("oui" = "oui",26.35*(1-disc),26.35)</f>
        <v>26.35</v>
      </c>
      <c r="N1081" s="29" t="n">
        <f aca="false">IF("oui" = "oui",26.35*(1-disc)*1.2,26.35*1.2)</f>
        <v>31.62</v>
      </c>
      <c r="O1081" s="24" t="s">
        <v>25</v>
      </c>
      <c r="P1081" s="7" t="s">
        <v>26</v>
      </c>
      <c r="Q1081" s="16"/>
    </row>
    <row r="1082" customFormat="false" ht="12.8" hidden="false" customHeight="false" outlineLevel="0" collapsed="false">
      <c r="A1082" s="22"/>
      <c r="B1082" s="23" t="n">
        <v>500158000</v>
      </c>
      <c r="C1082" s="24" t="n">
        <v>20</v>
      </c>
      <c r="D1082" s="54" t="s">
        <v>998</v>
      </c>
      <c r="E1082" s="19" t="s">
        <v>997</v>
      </c>
      <c r="F1082" s="24" t="s">
        <v>647</v>
      </c>
      <c r="G1082" s="25" t="n">
        <v>0.275</v>
      </c>
      <c r="H1082" s="26" t="n">
        <v>30</v>
      </c>
      <c r="I1082" s="27" t="n">
        <v>30</v>
      </c>
      <c r="J1082" s="28" t="n">
        <v>8</v>
      </c>
      <c r="K1082" s="28" t="n">
        <v>1</v>
      </c>
      <c r="L1082" s="24" t="s">
        <v>631</v>
      </c>
      <c r="M1082" s="29" t="n">
        <f aca="false">IF("oui" = "oui",26.35*(1-disc),26.35)</f>
        <v>26.35</v>
      </c>
      <c r="N1082" s="29" t="n">
        <f aca="false">IF("oui" = "oui",26.35*(1-disc)*1.2,26.35*1.2)</f>
        <v>31.62</v>
      </c>
      <c r="O1082" s="24" t="s">
        <v>25</v>
      </c>
      <c r="P1082" s="7" t="s">
        <v>26</v>
      </c>
      <c r="Q1082" s="16"/>
    </row>
    <row r="1083" customFormat="false" ht="12.8" hidden="false" customHeight="false" outlineLevel="0" collapsed="false">
      <c r="A1083" s="22"/>
      <c r="B1083" s="23" t="n">
        <v>500159000</v>
      </c>
      <c r="C1083" s="24" t="n">
        <v>20</v>
      </c>
      <c r="D1083" s="54" t="s">
        <v>999</v>
      </c>
      <c r="E1083" s="19" t="s">
        <v>997</v>
      </c>
      <c r="F1083" s="24" t="s">
        <v>647</v>
      </c>
      <c r="G1083" s="25" t="n">
        <v>0.275</v>
      </c>
      <c r="H1083" s="26" t="n">
        <v>30</v>
      </c>
      <c r="I1083" s="27" t="n">
        <v>30</v>
      </c>
      <c r="J1083" s="28" t="n">
        <v>8</v>
      </c>
      <c r="K1083" s="28" t="n">
        <v>1</v>
      </c>
      <c r="L1083" s="24" t="s">
        <v>631</v>
      </c>
      <c r="M1083" s="29" t="n">
        <f aca="false">IF("oui" = "oui",26.35*(1-disc),26.35)</f>
        <v>26.35</v>
      </c>
      <c r="N1083" s="29" t="n">
        <f aca="false">IF("oui" = "oui",26.35*(1-disc)*1.2,26.35*1.2)</f>
        <v>31.62</v>
      </c>
      <c r="O1083" s="24" t="s">
        <v>25</v>
      </c>
      <c r="P1083" s="7" t="s">
        <v>26</v>
      </c>
      <c r="Q1083" s="16"/>
    </row>
    <row r="1084" customFormat="false" ht="12.8" hidden="false" customHeight="false" outlineLevel="0" collapsed="false">
      <c r="A1084" s="22"/>
      <c r="B1084" s="23"/>
      <c r="C1084" s="24"/>
      <c r="D1084" s="22"/>
      <c r="E1084" s="19"/>
      <c r="F1084" s="24"/>
      <c r="G1084" s="25"/>
      <c r="H1084" s="26"/>
      <c r="I1084" s="27"/>
      <c r="J1084" s="28"/>
      <c r="K1084" s="28"/>
      <c r="L1084" s="24"/>
      <c r="M1084" s="29"/>
      <c r="N1084" s="29"/>
      <c r="O1084" s="24"/>
      <c r="P1084" s="4"/>
      <c r="Q1084" s="16"/>
    </row>
    <row r="1085" customFormat="false" ht="12.8" hidden="false" customHeight="false" outlineLevel="0" collapsed="false">
      <c r="A1085" s="22"/>
      <c r="B1085" s="23" t="n">
        <v>500087000</v>
      </c>
      <c r="C1085" s="24" t="n">
        <v>20</v>
      </c>
      <c r="D1085" s="54" t="s">
        <v>1000</v>
      </c>
      <c r="E1085" s="19" t="s">
        <v>1001</v>
      </c>
      <c r="F1085" s="24" t="s">
        <v>630</v>
      </c>
      <c r="G1085" s="25" t="n">
        <v>0.29</v>
      </c>
      <c r="H1085" s="26" t="n">
        <v>30</v>
      </c>
      <c r="I1085" s="27" t="n">
        <v>70</v>
      </c>
      <c r="J1085" s="28" t="n">
        <v>8</v>
      </c>
      <c r="K1085" s="28" t="n">
        <v>1</v>
      </c>
      <c r="L1085" s="24" t="s">
        <v>631</v>
      </c>
      <c r="M1085" s="29" t="n">
        <f aca="false">IF("oui" = "oui",26.35*(1-disc),26.35)</f>
        <v>26.35</v>
      </c>
      <c r="N1085" s="29" t="n">
        <f aca="false">IF("oui" = "oui",26.35*(1-disc)*1.2,26.35*1.2)</f>
        <v>31.62</v>
      </c>
      <c r="O1085" s="24" t="s">
        <v>25</v>
      </c>
      <c r="P1085" s="55" t="s">
        <v>106</v>
      </c>
      <c r="Q1085" s="16"/>
    </row>
    <row r="1086" customFormat="false" ht="12.8" hidden="false" customHeight="false" outlineLevel="0" collapsed="false">
      <c r="A1086" s="22"/>
      <c r="B1086" s="23" t="n">
        <v>500247000</v>
      </c>
      <c r="C1086" s="24" t="n">
        <v>20</v>
      </c>
      <c r="D1086" s="54" t="s">
        <v>1002</v>
      </c>
      <c r="E1086" s="19" t="s">
        <v>1003</v>
      </c>
      <c r="F1086" s="24" t="s">
        <v>23</v>
      </c>
      <c r="G1086" s="25" t="n">
        <v>0.29</v>
      </c>
      <c r="H1086" s="26" t="n">
        <v>5</v>
      </c>
      <c r="I1086" s="27" t="n">
        <v>70</v>
      </c>
      <c r="J1086" s="28" t="n">
        <v>8</v>
      </c>
      <c r="K1086" s="28" t="n">
        <v>1</v>
      </c>
      <c r="L1086" s="24" t="s">
        <v>631</v>
      </c>
      <c r="M1086" s="29" t="n">
        <f aca="false">IF("oui" = "oui",26.35*(1-disc),26.35)</f>
        <v>26.35</v>
      </c>
      <c r="N1086" s="29" t="n">
        <f aca="false">IF("oui" = "oui",26.35*(1-disc)*1.2,26.35*1.2)</f>
        <v>31.62</v>
      </c>
      <c r="O1086" s="24" t="s">
        <v>25</v>
      </c>
      <c r="P1086" s="7" t="s">
        <v>26</v>
      </c>
      <c r="Q1086" s="16"/>
    </row>
    <row r="1087" customFormat="false" ht="12.8" hidden="false" customHeight="false" outlineLevel="0" collapsed="false">
      <c r="A1087" s="22"/>
      <c r="B1087" s="23"/>
      <c r="C1087" s="24"/>
      <c r="D1087" s="22"/>
      <c r="E1087" s="19"/>
      <c r="F1087" s="24"/>
      <c r="G1087" s="25"/>
      <c r="H1087" s="26"/>
      <c r="I1087" s="27"/>
      <c r="J1087" s="28"/>
      <c r="K1087" s="28"/>
      <c r="L1087" s="24"/>
      <c r="M1087" s="29"/>
      <c r="N1087" s="29"/>
      <c r="O1087" s="24"/>
      <c r="P1087" s="4"/>
      <c r="Q1087" s="16"/>
    </row>
    <row r="1088" customFormat="false" ht="12.8" hidden="false" customHeight="false" outlineLevel="0" collapsed="false">
      <c r="A1088" s="42" t="s">
        <v>1004</v>
      </c>
      <c r="B1088" s="43"/>
      <c r="C1088" s="44"/>
      <c r="D1088" s="45"/>
      <c r="E1088" s="46"/>
      <c r="F1088" s="44"/>
      <c r="G1088" s="47"/>
      <c r="H1088" s="48"/>
      <c r="I1088" s="49"/>
      <c r="J1088" s="50"/>
      <c r="K1088" s="50"/>
      <c r="L1088" s="44"/>
      <c r="M1088" s="51"/>
      <c r="N1088" s="51"/>
      <c r="O1088" s="44"/>
      <c r="P1088" s="52"/>
      <c r="Q1088" s="53"/>
    </row>
    <row r="1089" customFormat="false" ht="12.8" hidden="false" customHeight="false" outlineLevel="0" collapsed="false">
      <c r="A1089" s="22"/>
      <c r="B1089" s="23"/>
      <c r="C1089" s="24"/>
      <c r="D1089" s="22"/>
      <c r="E1089" s="19"/>
      <c r="F1089" s="24"/>
      <c r="G1089" s="25"/>
      <c r="H1089" s="26"/>
      <c r="I1089" s="27"/>
      <c r="J1089" s="28"/>
      <c r="K1089" s="28"/>
      <c r="L1089" s="24"/>
      <c r="M1089" s="29"/>
      <c r="N1089" s="29"/>
      <c r="O1089" s="24"/>
      <c r="P1089" s="4"/>
      <c r="Q1089" s="16"/>
    </row>
    <row r="1090" customFormat="false" ht="12.8" hidden="false" customHeight="false" outlineLevel="0" collapsed="false">
      <c r="A1090" s="22"/>
      <c r="B1090" s="23" t="n">
        <v>500099000</v>
      </c>
      <c r="C1090" s="24" t="n">
        <v>30</v>
      </c>
      <c r="D1090" s="22" t="s">
        <v>1005</v>
      </c>
      <c r="E1090" s="19" t="s">
        <v>1006</v>
      </c>
      <c r="F1090" s="24" t="s">
        <v>23</v>
      </c>
      <c r="G1090" s="25" t="n">
        <v>1.97</v>
      </c>
      <c r="H1090" s="26" t="n">
        <v>40</v>
      </c>
      <c r="I1090" s="27" t="n">
        <v>40</v>
      </c>
      <c r="J1090" s="28" t="n">
        <v>1</v>
      </c>
      <c r="K1090" s="28" t="n">
        <v>1</v>
      </c>
      <c r="L1090" s="24" t="s">
        <v>631</v>
      </c>
      <c r="M1090" s="29" t="n">
        <f aca="false">IF("oui" = "oui",89.09*(1-disc),89.09)</f>
        <v>89.09</v>
      </c>
      <c r="N1090" s="29" t="n">
        <f aca="false">IF("oui" = "oui",89.09*(1-disc)*1.2,89.09*1.2)</f>
        <v>106.908</v>
      </c>
      <c r="O1090" s="24" t="s">
        <v>25</v>
      </c>
      <c r="P1090" s="55" t="s">
        <v>45</v>
      </c>
      <c r="Q1090" s="16"/>
    </row>
    <row r="1091" customFormat="false" ht="12.8" hidden="false" customHeight="false" outlineLevel="0" collapsed="false">
      <c r="A1091" s="22"/>
      <c r="B1091" s="23" t="n">
        <v>500100000</v>
      </c>
      <c r="C1091" s="24" t="n">
        <v>30</v>
      </c>
      <c r="D1091" s="22" t="s">
        <v>1007</v>
      </c>
      <c r="E1091" s="19" t="s">
        <v>1006</v>
      </c>
      <c r="F1091" s="24" t="s">
        <v>23</v>
      </c>
      <c r="G1091" s="25" t="n">
        <v>1.97</v>
      </c>
      <c r="H1091" s="26" t="n">
        <v>40</v>
      </c>
      <c r="I1091" s="27" t="n">
        <v>40</v>
      </c>
      <c r="J1091" s="28" t="n">
        <v>1</v>
      </c>
      <c r="K1091" s="28" t="n">
        <v>1</v>
      </c>
      <c r="L1091" s="24" t="s">
        <v>631</v>
      </c>
      <c r="M1091" s="29" t="n">
        <f aca="false">IF("oui" = "oui",89.09*(1-disc),89.09)</f>
        <v>89.09</v>
      </c>
      <c r="N1091" s="29" t="n">
        <f aca="false">IF("oui" = "oui",89.09*(1-disc)*1.2,89.09*1.2)</f>
        <v>106.908</v>
      </c>
      <c r="O1091" s="24" t="s">
        <v>25</v>
      </c>
      <c r="P1091" s="7" t="s">
        <v>26</v>
      </c>
      <c r="Q1091" s="16"/>
    </row>
    <row r="1092" customFormat="false" ht="12.8" hidden="false" customHeight="false" outlineLevel="0" collapsed="false">
      <c r="A1092" s="22"/>
      <c r="B1092" s="23" t="n">
        <v>500101000</v>
      </c>
      <c r="C1092" s="24" t="n">
        <v>30</v>
      </c>
      <c r="D1092" s="54" t="s">
        <v>1008</v>
      </c>
      <c r="E1092" s="19" t="s">
        <v>1006</v>
      </c>
      <c r="F1092" s="24" t="s">
        <v>23</v>
      </c>
      <c r="G1092" s="25" t="n">
        <v>1.97</v>
      </c>
      <c r="H1092" s="26" t="n">
        <v>40</v>
      </c>
      <c r="I1092" s="27" t="n">
        <v>40</v>
      </c>
      <c r="J1092" s="28" t="n">
        <v>1</v>
      </c>
      <c r="K1092" s="28" t="n">
        <v>1</v>
      </c>
      <c r="L1092" s="24" t="s">
        <v>631</v>
      </c>
      <c r="M1092" s="29" t="n">
        <f aca="false">IF("oui" = "oui",89.09*(1-disc),89.09)</f>
        <v>89.09</v>
      </c>
      <c r="N1092" s="29" t="n">
        <f aca="false">IF("oui" = "oui",89.09*(1-disc)*1.2,89.09*1.2)</f>
        <v>106.908</v>
      </c>
      <c r="O1092" s="24" t="s">
        <v>25</v>
      </c>
      <c r="P1092" s="7" t="s">
        <v>26</v>
      </c>
      <c r="Q1092" s="16"/>
    </row>
    <row r="1093" customFormat="false" ht="12.8" hidden="false" customHeight="false" outlineLevel="0" collapsed="false">
      <c r="A1093" s="22"/>
      <c r="B1093" s="23" t="n">
        <v>500102000</v>
      </c>
      <c r="C1093" s="24" t="n">
        <v>30</v>
      </c>
      <c r="D1093" s="54" t="s">
        <v>1009</v>
      </c>
      <c r="E1093" s="19" t="s">
        <v>1006</v>
      </c>
      <c r="F1093" s="24" t="s">
        <v>23</v>
      </c>
      <c r="G1093" s="25" t="n">
        <v>1.97</v>
      </c>
      <c r="H1093" s="26" t="n">
        <v>40</v>
      </c>
      <c r="I1093" s="27" t="n">
        <v>40</v>
      </c>
      <c r="J1093" s="28" t="n">
        <v>1</v>
      </c>
      <c r="K1093" s="28" t="n">
        <v>1</v>
      </c>
      <c r="L1093" s="24" t="s">
        <v>631</v>
      </c>
      <c r="M1093" s="29" t="n">
        <f aca="false">IF("oui" = "oui",89.09*(1-disc),89.09)</f>
        <v>89.09</v>
      </c>
      <c r="N1093" s="29" t="n">
        <f aca="false">IF("oui" = "oui",89.09*(1-disc)*1.2,89.09*1.2)</f>
        <v>106.908</v>
      </c>
      <c r="O1093" s="24" t="s">
        <v>25</v>
      </c>
      <c r="P1093" s="7" t="s">
        <v>26</v>
      </c>
      <c r="Q1093" s="16"/>
    </row>
    <row r="1094" customFormat="false" ht="12.8" hidden="false" customHeight="false" outlineLevel="0" collapsed="false">
      <c r="A1094" s="22"/>
      <c r="B1094" s="23" t="n">
        <v>500103000</v>
      </c>
      <c r="C1094" s="24" t="n">
        <v>30</v>
      </c>
      <c r="D1094" s="54" t="s">
        <v>1010</v>
      </c>
      <c r="E1094" s="19" t="s">
        <v>1006</v>
      </c>
      <c r="F1094" s="24" t="s">
        <v>23</v>
      </c>
      <c r="G1094" s="25" t="n">
        <v>1.97</v>
      </c>
      <c r="H1094" s="26" t="n">
        <v>40</v>
      </c>
      <c r="I1094" s="27" t="n">
        <v>40</v>
      </c>
      <c r="J1094" s="28" t="n">
        <v>1</v>
      </c>
      <c r="K1094" s="28" t="n">
        <v>1</v>
      </c>
      <c r="L1094" s="24" t="s">
        <v>631</v>
      </c>
      <c r="M1094" s="29" t="n">
        <f aca="false">IF("oui" = "oui",89.09*(1-disc),89.09)</f>
        <v>89.09</v>
      </c>
      <c r="N1094" s="29" t="n">
        <f aca="false">IF("oui" = "oui",89.09*(1-disc)*1.2,89.09*1.2)</f>
        <v>106.908</v>
      </c>
      <c r="O1094" s="24" t="s">
        <v>25</v>
      </c>
      <c r="P1094" s="7" t="s">
        <v>26</v>
      </c>
      <c r="Q1094" s="16"/>
    </row>
    <row r="1095" customFormat="false" ht="12.8" hidden="false" customHeight="false" outlineLevel="0" collapsed="false">
      <c r="A1095" s="22"/>
      <c r="B1095" s="23" t="n">
        <v>500217000</v>
      </c>
      <c r="C1095" s="24" t="n">
        <v>30</v>
      </c>
      <c r="D1095" s="54" t="s">
        <v>1011</v>
      </c>
      <c r="E1095" s="19" t="s">
        <v>1006</v>
      </c>
      <c r="F1095" s="24" t="s">
        <v>23</v>
      </c>
      <c r="G1095" s="25" t="n">
        <v>1.97</v>
      </c>
      <c r="H1095" s="26" t="n">
        <v>40</v>
      </c>
      <c r="I1095" s="27" t="n">
        <v>40</v>
      </c>
      <c r="J1095" s="28" t="n">
        <v>1</v>
      </c>
      <c r="K1095" s="28" t="n">
        <v>1</v>
      </c>
      <c r="L1095" s="24" t="s">
        <v>631</v>
      </c>
      <c r="M1095" s="29" t="n">
        <f aca="false">IF("oui" = "oui",89.09*(1-disc),89.09)</f>
        <v>89.09</v>
      </c>
      <c r="N1095" s="29" t="n">
        <f aca="false">IF("oui" = "oui",89.09*(1-disc)*1.2,89.09*1.2)</f>
        <v>106.908</v>
      </c>
      <c r="O1095" s="24" t="s">
        <v>25</v>
      </c>
      <c r="P1095" s="7" t="s">
        <v>26</v>
      </c>
      <c r="Q1095" s="16"/>
    </row>
    <row r="1096" customFormat="false" ht="12.8" hidden="false" customHeight="false" outlineLevel="0" collapsed="false">
      <c r="A1096" s="22"/>
      <c r="B1096" s="23" t="n">
        <v>500105000</v>
      </c>
      <c r="C1096" s="24" t="n">
        <v>30</v>
      </c>
      <c r="D1096" s="22" t="s">
        <v>1012</v>
      </c>
      <c r="E1096" s="19" t="s">
        <v>1006</v>
      </c>
      <c r="F1096" s="24" t="s">
        <v>23</v>
      </c>
      <c r="G1096" s="25" t="n">
        <v>1.97</v>
      </c>
      <c r="H1096" s="26" t="n">
        <v>40</v>
      </c>
      <c r="I1096" s="27" t="n">
        <v>40</v>
      </c>
      <c r="J1096" s="28" t="n">
        <v>1</v>
      </c>
      <c r="K1096" s="28" t="n">
        <v>1</v>
      </c>
      <c r="L1096" s="24" t="s">
        <v>631</v>
      </c>
      <c r="M1096" s="29" t="n">
        <f aca="false">IF("oui" = "oui",89.09*(1-disc),89.09)</f>
        <v>89.09</v>
      </c>
      <c r="N1096" s="29" t="n">
        <f aca="false">IF("oui" = "oui",89.09*(1-disc)*1.2,89.09*1.2)</f>
        <v>106.908</v>
      </c>
      <c r="O1096" s="24" t="s">
        <v>25</v>
      </c>
      <c r="P1096" s="7" t="s">
        <v>26</v>
      </c>
      <c r="Q1096" s="16"/>
    </row>
    <row r="1097" customFormat="false" ht="12.8" hidden="false" customHeight="false" outlineLevel="0" collapsed="false">
      <c r="A1097" s="22"/>
      <c r="B1097" s="23" t="n">
        <v>605005000</v>
      </c>
      <c r="C1097" s="24" t="n">
        <v>18</v>
      </c>
      <c r="D1097" s="54" t="s">
        <v>1013</v>
      </c>
      <c r="E1097" s="19" t="s">
        <v>840</v>
      </c>
      <c r="F1097" s="24" t="s">
        <v>23</v>
      </c>
      <c r="G1097" s="25" t="n">
        <v>0.83</v>
      </c>
      <c r="H1097" s="26" t="n">
        <v>5</v>
      </c>
      <c r="I1097" s="27" t="n">
        <v>50</v>
      </c>
      <c r="J1097" s="28" t="n">
        <v>2</v>
      </c>
      <c r="K1097" s="28" t="n">
        <v>1</v>
      </c>
      <c r="L1097" s="24" t="s">
        <v>631</v>
      </c>
      <c r="M1097" s="57" t="n">
        <f aca="false">IF("non" = "oui",82*(1-disc),82)</f>
        <v>82</v>
      </c>
      <c r="N1097" s="57" t="n">
        <f aca="false">IF("non" = "oui",82*(1-disc)*1.2,82*1.2)</f>
        <v>98.4</v>
      </c>
      <c r="O1097" s="58" t="s">
        <v>26</v>
      </c>
      <c r="P1097" s="55" t="s">
        <v>570</v>
      </c>
      <c r="Q1097" s="16"/>
    </row>
    <row r="1098" customFormat="false" ht="12.8" hidden="false" customHeight="false" outlineLevel="0" collapsed="false">
      <c r="A1098" s="22"/>
      <c r="B1098" s="23"/>
      <c r="C1098" s="24"/>
      <c r="D1098" s="22"/>
      <c r="E1098" s="19"/>
      <c r="F1098" s="24"/>
      <c r="G1098" s="25"/>
      <c r="H1098" s="26"/>
      <c r="I1098" s="27"/>
      <c r="J1098" s="28"/>
      <c r="K1098" s="28"/>
      <c r="L1098" s="24"/>
      <c r="M1098" s="29"/>
      <c r="N1098" s="29"/>
      <c r="O1098" s="24"/>
      <c r="P1098" s="4"/>
      <c r="Q1098" s="16"/>
    </row>
    <row r="1099" customFormat="false" ht="12.8" hidden="false" customHeight="false" outlineLevel="0" collapsed="false">
      <c r="A1099" s="30" t="s">
        <v>1014</v>
      </c>
      <c r="B1099" s="31"/>
      <c r="C1099" s="32"/>
      <c r="D1099" s="33"/>
      <c r="E1099" s="34"/>
      <c r="F1099" s="32"/>
      <c r="G1099" s="35"/>
      <c r="H1099" s="36"/>
      <c r="I1099" s="37"/>
      <c r="J1099" s="38"/>
      <c r="K1099" s="38"/>
      <c r="L1099" s="32"/>
      <c r="M1099" s="39"/>
      <c r="N1099" s="39"/>
      <c r="O1099" s="32"/>
      <c r="P1099" s="40"/>
      <c r="Q1099" s="41"/>
    </row>
    <row r="1100" customFormat="false" ht="12.8" hidden="false" customHeight="false" outlineLevel="0" collapsed="false">
      <c r="A1100" s="22"/>
      <c r="B1100" s="23"/>
      <c r="C1100" s="24"/>
      <c r="D1100" s="22"/>
      <c r="E1100" s="19"/>
      <c r="F1100" s="24"/>
      <c r="G1100" s="25"/>
      <c r="H1100" s="26"/>
      <c r="I1100" s="27"/>
      <c r="J1100" s="28"/>
      <c r="K1100" s="28"/>
      <c r="L1100" s="24"/>
      <c r="M1100" s="29"/>
      <c r="N1100" s="29"/>
      <c r="O1100" s="24"/>
      <c r="P1100" s="4"/>
      <c r="Q1100" s="16"/>
    </row>
    <row r="1101" customFormat="false" ht="12.8" hidden="false" customHeight="false" outlineLevel="0" collapsed="false">
      <c r="A1101" s="42" t="s">
        <v>1015</v>
      </c>
      <c r="B1101" s="43"/>
      <c r="C1101" s="44"/>
      <c r="D1101" s="45"/>
      <c r="E1101" s="46"/>
      <c r="F1101" s="44"/>
      <c r="G1101" s="47"/>
      <c r="H1101" s="48"/>
      <c r="I1101" s="49"/>
      <c r="J1101" s="50"/>
      <c r="K1101" s="50"/>
      <c r="L1101" s="44"/>
      <c r="M1101" s="51"/>
      <c r="N1101" s="51"/>
      <c r="O1101" s="44"/>
      <c r="P1101" s="52"/>
      <c r="Q1101" s="53"/>
    </row>
    <row r="1102" customFormat="false" ht="12.8" hidden="false" customHeight="false" outlineLevel="0" collapsed="false">
      <c r="A1102" s="22"/>
      <c r="B1102" s="23"/>
      <c r="C1102" s="24"/>
      <c r="D1102" s="22"/>
      <c r="E1102" s="19"/>
      <c r="F1102" s="24"/>
      <c r="G1102" s="25"/>
      <c r="H1102" s="26"/>
      <c r="I1102" s="27"/>
      <c r="J1102" s="28"/>
      <c r="K1102" s="28"/>
      <c r="L1102" s="24"/>
      <c r="M1102" s="29"/>
      <c r="N1102" s="29"/>
      <c r="O1102" s="24"/>
      <c r="P1102" s="4"/>
      <c r="Q1102" s="16"/>
    </row>
    <row r="1103" customFormat="false" ht="12.8" hidden="false" customHeight="false" outlineLevel="0" collapsed="false">
      <c r="A1103" s="22"/>
      <c r="B1103" s="23" t="n">
        <v>500329000</v>
      </c>
      <c r="C1103" s="24" t="n">
        <v>30</v>
      </c>
      <c r="D1103" s="54" t="s">
        <v>1016</v>
      </c>
      <c r="E1103" s="19" t="s">
        <v>1017</v>
      </c>
      <c r="F1103" s="24" t="s">
        <v>647</v>
      </c>
      <c r="G1103" s="25" t="n">
        <v>0.167</v>
      </c>
      <c r="H1103" s="26"/>
      <c r="I1103" s="27" t="n">
        <v>30</v>
      </c>
      <c r="J1103" s="28" t="n">
        <v>10</v>
      </c>
      <c r="K1103" s="28" t="n">
        <v>1</v>
      </c>
      <c r="L1103" s="24" t="s">
        <v>631</v>
      </c>
      <c r="M1103" s="29" t="n">
        <f aca="false">IF("oui" = "oui",19.07*(1-disc),19.07)</f>
        <v>19.07</v>
      </c>
      <c r="N1103" s="29" t="n">
        <f aca="false">IF("oui" = "oui",19.07*(1-disc)*1.2,19.07*1.2)</f>
        <v>22.884</v>
      </c>
      <c r="O1103" s="24" t="s">
        <v>25</v>
      </c>
      <c r="P1103" s="55" t="s">
        <v>701</v>
      </c>
      <c r="Q1103" s="16"/>
    </row>
    <row r="1104" customFormat="false" ht="12.8" hidden="false" customHeight="false" outlineLevel="0" collapsed="false">
      <c r="A1104" s="22"/>
      <c r="B1104" s="23" t="n">
        <v>500330000</v>
      </c>
      <c r="C1104" s="24" t="n">
        <v>30</v>
      </c>
      <c r="D1104" s="54" t="s">
        <v>1018</v>
      </c>
      <c r="E1104" s="19" t="s">
        <v>1017</v>
      </c>
      <c r="F1104" s="24" t="s">
        <v>647</v>
      </c>
      <c r="G1104" s="25" t="n">
        <v>0.167</v>
      </c>
      <c r="H1104" s="26"/>
      <c r="I1104" s="27" t="n">
        <v>30</v>
      </c>
      <c r="J1104" s="28" t="n">
        <v>10</v>
      </c>
      <c r="K1104" s="28" t="n">
        <v>1</v>
      </c>
      <c r="L1104" s="24" t="s">
        <v>631</v>
      </c>
      <c r="M1104" s="29" t="n">
        <f aca="false">IF("oui" = "oui",19.07*(1-disc),19.07)</f>
        <v>19.07</v>
      </c>
      <c r="N1104" s="29" t="n">
        <f aca="false">IF("oui" = "oui",19.07*(1-disc)*1.2,19.07*1.2)</f>
        <v>22.884</v>
      </c>
      <c r="O1104" s="24" t="s">
        <v>25</v>
      </c>
      <c r="P1104" s="4" t="s">
        <v>25</v>
      </c>
      <c r="Q1104" s="16"/>
    </row>
    <row r="1105" customFormat="false" ht="12.8" hidden="false" customHeight="false" outlineLevel="0" collapsed="false">
      <c r="A1105" s="22"/>
      <c r="B1105" s="23" t="n">
        <v>500331000</v>
      </c>
      <c r="C1105" s="24" t="n">
        <v>30</v>
      </c>
      <c r="D1105" s="54" t="s">
        <v>1019</v>
      </c>
      <c r="E1105" s="19" t="s">
        <v>1017</v>
      </c>
      <c r="F1105" s="24" t="s">
        <v>647</v>
      </c>
      <c r="G1105" s="25" t="n">
        <v>0.167</v>
      </c>
      <c r="H1105" s="26"/>
      <c r="I1105" s="27" t="n">
        <v>30</v>
      </c>
      <c r="J1105" s="28" t="n">
        <v>10</v>
      </c>
      <c r="K1105" s="28" t="n">
        <v>1</v>
      </c>
      <c r="L1105" s="24" t="s">
        <v>631</v>
      </c>
      <c r="M1105" s="29" t="n">
        <f aca="false">IF("oui" = "oui",19.07*(1-disc),19.07)</f>
        <v>19.07</v>
      </c>
      <c r="N1105" s="29" t="n">
        <f aca="false">IF("oui" = "oui",19.07*(1-disc)*1.2,19.07*1.2)</f>
        <v>22.884</v>
      </c>
      <c r="O1105" s="24" t="s">
        <v>25</v>
      </c>
      <c r="P1105" s="4" t="s">
        <v>25</v>
      </c>
      <c r="Q1105" s="16"/>
    </row>
    <row r="1106" customFormat="false" ht="12.8" hidden="false" customHeight="false" outlineLevel="0" collapsed="false">
      <c r="A1106" s="22"/>
      <c r="B1106" s="23" t="n">
        <v>500332000</v>
      </c>
      <c r="C1106" s="24" t="n">
        <v>30</v>
      </c>
      <c r="D1106" s="54" t="s">
        <v>1020</v>
      </c>
      <c r="E1106" s="19" t="s">
        <v>1017</v>
      </c>
      <c r="F1106" s="24" t="s">
        <v>647</v>
      </c>
      <c r="G1106" s="25" t="n">
        <v>0.167</v>
      </c>
      <c r="H1106" s="26"/>
      <c r="I1106" s="27" t="n">
        <v>30</v>
      </c>
      <c r="J1106" s="28" t="n">
        <v>10</v>
      </c>
      <c r="K1106" s="28" t="n">
        <v>1</v>
      </c>
      <c r="L1106" s="24" t="s">
        <v>631</v>
      </c>
      <c r="M1106" s="29" t="n">
        <f aca="false">IF("oui" = "oui",19.07*(1-disc),19.07)</f>
        <v>19.07</v>
      </c>
      <c r="N1106" s="29" t="n">
        <f aca="false">IF("oui" = "oui",19.07*(1-disc)*1.2,19.07*1.2)</f>
        <v>22.884</v>
      </c>
      <c r="O1106" s="24" t="s">
        <v>25</v>
      </c>
      <c r="P1106" s="4" t="s">
        <v>25</v>
      </c>
      <c r="Q1106" s="16"/>
    </row>
    <row r="1107" customFormat="false" ht="12.8" hidden="false" customHeight="false" outlineLevel="0" collapsed="false">
      <c r="A1107" s="22"/>
      <c r="B1107" s="23" t="n">
        <v>500333000</v>
      </c>
      <c r="C1107" s="24" t="n">
        <v>30</v>
      </c>
      <c r="D1107" s="54" t="s">
        <v>1021</v>
      </c>
      <c r="E1107" s="19" t="s">
        <v>1017</v>
      </c>
      <c r="F1107" s="24" t="s">
        <v>647</v>
      </c>
      <c r="G1107" s="25" t="n">
        <v>0.167</v>
      </c>
      <c r="H1107" s="26"/>
      <c r="I1107" s="27" t="n">
        <v>30</v>
      </c>
      <c r="J1107" s="28" t="n">
        <v>10</v>
      </c>
      <c r="K1107" s="28" t="n">
        <v>1</v>
      </c>
      <c r="L1107" s="24" t="s">
        <v>631</v>
      </c>
      <c r="M1107" s="29" t="n">
        <f aca="false">IF("oui" = "oui",19.07*(1-disc),19.07)</f>
        <v>19.07</v>
      </c>
      <c r="N1107" s="29" t="n">
        <f aca="false">IF("oui" = "oui",19.07*(1-disc)*1.2,19.07*1.2)</f>
        <v>22.884</v>
      </c>
      <c r="O1107" s="24" t="s">
        <v>25</v>
      </c>
      <c r="P1107" s="55" t="s">
        <v>276</v>
      </c>
      <c r="Q1107" s="16"/>
    </row>
    <row r="1108" customFormat="false" ht="12.8" hidden="false" customHeight="false" outlineLevel="0" collapsed="false">
      <c r="A1108" s="22"/>
      <c r="B1108" s="23" t="n">
        <v>500334000</v>
      </c>
      <c r="C1108" s="24" t="n">
        <v>30</v>
      </c>
      <c r="D1108" s="54" t="s">
        <v>1022</v>
      </c>
      <c r="E1108" s="19" t="s">
        <v>1017</v>
      </c>
      <c r="F1108" s="24" t="s">
        <v>647</v>
      </c>
      <c r="G1108" s="25" t="n">
        <v>0.167</v>
      </c>
      <c r="H1108" s="26"/>
      <c r="I1108" s="27" t="n">
        <v>30</v>
      </c>
      <c r="J1108" s="28" t="n">
        <v>10</v>
      </c>
      <c r="K1108" s="28" t="n">
        <v>1</v>
      </c>
      <c r="L1108" s="24" t="s">
        <v>631</v>
      </c>
      <c r="M1108" s="29" t="n">
        <f aca="false">IF("oui" = "oui",19.07*(1-disc),19.07)</f>
        <v>19.07</v>
      </c>
      <c r="N1108" s="29" t="n">
        <f aca="false">IF("oui" = "oui",19.07*(1-disc)*1.2,19.07*1.2)</f>
        <v>22.884</v>
      </c>
      <c r="O1108" s="24" t="s">
        <v>25</v>
      </c>
      <c r="P1108" s="4" t="s">
        <v>25</v>
      </c>
      <c r="Q1108" s="16"/>
    </row>
    <row r="1109" customFormat="false" ht="12.8" hidden="false" customHeight="false" outlineLevel="0" collapsed="false">
      <c r="A1109" s="22"/>
      <c r="B1109" s="23" t="n">
        <v>500335000</v>
      </c>
      <c r="C1109" s="24" t="n">
        <v>30</v>
      </c>
      <c r="D1109" s="54" t="s">
        <v>1023</v>
      </c>
      <c r="E1109" s="19" t="s">
        <v>1017</v>
      </c>
      <c r="F1109" s="24" t="s">
        <v>647</v>
      </c>
      <c r="G1109" s="25" t="n">
        <v>0.167</v>
      </c>
      <c r="H1109" s="26"/>
      <c r="I1109" s="27" t="n">
        <v>30</v>
      </c>
      <c r="J1109" s="28" t="n">
        <v>10</v>
      </c>
      <c r="K1109" s="28" t="n">
        <v>1</v>
      </c>
      <c r="L1109" s="24" t="s">
        <v>631</v>
      </c>
      <c r="M1109" s="29" t="n">
        <f aca="false">IF("oui" = "oui",19.07*(1-disc),19.07)</f>
        <v>19.07</v>
      </c>
      <c r="N1109" s="29" t="n">
        <f aca="false">IF("oui" = "oui",19.07*(1-disc)*1.2,19.07*1.2)</f>
        <v>22.884</v>
      </c>
      <c r="O1109" s="24" t="s">
        <v>25</v>
      </c>
      <c r="P1109" s="55" t="s">
        <v>1024</v>
      </c>
      <c r="Q1109" s="16"/>
    </row>
    <row r="1110" customFormat="false" ht="12.8" hidden="false" customHeight="false" outlineLevel="0" collapsed="false">
      <c r="A1110" s="22"/>
      <c r="B1110" s="23"/>
      <c r="C1110" s="24"/>
      <c r="D1110" s="22"/>
      <c r="E1110" s="19"/>
      <c r="F1110" s="24"/>
      <c r="G1110" s="25"/>
      <c r="H1110" s="26"/>
      <c r="I1110" s="27"/>
      <c r="J1110" s="28"/>
      <c r="K1110" s="28"/>
      <c r="L1110" s="24"/>
      <c r="M1110" s="29"/>
      <c r="N1110" s="29"/>
      <c r="O1110" s="24"/>
      <c r="P1110" s="4"/>
      <c r="Q1110" s="16"/>
    </row>
    <row r="1111" customFormat="false" ht="12.8" hidden="false" customHeight="false" outlineLevel="0" collapsed="false">
      <c r="A1111" s="22"/>
      <c r="B1111" s="23" t="n">
        <v>504001000</v>
      </c>
      <c r="C1111" s="24" t="n">
        <v>30</v>
      </c>
      <c r="D1111" s="54" t="s">
        <v>1025</v>
      </c>
      <c r="E1111" s="19" t="s">
        <v>1026</v>
      </c>
      <c r="F1111" s="24" t="s">
        <v>23</v>
      </c>
      <c r="G1111" s="25" t="n">
        <v>0.225</v>
      </c>
      <c r="H1111" s="26"/>
      <c r="I1111" s="27" t="n">
        <v>30</v>
      </c>
      <c r="J1111" s="28" t="n">
        <v>10</v>
      </c>
      <c r="K1111" s="28" t="n">
        <v>1</v>
      </c>
      <c r="L1111" s="24" t="s">
        <v>631</v>
      </c>
      <c r="M1111" s="29" t="n">
        <f aca="false">IF("oui" = "oui",14.12*(1-disc),14.12)</f>
        <v>14.12</v>
      </c>
      <c r="N1111" s="29" t="n">
        <f aca="false">IF("oui" = "oui",14.12*(1-disc)*1.2,14.12*1.2)</f>
        <v>16.944</v>
      </c>
      <c r="O1111" s="24" t="s">
        <v>25</v>
      </c>
      <c r="P1111" s="7" t="s">
        <v>26</v>
      </c>
      <c r="Q1111" s="16"/>
    </row>
    <row r="1112" customFormat="false" ht="12.8" hidden="false" customHeight="false" outlineLevel="0" collapsed="false">
      <c r="A1112" s="22"/>
      <c r="B1112" s="23" t="n">
        <v>504002000</v>
      </c>
      <c r="C1112" s="24" t="n">
        <v>30</v>
      </c>
      <c r="D1112" s="54" t="s">
        <v>1027</v>
      </c>
      <c r="E1112" s="19" t="s">
        <v>1026</v>
      </c>
      <c r="F1112" s="24" t="s">
        <v>23</v>
      </c>
      <c r="G1112" s="25" t="n">
        <v>0.225</v>
      </c>
      <c r="H1112" s="26"/>
      <c r="I1112" s="27" t="n">
        <v>30</v>
      </c>
      <c r="J1112" s="28" t="n">
        <v>10</v>
      </c>
      <c r="K1112" s="28" t="n">
        <v>1</v>
      </c>
      <c r="L1112" s="24" t="s">
        <v>631</v>
      </c>
      <c r="M1112" s="29" t="n">
        <f aca="false">IF("oui" = "oui",14.12*(1-disc),14.12)</f>
        <v>14.12</v>
      </c>
      <c r="N1112" s="29" t="n">
        <f aca="false">IF("oui" = "oui",14.12*(1-disc)*1.2,14.12*1.2)</f>
        <v>16.944</v>
      </c>
      <c r="O1112" s="24" t="s">
        <v>25</v>
      </c>
      <c r="P1112" s="55" t="s">
        <v>349</v>
      </c>
      <c r="Q1112" s="16"/>
    </row>
    <row r="1113" customFormat="false" ht="12.8" hidden="false" customHeight="false" outlineLevel="0" collapsed="false">
      <c r="A1113" s="22"/>
      <c r="B1113" s="23" t="n">
        <v>504003000</v>
      </c>
      <c r="C1113" s="24" t="n">
        <v>30</v>
      </c>
      <c r="D1113" s="54" t="s">
        <v>1028</v>
      </c>
      <c r="E1113" s="19" t="s">
        <v>1026</v>
      </c>
      <c r="F1113" s="24" t="s">
        <v>23</v>
      </c>
      <c r="G1113" s="25" t="n">
        <v>0.225</v>
      </c>
      <c r="H1113" s="26"/>
      <c r="I1113" s="27" t="n">
        <v>30</v>
      </c>
      <c r="J1113" s="28" t="n">
        <v>10</v>
      </c>
      <c r="K1113" s="28" t="n">
        <v>1</v>
      </c>
      <c r="L1113" s="24" t="s">
        <v>631</v>
      </c>
      <c r="M1113" s="29" t="n">
        <f aca="false">IF("oui" = "oui",14.12*(1-disc),14.12)</f>
        <v>14.12</v>
      </c>
      <c r="N1113" s="29" t="n">
        <f aca="false">IF("oui" = "oui",14.12*(1-disc)*1.2,14.12*1.2)</f>
        <v>16.944</v>
      </c>
      <c r="O1113" s="24" t="s">
        <v>25</v>
      </c>
      <c r="P1113" s="55" t="s">
        <v>1029</v>
      </c>
      <c r="Q1113" s="16"/>
    </row>
    <row r="1114" customFormat="false" ht="12.8" hidden="false" customHeight="false" outlineLevel="0" collapsed="false">
      <c r="A1114" s="22"/>
      <c r="B1114" s="23" t="n">
        <v>504006000</v>
      </c>
      <c r="C1114" s="24" t="n">
        <v>30</v>
      </c>
      <c r="D1114" s="54" t="s">
        <v>1030</v>
      </c>
      <c r="E1114" s="19" t="s">
        <v>1026</v>
      </c>
      <c r="F1114" s="24" t="s">
        <v>23</v>
      </c>
      <c r="G1114" s="25" t="n">
        <v>0.225</v>
      </c>
      <c r="H1114" s="26"/>
      <c r="I1114" s="27" t="n">
        <v>30</v>
      </c>
      <c r="J1114" s="28" t="n">
        <v>10</v>
      </c>
      <c r="K1114" s="28" t="n">
        <v>1</v>
      </c>
      <c r="L1114" s="24" t="s">
        <v>631</v>
      </c>
      <c r="M1114" s="29" t="n">
        <f aca="false">IF("oui" = "oui",14.12*(1-disc),14.12)</f>
        <v>14.12</v>
      </c>
      <c r="N1114" s="29" t="n">
        <f aca="false">IF("oui" = "oui",14.12*(1-disc)*1.2,14.12*1.2)</f>
        <v>16.944</v>
      </c>
      <c r="O1114" s="24" t="s">
        <v>25</v>
      </c>
      <c r="P1114" s="7" t="s">
        <v>26</v>
      </c>
      <c r="Q1114" s="16"/>
    </row>
    <row r="1115" customFormat="false" ht="12.8" hidden="false" customHeight="false" outlineLevel="0" collapsed="false">
      <c r="A1115" s="22"/>
      <c r="B1115" s="23"/>
      <c r="C1115" s="24"/>
      <c r="D1115" s="22"/>
      <c r="E1115" s="19"/>
      <c r="F1115" s="24"/>
      <c r="G1115" s="25"/>
      <c r="H1115" s="26"/>
      <c r="I1115" s="27"/>
      <c r="J1115" s="28"/>
      <c r="K1115" s="28"/>
      <c r="L1115" s="24"/>
      <c r="M1115" s="29"/>
      <c r="N1115" s="29"/>
      <c r="O1115" s="24"/>
      <c r="P1115" s="4"/>
      <c r="Q1115" s="16"/>
    </row>
    <row r="1116" customFormat="false" ht="12.8" hidden="false" customHeight="false" outlineLevel="0" collapsed="false">
      <c r="A1116" s="22"/>
      <c r="B1116" s="23" t="n">
        <v>504007000</v>
      </c>
      <c r="C1116" s="24" t="n">
        <v>30</v>
      </c>
      <c r="D1116" s="54" t="s">
        <v>1031</v>
      </c>
      <c r="E1116" s="19" t="s">
        <v>1032</v>
      </c>
      <c r="F1116" s="24" t="s">
        <v>23</v>
      </c>
      <c r="G1116" s="25" t="n">
        <v>0.198</v>
      </c>
      <c r="H1116" s="26"/>
      <c r="I1116" s="27" t="n">
        <v>30</v>
      </c>
      <c r="J1116" s="28" t="n">
        <v>10</v>
      </c>
      <c r="K1116" s="28" t="n">
        <v>1</v>
      </c>
      <c r="L1116" s="24" t="s">
        <v>631</v>
      </c>
      <c r="M1116" s="29" t="n">
        <f aca="false">IF("oui" = "oui",19.07*(1-disc),19.07)</f>
        <v>19.07</v>
      </c>
      <c r="N1116" s="29" t="n">
        <f aca="false">IF("oui" = "oui",19.07*(1-disc)*1.2,19.07*1.2)</f>
        <v>22.884</v>
      </c>
      <c r="O1116" s="24" t="s">
        <v>25</v>
      </c>
      <c r="P1116" s="4" t="s">
        <v>25</v>
      </c>
      <c r="Q1116" s="16"/>
    </row>
    <row r="1117" customFormat="false" ht="12.8" hidden="false" customHeight="false" outlineLevel="0" collapsed="false">
      <c r="A1117" s="22"/>
      <c r="B1117" s="56" t="n">
        <v>500307000</v>
      </c>
      <c r="C1117" s="24" t="n">
        <v>30</v>
      </c>
      <c r="D1117" s="54" t="s">
        <v>1033</v>
      </c>
      <c r="E1117" s="19" t="s">
        <v>1034</v>
      </c>
      <c r="F1117" s="24" t="s">
        <v>647</v>
      </c>
      <c r="G1117" s="25" t="n">
        <v>0.2</v>
      </c>
      <c r="H1117" s="26"/>
      <c r="I1117" s="27" t="n">
        <v>30</v>
      </c>
      <c r="J1117" s="28" t="n">
        <v>10</v>
      </c>
      <c r="K1117" s="28" t="n">
        <v>1</v>
      </c>
      <c r="L1117" s="24" t="s">
        <v>631</v>
      </c>
      <c r="M1117" s="29" t="n">
        <f aca="false">IF("oui" = "oui",19.07*(1-disc),19.07)</f>
        <v>19.07</v>
      </c>
      <c r="N1117" s="29" t="n">
        <f aca="false">IF("oui" = "oui",19.07*(1-disc)*1.2,19.07*1.2)</f>
        <v>22.884</v>
      </c>
      <c r="O1117" s="24" t="s">
        <v>25</v>
      </c>
      <c r="P1117" s="7" t="s">
        <v>26</v>
      </c>
      <c r="Q1117" s="16"/>
    </row>
    <row r="1118" customFormat="false" ht="12.8" hidden="false" customHeight="false" outlineLevel="0" collapsed="false">
      <c r="A1118" s="22"/>
      <c r="B1118" s="56" t="n">
        <v>500308000</v>
      </c>
      <c r="C1118" s="24" t="n">
        <v>30</v>
      </c>
      <c r="D1118" s="54" t="s">
        <v>1035</v>
      </c>
      <c r="E1118" s="19" t="s">
        <v>1034</v>
      </c>
      <c r="F1118" s="24" t="s">
        <v>647</v>
      </c>
      <c r="G1118" s="25" t="n">
        <v>0.2</v>
      </c>
      <c r="H1118" s="26"/>
      <c r="I1118" s="27" t="n">
        <v>30</v>
      </c>
      <c r="J1118" s="28" t="n">
        <v>10</v>
      </c>
      <c r="K1118" s="28" t="n">
        <v>1</v>
      </c>
      <c r="L1118" s="24" t="s">
        <v>631</v>
      </c>
      <c r="M1118" s="29" t="n">
        <f aca="false">IF("oui" = "oui",19.07*(1-disc),19.07)</f>
        <v>19.07</v>
      </c>
      <c r="N1118" s="29" t="n">
        <f aca="false">IF("oui" = "oui",19.07*(1-disc)*1.2,19.07*1.2)</f>
        <v>22.884</v>
      </c>
      <c r="O1118" s="24" t="s">
        <v>25</v>
      </c>
      <c r="P1118" s="55" t="s">
        <v>591</v>
      </c>
      <c r="Q1118" s="16"/>
    </row>
    <row r="1119" customFormat="false" ht="12.8" hidden="false" customHeight="false" outlineLevel="0" collapsed="false">
      <c r="A1119" s="22"/>
      <c r="B1119" s="56" t="n">
        <v>500309000</v>
      </c>
      <c r="C1119" s="24" t="n">
        <v>30</v>
      </c>
      <c r="D1119" s="54" t="s">
        <v>1036</v>
      </c>
      <c r="E1119" s="19" t="s">
        <v>1034</v>
      </c>
      <c r="F1119" s="24" t="s">
        <v>647</v>
      </c>
      <c r="G1119" s="25" t="n">
        <v>0.2</v>
      </c>
      <c r="H1119" s="26"/>
      <c r="I1119" s="27" t="n">
        <v>30</v>
      </c>
      <c r="J1119" s="28" t="n">
        <v>10</v>
      </c>
      <c r="K1119" s="28" t="n">
        <v>1</v>
      </c>
      <c r="L1119" s="24" t="s">
        <v>631</v>
      </c>
      <c r="M1119" s="29" t="n">
        <f aca="false">IF("oui" = "oui",19.07*(1-disc),19.07)</f>
        <v>19.07</v>
      </c>
      <c r="N1119" s="29" t="n">
        <f aca="false">IF("oui" = "oui",19.07*(1-disc)*1.2,19.07*1.2)</f>
        <v>22.884</v>
      </c>
      <c r="O1119" s="24" t="s">
        <v>25</v>
      </c>
      <c r="P1119" s="7" t="s">
        <v>26</v>
      </c>
      <c r="Q1119" s="16"/>
    </row>
    <row r="1120" customFormat="false" ht="12.8" hidden="false" customHeight="false" outlineLevel="0" collapsed="false">
      <c r="A1120" s="22"/>
      <c r="B1120" s="56" t="n">
        <v>500310000</v>
      </c>
      <c r="C1120" s="24" t="n">
        <v>30</v>
      </c>
      <c r="D1120" s="54" t="s">
        <v>1037</v>
      </c>
      <c r="E1120" s="19" t="s">
        <v>1034</v>
      </c>
      <c r="F1120" s="24" t="s">
        <v>647</v>
      </c>
      <c r="G1120" s="25" t="n">
        <v>0.2</v>
      </c>
      <c r="H1120" s="26"/>
      <c r="I1120" s="27" t="n">
        <v>30</v>
      </c>
      <c r="J1120" s="28" t="n">
        <v>10</v>
      </c>
      <c r="K1120" s="28" t="n">
        <v>1</v>
      </c>
      <c r="L1120" s="24" t="s">
        <v>631</v>
      </c>
      <c r="M1120" s="29" t="n">
        <f aca="false">IF("oui" = "oui",19.07*(1-disc),19.07)</f>
        <v>19.07</v>
      </c>
      <c r="N1120" s="29" t="n">
        <f aca="false">IF("oui" = "oui",19.07*(1-disc)*1.2,19.07*1.2)</f>
        <v>22.884</v>
      </c>
      <c r="O1120" s="24" t="s">
        <v>25</v>
      </c>
      <c r="P1120" s="4" t="s">
        <v>25</v>
      </c>
      <c r="Q1120" s="16"/>
    </row>
    <row r="1121" customFormat="false" ht="12.8" hidden="false" customHeight="false" outlineLevel="0" collapsed="false">
      <c r="A1121" s="22"/>
      <c r="B1121" s="56" t="n">
        <v>500311000</v>
      </c>
      <c r="C1121" s="24" t="n">
        <v>30</v>
      </c>
      <c r="D1121" s="54" t="s">
        <v>1038</v>
      </c>
      <c r="E1121" s="19" t="s">
        <v>1034</v>
      </c>
      <c r="F1121" s="24" t="s">
        <v>647</v>
      </c>
      <c r="G1121" s="25" t="n">
        <v>0.2</v>
      </c>
      <c r="H1121" s="26"/>
      <c r="I1121" s="27" t="n">
        <v>30</v>
      </c>
      <c r="J1121" s="28" t="n">
        <v>10</v>
      </c>
      <c r="K1121" s="28" t="n">
        <v>1</v>
      </c>
      <c r="L1121" s="24" t="s">
        <v>631</v>
      </c>
      <c r="M1121" s="29" t="n">
        <f aca="false">IF("oui" = "oui",19.07*(1-disc),19.07)</f>
        <v>19.07</v>
      </c>
      <c r="N1121" s="29" t="n">
        <f aca="false">IF("oui" = "oui",19.07*(1-disc)*1.2,19.07*1.2)</f>
        <v>22.884</v>
      </c>
      <c r="O1121" s="24" t="s">
        <v>25</v>
      </c>
      <c r="P1121" s="4" t="s">
        <v>25</v>
      </c>
      <c r="Q1121" s="16"/>
    </row>
    <row r="1122" customFormat="false" ht="12.8" hidden="false" customHeight="false" outlineLevel="0" collapsed="false">
      <c r="A1122" s="22"/>
      <c r="B1122" s="56" t="n">
        <v>500312000</v>
      </c>
      <c r="C1122" s="24" t="n">
        <v>30</v>
      </c>
      <c r="D1122" s="54" t="s">
        <v>1039</v>
      </c>
      <c r="E1122" s="19" t="s">
        <v>1034</v>
      </c>
      <c r="F1122" s="24" t="s">
        <v>647</v>
      </c>
      <c r="G1122" s="25" t="n">
        <v>0.2</v>
      </c>
      <c r="H1122" s="26"/>
      <c r="I1122" s="27" t="n">
        <v>30</v>
      </c>
      <c r="J1122" s="28" t="n">
        <v>10</v>
      </c>
      <c r="K1122" s="28" t="n">
        <v>1</v>
      </c>
      <c r="L1122" s="24" t="s">
        <v>631</v>
      </c>
      <c r="M1122" s="29" t="n">
        <f aca="false">IF("oui" = "oui",19.07*(1-disc),19.07)</f>
        <v>19.07</v>
      </c>
      <c r="N1122" s="29" t="n">
        <f aca="false">IF("oui" = "oui",19.07*(1-disc)*1.2,19.07*1.2)</f>
        <v>22.884</v>
      </c>
      <c r="O1122" s="24" t="s">
        <v>25</v>
      </c>
      <c r="P1122" s="4" t="s">
        <v>25</v>
      </c>
      <c r="Q1122" s="16"/>
    </row>
    <row r="1123" customFormat="false" ht="12.8" hidden="false" customHeight="false" outlineLevel="0" collapsed="false">
      <c r="A1123" s="22"/>
      <c r="B1123" s="56" t="n">
        <v>500313000</v>
      </c>
      <c r="C1123" s="24" t="n">
        <v>30</v>
      </c>
      <c r="D1123" s="54" t="s">
        <v>1040</v>
      </c>
      <c r="E1123" s="19" t="s">
        <v>1034</v>
      </c>
      <c r="F1123" s="24" t="s">
        <v>647</v>
      </c>
      <c r="G1123" s="25" t="n">
        <v>0.2</v>
      </c>
      <c r="H1123" s="26"/>
      <c r="I1123" s="27" t="n">
        <v>30</v>
      </c>
      <c r="J1123" s="28" t="n">
        <v>10</v>
      </c>
      <c r="K1123" s="28" t="n">
        <v>1</v>
      </c>
      <c r="L1123" s="24" t="s">
        <v>631</v>
      </c>
      <c r="M1123" s="29" t="n">
        <f aca="false">IF("oui" = "oui",19.07*(1-disc),19.07)</f>
        <v>19.07</v>
      </c>
      <c r="N1123" s="29" t="n">
        <f aca="false">IF("oui" = "oui",19.07*(1-disc)*1.2,19.07*1.2)</f>
        <v>22.884</v>
      </c>
      <c r="O1123" s="24" t="s">
        <v>25</v>
      </c>
      <c r="P1123" s="7" t="s">
        <v>26</v>
      </c>
      <c r="Q1123" s="16"/>
    </row>
    <row r="1124" customFormat="false" ht="12.8" hidden="false" customHeight="false" outlineLevel="0" collapsed="false">
      <c r="A1124" s="22"/>
      <c r="B1124" s="56" t="n">
        <v>504010000</v>
      </c>
      <c r="C1124" s="24" t="n">
        <v>30</v>
      </c>
      <c r="D1124" s="54" t="s">
        <v>1041</v>
      </c>
      <c r="E1124" s="19" t="s">
        <v>1042</v>
      </c>
      <c r="F1124" s="24" t="s">
        <v>23</v>
      </c>
      <c r="G1124" s="25" t="n">
        <v>0.167</v>
      </c>
      <c r="H1124" s="26"/>
      <c r="I1124" s="27" t="n">
        <v>50</v>
      </c>
      <c r="J1124" s="28" t="n">
        <v>10</v>
      </c>
      <c r="K1124" s="28" t="n">
        <v>1</v>
      </c>
      <c r="L1124" s="24" t="s">
        <v>631</v>
      </c>
      <c r="M1124" s="29" t="n">
        <f aca="false">IF("oui" = "oui",19.07*(1-disc),19.07)</f>
        <v>19.07</v>
      </c>
      <c r="N1124" s="29" t="n">
        <f aca="false">IF("oui" = "oui",19.07*(1-disc)*1.2,19.07*1.2)</f>
        <v>22.884</v>
      </c>
      <c r="O1124" s="24" t="s">
        <v>25</v>
      </c>
      <c r="P1124" s="55" t="s">
        <v>1043</v>
      </c>
      <c r="Q1124" s="16"/>
    </row>
    <row r="1125" customFormat="false" ht="12.8" hidden="false" customHeight="false" outlineLevel="0" collapsed="false">
      <c r="A1125" s="22"/>
      <c r="B1125" s="56" t="n">
        <v>504011000</v>
      </c>
      <c r="C1125" s="24" t="n">
        <v>30</v>
      </c>
      <c r="D1125" s="54" t="s">
        <v>1044</v>
      </c>
      <c r="E1125" s="19" t="s">
        <v>1045</v>
      </c>
      <c r="F1125" s="24" t="s">
        <v>23</v>
      </c>
      <c r="G1125" s="25" t="n">
        <v>0.158</v>
      </c>
      <c r="H1125" s="26"/>
      <c r="I1125" s="27" t="n">
        <v>50</v>
      </c>
      <c r="J1125" s="28" t="n">
        <v>10</v>
      </c>
      <c r="K1125" s="28" t="n">
        <v>1</v>
      </c>
      <c r="L1125" s="24" t="s">
        <v>631</v>
      </c>
      <c r="M1125" s="29" t="n">
        <f aca="false">IF("oui" = "oui",19.07*(1-disc),19.07)</f>
        <v>19.07</v>
      </c>
      <c r="N1125" s="29" t="n">
        <f aca="false">IF("oui" = "oui",19.07*(1-disc)*1.2,19.07*1.2)</f>
        <v>22.884</v>
      </c>
      <c r="O1125" s="24" t="s">
        <v>25</v>
      </c>
      <c r="P1125" s="55" t="s">
        <v>613</v>
      </c>
      <c r="Q1125" s="16"/>
    </row>
    <row r="1126" customFormat="false" ht="12.8" hidden="false" customHeight="false" outlineLevel="0" collapsed="false">
      <c r="A1126" s="22"/>
      <c r="B1126" s="56" t="n">
        <v>504012000</v>
      </c>
      <c r="C1126" s="24" t="n">
        <v>30</v>
      </c>
      <c r="D1126" s="54" t="s">
        <v>1046</v>
      </c>
      <c r="E1126" s="19" t="s">
        <v>1045</v>
      </c>
      <c r="F1126" s="24" t="s">
        <v>23</v>
      </c>
      <c r="G1126" s="25" t="n">
        <v>0.194</v>
      </c>
      <c r="H1126" s="26"/>
      <c r="I1126" s="27" t="n">
        <v>50</v>
      </c>
      <c r="J1126" s="28" t="n">
        <v>10</v>
      </c>
      <c r="K1126" s="28" t="n">
        <v>1</v>
      </c>
      <c r="L1126" s="24" t="s">
        <v>631</v>
      </c>
      <c r="M1126" s="29" t="n">
        <f aca="false">IF("oui" = "oui",19.07*(1-disc),19.07)</f>
        <v>19.07</v>
      </c>
      <c r="N1126" s="29" t="n">
        <f aca="false">IF("oui" = "oui",19.07*(1-disc)*1.2,19.07*1.2)</f>
        <v>22.884</v>
      </c>
      <c r="O1126" s="24" t="s">
        <v>25</v>
      </c>
      <c r="P1126" s="7" t="s">
        <v>26</v>
      </c>
      <c r="Q1126" s="16"/>
    </row>
    <row r="1127" customFormat="false" ht="12.8" hidden="false" customHeight="false" outlineLevel="0" collapsed="false">
      <c r="A1127" s="22"/>
      <c r="B1127" s="23" t="n">
        <v>504008000</v>
      </c>
      <c r="C1127" s="24" t="n">
        <v>30</v>
      </c>
      <c r="D1127" s="54" t="s">
        <v>1047</v>
      </c>
      <c r="E1127" s="19" t="s">
        <v>1048</v>
      </c>
      <c r="F1127" s="24" t="s">
        <v>23</v>
      </c>
      <c r="G1127" s="25" t="n">
        <v>0.225</v>
      </c>
      <c r="H1127" s="26"/>
      <c r="I1127" s="27" t="n">
        <v>30</v>
      </c>
      <c r="J1127" s="28" t="n">
        <v>10</v>
      </c>
      <c r="K1127" s="28" t="n">
        <v>1</v>
      </c>
      <c r="L1127" s="24" t="s">
        <v>631</v>
      </c>
      <c r="M1127" s="29" t="n">
        <f aca="false">IF("oui" = "oui",19.07*(1-disc),19.07)</f>
        <v>19.07</v>
      </c>
      <c r="N1127" s="29" t="n">
        <f aca="false">IF("oui" = "oui",19.07*(1-disc)*1.2,19.07*1.2)</f>
        <v>22.884</v>
      </c>
      <c r="O1127" s="24" t="s">
        <v>25</v>
      </c>
      <c r="P1127" s="55" t="s">
        <v>141</v>
      </c>
      <c r="Q1127" s="16"/>
    </row>
    <row r="1128" customFormat="false" ht="12.8" hidden="false" customHeight="false" outlineLevel="0" collapsed="false">
      <c r="A1128" s="22"/>
      <c r="B1128" s="23"/>
      <c r="C1128" s="24"/>
      <c r="D1128" s="22"/>
      <c r="E1128" s="19"/>
      <c r="F1128" s="24"/>
      <c r="G1128" s="25"/>
      <c r="H1128" s="26"/>
      <c r="I1128" s="27"/>
      <c r="J1128" s="28"/>
      <c r="K1128" s="28"/>
      <c r="L1128" s="24"/>
      <c r="M1128" s="29"/>
      <c r="N1128" s="29"/>
      <c r="O1128" s="24"/>
      <c r="P1128" s="4"/>
      <c r="Q1128" s="16"/>
    </row>
    <row r="1129" customFormat="false" ht="12.8" hidden="false" customHeight="false" outlineLevel="0" collapsed="false">
      <c r="A1129" s="42" t="s">
        <v>1049</v>
      </c>
      <c r="B1129" s="43"/>
      <c r="C1129" s="44"/>
      <c r="D1129" s="45"/>
      <c r="E1129" s="46"/>
      <c r="F1129" s="44"/>
      <c r="G1129" s="47"/>
      <c r="H1129" s="48"/>
      <c r="I1129" s="49"/>
      <c r="J1129" s="50"/>
      <c r="K1129" s="50"/>
      <c r="L1129" s="44"/>
      <c r="M1129" s="51"/>
      <c r="N1129" s="51"/>
      <c r="O1129" s="44"/>
      <c r="P1129" s="52"/>
      <c r="Q1129" s="53"/>
    </row>
    <row r="1130" customFormat="false" ht="12.8" hidden="false" customHeight="false" outlineLevel="0" collapsed="false">
      <c r="A1130" s="22"/>
      <c r="B1130" s="23"/>
      <c r="C1130" s="24"/>
      <c r="D1130" s="22"/>
      <c r="E1130" s="19"/>
      <c r="F1130" s="24"/>
      <c r="G1130" s="25"/>
      <c r="H1130" s="26"/>
      <c r="I1130" s="27"/>
      <c r="J1130" s="28"/>
      <c r="K1130" s="28"/>
      <c r="L1130" s="24"/>
      <c r="M1130" s="29"/>
      <c r="N1130" s="29"/>
      <c r="O1130" s="24"/>
      <c r="P1130" s="4"/>
      <c r="Q1130" s="16"/>
    </row>
    <row r="1131" customFormat="false" ht="12.8" hidden="false" customHeight="false" outlineLevel="0" collapsed="false">
      <c r="A1131" s="22"/>
      <c r="B1131" s="23" t="n">
        <v>500201000</v>
      </c>
      <c r="C1131" s="24" t="n">
        <v>25</v>
      </c>
      <c r="D1131" s="54" t="s">
        <v>1050</v>
      </c>
      <c r="E1131" s="19" t="s">
        <v>1051</v>
      </c>
      <c r="F1131" s="24" t="s">
        <v>647</v>
      </c>
      <c r="G1131" s="25" t="n">
        <v>0.56</v>
      </c>
      <c r="H1131" s="26" t="n">
        <v>30</v>
      </c>
      <c r="I1131" s="27" t="n">
        <v>30</v>
      </c>
      <c r="J1131" s="28" t="n">
        <v>2</v>
      </c>
      <c r="K1131" s="28" t="n">
        <v>1</v>
      </c>
      <c r="L1131" s="24" t="s">
        <v>631</v>
      </c>
      <c r="M1131" s="29" t="n">
        <f aca="false">IF("oui" = "oui",45.75*(1-disc),45.75)</f>
        <v>45.75</v>
      </c>
      <c r="N1131" s="29" t="n">
        <f aca="false">IF("oui" = "oui",45.75*(1-disc)*1.2,45.75*1.2)</f>
        <v>54.9</v>
      </c>
      <c r="O1131" s="24" t="s">
        <v>25</v>
      </c>
      <c r="P1131" s="7" t="s">
        <v>26</v>
      </c>
      <c r="Q1131" s="16"/>
    </row>
    <row r="1132" customFormat="false" ht="12.8" hidden="false" customHeight="false" outlineLevel="0" collapsed="false">
      <c r="A1132" s="22"/>
      <c r="B1132" s="23" t="n">
        <v>500198000</v>
      </c>
      <c r="C1132" s="24" t="n">
        <v>25</v>
      </c>
      <c r="D1132" s="54" t="s">
        <v>1052</v>
      </c>
      <c r="E1132" s="19" t="s">
        <v>1051</v>
      </c>
      <c r="F1132" s="24" t="s">
        <v>647</v>
      </c>
      <c r="G1132" s="25" t="n">
        <v>0.56</v>
      </c>
      <c r="H1132" s="26" t="n">
        <v>30</v>
      </c>
      <c r="I1132" s="27" t="n">
        <v>30</v>
      </c>
      <c r="J1132" s="28" t="n">
        <v>2</v>
      </c>
      <c r="K1132" s="28" t="n">
        <v>1</v>
      </c>
      <c r="L1132" s="24" t="s">
        <v>631</v>
      </c>
      <c r="M1132" s="29" t="n">
        <f aca="false">IF("oui" = "oui",45.75*(1-disc),45.75)</f>
        <v>45.75</v>
      </c>
      <c r="N1132" s="29" t="n">
        <f aca="false">IF("oui" = "oui",45.75*(1-disc)*1.2,45.75*1.2)</f>
        <v>54.9</v>
      </c>
      <c r="O1132" s="24" t="s">
        <v>25</v>
      </c>
      <c r="P1132" s="55" t="s">
        <v>141</v>
      </c>
      <c r="Q1132" s="16"/>
    </row>
    <row r="1133" customFormat="false" ht="12.8" hidden="false" customHeight="false" outlineLevel="0" collapsed="false">
      <c r="A1133" s="22"/>
      <c r="B1133" s="23" t="n">
        <v>500199000</v>
      </c>
      <c r="C1133" s="24" t="n">
        <v>25</v>
      </c>
      <c r="D1133" s="54" t="s">
        <v>1053</v>
      </c>
      <c r="E1133" s="19" t="s">
        <v>1051</v>
      </c>
      <c r="F1133" s="24" t="s">
        <v>647</v>
      </c>
      <c r="G1133" s="25" t="n">
        <v>0.552</v>
      </c>
      <c r="H1133" s="26" t="n">
        <v>30</v>
      </c>
      <c r="I1133" s="27" t="n">
        <v>30</v>
      </c>
      <c r="J1133" s="28" t="n">
        <v>2</v>
      </c>
      <c r="K1133" s="28" t="n">
        <v>1</v>
      </c>
      <c r="L1133" s="24" t="s">
        <v>631</v>
      </c>
      <c r="M1133" s="29" t="n">
        <f aca="false">IF("oui" = "oui",45.75*(1-disc),45.75)</f>
        <v>45.75</v>
      </c>
      <c r="N1133" s="29" t="n">
        <f aca="false">IF("oui" = "oui",45.75*(1-disc)*1.2,45.75*1.2)</f>
        <v>54.9</v>
      </c>
      <c r="O1133" s="24" t="s">
        <v>25</v>
      </c>
      <c r="P1133" s="55" t="s">
        <v>141</v>
      </c>
      <c r="Q1133" s="16"/>
    </row>
    <row r="1134" customFormat="false" ht="12.8" hidden="false" customHeight="false" outlineLevel="0" collapsed="false">
      <c r="A1134" s="22"/>
      <c r="B1134" s="23" t="n">
        <v>500196000</v>
      </c>
      <c r="C1134" s="24" t="n">
        <v>25</v>
      </c>
      <c r="D1134" s="54" t="s">
        <v>1054</v>
      </c>
      <c r="E1134" s="19" t="s">
        <v>1051</v>
      </c>
      <c r="F1134" s="24" t="s">
        <v>647</v>
      </c>
      <c r="G1134" s="25" t="n">
        <v>0.56</v>
      </c>
      <c r="H1134" s="26" t="n">
        <v>30</v>
      </c>
      <c r="I1134" s="27" t="n">
        <v>30</v>
      </c>
      <c r="J1134" s="28" t="n">
        <v>2</v>
      </c>
      <c r="K1134" s="28" t="n">
        <v>1</v>
      </c>
      <c r="L1134" s="24" t="s">
        <v>631</v>
      </c>
      <c r="M1134" s="29" t="n">
        <f aca="false">IF("oui" = "oui",45.75*(1-disc),45.75)</f>
        <v>45.75</v>
      </c>
      <c r="N1134" s="29" t="n">
        <f aca="false">IF("oui" = "oui",45.75*(1-disc)*1.2,45.75*1.2)</f>
        <v>54.9</v>
      </c>
      <c r="O1134" s="24" t="s">
        <v>25</v>
      </c>
      <c r="P1134" s="55" t="s">
        <v>45</v>
      </c>
      <c r="Q1134" s="16"/>
    </row>
    <row r="1135" customFormat="false" ht="12.8" hidden="false" customHeight="false" outlineLevel="0" collapsed="false">
      <c r="A1135" s="22"/>
      <c r="B1135" s="23" t="n">
        <v>500194000</v>
      </c>
      <c r="C1135" s="24" t="n">
        <v>25</v>
      </c>
      <c r="D1135" s="54" t="s">
        <v>1055</v>
      </c>
      <c r="E1135" s="19" t="s">
        <v>1051</v>
      </c>
      <c r="F1135" s="24" t="s">
        <v>647</v>
      </c>
      <c r="G1135" s="25" t="n">
        <v>0.568</v>
      </c>
      <c r="H1135" s="26" t="n">
        <v>30</v>
      </c>
      <c r="I1135" s="27" t="n">
        <v>30</v>
      </c>
      <c r="J1135" s="28" t="n">
        <v>2</v>
      </c>
      <c r="K1135" s="28" t="n">
        <v>1</v>
      </c>
      <c r="L1135" s="24" t="s">
        <v>631</v>
      </c>
      <c r="M1135" s="29" t="n">
        <f aca="false">IF("oui" = "oui",45.75*(1-disc),45.75)</f>
        <v>45.75</v>
      </c>
      <c r="N1135" s="29" t="n">
        <f aca="false">IF("oui" = "oui",45.75*(1-disc)*1.2,45.75*1.2)</f>
        <v>54.9</v>
      </c>
      <c r="O1135" s="24" t="s">
        <v>25</v>
      </c>
      <c r="P1135" s="7" t="s">
        <v>26</v>
      </c>
      <c r="Q1135" s="16"/>
    </row>
    <row r="1136" customFormat="false" ht="12.8" hidden="false" customHeight="false" outlineLevel="0" collapsed="false">
      <c r="A1136" s="22"/>
      <c r="B1136" s="23" t="n">
        <v>500197000</v>
      </c>
      <c r="C1136" s="24" t="n">
        <v>25</v>
      </c>
      <c r="D1136" s="54" t="s">
        <v>1056</v>
      </c>
      <c r="E1136" s="19" t="s">
        <v>1051</v>
      </c>
      <c r="F1136" s="24" t="s">
        <v>647</v>
      </c>
      <c r="G1136" s="25" t="n">
        <v>0.56</v>
      </c>
      <c r="H1136" s="26" t="n">
        <v>30</v>
      </c>
      <c r="I1136" s="27" t="n">
        <v>30</v>
      </c>
      <c r="J1136" s="28" t="n">
        <v>2</v>
      </c>
      <c r="K1136" s="28" t="n">
        <v>1</v>
      </c>
      <c r="L1136" s="24" t="s">
        <v>631</v>
      </c>
      <c r="M1136" s="29" t="n">
        <f aca="false">IF("oui" = "oui",45.75*(1-disc),45.75)</f>
        <v>45.75</v>
      </c>
      <c r="N1136" s="29" t="n">
        <f aca="false">IF("oui" = "oui",45.75*(1-disc)*1.2,45.75*1.2)</f>
        <v>54.9</v>
      </c>
      <c r="O1136" s="24" t="s">
        <v>25</v>
      </c>
      <c r="P1136" s="7" t="s">
        <v>26</v>
      </c>
      <c r="Q1136" s="16"/>
    </row>
    <row r="1137" customFormat="false" ht="12.8" hidden="false" customHeight="false" outlineLevel="0" collapsed="false">
      <c r="A1137" s="22"/>
      <c r="B1137" s="23" t="n">
        <v>500195000</v>
      </c>
      <c r="C1137" s="24" t="n">
        <v>25</v>
      </c>
      <c r="D1137" s="54" t="s">
        <v>1057</v>
      </c>
      <c r="E1137" s="19" t="s">
        <v>1051</v>
      </c>
      <c r="F1137" s="24" t="s">
        <v>647</v>
      </c>
      <c r="G1137" s="25" t="n">
        <v>0.56</v>
      </c>
      <c r="H1137" s="26" t="n">
        <v>30</v>
      </c>
      <c r="I1137" s="27" t="n">
        <v>30</v>
      </c>
      <c r="J1137" s="28" t="n">
        <v>2</v>
      </c>
      <c r="K1137" s="28" t="n">
        <v>1</v>
      </c>
      <c r="L1137" s="24" t="s">
        <v>631</v>
      </c>
      <c r="M1137" s="29" t="n">
        <f aca="false">IF("oui" = "oui",45.75*(1-disc),45.75)</f>
        <v>45.75</v>
      </c>
      <c r="N1137" s="29" t="n">
        <f aca="false">IF("oui" = "oui",45.75*(1-disc)*1.2,45.75*1.2)</f>
        <v>54.9</v>
      </c>
      <c r="O1137" s="24" t="s">
        <v>25</v>
      </c>
      <c r="P1137" s="55" t="s">
        <v>141</v>
      </c>
      <c r="Q1137" s="16"/>
    </row>
    <row r="1138" customFormat="false" ht="12.8" hidden="false" customHeight="false" outlineLevel="0" collapsed="false">
      <c r="A1138" s="22"/>
      <c r="B1138" s="23" t="n">
        <v>500202000</v>
      </c>
      <c r="C1138" s="24" t="n">
        <v>25</v>
      </c>
      <c r="D1138" s="54" t="s">
        <v>1058</v>
      </c>
      <c r="E1138" s="19" t="s">
        <v>1051</v>
      </c>
      <c r="F1138" s="24" t="s">
        <v>647</v>
      </c>
      <c r="G1138" s="25" t="n">
        <v>0.56</v>
      </c>
      <c r="H1138" s="26" t="n">
        <v>30</v>
      </c>
      <c r="I1138" s="27" t="n">
        <v>30</v>
      </c>
      <c r="J1138" s="28" t="n">
        <v>2</v>
      </c>
      <c r="K1138" s="28" t="n">
        <v>1</v>
      </c>
      <c r="L1138" s="24" t="s">
        <v>631</v>
      </c>
      <c r="M1138" s="29" t="n">
        <f aca="false">IF("oui" = "oui",45.75*(1-disc),45.75)</f>
        <v>45.75</v>
      </c>
      <c r="N1138" s="29" t="n">
        <f aca="false">IF("oui" = "oui",45.75*(1-disc)*1.2,45.75*1.2)</f>
        <v>54.9</v>
      </c>
      <c r="O1138" s="24" t="s">
        <v>25</v>
      </c>
      <c r="P1138" s="55" t="s">
        <v>106</v>
      </c>
      <c r="Q1138" s="16"/>
    </row>
    <row r="1139" customFormat="false" ht="12.8" hidden="false" customHeight="false" outlineLevel="0" collapsed="false">
      <c r="A1139" s="22"/>
      <c r="B1139" s="23" t="n">
        <v>500200000</v>
      </c>
      <c r="C1139" s="24" t="n">
        <v>25</v>
      </c>
      <c r="D1139" s="54" t="s">
        <v>1059</v>
      </c>
      <c r="E1139" s="19" t="s">
        <v>1051</v>
      </c>
      <c r="F1139" s="24" t="s">
        <v>647</v>
      </c>
      <c r="G1139" s="25" t="n">
        <v>0.56</v>
      </c>
      <c r="H1139" s="26" t="n">
        <v>30</v>
      </c>
      <c r="I1139" s="27" t="n">
        <v>30</v>
      </c>
      <c r="J1139" s="28" t="n">
        <v>2</v>
      </c>
      <c r="K1139" s="28" t="n">
        <v>1</v>
      </c>
      <c r="L1139" s="24" t="s">
        <v>631</v>
      </c>
      <c r="M1139" s="29" t="n">
        <f aca="false">IF("oui" = "oui",45.75*(1-disc),45.75)</f>
        <v>45.75</v>
      </c>
      <c r="N1139" s="29" t="n">
        <f aca="false">IF("oui" = "oui",45.75*(1-disc)*1.2,45.75*1.2)</f>
        <v>54.9</v>
      </c>
      <c r="O1139" s="24" t="s">
        <v>25</v>
      </c>
      <c r="P1139" s="7" t="s">
        <v>26</v>
      </c>
      <c r="Q1139" s="16"/>
    </row>
    <row r="1140" customFormat="false" ht="12.8" hidden="false" customHeight="false" outlineLevel="0" collapsed="false">
      <c r="A1140" s="22"/>
      <c r="B1140" s="23"/>
      <c r="C1140" s="24"/>
      <c r="D1140" s="22"/>
      <c r="E1140" s="19"/>
      <c r="F1140" s="24"/>
      <c r="G1140" s="25"/>
      <c r="H1140" s="26"/>
      <c r="I1140" s="27"/>
      <c r="J1140" s="28"/>
      <c r="K1140" s="28"/>
      <c r="L1140" s="24"/>
      <c r="M1140" s="29"/>
      <c r="N1140" s="29"/>
      <c r="O1140" s="24"/>
      <c r="P1140" s="4"/>
      <c r="Q1140" s="16"/>
    </row>
    <row r="1141" customFormat="false" ht="12.8" hidden="false" customHeight="false" outlineLevel="0" collapsed="false">
      <c r="A1141" s="22"/>
      <c r="B1141" s="23" t="n">
        <v>500257000</v>
      </c>
      <c r="C1141" s="24" t="n">
        <v>30</v>
      </c>
      <c r="D1141" s="54" t="s">
        <v>1060</v>
      </c>
      <c r="E1141" s="19" t="s">
        <v>1061</v>
      </c>
      <c r="F1141" s="24" t="s">
        <v>647</v>
      </c>
      <c r="G1141" s="25" t="n">
        <v>0.84</v>
      </c>
      <c r="H1141" s="26" t="n">
        <v>30</v>
      </c>
      <c r="I1141" s="27" t="n">
        <v>30</v>
      </c>
      <c r="J1141" s="28" t="n">
        <v>2</v>
      </c>
      <c r="K1141" s="28" t="n">
        <v>1</v>
      </c>
      <c r="L1141" s="24" t="s">
        <v>631</v>
      </c>
      <c r="M1141" s="29" t="n">
        <f aca="false">IF("oui" = "oui",45.75*(1-disc),45.75)</f>
        <v>45.75</v>
      </c>
      <c r="N1141" s="29" t="n">
        <f aca="false">IF("oui" = "oui",45.75*(1-disc)*1.2,45.75*1.2)</f>
        <v>54.9</v>
      </c>
      <c r="O1141" s="24" t="s">
        <v>25</v>
      </c>
      <c r="P1141" s="7" t="s">
        <v>26</v>
      </c>
      <c r="Q1141" s="16"/>
    </row>
    <row r="1142" customFormat="false" ht="12.8" hidden="false" customHeight="false" outlineLevel="0" collapsed="false">
      <c r="A1142" s="22"/>
      <c r="B1142" s="23"/>
      <c r="C1142" s="24"/>
      <c r="D1142" s="22"/>
      <c r="E1142" s="19"/>
      <c r="F1142" s="24"/>
      <c r="G1142" s="25"/>
      <c r="H1142" s="26"/>
      <c r="I1142" s="27"/>
      <c r="J1142" s="28"/>
      <c r="K1142" s="28"/>
      <c r="L1142" s="24"/>
      <c r="M1142" s="29"/>
      <c r="N1142" s="29"/>
      <c r="O1142" s="24"/>
      <c r="P1142" s="4"/>
      <c r="Q1142" s="16"/>
    </row>
    <row r="1143" customFormat="false" ht="12.8" hidden="false" customHeight="false" outlineLevel="0" collapsed="false">
      <c r="A1143" s="22"/>
      <c r="B1143" s="23" t="n">
        <v>500258000</v>
      </c>
      <c r="C1143" s="24" t="n">
        <v>30</v>
      </c>
      <c r="D1143" s="54" t="s">
        <v>1062</v>
      </c>
      <c r="E1143" s="19" t="s">
        <v>1061</v>
      </c>
      <c r="F1143" s="24" t="s">
        <v>647</v>
      </c>
      <c r="G1143" s="25" t="n">
        <v>0.812</v>
      </c>
      <c r="H1143" s="26" t="n">
        <v>30</v>
      </c>
      <c r="I1143" s="27" t="n">
        <v>30</v>
      </c>
      <c r="J1143" s="28" t="n">
        <v>2</v>
      </c>
      <c r="K1143" s="28" t="n">
        <v>1</v>
      </c>
      <c r="L1143" s="24" t="s">
        <v>631</v>
      </c>
      <c r="M1143" s="29" t="n">
        <f aca="false">IF("oui" = "oui",45.75*(1-disc),45.75)</f>
        <v>45.75</v>
      </c>
      <c r="N1143" s="29" t="n">
        <f aca="false">IF("oui" = "oui",45.75*(1-disc)*1.2,45.75*1.2)</f>
        <v>54.9</v>
      </c>
      <c r="O1143" s="24" t="s">
        <v>25</v>
      </c>
      <c r="P1143" s="7" t="s">
        <v>26</v>
      </c>
      <c r="Q1143" s="16"/>
    </row>
    <row r="1144" customFormat="false" ht="12.8" hidden="false" customHeight="false" outlineLevel="0" collapsed="false">
      <c r="A1144" s="22"/>
      <c r="B1144" s="23"/>
      <c r="C1144" s="24"/>
      <c r="D1144" s="22"/>
      <c r="E1144" s="19"/>
      <c r="F1144" s="24"/>
      <c r="G1144" s="25"/>
      <c r="H1144" s="26"/>
      <c r="I1144" s="27"/>
      <c r="J1144" s="28"/>
      <c r="K1144" s="28"/>
      <c r="L1144" s="24"/>
      <c r="M1144" s="29"/>
      <c r="N1144" s="29"/>
      <c r="O1144" s="24"/>
      <c r="P1144" s="4"/>
      <c r="Q1144" s="16"/>
    </row>
    <row r="1145" customFormat="false" ht="12.8" hidden="false" customHeight="false" outlineLevel="0" collapsed="false">
      <c r="A1145" s="22"/>
      <c r="B1145" s="23" t="n">
        <v>500259000</v>
      </c>
      <c r="C1145" s="24" t="n">
        <v>30</v>
      </c>
      <c r="D1145" s="54" t="s">
        <v>1063</v>
      </c>
      <c r="E1145" s="19" t="s">
        <v>1061</v>
      </c>
      <c r="F1145" s="24" t="s">
        <v>647</v>
      </c>
      <c r="G1145" s="25" t="n">
        <v>0.4</v>
      </c>
      <c r="H1145" s="26" t="n">
        <v>30</v>
      </c>
      <c r="I1145" s="27" t="n">
        <v>30</v>
      </c>
      <c r="J1145" s="28" t="n">
        <v>2</v>
      </c>
      <c r="K1145" s="28" t="n">
        <v>1</v>
      </c>
      <c r="L1145" s="24" t="s">
        <v>631</v>
      </c>
      <c r="M1145" s="29" t="n">
        <f aca="false">IF("oui" = "oui",45.75*(1-disc),45.75)</f>
        <v>45.75</v>
      </c>
      <c r="N1145" s="29" t="n">
        <f aca="false">IF("oui" = "oui",45.75*(1-disc)*1.2,45.75*1.2)</f>
        <v>54.9</v>
      </c>
      <c r="O1145" s="24" t="s">
        <v>25</v>
      </c>
      <c r="P1145" s="7" t="s">
        <v>26</v>
      </c>
      <c r="Q1145" s="16"/>
    </row>
    <row r="1146" customFormat="false" ht="12.8" hidden="false" customHeight="false" outlineLevel="0" collapsed="false">
      <c r="A1146" s="22"/>
      <c r="B1146" s="23"/>
      <c r="C1146" s="24"/>
      <c r="D1146" s="22"/>
      <c r="E1146" s="19"/>
      <c r="F1146" s="24"/>
      <c r="G1146" s="25"/>
      <c r="H1146" s="26"/>
      <c r="I1146" s="27"/>
      <c r="J1146" s="28"/>
      <c r="K1146" s="28"/>
      <c r="L1146" s="24"/>
      <c r="M1146" s="29"/>
      <c r="N1146" s="29"/>
      <c r="O1146" s="24"/>
      <c r="P1146" s="4"/>
      <c r="Q1146" s="16"/>
    </row>
    <row r="1147" customFormat="false" ht="12.8" hidden="false" customHeight="false" outlineLevel="0" collapsed="false">
      <c r="A1147" s="22"/>
      <c r="B1147" s="23" t="n">
        <v>500260000</v>
      </c>
      <c r="C1147" s="24" t="n">
        <v>30</v>
      </c>
      <c r="D1147" s="54" t="s">
        <v>1064</v>
      </c>
      <c r="E1147" s="19" t="s">
        <v>1061</v>
      </c>
      <c r="F1147" s="24" t="s">
        <v>647</v>
      </c>
      <c r="G1147" s="25" t="n">
        <v>0.632</v>
      </c>
      <c r="H1147" s="26" t="n">
        <v>30</v>
      </c>
      <c r="I1147" s="27" t="n">
        <v>30</v>
      </c>
      <c r="J1147" s="28" t="n">
        <v>2</v>
      </c>
      <c r="K1147" s="28" t="n">
        <v>1</v>
      </c>
      <c r="L1147" s="24" t="s">
        <v>631</v>
      </c>
      <c r="M1147" s="29" t="n">
        <f aca="false">IF("oui" = "oui",45.75*(1-disc),45.75)</f>
        <v>45.75</v>
      </c>
      <c r="N1147" s="29" t="n">
        <f aca="false">IF("oui" = "oui",45.75*(1-disc)*1.2,45.75*1.2)</f>
        <v>54.9</v>
      </c>
      <c r="O1147" s="24" t="s">
        <v>25</v>
      </c>
      <c r="P1147" s="7" t="s">
        <v>26</v>
      </c>
      <c r="Q1147" s="16"/>
    </row>
    <row r="1148" customFormat="false" ht="12.8" hidden="false" customHeight="false" outlineLevel="0" collapsed="false">
      <c r="A1148" s="22"/>
      <c r="B1148" s="23"/>
      <c r="C1148" s="24"/>
      <c r="D1148" s="22"/>
      <c r="E1148" s="19"/>
      <c r="F1148" s="24"/>
      <c r="G1148" s="25"/>
      <c r="H1148" s="26"/>
      <c r="I1148" s="27"/>
      <c r="J1148" s="28"/>
      <c r="K1148" s="28"/>
      <c r="L1148" s="24"/>
      <c r="M1148" s="29"/>
      <c r="N1148" s="29"/>
      <c r="O1148" s="24"/>
      <c r="P1148" s="4"/>
      <c r="Q1148" s="16"/>
    </row>
    <row r="1149" customFormat="false" ht="12.8" hidden="false" customHeight="false" outlineLevel="0" collapsed="false">
      <c r="A1149" s="22"/>
      <c r="B1149" s="23" t="n">
        <v>500261000</v>
      </c>
      <c r="C1149" s="24" t="n">
        <v>30</v>
      </c>
      <c r="D1149" s="54" t="s">
        <v>1065</v>
      </c>
      <c r="E1149" s="19" t="s">
        <v>1061</v>
      </c>
      <c r="F1149" s="24" t="s">
        <v>647</v>
      </c>
      <c r="G1149" s="25" t="n">
        <v>0.46</v>
      </c>
      <c r="H1149" s="26" t="n">
        <v>30</v>
      </c>
      <c r="I1149" s="27" t="n">
        <v>30</v>
      </c>
      <c r="J1149" s="28" t="n">
        <v>2</v>
      </c>
      <c r="K1149" s="28" t="n">
        <v>1</v>
      </c>
      <c r="L1149" s="24" t="s">
        <v>631</v>
      </c>
      <c r="M1149" s="29" t="n">
        <f aca="false">IF("oui" = "oui",45.75*(1-disc),45.75)</f>
        <v>45.75</v>
      </c>
      <c r="N1149" s="29" t="n">
        <f aca="false">IF("oui" = "oui",45.75*(1-disc)*1.2,45.75*1.2)</f>
        <v>54.9</v>
      </c>
      <c r="O1149" s="24" t="s">
        <v>25</v>
      </c>
      <c r="P1149" s="7" t="s">
        <v>26</v>
      </c>
      <c r="Q1149" s="16"/>
    </row>
    <row r="1150" customFormat="false" ht="12.8" hidden="false" customHeight="false" outlineLevel="0" collapsed="false">
      <c r="A1150" s="22"/>
      <c r="B1150" s="23" t="n">
        <v>500262000</v>
      </c>
      <c r="C1150" s="24" t="n">
        <v>30</v>
      </c>
      <c r="D1150" s="54" t="s">
        <v>1066</v>
      </c>
      <c r="E1150" s="19" t="s">
        <v>1061</v>
      </c>
      <c r="F1150" s="24" t="s">
        <v>647</v>
      </c>
      <c r="G1150" s="25" t="n">
        <v>0.468</v>
      </c>
      <c r="H1150" s="26" t="n">
        <v>30</v>
      </c>
      <c r="I1150" s="27" t="n">
        <v>30</v>
      </c>
      <c r="J1150" s="28" t="n">
        <v>2</v>
      </c>
      <c r="K1150" s="28" t="n">
        <v>1</v>
      </c>
      <c r="L1150" s="24" t="s">
        <v>631</v>
      </c>
      <c r="M1150" s="29" t="n">
        <f aca="false">IF("oui" = "oui",45.75*(1-disc),45.75)</f>
        <v>45.75</v>
      </c>
      <c r="N1150" s="29" t="n">
        <f aca="false">IF("oui" = "oui",45.75*(1-disc)*1.2,45.75*1.2)</f>
        <v>54.9</v>
      </c>
      <c r="O1150" s="24" t="s">
        <v>25</v>
      </c>
      <c r="P1150" s="7" t="s">
        <v>26</v>
      </c>
      <c r="Q1150" s="16"/>
    </row>
    <row r="1151" customFormat="false" ht="12.8" hidden="false" customHeight="false" outlineLevel="0" collapsed="false">
      <c r="A1151" s="22"/>
      <c r="B1151" s="23" t="n">
        <v>500263000</v>
      </c>
      <c r="C1151" s="24" t="n">
        <v>30</v>
      </c>
      <c r="D1151" s="54" t="s">
        <v>1067</v>
      </c>
      <c r="E1151" s="19" t="s">
        <v>1061</v>
      </c>
      <c r="F1151" s="24" t="s">
        <v>647</v>
      </c>
      <c r="G1151" s="25" t="n">
        <v>0.44</v>
      </c>
      <c r="H1151" s="26" t="n">
        <v>30</v>
      </c>
      <c r="I1151" s="27" t="n">
        <v>30</v>
      </c>
      <c r="J1151" s="28" t="n">
        <v>2</v>
      </c>
      <c r="K1151" s="28" t="n">
        <v>1</v>
      </c>
      <c r="L1151" s="24" t="s">
        <v>631</v>
      </c>
      <c r="M1151" s="29" t="n">
        <f aca="false">IF("oui" = "oui",45.75*(1-disc),45.75)</f>
        <v>45.75</v>
      </c>
      <c r="N1151" s="29" t="n">
        <f aca="false">IF("oui" = "oui",45.75*(1-disc)*1.2,45.75*1.2)</f>
        <v>54.9</v>
      </c>
      <c r="O1151" s="24" t="s">
        <v>25</v>
      </c>
      <c r="P1151" s="7" t="s">
        <v>26</v>
      </c>
      <c r="Q1151" s="16"/>
    </row>
    <row r="1152" customFormat="false" ht="12.8" hidden="false" customHeight="false" outlineLevel="0" collapsed="false">
      <c r="A1152" s="22"/>
      <c r="B1152" s="23"/>
      <c r="C1152" s="24"/>
      <c r="D1152" s="22"/>
      <c r="E1152" s="19"/>
      <c r="F1152" s="24"/>
      <c r="G1152" s="25"/>
      <c r="H1152" s="26"/>
      <c r="I1152" s="27"/>
      <c r="J1152" s="28"/>
      <c r="K1152" s="28"/>
      <c r="L1152" s="24"/>
      <c r="M1152" s="29"/>
      <c r="N1152" s="29"/>
      <c r="O1152" s="24"/>
      <c r="P1152" s="4"/>
      <c r="Q1152" s="16"/>
    </row>
    <row r="1153" customFormat="false" ht="12.8" hidden="false" customHeight="false" outlineLevel="0" collapsed="false">
      <c r="A1153" s="42" t="s">
        <v>1068</v>
      </c>
      <c r="B1153" s="43"/>
      <c r="C1153" s="44"/>
      <c r="D1153" s="45"/>
      <c r="E1153" s="46"/>
      <c r="F1153" s="44"/>
      <c r="G1153" s="47"/>
      <c r="H1153" s="48"/>
      <c r="I1153" s="49"/>
      <c r="J1153" s="50"/>
      <c r="K1153" s="50"/>
      <c r="L1153" s="44"/>
      <c r="M1153" s="51"/>
      <c r="N1153" s="51"/>
      <c r="O1153" s="44"/>
      <c r="P1153" s="52"/>
      <c r="Q1153" s="53"/>
    </row>
    <row r="1154" customFormat="false" ht="12.8" hidden="false" customHeight="false" outlineLevel="0" collapsed="false">
      <c r="A1154" s="60"/>
      <c r="B1154" s="23"/>
      <c r="C1154" s="24"/>
      <c r="D1154" s="22"/>
      <c r="E1154" s="19"/>
      <c r="F1154" s="24"/>
      <c r="G1154" s="25"/>
      <c r="H1154" s="26"/>
      <c r="I1154" s="27"/>
      <c r="J1154" s="28"/>
      <c r="K1154" s="28"/>
      <c r="L1154" s="24"/>
      <c r="M1154" s="29"/>
      <c r="N1154" s="29"/>
      <c r="O1154" s="24"/>
      <c r="P1154" s="4"/>
      <c r="Q1154" s="16"/>
    </row>
    <row r="1155" customFormat="false" ht="12.8" hidden="false" customHeight="false" outlineLevel="0" collapsed="false">
      <c r="A1155" s="22"/>
      <c r="B1155" s="23" t="n">
        <v>500267000</v>
      </c>
      <c r="C1155" s="24" t="n">
        <v>30</v>
      </c>
      <c r="D1155" s="54" t="s">
        <v>1069</v>
      </c>
      <c r="E1155" s="19" t="s">
        <v>1070</v>
      </c>
      <c r="F1155" s="24" t="s">
        <v>647</v>
      </c>
      <c r="G1155" s="25" t="n">
        <v>0.92</v>
      </c>
      <c r="H1155" s="26" t="n">
        <v>30</v>
      </c>
      <c r="I1155" s="27" t="n">
        <v>30</v>
      </c>
      <c r="J1155" s="28" t="n">
        <v>2</v>
      </c>
      <c r="K1155" s="28" t="n">
        <v>1</v>
      </c>
      <c r="L1155" s="24" t="s">
        <v>631</v>
      </c>
      <c r="M1155" s="29" t="n">
        <f aca="false">IF("oui" = "oui",45.75*(1-disc),45.75)</f>
        <v>45.75</v>
      </c>
      <c r="N1155" s="29" t="n">
        <f aca="false">IF("oui" = "oui",45.75*(1-disc)*1.2,45.75*1.2)</f>
        <v>54.9</v>
      </c>
      <c r="O1155" s="24" t="s">
        <v>25</v>
      </c>
      <c r="P1155" s="7" t="s">
        <v>26</v>
      </c>
      <c r="Q1155" s="16"/>
    </row>
    <row r="1156" customFormat="false" ht="12.8" hidden="false" customHeight="false" outlineLevel="0" collapsed="false">
      <c r="A1156" s="22"/>
      <c r="B1156" s="23" t="n">
        <v>500268000</v>
      </c>
      <c r="C1156" s="24" t="n">
        <v>30</v>
      </c>
      <c r="D1156" s="54" t="s">
        <v>1071</v>
      </c>
      <c r="E1156" s="19" t="s">
        <v>1070</v>
      </c>
      <c r="F1156" s="24" t="s">
        <v>647</v>
      </c>
      <c r="G1156" s="25" t="n">
        <v>0.999</v>
      </c>
      <c r="H1156" s="26" t="n">
        <v>30</v>
      </c>
      <c r="I1156" s="27" t="n">
        <v>30</v>
      </c>
      <c r="J1156" s="28" t="n">
        <v>2</v>
      </c>
      <c r="K1156" s="28" t="n">
        <v>1</v>
      </c>
      <c r="L1156" s="24" t="s">
        <v>631</v>
      </c>
      <c r="M1156" s="29" t="n">
        <f aca="false">IF("oui" = "oui",45.75*(1-disc),45.75)</f>
        <v>45.75</v>
      </c>
      <c r="N1156" s="29" t="n">
        <f aca="false">IF("oui" = "oui",45.75*(1-disc)*1.2,45.75*1.2)</f>
        <v>54.9</v>
      </c>
      <c r="O1156" s="24" t="s">
        <v>25</v>
      </c>
      <c r="P1156" s="7" t="s">
        <v>26</v>
      </c>
      <c r="Q1156" s="16"/>
    </row>
    <row r="1157" customFormat="false" ht="12.8" hidden="false" customHeight="false" outlineLevel="0" collapsed="false">
      <c r="A1157" s="22"/>
      <c r="B1157" s="23"/>
      <c r="C1157" s="24"/>
      <c r="D1157" s="22"/>
      <c r="E1157" s="19"/>
      <c r="F1157" s="24"/>
      <c r="G1157" s="25"/>
      <c r="H1157" s="26"/>
      <c r="I1157" s="27"/>
      <c r="J1157" s="28"/>
      <c r="K1157" s="28"/>
      <c r="L1157" s="24"/>
      <c r="M1157" s="29"/>
      <c r="N1157" s="29"/>
      <c r="O1157" s="24"/>
      <c r="P1157" s="4"/>
      <c r="Q1157" s="16"/>
    </row>
    <row r="1158" customFormat="false" ht="12.8" hidden="false" customHeight="false" outlineLevel="0" collapsed="false">
      <c r="A1158" s="42" t="s">
        <v>1072</v>
      </c>
      <c r="B1158" s="43"/>
      <c r="C1158" s="44"/>
      <c r="D1158" s="45"/>
      <c r="E1158" s="46"/>
      <c r="F1158" s="44"/>
      <c r="G1158" s="47"/>
      <c r="H1158" s="48"/>
      <c r="I1158" s="49"/>
      <c r="J1158" s="50"/>
      <c r="K1158" s="50"/>
      <c r="L1158" s="44"/>
      <c r="M1158" s="51"/>
      <c r="N1158" s="51"/>
      <c r="O1158" s="44"/>
      <c r="P1158" s="52"/>
      <c r="Q1158" s="53"/>
    </row>
    <row r="1159" customFormat="false" ht="12.8" hidden="false" customHeight="false" outlineLevel="0" collapsed="false">
      <c r="A1159" s="22"/>
      <c r="B1159" s="23"/>
      <c r="C1159" s="24"/>
      <c r="D1159" s="22"/>
      <c r="E1159" s="19"/>
      <c r="F1159" s="24"/>
      <c r="G1159" s="25"/>
      <c r="H1159" s="26"/>
      <c r="I1159" s="27"/>
      <c r="J1159" s="28"/>
      <c r="K1159" s="28"/>
      <c r="L1159" s="24"/>
      <c r="M1159" s="29"/>
      <c r="N1159" s="29"/>
      <c r="O1159" s="24"/>
      <c r="P1159" s="4"/>
      <c r="Q1159" s="16"/>
    </row>
    <row r="1160" customFormat="false" ht="12.8" hidden="false" customHeight="false" outlineLevel="0" collapsed="false">
      <c r="A1160" s="22"/>
      <c r="B1160" s="23" t="n">
        <v>500264000</v>
      </c>
      <c r="C1160" s="24" t="n">
        <v>30</v>
      </c>
      <c r="D1160" s="54" t="s">
        <v>1073</v>
      </c>
      <c r="E1160" s="19" t="s">
        <v>1061</v>
      </c>
      <c r="F1160" s="24" t="s">
        <v>647</v>
      </c>
      <c r="G1160" s="25" t="n">
        <v>0.62</v>
      </c>
      <c r="H1160" s="26" t="n">
        <v>30</v>
      </c>
      <c r="I1160" s="27" t="n">
        <v>30</v>
      </c>
      <c r="J1160" s="28" t="n">
        <v>2</v>
      </c>
      <c r="K1160" s="28" t="n">
        <v>1</v>
      </c>
      <c r="L1160" s="24" t="s">
        <v>631</v>
      </c>
      <c r="M1160" s="29" t="n">
        <f aca="false">IF("oui" = "oui",45.75*(1-disc),45.75)</f>
        <v>45.75</v>
      </c>
      <c r="N1160" s="29" t="n">
        <f aca="false">IF("oui" = "oui",45.75*(1-disc)*1.2,45.75*1.2)</f>
        <v>54.9</v>
      </c>
      <c r="O1160" s="24" t="s">
        <v>25</v>
      </c>
      <c r="P1160" s="7" t="s">
        <v>26</v>
      </c>
      <c r="Q1160" s="16"/>
    </row>
    <row r="1161" customFormat="false" ht="12.8" hidden="false" customHeight="false" outlineLevel="0" collapsed="false">
      <c r="A1161" s="22"/>
      <c r="B1161" s="23" t="n">
        <v>500265000</v>
      </c>
      <c r="C1161" s="24" t="n">
        <v>30</v>
      </c>
      <c r="D1161" s="54" t="s">
        <v>1074</v>
      </c>
      <c r="E1161" s="19" t="s">
        <v>1061</v>
      </c>
      <c r="F1161" s="24" t="s">
        <v>647</v>
      </c>
      <c r="G1161" s="25" t="n">
        <v>0.62</v>
      </c>
      <c r="H1161" s="26" t="n">
        <v>30</v>
      </c>
      <c r="I1161" s="27" t="n">
        <v>30</v>
      </c>
      <c r="J1161" s="28" t="n">
        <v>2</v>
      </c>
      <c r="K1161" s="28" t="n">
        <v>1</v>
      </c>
      <c r="L1161" s="24" t="s">
        <v>631</v>
      </c>
      <c r="M1161" s="29" t="n">
        <f aca="false">IF("oui" = "oui",45.75*(1-disc),45.75)</f>
        <v>45.75</v>
      </c>
      <c r="N1161" s="29" t="n">
        <f aca="false">IF("oui" = "oui",45.75*(1-disc)*1.2,45.75*1.2)</f>
        <v>54.9</v>
      </c>
      <c r="O1161" s="24" t="s">
        <v>25</v>
      </c>
      <c r="P1161" s="7" t="s">
        <v>26</v>
      </c>
      <c r="Q1161" s="16"/>
    </row>
    <row r="1162" customFormat="false" ht="12.8" hidden="false" customHeight="false" outlineLevel="0" collapsed="false">
      <c r="A1162" s="22"/>
      <c r="B1162" s="23"/>
      <c r="C1162" s="24"/>
      <c r="D1162" s="22"/>
      <c r="E1162" s="19"/>
      <c r="F1162" s="24"/>
      <c r="G1162" s="25"/>
      <c r="H1162" s="26"/>
      <c r="I1162" s="27"/>
      <c r="J1162" s="28"/>
      <c r="K1162" s="28"/>
      <c r="L1162" s="24"/>
      <c r="M1162" s="29"/>
      <c r="N1162" s="29"/>
      <c r="O1162" s="24"/>
      <c r="P1162" s="4"/>
      <c r="Q1162" s="16"/>
    </row>
    <row r="1163" customFormat="false" ht="12.8" hidden="false" customHeight="false" outlineLevel="0" collapsed="false">
      <c r="A1163" s="22"/>
      <c r="B1163" s="23" t="n">
        <v>500269000</v>
      </c>
      <c r="C1163" s="24" t="n">
        <v>30</v>
      </c>
      <c r="D1163" s="54" t="s">
        <v>1075</v>
      </c>
      <c r="E1163" s="19" t="s">
        <v>1076</v>
      </c>
      <c r="F1163" s="24" t="s">
        <v>647</v>
      </c>
      <c r="G1163" s="25" t="n">
        <v>0.857</v>
      </c>
      <c r="H1163" s="26" t="n">
        <v>30</v>
      </c>
      <c r="I1163" s="27" t="n">
        <v>30</v>
      </c>
      <c r="J1163" s="28" t="n">
        <v>2</v>
      </c>
      <c r="K1163" s="28" t="n">
        <v>1</v>
      </c>
      <c r="L1163" s="24" t="s">
        <v>631</v>
      </c>
      <c r="M1163" s="29" t="n">
        <f aca="false">IF("oui" = "oui",45.75*(1-disc),45.75)</f>
        <v>45.75</v>
      </c>
      <c r="N1163" s="29" t="n">
        <f aca="false">IF("oui" = "oui",45.75*(1-disc)*1.2,45.75*1.2)</f>
        <v>54.9</v>
      </c>
      <c r="O1163" s="24" t="s">
        <v>25</v>
      </c>
      <c r="P1163" s="7" t="s">
        <v>26</v>
      </c>
      <c r="Q1163" s="16"/>
    </row>
    <row r="1164" customFormat="false" ht="12.8" hidden="false" customHeight="false" outlineLevel="0" collapsed="false">
      <c r="A1164" s="22"/>
      <c r="B1164" s="23" t="n">
        <v>500343000</v>
      </c>
      <c r="C1164" s="24" t="n">
        <v>30</v>
      </c>
      <c r="D1164" s="54" t="s">
        <v>1077</v>
      </c>
      <c r="E1164" s="19" t="s">
        <v>1078</v>
      </c>
      <c r="F1164" s="24" t="s">
        <v>647</v>
      </c>
      <c r="G1164" s="25" t="n">
        <v>0.86</v>
      </c>
      <c r="H1164" s="26" t="n">
        <v>30</v>
      </c>
      <c r="I1164" s="27" t="n">
        <v>30</v>
      </c>
      <c r="J1164" s="28" t="n">
        <v>2</v>
      </c>
      <c r="K1164" s="28" t="n">
        <v>1</v>
      </c>
      <c r="L1164" s="24" t="s">
        <v>631</v>
      </c>
      <c r="M1164" s="29" t="n">
        <f aca="false">IF("oui" = "oui",45.75*(1-disc),45.75)</f>
        <v>45.75</v>
      </c>
      <c r="N1164" s="29" t="n">
        <f aca="false">IF("oui" = "oui",45.75*(1-disc)*1.2,45.75*1.2)</f>
        <v>54.9</v>
      </c>
      <c r="O1164" s="24" t="s">
        <v>25</v>
      </c>
      <c r="P1164" s="7" t="s">
        <v>26</v>
      </c>
      <c r="Q1164" s="16"/>
    </row>
    <row r="1165" customFormat="false" ht="12.8" hidden="false" customHeight="false" outlineLevel="0" collapsed="false">
      <c r="A1165" s="22"/>
      <c r="B1165" s="23"/>
      <c r="C1165" s="24"/>
      <c r="D1165" s="22"/>
      <c r="E1165" s="19"/>
      <c r="F1165" s="24"/>
      <c r="G1165" s="25"/>
      <c r="H1165" s="26"/>
      <c r="I1165" s="27"/>
      <c r="J1165" s="28"/>
      <c r="K1165" s="28"/>
      <c r="L1165" s="24"/>
      <c r="M1165" s="29"/>
      <c r="N1165" s="29"/>
      <c r="O1165" s="24"/>
      <c r="P1165" s="4"/>
      <c r="Q1165" s="16"/>
    </row>
    <row r="1166" customFormat="false" ht="12.8" hidden="false" customHeight="false" outlineLevel="0" collapsed="false">
      <c r="A1166" s="42" t="s">
        <v>1079</v>
      </c>
      <c r="B1166" s="43"/>
      <c r="C1166" s="44"/>
      <c r="D1166" s="45"/>
      <c r="E1166" s="46"/>
      <c r="F1166" s="44"/>
      <c r="G1166" s="47"/>
      <c r="H1166" s="48"/>
      <c r="I1166" s="49"/>
      <c r="J1166" s="50"/>
      <c r="K1166" s="50"/>
      <c r="L1166" s="44"/>
      <c r="M1166" s="51"/>
      <c r="N1166" s="51"/>
      <c r="O1166" s="44"/>
      <c r="P1166" s="52"/>
      <c r="Q1166" s="53"/>
    </row>
    <row r="1167" customFormat="false" ht="12.8" hidden="false" customHeight="false" outlineLevel="0" collapsed="false">
      <c r="A1167" s="22"/>
      <c r="B1167" s="23"/>
      <c r="C1167" s="24"/>
      <c r="D1167" s="22"/>
      <c r="E1167" s="19"/>
      <c r="F1167" s="24"/>
      <c r="G1167" s="25"/>
      <c r="H1167" s="26"/>
      <c r="I1167" s="27"/>
      <c r="J1167" s="28"/>
      <c r="K1167" s="28"/>
      <c r="L1167" s="24"/>
      <c r="M1167" s="29"/>
      <c r="N1167" s="29"/>
      <c r="O1167" s="24"/>
      <c r="P1167" s="4"/>
      <c r="Q1167" s="16"/>
    </row>
    <row r="1168" customFormat="false" ht="12.8" hidden="false" customHeight="false" outlineLevel="0" collapsed="false">
      <c r="A1168" s="22"/>
      <c r="B1168" s="23" t="n">
        <v>500088000</v>
      </c>
      <c r="C1168" s="24" t="n">
        <v>20</v>
      </c>
      <c r="D1168" s="54" t="s">
        <v>1080</v>
      </c>
      <c r="E1168" s="19" t="s">
        <v>1081</v>
      </c>
      <c r="F1168" s="24" t="s">
        <v>630</v>
      </c>
      <c r="G1168" s="25" t="n">
        <v>0.391</v>
      </c>
      <c r="H1168" s="26" t="n">
        <v>27</v>
      </c>
      <c r="I1168" s="27" t="n">
        <v>30</v>
      </c>
      <c r="J1168" s="28" t="n">
        <v>3</v>
      </c>
      <c r="K1168" s="28" t="n">
        <v>1</v>
      </c>
      <c r="L1168" s="24" t="s">
        <v>631</v>
      </c>
      <c r="M1168" s="29" t="n">
        <f aca="false">IF("oui" = "oui",43.46*(1-disc),43.46)</f>
        <v>43.46</v>
      </c>
      <c r="N1168" s="29" t="n">
        <f aca="false">IF("oui" = "oui",43.46*(1-disc)*1.2,43.46*1.2)</f>
        <v>52.152</v>
      </c>
      <c r="O1168" s="24" t="s">
        <v>25</v>
      </c>
      <c r="P1168" s="7" t="s">
        <v>26</v>
      </c>
      <c r="Q1168" s="16"/>
    </row>
    <row r="1169" customFormat="false" ht="12.8" hidden="false" customHeight="false" outlineLevel="0" collapsed="false">
      <c r="A1169" s="22"/>
      <c r="B1169" s="23" t="n">
        <v>500089000</v>
      </c>
      <c r="C1169" s="24" t="n">
        <v>20</v>
      </c>
      <c r="D1169" s="54" t="s">
        <v>1082</v>
      </c>
      <c r="E1169" s="19" t="s">
        <v>1081</v>
      </c>
      <c r="F1169" s="24" t="s">
        <v>630</v>
      </c>
      <c r="G1169" s="25" t="n">
        <v>0.391</v>
      </c>
      <c r="H1169" s="26" t="n">
        <v>27</v>
      </c>
      <c r="I1169" s="27" t="n">
        <v>30</v>
      </c>
      <c r="J1169" s="28" t="n">
        <v>3</v>
      </c>
      <c r="K1169" s="28" t="n">
        <v>1</v>
      </c>
      <c r="L1169" s="24" t="s">
        <v>631</v>
      </c>
      <c r="M1169" s="29" t="n">
        <f aca="false">IF("oui" = "oui",43.46*(1-disc),43.46)</f>
        <v>43.46</v>
      </c>
      <c r="N1169" s="29" t="n">
        <f aca="false">IF("oui" = "oui",43.46*(1-disc)*1.2,43.46*1.2)</f>
        <v>52.152</v>
      </c>
      <c r="O1169" s="24" t="s">
        <v>25</v>
      </c>
      <c r="P1169" s="7" t="s">
        <v>26</v>
      </c>
      <c r="Q1169" s="16"/>
    </row>
    <row r="1170" customFormat="false" ht="12.8" hidden="false" customHeight="false" outlineLevel="0" collapsed="false">
      <c r="A1170" s="22"/>
      <c r="B1170" s="23" t="n">
        <v>500092000</v>
      </c>
      <c r="C1170" s="24" t="n">
        <v>20</v>
      </c>
      <c r="D1170" s="54" t="s">
        <v>1083</v>
      </c>
      <c r="E1170" s="19" t="s">
        <v>1081</v>
      </c>
      <c r="F1170" s="24" t="s">
        <v>630</v>
      </c>
      <c r="G1170" s="25" t="n">
        <v>0.391</v>
      </c>
      <c r="H1170" s="26" t="n">
        <v>27</v>
      </c>
      <c r="I1170" s="27" t="n">
        <v>30</v>
      </c>
      <c r="J1170" s="28" t="n">
        <v>3</v>
      </c>
      <c r="K1170" s="28" t="n">
        <v>1</v>
      </c>
      <c r="L1170" s="24" t="s">
        <v>631</v>
      </c>
      <c r="M1170" s="29" t="n">
        <f aca="false">IF("oui" = "oui",43.46*(1-disc),43.46)</f>
        <v>43.46</v>
      </c>
      <c r="N1170" s="29" t="n">
        <f aca="false">IF("oui" = "oui",43.46*(1-disc)*1.2,43.46*1.2)</f>
        <v>52.152</v>
      </c>
      <c r="O1170" s="24" t="s">
        <v>25</v>
      </c>
      <c r="P1170" s="7" t="s">
        <v>26</v>
      </c>
      <c r="Q1170" s="16"/>
    </row>
    <row r="1171" customFormat="false" ht="12.8" hidden="false" customHeight="false" outlineLevel="0" collapsed="false">
      <c r="A1171" s="22"/>
      <c r="B1171" s="23" t="n">
        <v>500093000</v>
      </c>
      <c r="C1171" s="24" t="n">
        <v>20</v>
      </c>
      <c r="D1171" s="54" t="s">
        <v>1084</v>
      </c>
      <c r="E1171" s="19" t="s">
        <v>1081</v>
      </c>
      <c r="F1171" s="24" t="s">
        <v>630</v>
      </c>
      <c r="G1171" s="25" t="n">
        <v>0.391</v>
      </c>
      <c r="H1171" s="26" t="n">
        <v>27</v>
      </c>
      <c r="I1171" s="27" t="n">
        <v>30</v>
      </c>
      <c r="J1171" s="28" t="n">
        <v>3</v>
      </c>
      <c r="K1171" s="28" t="n">
        <v>1</v>
      </c>
      <c r="L1171" s="24" t="s">
        <v>631</v>
      </c>
      <c r="M1171" s="29" t="n">
        <f aca="false">IF("oui" = "oui",43.46*(1-disc),43.46)</f>
        <v>43.46</v>
      </c>
      <c r="N1171" s="29" t="n">
        <f aca="false">IF("oui" = "oui",43.46*(1-disc)*1.2,43.46*1.2)</f>
        <v>52.152</v>
      </c>
      <c r="O1171" s="24" t="s">
        <v>25</v>
      </c>
      <c r="P1171" s="55" t="s">
        <v>45</v>
      </c>
      <c r="Q1171" s="16"/>
    </row>
    <row r="1172" customFormat="false" ht="12.8" hidden="false" customHeight="false" outlineLevel="0" collapsed="false">
      <c r="A1172" s="22"/>
      <c r="B1172" s="23" t="n">
        <v>500094000</v>
      </c>
      <c r="C1172" s="24" t="n">
        <v>20</v>
      </c>
      <c r="D1172" s="54" t="s">
        <v>1085</v>
      </c>
      <c r="E1172" s="19" t="s">
        <v>1081</v>
      </c>
      <c r="F1172" s="24" t="s">
        <v>630</v>
      </c>
      <c r="G1172" s="25" t="n">
        <v>0.391</v>
      </c>
      <c r="H1172" s="26" t="n">
        <v>27</v>
      </c>
      <c r="I1172" s="27" t="n">
        <v>30</v>
      </c>
      <c r="J1172" s="28" t="n">
        <v>3</v>
      </c>
      <c r="K1172" s="28" t="n">
        <v>1</v>
      </c>
      <c r="L1172" s="24" t="s">
        <v>631</v>
      </c>
      <c r="M1172" s="29" t="n">
        <f aca="false">IF("oui" = "oui",43.46*(1-disc),43.46)</f>
        <v>43.46</v>
      </c>
      <c r="N1172" s="29" t="n">
        <f aca="false">IF("oui" = "oui",43.46*(1-disc)*1.2,43.46*1.2)</f>
        <v>52.152</v>
      </c>
      <c r="O1172" s="24" t="s">
        <v>25</v>
      </c>
      <c r="P1172" s="7" t="s">
        <v>26</v>
      </c>
      <c r="Q1172" s="16"/>
    </row>
    <row r="1173" customFormat="false" ht="12.8" hidden="false" customHeight="false" outlineLevel="0" collapsed="false">
      <c r="A1173" s="22"/>
      <c r="B1173" s="23" t="n">
        <v>500095000</v>
      </c>
      <c r="C1173" s="24" t="n">
        <v>20</v>
      </c>
      <c r="D1173" s="54" t="s">
        <v>1086</v>
      </c>
      <c r="E1173" s="19" t="s">
        <v>1081</v>
      </c>
      <c r="F1173" s="24" t="s">
        <v>630</v>
      </c>
      <c r="G1173" s="25" t="n">
        <v>0.391</v>
      </c>
      <c r="H1173" s="26" t="n">
        <v>27</v>
      </c>
      <c r="I1173" s="27" t="n">
        <v>30</v>
      </c>
      <c r="J1173" s="28" t="n">
        <v>3</v>
      </c>
      <c r="K1173" s="28" t="n">
        <v>1</v>
      </c>
      <c r="L1173" s="24" t="s">
        <v>631</v>
      </c>
      <c r="M1173" s="29" t="n">
        <f aca="false">IF("oui" = "oui",43.46*(1-disc),43.46)</f>
        <v>43.46</v>
      </c>
      <c r="N1173" s="29" t="n">
        <f aca="false">IF("oui" = "oui",43.46*(1-disc)*1.2,43.46*1.2)</f>
        <v>52.152</v>
      </c>
      <c r="O1173" s="24" t="s">
        <v>25</v>
      </c>
      <c r="P1173" s="7" t="s">
        <v>26</v>
      </c>
      <c r="Q1173" s="16"/>
    </row>
    <row r="1174" customFormat="false" ht="12.8" hidden="false" customHeight="false" outlineLevel="0" collapsed="false">
      <c r="A1174" s="22"/>
      <c r="B1174" s="23" t="n">
        <v>500096000</v>
      </c>
      <c r="C1174" s="24" t="n">
        <v>20</v>
      </c>
      <c r="D1174" s="54" t="s">
        <v>1087</v>
      </c>
      <c r="E1174" s="19" t="s">
        <v>1081</v>
      </c>
      <c r="F1174" s="24" t="s">
        <v>630</v>
      </c>
      <c r="G1174" s="25" t="n">
        <v>0.391</v>
      </c>
      <c r="H1174" s="26" t="n">
        <v>27</v>
      </c>
      <c r="I1174" s="27" t="n">
        <v>30</v>
      </c>
      <c r="J1174" s="28" t="n">
        <v>3</v>
      </c>
      <c r="K1174" s="28" t="n">
        <v>1</v>
      </c>
      <c r="L1174" s="24" t="s">
        <v>631</v>
      </c>
      <c r="M1174" s="29" t="n">
        <f aca="false">IF("oui" = "oui",43.46*(1-disc),43.46)</f>
        <v>43.46</v>
      </c>
      <c r="N1174" s="29" t="n">
        <f aca="false">IF("oui" = "oui",43.46*(1-disc)*1.2,43.46*1.2)</f>
        <v>52.152</v>
      </c>
      <c r="O1174" s="24" t="s">
        <v>25</v>
      </c>
      <c r="P1174" s="7" t="s">
        <v>26</v>
      </c>
      <c r="Q1174" s="16"/>
    </row>
    <row r="1175" customFormat="false" ht="12.8" hidden="false" customHeight="false" outlineLevel="0" collapsed="false">
      <c r="A1175" s="22"/>
      <c r="B1175" s="23" t="n">
        <v>500097000</v>
      </c>
      <c r="C1175" s="24" t="n">
        <v>20</v>
      </c>
      <c r="D1175" s="54" t="s">
        <v>1088</v>
      </c>
      <c r="E1175" s="19" t="s">
        <v>1081</v>
      </c>
      <c r="F1175" s="24" t="s">
        <v>630</v>
      </c>
      <c r="G1175" s="25" t="n">
        <v>0.391</v>
      </c>
      <c r="H1175" s="26" t="n">
        <v>27</v>
      </c>
      <c r="I1175" s="27" t="n">
        <v>30</v>
      </c>
      <c r="J1175" s="28" t="n">
        <v>3</v>
      </c>
      <c r="K1175" s="28" t="n">
        <v>1</v>
      </c>
      <c r="L1175" s="24" t="s">
        <v>631</v>
      </c>
      <c r="M1175" s="29" t="n">
        <f aca="false">IF("oui" = "oui",43.46*(1-disc),43.46)</f>
        <v>43.46</v>
      </c>
      <c r="N1175" s="29" t="n">
        <f aca="false">IF("oui" = "oui",43.46*(1-disc)*1.2,43.46*1.2)</f>
        <v>52.152</v>
      </c>
      <c r="O1175" s="24" t="s">
        <v>25</v>
      </c>
      <c r="P1175" s="7" t="s">
        <v>26</v>
      </c>
      <c r="Q1175" s="16"/>
    </row>
    <row r="1176" customFormat="false" ht="12.8" hidden="false" customHeight="false" outlineLevel="0" collapsed="false">
      <c r="A1176" s="22"/>
      <c r="B1176" s="23"/>
      <c r="C1176" s="24"/>
      <c r="D1176" s="22"/>
      <c r="E1176" s="19"/>
      <c r="F1176" s="24"/>
      <c r="G1176" s="25"/>
      <c r="H1176" s="26"/>
      <c r="I1176" s="27"/>
      <c r="J1176" s="28"/>
      <c r="K1176" s="28"/>
      <c r="L1176" s="24"/>
      <c r="M1176" s="29"/>
      <c r="N1176" s="29"/>
      <c r="O1176" s="24"/>
      <c r="P1176" s="4"/>
      <c r="Q1176" s="16"/>
    </row>
    <row r="1177" customFormat="false" ht="12.8" hidden="false" customHeight="false" outlineLevel="0" collapsed="false">
      <c r="A1177" s="22"/>
      <c r="B1177" s="23" t="n">
        <v>500214000</v>
      </c>
      <c r="C1177" s="24" t="n">
        <v>20</v>
      </c>
      <c r="D1177" s="54" t="s">
        <v>1089</v>
      </c>
      <c r="E1177" s="19" t="s">
        <v>1081</v>
      </c>
      <c r="F1177" s="24" t="s">
        <v>630</v>
      </c>
      <c r="G1177" s="25" t="n">
        <v>0.391</v>
      </c>
      <c r="H1177" s="26" t="n">
        <v>27</v>
      </c>
      <c r="I1177" s="27" t="n">
        <v>30</v>
      </c>
      <c r="J1177" s="28" t="n">
        <v>3</v>
      </c>
      <c r="K1177" s="28" t="n">
        <v>1</v>
      </c>
      <c r="L1177" s="24" t="s">
        <v>631</v>
      </c>
      <c r="M1177" s="29" t="n">
        <f aca="false">IF("oui" = "oui",43.46*(1-disc),43.46)</f>
        <v>43.46</v>
      </c>
      <c r="N1177" s="29" t="n">
        <f aca="false">IF("oui" = "oui",43.46*(1-disc)*1.2,43.46*1.2)</f>
        <v>52.152</v>
      </c>
      <c r="O1177" s="24" t="s">
        <v>25</v>
      </c>
      <c r="P1177" s="7" t="s">
        <v>26</v>
      </c>
      <c r="Q1177" s="16"/>
    </row>
    <row r="1178" customFormat="false" ht="12.8" hidden="false" customHeight="false" outlineLevel="0" collapsed="false">
      <c r="A1178" s="22"/>
      <c r="B1178" s="23"/>
      <c r="C1178" s="24"/>
      <c r="D1178" s="22"/>
      <c r="E1178" s="19"/>
      <c r="F1178" s="24"/>
      <c r="G1178" s="25"/>
      <c r="H1178" s="26"/>
      <c r="I1178" s="27"/>
      <c r="J1178" s="28"/>
      <c r="K1178" s="28"/>
      <c r="L1178" s="24"/>
      <c r="M1178" s="29"/>
      <c r="N1178" s="29"/>
      <c r="O1178" s="24"/>
      <c r="P1178" s="4"/>
      <c r="Q1178" s="16"/>
    </row>
    <row r="1179" customFormat="false" ht="12.8" hidden="false" customHeight="false" outlineLevel="0" collapsed="false">
      <c r="A1179" s="22"/>
      <c r="B1179" s="23" t="n">
        <v>500162000</v>
      </c>
      <c r="C1179" s="24" t="n">
        <v>20</v>
      </c>
      <c r="D1179" s="54" t="s">
        <v>1090</v>
      </c>
      <c r="E1179" s="19" t="s">
        <v>1081</v>
      </c>
      <c r="F1179" s="24" t="s">
        <v>630</v>
      </c>
      <c r="G1179" s="25" t="n">
        <v>0.391</v>
      </c>
      <c r="H1179" s="26" t="n">
        <v>27</v>
      </c>
      <c r="I1179" s="27" t="n">
        <v>30</v>
      </c>
      <c r="J1179" s="28" t="n">
        <v>3</v>
      </c>
      <c r="K1179" s="28" t="n">
        <v>1</v>
      </c>
      <c r="L1179" s="24" t="s">
        <v>631</v>
      </c>
      <c r="M1179" s="29" t="n">
        <f aca="false">IF("oui" = "oui",43.46*(1-disc),43.46)</f>
        <v>43.46</v>
      </c>
      <c r="N1179" s="29" t="n">
        <f aca="false">IF("oui" = "oui",43.46*(1-disc)*1.2,43.46*1.2)</f>
        <v>52.152</v>
      </c>
      <c r="O1179" s="24" t="s">
        <v>25</v>
      </c>
      <c r="P1179" s="7" t="s">
        <v>26</v>
      </c>
      <c r="Q1179" s="16"/>
    </row>
    <row r="1180" customFormat="false" ht="12.8" hidden="false" customHeight="false" outlineLevel="0" collapsed="false">
      <c r="A1180" s="22"/>
      <c r="B1180" s="23"/>
      <c r="C1180" s="24"/>
      <c r="D1180" s="22"/>
      <c r="E1180" s="19"/>
      <c r="F1180" s="24"/>
      <c r="G1180" s="25"/>
      <c r="H1180" s="26"/>
      <c r="I1180" s="27"/>
      <c r="J1180" s="28"/>
      <c r="K1180" s="28"/>
      <c r="L1180" s="24"/>
      <c r="M1180" s="29"/>
      <c r="N1180" s="29"/>
      <c r="O1180" s="24"/>
      <c r="P1180" s="4"/>
      <c r="Q1180" s="16"/>
    </row>
    <row r="1181" customFormat="false" ht="12.8" hidden="false" customHeight="false" outlineLevel="0" collapsed="false">
      <c r="A1181" s="22"/>
      <c r="B1181" s="23" t="n">
        <v>500160000</v>
      </c>
      <c r="C1181" s="24" t="n">
        <v>20</v>
      </c>
      <c r="D1181" s="54" t="s">
        <v>1091</v>
      </c>
      <c r="E1181" s="19" t="s">
        <v>1092</v>
      </c>
      <c r="F1181" s="24" t="s">
        <v>647</v>
      </c>
      <c r="G1181" s="25" t="n">
        <v>0.578</v>
      </c>
      <c r="H1181" s="26" t="n">
        <v>30</v>
      </c>
      <c r="I1181" s="27" t="n">
        <v>30</v>
      </c>
      <c r="J1181" s="28" t="n">
        <v>3</v>
      </c>
      <c r="K1181" s="28" t="n">
        <v>1</v>
      </c>
      <c r="L1181" s="24" t="s">
        <v>631</v>
      </c>
      <c r="M1181" s="29" t="n">
        <f aca="false">IF("oui" = "oui",43.46*(1-disc),43.46)</f>
        <v>43.46</v>
      </c>
      <c r="N1181" s="29" t="n">
        <f aca="false">IF("oui" = "oui",43.46*(1-disc)*1.2,43.46*1.2)</f>
        <v>52.152</v>
      </c>
      <c r="O1181" s="24" t="s">
        <v>25</v>
      </c>
      <c r="P1181" s="7" t="s">
        <v>26</v>
      </c>
      <c r="Q1181" s="16"/>
    </row>
    <row r="1182" customFormat="false" ht="12.8" hidden="false" customHeight="false" outlineLevel="0" collapsed="false">
      <c r="A1182" s="22"/>
      <c r="B1182" s="23"/>
      <c r="C1182" s="24"/>
      <c r="D1182" s="22"/>
      <c r="E1182" s="19"/>
      <c r="F1182" s="24"/>
      <c r="G1182" s="25"/>
      <c r="H1182" s="26"/>
      <c r="I1182" s="27"/>
      <c r="J1182" s="28"/>
      <c r="K1182" s="28"/>
      <c r="L1182" s="24"/>
      <c r="M1182" s="29"/>
      <c r="N1182" s="29"/>
      <c r="O1182" s="24"/>
      <c r="P1182" s="4"/>
      <c r="Q1182" s="16"/>
    </row>
    <row r="1183" customFormat="false" ht="12.8" hidden="false" customHeight="false" outlineLevel="0" collapsed="false">
      <c r="A1183" s="42" t="s">
        <v>1093</v>
      </c>
      <c r="B1183" s="43"/>
      <c r="C1183" s="44"/>
      <c r="D1183" s="45"/>
      <c r="E1183" s="46"/>
      <c r="F1183" s="44"/>
      <c r="G1183" s="47"/>
      <c r="H1183" s="48"/>
      <c r="I1183" s="49"/>
      <c r="J1183" s="50"/>
      <c r="K1183" s="50"/>
      <c r="L1183" s="44"/>
      <c r="M1183" s="51"/>
      <c r="N1183" s="51"/>
      <c r="O1183" s="44"/>
      <c r="P1183" s="52"/>
      <c r="Q1183" s="53"/>
    </row>
    <row r="1184" customFormat="false" ht="12.8" hidden="false" customHeight="false" outlineLevel="0" collapsed="false">
      <c r="A1184" s="22"/>
      <c r="B1184" s="23"/>
      <c r="C1184" s="24"/>
      <c r="D1184" s="22"/>
      <c r="E1184" s="19"/>
      <c r="F1184" s="24"/>
      <c r="G1184" s="25"/>
      <c r="H1184" s="26"/>
      <c r="I1184" s="27"/>
      <c r="J1184" s="28"/>
      <c r="K1184" s="28"/>
      <c r="L1184" s="24"/>
      <c r="M1184" s="29"/>
      <c r="N1184" s="29"/>
      <c r="O1184" s="24"/>
      <c r="P1184" s="4"/>
      <c r="Q1184" s="16"/>
    </row>
    <row r="1185" customFormat="false" ht="12.8" hidden="false" customHeight="false" outlineLevel="0" collapsed="false">
      <c r="A1185" s="22"/>
      <c r="B1185" s="23" t="n">
        <v>500107000</v>
      </c>
      <c r="C1185" s="24" t="n">
        <v>30</v>
      </c>
      <c r="D1185" s="54" t="s">
        <v>1094</v>
      </c>
      <c r="E1185" s="19" t="s">
        <v>1095</v>
      </c>
      <c r="F1185" s="24" t="s">
        <v>23</v>
      </c>
      <c r="G1185" s="25" t="n">
        <v>2.668</v>
      </c>
      <c r="H1185" s="26" t="n">
        <v>30</v>
      </c>
      <c r="I1185" s="27" t="n">
        <v>40</v>
      </c>
      <c r="J1185" s="28" t="n">
        <v>1</v>
      </c>
      <c r="K1185" s="28" t="n">
        <v>1</v>
      </c>
      <c r="L1185" s="24" t="s">
        <v>631</v>
      </c>
      <c r="M1185" s="29" t="n">
        <f aca="false">IF("oui" = "oui",114.08*(1-disc),114.08)</f>
        <v>114.08</v>
      </c>
      <c r="N1185" s="29" t="n">
        <f aca="false">IF("oui" = "oui",114.08*(1-disc)*1.2,114.08*1.2)</f>
        <v>136.896</v>
      </c>
      <c r="O1185" s="24" t="s">
        <v>25</v>
      </c>
      <c r="P1185" s="55" t="s">
        <v>602</v>
      </c>
      <c r="Q1185" s="16"/>
    </row>
    <row r="1186" customFormat="false" ht="12.8" hidden="false" customHeight="false" outlineLevel="0" collapsed="false">
      <c r="A1186" s="22"/>
      <c r="B1186" s="23" t="n">
        <v>500167000</v>
      </c>
      <c r="C1186" s="24" t="n">
        <v>30</v>
      </c>
      <c r="D1186" s="54" t="s">
        <v>1096</v>
      </c>
      <c r="E1186" s="19" t="s">
        <v>1095</v>
      </c>
      <c r="F1186" s="24" t="s">
        <v>23</v>
      </c>
      <c r="G1186" s="25" t="n">
        <v>2.668</v>
      </c>
      <c r="H1186" s="26" t="n">
        <v>30</v>
      </c>
      <c r="I1186" s="27" t="n">
        <v>40</v>
      </c>
      <c r="J1186" s="28" t="n">
        <v>1</v>
      </c>
      <c r="K1186" s="28" t="n">
        <v>1</v>
      </c>
      <c r="L1186" s="24" t="s">
        <v>631</v>
      </c>
      <c r="M1186" s="29" t="n">
        <f aca="false">IF("oui" = "oui",114.08*(1-disc),114.08)</f>
        <v>114.08</v>
      </c>
      <c r="N1186" s="29" t="n">
        <f aca="false">IF("oui" = "oui",114.08*(1-disc)*1.2,114.08*1.2)</f>
        <v>136.896</v>
      </c>
      <c r="O1186" s="24" t="s">
        <v>25</v>
      </c>
      <c r="P1186" s="7" t="s">
        <v>26</v>
      </c>
      <c r="Q1186" s="16"/>
    </row>
    <row r="1187" customFormat="false" ht="12.8" hidden="false" customHeight="false" outlineLevel="0" collapsed="false">
      <c r="A1187" s="22"/>
      <c r="B1187" s="23"/>
      <c r="C1187" s="24"/>
      <c r="D1187" s="22"/>
      <c r="E1187" s="19"/>
      <c r="F1187" s="24"/>
      <c r="G1187" s="25"/>
      <c r="H1187" s="26"/>
      <c r="I1187" s="27"/>
      <c r="J1187" s="28"/>
      <c r="K1187" s="28"/>
      <c r="L1187" s="24"/>
      <c r="M1187" s="29"/>
      <c r="N1187" s="29"/>
      <c r="O1187" s="24"/>
      <c r="P1187" s="4"/>
      <c r="Q1187" s="16"/>
    </row>
    <row r="1188" customFormat="false" ht="12.8" hidden="false" customHeight="false" outlineLevel="0" collapsed="false">
      <c r="A1188" s="22"/>
      <c r="B1188" s="23" t="n">
        <v>500108000</v>
      </c>
      <c r="C1188" s="24" t="n">
        <v>30</v>
      </c>
      <c r="D1188" s="54" t="s">
        <v>1097</v>
      </c>
      <c r="E1188" s="19" t="s">
        <v>1095</v>
      </c>
      <c r="F1188" s="24" t="s">
        <v>23</v>
      </c>
      <c r="G1188" s="25" t="n">
        <v>2.668</v>
      </c>
      <c r="H1188" s="26" t="n">
        <v>30</v>
      </c>
      <c r="I1188" s="27" t="n">
        <v>40</v>
      </c>
      <c r="J1188" s="28" t="n">
        <v>1</v>
      </c>
      <c r="K1188" s="28" t="n">
        <v>1</v>
      </c>
      <c r="L1188" s="24" t="s">
        <v>631</v>
      </c>
      <c r="M1188" s="29" t="n">
        <f aca="false">IF("oui" = "oui",103.22*(1-disc),103.22)</f>
        <v>103.22</v>
      </c>
      <c r="N1188" s="29" t="n">
        <f aca="false">IF("oui" = "oui",103.22*(1-disc)*1.2,103.22*1.2)</f>
        <v>123.864</v>
      </c>
      <c r="O1188" s="24" t="s">
        <v>25</v>
      </c>
      <c r="P1188" s="7" t="s">
        <v>26</v>
      </c>
      <c r="Q1188" s="16"/>
    </row>
    <row r="1189" customFormat="false" ht="12.8" hidden="false" customHeight="false" outlineLevel="0" collapsed="false">
      <c r="A1189" s="22"/>
      <c r="B1189" s="23" t="n">
        <v>500138000</v>
      </c>
      <c r="C1189" s="24" t="n">
        <v>30</v>
      </c>
      <c r="D1189" s="54" t="s">
        <v>1098</v>
      </c>
      <c r="E1189" s="19" t="s">
        <v>1095</v>
      </c>
      <c r="F1189" s="24" t="s">
        <v>23</v>
      </c>
      <c r="G1189" s="25" t="n">
        <v>2.668</v>
      </c>
      <c r="H1189" s="26" t="n">
        <v>30</v>
      </c>
      <c r="I1189" s="27" t="n">
        <v>40</v>
      </c>
      <c r="J1189" s="28" t="n">
        <v>1</v>
      </c>
      <c r="K1189" s="28" t="n">
        <v>1</v>
      </c>
      <c r="L1189" s="24" t="s">
        <v>631</v>
      </c>
      <c r="M1189" s="29" t="n">
        <f aca="false">IF("oui" = "oui",103.22*(1-disc),103.22)</f>
        <v>103.22</v>
      </c>
      <c r="N1189" s="29" t="n">
        <f aca="false">IF("oui" = "oui",103.22*(1-disc)*1.2,103.22*1.2)</f>
        <v>123.864</v>
      </c>
      <c r="O1189" s="24" t="s">
        <v>25</v>
      </c>
      <c r="P1189" s="55" t="s">
        <v>45</v>
      </c>
      <c r="Q1189" s="16"/>
    </row>
    <row r="1190" customFormat="false" ht="12.8" hidden="false" customHeight="false" outlineLevel="0" collapsed="false">
      <c r="A1190" s="22"/>
      <c r="B1190" s="23" t="n">
        <v>500170000</v>
      </c>
      <c r="C1190" s="24" t="n">
        <v>30</v>
      </c>
      <c r="D1190" s="54" t="s">
        <v>1099</v>
      </c>
      <c r="E1190" s="19" t="s">
        <v>1095</v>
      </c>
      <c r="F1190" s="24" t="s">
        <v>23</v>
      </c>
      <c r="G1190" s="25" t="n">
        <v>2.67</v>
      </c>
      <c r="H1190" s="26" t="n">
        <v>30</v>
      </c>
      <c r="I1190" s="27" t="n">
        <v>40</v>
      </c>
      <c r="J1190" s="28" t="n">
        <v>1</v>
      </c>
      <c r="K1190" s="28" t="n">
        <v>1</v>
      </c>
      <c r="L1190" s="24" t="s">
        <v>631</v>
      </c>
      <c r="M1190" s="29" t="n">
        <f aca="false">IF("oui" = "oui",103.22*(1-disc),103.22)</f>
        <v>103.22</v>
      </c>
      <c r="N1190" s="29" t="n">
        <f aca="false">IF("oui" = "oui",103.22*(1-disc)*1.2,103.22*1.2)</f>
        <v>123.864</v>
      </c>
      <c r="O1190" s="24" t="s">
        <v>25</v>
      </c>
      <c r="P1190" s="55" t="s">
        <v>593</v>
      </c>
      <c r="Q1190" s="16"/>
    </row>
    <row r="1191" customFormat="false" ht="12.8" hidden="false" customHeight="false" outlineLevel="0" collapsed="false">
      <c r="A1191" s="22"/>
      <c r="B1191" s="23" t="n">
        <v>500172000</v>
      </c>
      <c r="C1191" s="24" t="n">
        <v>30</v>
      </c>
      <c r="D1191" s="54" t="s">
        <v>1100</v>
      </c>
      <c r="E1191" s="19" t="s">
        <v>1095</v>
      </c>
      <c r="F1191" s="24" t="s">
        <v>23</v>
      </c>
      <c r="G1191" s="25" t="n">
        <v>2.67</v>
      </c>
      <c r="H1191" s="26" t="n">
        <v>30</v>
      </c>
      <c r="I1191" s="27" t="n">
        <v>40</v>
      </c>
      <c r="J1191" s="28" t="n">
        <v>1</v>
      </c>
      <c r="K1191" s="28" t="n">
        <v>1</v>
      </c>
      <c r="L1191" s="24" t="s">
        <v>631</v>
      </c>
      <c r="M1191" s="29" t="n">
        <f aca="false">IF("oui" = "oui",103.22*(1-disc),103.22)</f>
        <v>103.22</v>
      </c>
      <c r="N1191" s="29" t="n">
        <f aca="false">IF("oui" = "oui",103.22*(1-disc)*1.2,103.22*1.2)</f>
        <v>123.864</v>
      </c>
      <c r="O1191" s="24" t="s">
        <v>25</v>
      </c>
      <c r="P1191" s="55" t="s">
        <v>141</v>
      </c>
      <c r="Q1191" s="16"/>
    </row>
    <row r="1192" customFormat="false" ht="12.8" hidden="false" customHeight="false" outlineLevel="0" collapsed="false">
      <c r="A1192" s="22"/>
      <c r="B1192" s="23" t="n">
        <v>500219000</v>
      </c>
      <c r="C1192" s="24" t="n">
        <v>30</v>
      </c>
      <c r="D1192" s="54" t="s">
        <v>1101</v>
      </c>
      <c r="E1192" s="19" t="s">
        <v>1095</v>
      </c>
      <c r="F1192" s="24" t="s">
        <v>23</v>
      </c>
      <c r="G1192" s="25" t="n">
        <v>2.67</v>
      </c>
      <c r="H1192" s="26" t="n">
        <v>30</v>
      </c>
      <c r="I1192" s="27" t="n">
        <v>40</v>
      </c>
      <c r="J1192" s="28" t="n">
        <v>1</v>
      </c>
      <c r="K1192" s="28" t="n">
        <v>1</v>
      </c>
      <c r="L1192" s="24" t="s">
        <v>631</v>
      </c>
      <c r="M1192" s="29" t="n">
        <f aca="false">IF("oui" = "oui",103.22*(1-disc),103.22)</f>
        <v>103.22</v>
      </c>
      <c r="N1192" s="29" t="n">
        <f aca="false">IF("oui" = "oui",103.22*(1-disc)*1.2,103.22*1.2)</f>
        <v>123.864</v>
      </c>
      <c r="O1192" s="24" t="s">
        <v>25</v>
      </c>
      <c r="P1192" s="55" t="s">
        <v>1102</v>
      </c>
      <c r="Q1192" s="16"/>
    </row>
    <row r="1193" customFormat="false" ht="12.8" hidden="false" customHeight="false" outlineLevel="0" collapsed="false">
      <c r="A1193" s="22"/>
      <c r="B1193" s="23" t="n">
        <v>500174000</v>
      </c>
      <c r="C1193" s="24" t="n">
        <v>30</v>
      </c>
      <c r="D1193" s="54" t="s">
        <v>1103</v>
      </c>
      <c r="E1193" s="19" t="s">
        <v>1095</v>
      </c>
      <c r="F1193" s="24" t="s">
        <v>23</v>
      </c>
      <c r="G1193" s="25" t="n">
        <v>2.67</v>
      </c>
      <c r="H1193" s="26" t="n">
        <v>30</v>
      </c>
      <c r="I1193" s="27" t="n">
        <v>40</v>
      </c>
      <c r="J1193" s="28" t="n">
        <v>1</v>
      </c>
      <c r="K1193" s="28" t="n">
        <v>1</v>
      </c>
      <c r="L1193" s="24" t="s">
        <v>631</v>
      </c>
      <c r="M1193" s="29" t="n">
        <f aca="false">IF("oui" = "oui",103.22*(1-disc),103.22)</f>
        <v>103.22</v>
      </c>
      <c r="N1193" s="29" t="n">
        <f aca="false">IF("oui" = "oui",103.22*(1-disc)*1.2,103.22*1.2)</f>
        <v>123.864</v>
      </c>
      <c r="O1193" s="24" t="s">
        <v>25</v>
      </c>
      <c r="P1193" s="7" t="s">
        <v>26</v>
      </c>
      <c r="Q1193" s="16"/>
    </row>
    <row r="1194" customFormat="false" ht="12.8" hidden="false" customHeight="false" outlineLevel="0" collapsed="false">
      <c r="A1194" s="22"/>
      <c r="B1194" s="23" t="n">
        <v>500273000</v>
      </c>
      <c r="C1194" s="24" t="n">
        <v>30</v>
      </c>
      <c r="D1194" s="54" t="s">
        <v>1104</v>
      </c>
      <c r="E1194" s="19" t="s">
        <v>1105</v>
      </c>
      <c r="F1194" s="24" t="s">
        <v>23</v>
      </c>
      <c r="G1194" s="25" t="n">
        <v>2.23</v>
      </c>
      <c r="H1194" s="26" t="n">
        <v>30</v>
      </c>
      <c r="I1194" s="27" t="n">
        <v>40</v>
      </c>
      <c r="J1194" s="28" t="n">
        <v>1</v>
      </c>
      <c r="K1194" s="28" t="n">
        <v>1</v>
      </c>
      <c r="L1194" s="24" t="s">
        <v>631</v>
      </c>
      <c r="M1194" s="29" t="n">
        <f aca="false">IF("oui" = "oui",124.95*(1-disc),124.95)</f>
        <v>124.95</v>
      </c>
      <c r="N1194" s="29" t="n">
        <f aca="false">IF("oui" = "oui",124.95*(1-disc)*1.2,124.95*1.2)</f>
        <v>149.94</v>
      </c>
      <c r="O1194" s="24" t="s">
        <v>25</v>
      </c>
      <c r="P1194" s="55" t="s">
        <v>276</v>
      </c>
      <c r="Q1194" s="16"/>
    </row>
    <row r="1195" customFormat="false" ht="12.8" hidden="false" customHeight="false" outlineLevel="0" collapsed="false">
      <c r="A1195" s="22"/>
      <c r="B1195" s="23" t="n">
        <v>500279000</v>
      </c>
      <c r="C1195" s="24" t="n">
        <v>30</v>
      </c>
      <c r="D1195" s="54" t="s">
        <v>1106</v>
      </c>
      <c r="E1195" s="19" t="s">
        <v>1107</v>
      </c>
      <c r="F1195" s="24" t="s">
        <v>23</v>
      </c>
      <c r="G1195" s="25" t="n">
        <v>1.86</v>
      </c>
      <c r="H1195" s="26" t="n">
        <v>40</v>
      </c>
      <c r="I1195" s="27" t="n">
        <v>40</v>
      </c>
      <c r="J1195" s="28" t="n">
        <v>1</v>
      </c>
      <c r="K1195" s="28" t="n">
        <v>1</v>
      </c>
      <c r="L1195" s="24" t="s">
        <v>631</v>
      </c>
      <c r="M1195" s="29" t="n">
        <f aca="false">IF("oui" = "oui",146.68*(1-disc),146.68)</f>
        <v>146.68</v>
      </c>
      <c r="N1195" s="29" t="n">
        <f aca="false">IF("oui" = "oui",146.68*(1-disc)*1.2,146.68*1.2)</f>
        <v>176.016</v>
      </c>
      <c r="O1195" s="24" t="s">
        <v>25</v>
      </c>
      <c r="P1195" s="55" t="s">
        <v>613</v>
      </c>
      <c r="Q1195" s="16"/>
    </row>
    <row r="1196" customFormat="false" ht="12.8" hidden="false" customHeight="false" outlineLevel="0" collapsed="false">
      <c r="A1196" s="22"/>
      <c r="B1196" s="23" t="n">
        <v>500274000</v>
      </c>
      <c r="C1196" s="24" t="n">
        <v>30</v>
      </c>
      <c r="D1196" s="54" t="s">
        <v>1108</v>
      </c>
      <c r="E1196" s="19" t="s">
        <v>1109</v>
      </c>
      <c r="F1196" s="24" t="s">
        <v>23</v>
      </c>
      <c r="G1196" s="25" t="n">
        <v>2.5</v>
      </c>
      <c r="H1196" s="26" t="n">
        <v>30</v>
      </c>
      <c r="I1196" s="27" t="n">
        <v>40</v>
      </c>
      <c r="J1196" s="28" t="n">
        <v>1</v>
      </c>
      <c r="K1196" s="28" t="n">
        <v>1</v>
      </c>
      <c r="L1196" s="24" t="s">
        <v>631</v>
      </c>
      <c r="M1196" s="29" t="n">
        <f aca="false">IF("oui" = "oui",114.08*(1-disc),114.08)</f>
        <v>114.08</v>
      </c>
      <c r="N1196" s="29" t="n">
        <f aca="false">IF("oui" = "oui",114.08*(1-disc)*1.2,114.08*1.2)</f>
        <v>136.896</v>
      </c>
      <c r="O1196" s="24" t="s">
        <v>25</v>
      </c>
      <c r="P1196" s="7" t="s">
        <v>26</v>
      </c>
      <c r="Q1196" s="16"/>
    </row>
    <row r="1197" customFormat="false" ht="12.8" hidden="false" customHeight="false" outlineLevel="0" collapsed="false">
      <c r="A1197" s="22"/>
      <c r="B1197" s="56"/>
      <c r="C1197" s="24"/>
      <c r="D1197" s="22"/>
      <c r="E1197" s="19"/>
      <c r="F1197" s="24"/>
      <c r="G1197" s="25"/>
      <c r="H1197" s="26"/>
      <c r="I1197" s="27"/>
      <c r="J1197" s="28"/>
      <c r="K1197" s="28"/>
      <c r="L1197" s="24"/>
      <c r="M1197" s="29"/>
      <c r="N1197" s="29"/>
      <c r="O1197" s="24"/>
      <c r="P1197" s="4"/>
      <c r="Q1197" s="16"/>
    </row>
    <row r="1198" customFormat="false" ht="12.8" hidden="false" customHeight="false" outlineLevel="0" collapsed="false">
      <c r="A1198" s="22"/>
      <c r="B1198" s="23" t="n">
        <v>500275000</v>
      </c>
      <c r="C1198" s="24" t="n">
        <v>30</v>
      </c>
      <c r="D1198" s="54" t="s">
        <v>1110</v>
      </c>
      <c r="E1198" s="19" t="s">
        <v>1111</v>
      </c>
      <c r="F1198" s="24" t="s">
        <v>23</v>
      </c>
      <c r="G1198" s="25" t="n">
        <v>1.27</v>
      </c>
      <c r="H1198" s="26" t="n">
        <v>30</v>
      </c>
      <c r="I1198" s="27" t="n">
        <v>70</v>
      </c>
      <c r="J1198" s="28" t="n">
        <v>1</v>
      </c>
      <c r="K1198" s="28" t="n">
        <v>1</v>
      </c>
      <c r="L1198" s="24" t="s">
        <v>631</v>
      </c>
      <c r="M1198" s="29" t="n">
        <f aca="false">IF("oui" = "oui",124.95*(1-disc),124.95)</f>
        <v>124.95</v>
      </c>
      <c r="N1198" s="29" t="n">
        <f aca="false">IF("oui" = "oui",124.95*(1-disc)*1.2,124.95*1.2)</f>
        <v>149.94</v>
      </c>
      <c r="O1198" s="24" t="s">
        <v>25</v>
      </c>
      <c r="P1198" s="7" t="s">
        <v>26</v>
      </c>
      <c r="Q1198" s="16"/>
    </row>
    <row r="1199" customFormat="false" ht="12.8" hidden="false" customHeight="false" outlineLevel="0" collapsed="false">
      <c r="A1199" s="22"/>
      <c r="B1199" s="23" t="n">
        <v>500276000</v>
      </c>
      <c r="C1199" s="24" t="n">
        <v>30</v>
      </c>
      <c r="D1199" s="54" t="s">
        <v>1112</v>
      </c>
      <c r="E1199" s="19" t="s">
        <v>1113</v>
      </c>
      <c r="F1199" s="24" t="s">
        <v>23</v>
      </c>
      <c r="G1199" s="25" t="n">
        <v>1.28</v>
      </c>
      <c r="H1199" s="26" t="n">
        <v>30</v>
      </c>
      <c r="I1199" s="27" t="n">
        <v>40</v>
      </c>
      <c r="J1199" s="28" t="n">
        <v>1</v>
      </c>
      <c r="K1199" s="28" t="n">
        <v>1</v>
      </c>
      <c r="L1199" s="24" t="s">
        <v>631</v>
      </c>
      <c r="M1199" s="29" t="n">
        <f aca="false">IF("oui" = "oui",124.95*(1-disc),124.95)</f>
        <v>124.95</v>
      </c>
      <c r="N1199" s="29" t="n">
        <f aca="false">IF("oui" = "oui",124.95*(1-disc)*1.2,124.95*1.2)</f>
        <v>149.94</v>
      </c>
      <c r="O1199" s="24" t="s">
        <v>25</v>
      </c>
      <c r="P1199" s="7" t="s">
        <v>26</v>
      </c>
      <c r="Q1199" s="16"/>
    </row>
    <row r="1200" customFormat="false" ht="12.8" hidden="false" customHeight="false" outlineLevel="0" collapsed="false">
      <c r="A1200" s="22"/>
      <c r="B1200" s="23" t="n">
        <v>500277000</v>
      </c>
      <c r="C1200" s="24" t="n">
        <v>30</v>
      </c>
      <c r="D1200" s="54" t="s">
        <v>1114</v>
      </c>
      <c r="E1200" s="19" t="s">
        <v>1115</v>
      </c>
      <c r="F1200" s="24" t="s">
        <v>23</v>
      </c>
      <c r="G1200" s="25" t="n">
        <v>2.585</v>
      </c>
      <c r="H1200" s="26" t="n">
        <v>30</v>
      </c>
      <c r="I1200" s="27" t="n">
        <v>40</v>
      </c>
      <c r="J1200" s="28" t="n">
        <v>1</v>
      </c>
      <c r="K1200" s="28" t="n">
        <v>1</v>
      </c>
      <c r="L1200" s="24" t="s">
        <v>631</v>
      </c>
      <c r="M1200" s="29" t="n">
        <f aca="false">IF("oui" = "oui",124.95*(1-disc),124.95)</f>
        <v>124.95</v>
      </c>
      <c r="N1200" s="29" t="n">
        <f aca="false">IF("oui" = "oui",124.95*(1-disc)*1.2,124.95*1.2)</f>
        <v>149.94</v>
      </c>
      <c r="O1200" s="24" t="s">
        <v>25</v>
      </c>
      <c r="P1200" s="7" t="s">
        <v>26</v>
      </c>
      <c r="Q1200" s="16"/>
    </row>
    <row r="1201" customFormat="false" ht="12.8" hidden="false" customHeight="false" outlineLevel="0" collapsed="false">
      <c r="A1201" s="22"/>
      <c r="B1201" s="23"/>
      <c r="C1201" s="24"/>
      <c r="D1201" s="22"/>
      <c r="E1201" s="19"/>
      <c r="F1201" s="24"/>
      <c r="G1201" s="25"/>
      <c r="H1201" s="26"/>
      <c r="I1201" s="27"/>
      <c r="J1201" s="28"/>
      <c r="K1201" s="28"/>
      <c r="L1201" s="24"/>
      <c r="M1201" s="29"/>
      <c r="N1201" s="29"/>
      <c r="O1201" s="24"/>
      <c r="P1201" s="4"/>
      <c r="Q1201" s="16"/>
    </row>
    <row r="1202" customFormat="false" ht="12.8" hidden="false" customHeight="false" outlineLevel="0" collapsed="false">
      <c r="A1202" s="22"/>
      <c r="B1202" s="23" t="n">
        <v>500341000</v>
      </c>
      <c r="C1202" s="24" t="n">
        <v>30</v>
      </c>
      <c r="D1202" s="54" t="s">
        <v>1116</v>
      </c>
      <c r="E1202" s="19" t="s">
        <v>1117</v>
      </c>
      <c r="F1202" s="24" t="s">
        <v>23</v>
      </c>
      <c r="G1202" s="25" t="n">
        <v>2.5</v>
      </c>
      <c r="H1202" s="26" t="n">
        <v>30</v>
      </c>
      <c r="I1202" s="27" t="n">
        <v>50</v>
      </c>
      <c r="J1202" s="28" t="n">
        <v>1</v>
      </c>
      <c r="K1202" s="28" t="n">
        <v>1</v>
      </c>
      <c r="L1202" s="24" t="s">
        <v>631</v>
      </c>
      <c r="M1202" s="29" t="n">
        <f aca="false">IF("oui" = "oui",124.95*(1-disc),124.95)</f>
        <v>124.95</v>
      </c>
      <c r="N1202" s="29" t="n">
        <f aca="false">IF("oui" = "oui",124.95*(1-disc)*1.2,124.95*1.2)</f>
        <v>149.94</v>
      </c>
      <c r="O1202" s="24" t="s">
        <v>25</v>
      </c>
      <c r="P1202" s="4" t="s">
        <v>25</v>
      </c>
      <c r="Q1202" s="16"/>
    </row>
    <row r="1203" customFormat="false" ht="12.8" hidden="false" customHeight="false" outlineLevel="0" collapsed="false">
      <c r="A1203" s="22"/>
      <c r="B1203" s="23"/>
      <c r="C1203" s="24"/>
      <c r="D1203" s="22"/>
      <c r="E1203" s="19"/>
      <c r="F1203" s="24"/>
      <c r="G1203" s="25"/>
      <c r="H1203" s="26"/>
      <c r="I1203" s="27"/>
      <c r="J1203" s="28"/>
      <c r="K1203" s="28"/>
      <c r="L1203" s="24"/>
      <c r="M1203" s="29"/>
      <c r="N1203" s="29"/>
      <c r="O1203" s="24"/>
      <c r="P1203" s="4"/>
      <c r="Q1203" s="16"/>
    </row>
    <row r="1204" customFormat="false" ht="12.8" hidden="false" customHeight="false" outlineLevel="0" collapsed="false">
      <c r="A1204" s="42" t="s">
        <v>1118</v>
      </c>
      <c r="B1204" s="43"/>
      <c r="C1204" s="44"/>
      <c r="D1204" s="45"/>
      <c r="E1204" s="46"/>
      <c r="F1204" s="44"/>
      <c r="G1204" s="47"/>
      <c r="H1204" s="48"/>
      <c r="I1204" s="49"/>
      <c r="J1204" s="50"/>
      <c r="K1204" s="50"/>
      <c r="L1204" s="44"/>
      <c r="M1204" s="51"/>
      <c r="N1204" s="51"/>
      <c r="O1204" s="44"/>
      <c r="P1204" s="52"/>
      <c r="Q1204" s="53"/>
    </row>
    <row r="1205" customFormat="false" ht="12.8" hidden="false" customHeight="false" outlineLevel="0" collapsed="false">
      <c r="A1205" s="22"/>
      <c r="B1205" s="23"/>
      <c r="C1205" s="24"/>
      <c r="D1205" s="22"/>
      <c r="E1205" s="19"/>
      <c r="F1205" s="24"/>
      <c r="G1205" s="25"/>
      <c r="H1205" s="26"/>
      <c r="I1205" s="27"/>
      <c r="J1205" s="28"/>
      <c r="K1205" s="28"/>
      <c r="L1205" s="24"/>
      <c r="M1205" s="29"/>
      <c r="N1205" s="29"/>
      <c r="O1205" s="24"/>
      <c r="P1205" s="4"/>
      <c r="Q1205" s="16"/>
    </row>
    <row r="1206" customFormat="false" ht="12.8" hidden="false" customHeight="false" outlineLevel="0" collapsed="false">
      <c r="A1206" s="22"/>
      <c r="B1206" s="23" t="n">
        <v>500175000</v>
      </c>
      <c r="C1206" s="24" t="n">
        <v>30</v>
      </c>
      <c r="D1206" s="54" t="s">
        <v>1119</v>
      </c>
      <c r="E1206" s="19" t="s">
        <v>1120</v>
      </c>
      <c r="F1206" s="24" t="s">
        <v>23</v>
      </c>
      <c r="G1206" s="25" t="n">
        <v>2.2</v>
      </c>
      <c r="H1206" s="26" t="n">
        <v>30</v>
      </c>
      <c r="I1206" s="27" t="n">
        <v>40</v>
      </c>
      <c r="J1206" s="28" t="n">
        <v>1</v>
      </c>
      <c r="K1206" s="28" t="n">
        <v>1</v>
      </c>
      <c r="L1206" s="24" t="s">
        <v>631</v>
      </c>
      <c r="M1206" s="29" t="n">
        <f aca="false">IF("oui" = "oui",119.52*(1-disc),119.52)</f>
        <v>119.52</v>
      </c>
      <c r="N1206" s="29" t="n">
        <f aca="false">IF("oui" = "oui",119.52*(1-disc)*1.2,119.52*1.2)</f>
        <v>143.424</v>
      </c>
      <c r="O1206" s="24" t="s">
        <v>25</v>
      </c>
      <c r="P1206" s="7" t="s">
        <v>26</v>
      </c>
      <c r="Q1206" s="16"/>
    </row>
    <row r="1207" customFormat="false" ht="12.8" hidden="false" customHeight="false" outlineLevel="0" collapsed="false">
      <c r="A1207" s="22"/>
      <c r="B1207" s="23"/>
      <c r="C1207" s="24"/>
      <c r="D1207" s="22"/>
      <c r="E1207" s="19"/>
      <c r="F1207" s="24"/>
      <c r="G1207" s="25"/>
      <c r="H1207" s="26"/>
      <c r="I1207" s="27"/>
      <c r="J1207" s="28"/>
      <c r="K1207" s="28"/>
      <c r="L1207" s="24"/>
      <c r="M1207" s="29"/>
      <c r="N1207" s="29"/>
      <c r="O1207" s="24"/>
      <c r="P1207" s="4"/>
      <c r="Q1207" s="16"/>
    </row>
    <row r="1208" customFormat="false" ht="12.8" hidden="false" customHeight="false" outlineLevel="0" collapsed="false">
      <c r="A1208" s="30" t="s">
        <v>1121</v>
      </c>
      <c r="B1208" s="31"/>
      <c r="C1208" s="32"/>
      <c r="D1208" s="33"/>
      <c r="E1208" s="34"/>
      <c r="F1208" s="32"/>
      <c r="G1208" s="35"/>
      <c r="H1208" s="36"/>
      <c r="I1208" s="37"/>
      <c r="J1208" s="38"/>
      <c r="K1208" s="38"/>
      <c r="L1208" s="32"/>
      <c r="M1208" s="39"/>
      <c r="N1208" s="39"/>
      <c r="O1208" s="32"/>
      <c r="P1208" s="40"/>
      <c r="Q1208" s="41"/>
    </row>
    <row r="1209" customFormat="false" ht="12.8" hidden="false" customHeight="false" outlineLevel="0" collapsed="false">
      <c r="A1209" s="22"/>
      <c r="B1209" s="23"/>
      <c r="C1209" s="24"/>
      <c r="D1209" s="22"/>
      <c r="E1209" s="19"/>
      <c r="F1209" s="24"/>
      <c r="G1209" s="25"/>
      <c r="H1209" s="26"/>
      <c r="I1209" s="27"/>
      <c r="J1209" s="28"/>
      <c r="K1209" s="28"/>
      <c r="L1209" s="24"/>
      <c r="M1209" s="29"/>
      <c r="N1209" s="29"/>
      <c r="O1209" s="24"/>
      <c r="P1209" s="4"/>
      <c r="Q1209" s="16"/>
    </row>
    <row r="1210" customFormat="false" ht="12.8" hidden="false" customHeight="false" outlineLevel="0" collapsed="false">
      <c r="A1210" s="42" t="s">
        <v>1122</v>
      </c>
      <c r="B1210" s="43"/>
      <c r="C1210" s="44"/>
      <c r="D1210" s="45"/>
      <c r="E1210" s="46"/>
      <c r="F1210" s="44"/>
      <c r="G1210" s="47"/>
      <c r="H1210" s="48"/>
      <c r="I1210" s="49"/>
      <c r="J1210" s="50"/>
      <c r="K1210" s="50"/>
      <c r="L1210" s="44"/>
      <c r="M1210" s="51"/>
      <c r="N1210" s="51"/>
      <c r="O1210" s="44"/>
      <c r="P1210" s="52"/>
      <c r="Q1210" s="53"/>
    </row>
    <row r="1211" customFormat="false" ht="12.8" hidden="false" customHeight="false" outlineLevel="0" collapsed="false">
      <c r="A1211" s="22"/>
      <c r="B1211" s="23"/>
      <c r="C1211" s="24"/>
      <c r="D1211" s="22"/>
      <c r="E1211" s="19"/>
      <c r="F1211" s="24"/>
      <c r="G1211" s="25"/>
      <c r="H1211" s="26"/>
      <c r="I1211" s="27"/>
      <c r="J1211" s="28"/>
      <c r="K1211" s="28"/>
      <c r="L1211" s="24"/>
      <c r="M1211" s="29"/>
      <c r="N1211" s="29"/>
      <c r="O1211" s="24"/>
      <c r="P1211" s="4"/>
      <c r="Q1211" s="16"/>
    </row>
    <row r="1212" customFormat="false" ht="12.8" hidden="false" customHeight="false" outlineLevel="0" collapsed="false">
      <c r="A1212" s="22"/>
      <c r="B1212" s="23" t="n">
        <v>500336000</v>
      </c>
      <c r="C1212" s="24" t="n">
        <v>30</v>
      </c>
      <c r="D1212" s="54" t="s">
        <v>1123</v>
      </c>
      <c r="E1212" s="19" t="s">
        <v>1124</v>
      </c>
      <c r="F1212" s="24" t="s">
        <v>647</v>
      </c>
      <c r="G1212" s="25" t="n">
        <v>0.207</v>
      </c>
      <c r="H1212" s="26"/>
      <c r="I1212" s="27" t="n">
        <v>30</v>
      </c>
      <c r="J1212" s="28" t="n">
        <v>10</v>
      </c>
      <c r="K1212" s="28" t="n">
        <v>1</v>
      </c>
      <c r="L1212" s="24" t="s">
        <v>631</v>
      </c>
      <c r="M1212" s="29" t="n">
        <f aca="false">IF("oui" = "oui",14.12*(1-disc),14.12)</f>
        <v>14.12</v>
      </c>
      <c r="N1212" s="29" t="n">
        <f aca="false">IF("oui" = "oui",14.12*(1-disc)*1.2,14.12*1.2)</f>
        <v>16.944</v>
      </c>
      <c r="O1212" s="24" t="s">
        <v>25</v>
      </c>
      <c r="P1212" s="7" t="s">
        <v>26</v>
      </c>
      <c r="Q1212" s="16"/>
    </row>
    <row r="1213" customFormat="false" ht="12.8" hidden="false" customHeight="false" outlineLevel="0" collapsed="false">
      <c r="A1213" s="22"/>
      <c r="B1213" s="23" t="n">
        <v>500337000</v>
      </c>
      <c r="C1213" s="24" t="n">
        <v>30</v>
      </c>
      <c r="D1213" s="54" t="s">
        <v>1125</v>
      </c>
      <c r="E1213" s="19" t="s">
        <v>1124</v>
      </c>
      <c r="F1213" s="24" t="s">
        <v>647</v>
      </c>
      <c r="G1213" s="25" t="n">
        <v>0.207</v>
      </c>
      <c r="H1213" s="26"/>
      <c r="I1213" s="27" t="n">
        <v>30</v>
      </c>
      <c r="J1213" s="28" t="n">
        <v>10</v>
      </c>
      <c r="K1213" s="28" t="n">
        <v>1</v>
      </c>
      <c r="L1213" s="24" t="s">
        <v>631</v>
      </c>
      <c r="M1213" s="29" t="n">
        <f aca="false">IF("oui" = "oui",14.12*(1-disc),14.12)</f>
        <v>14.12</v>
      </c>
      <c r="N1213" s="29" t="n">
        <f aca="false">IF("oui" = "oui",14.12*(1-disc)*1.2,14.12*1.2)</f>
        <v>16.944</v>
      </c>
      <c r="O1213" s="24" t="s">
        <v>25</v>
      </c>
      <c r="P1213" s="7" t="s">
        <v>26</v>
      </c>
      <c r="Q1213" s="16"/>
    </row>
    <row r="1214" customFormat="false" ht="12.8" hidden="false" customHeight="false" outlineLevel="0" collapsed="false">
      <c r="A1214" s="22"/>
      <c r="B1214" s="23" t="n">
        <v>504009000</v>
      </c>
      <c r="C1214" s="24" t="n">
        <v>30</v>
      </c>
      <c r="D1214" s="54" t="s">
        <v>1126</v>
      </c>
      <c r="E1214" s="19" t="s">
        <v>1048</v>
      </c>
      <c r="F1214" s="24" t="s">
        <v>23</v>
      </c>
      <c r="G1214" s="25" t="n">
        <v>0.207</v>
      </c>
      <c r="H1214" s="26"/>
      <c r="I1214" s="27" t="n">
        <v>30</v>
      </c>
      <c r="J1214" s="28" t="n">
        <v>10</v>
      </c>
      <c r="K1214" s="28" t="n">
        <v>1</v>
      </c>
      <c r="L1214" s="24" t="s">
        <v>631</v>
      </c>
      <c r="M1214" s="29" t="n">
        <f aca="false">IF("oui" = "oui",14.12*(1-disc),14.12)</f>
        <v>14.12</v>
      </c>
      <c r="N1214" s="29" t="n">
        <f aca="false">IF("oui" = "oui",14.12*(1-disc)*1.2,14.12*1.2)</f>
        <v>16.944</v>
      </c>
      <c r="O1214" s="24" t="s">
        <v>25</v>
      </c>
      <c r="P1214" s="7" t="s">
        <v>26</v>
      </c>
      <c r="Q1214" s="16"/>
    </row>
    <row r="1215" customFormat="false" ht="12.8" hidden="false" customHeight="false" outlineLevel="0" collapsed="false">
      <c r="A1215" s="22"/>
      <c r="B1215" s="23"/>
      <c r="C1215" s="24"/>
      <c r="D1215" s="22"/>
      <c r="E1215" s="19"/>
      <c r="F1215" s="24"/>
      <c r="G1215" s="25"/>
      <c r="H1215" s="26"/>
      <c r="I1215" s="27"/>
      <c r="J1215" s="28"/>
      <c r="K1215" s="28"/>
      <c r="L1215" s="24"/>
      <c r="M1215" s="29"/>
      <c r="N1215" s="29"/>
      <c r="O1215" s="24"/>
      <c r="P1215" s="4"/>
      <c r="Q1215" s="16"/>
    </row>
    <row r="1216" customFormat="false" ht="12.8" hidden="false" customHeight="false" outlineLevel="0" collapsed="false">
      <c r="A1216" s="22"/>
      <c r="B1216" s="23" t="n">
        <v>504004000</v>
      </c>
      <c r="C1216" s="24" t="n">
        <v>30</v>
      </c>
      <c r="D1216" s="54" t="s">
        <v>1127</v>
      </c>
      <c r="E1216" s="19" t="s">
        <v>1048</v>
      </c>
      <c r="F1216" s="24" t="s">
        <v>23</v>
      </c>
      <c r="G1216" s="25" t="n">
        <v>0.225</v>
      </c>
      <c r="H1216" s="26"/>
      <c r="I1216" s="27" t="n">
        <v>30</v>
      </c>
      <c r="J1216" s="28" t="n">
        <v>10</v>
      </c>
      <c r="K1216" s="28" t="n">
        <v>1</v>
      </c>
      <c r="L1216" s="24" t="s">
        <v>631</v>
      </c>
      <c r="M1216" s="29" t="n">
        <f aca="false">IF("oui" = "oui",19.07*(1-disc),19.07)</f>
        <v>19.07</v>
      </c>
      <c r="N1216" s="29" t="n">
        <f aca="false">IF("oui" = "oui",19.07*(1-disc)*1.2,19.07*1.2)</f>
        <v>22.884</v>
      </c>
      <c r="O1216" s="24" t="s">
        <v>25</v>
      </c>
      <c r="P1216" s="4" t="s">
        <v>25</v>
      </c>
      <c r="Q1216" s="16"/>
    </row>
    <row r="1217" customFormat="false" ht="12.8" hidden="false" customHeight="false" outlineLevel="0" collapsed="false">
      <c r="A1217" s="22"/>
      <c r="B1217" s="23" t="n">
        <v>504005000</v>
      </c>
      <c r="C1217" s="24" t="n">
        <v>30</v>
      </c>
      <c r="D1217" s="54" t="s">
        <v>1128</v>
      </c>
      <c r="E1217" s="19" t="s">
        <v>1048</v>
      </c>
      <c r="F1217" s="24" t="s">
        <v>23</v>
      </c>
      <c r="G1217" s="25" t="n">
        <v>0.207</v>
      </c>
      <c r="H1217" s="26"/>
      <c r="I1217" s="27" t="n">
        <v>30</v>
      </c>
      <c r="J1217" s="28" t="n">
        <v>10</v>
      </c>
      <c r="K1217" s="28" t="n">
        <v>1</v>
      </c>
      <c r="L1217" s="24" t="s">
        <v>631</v>
      </c>
      <c r="M1217" s="29" t="n">
        <f aca="false">IF("oui" = "oui",19.07*(1-disc),19.07)</f>
        <v>19.07</v>
      </c>
      <c r="N1217" s="29" t="n">
        <f aca="false">IF("oui" = "oui",19.07*(1-disc)*1.2,19.07*1.2)</f>
        <v>22.884</v>
      </c>
      <c r="O1217" s="24" t="s">
        <v>25</v>
      </c>
      <c r="P1217" s="55" t="s">
        <v>349</v>
      </c>
      <c r="Q1217" s="16"/>
    </row>
    <row r="1218" customFormat="false" ht="12.8" hidden="false" customHeight="false" outlineLevel="0" collapsed="false">
      <c r="A1218" s="22"/>
      <c r="B1218" s="23"/>
      <c r="C1218" s="24"/>
      <c r="D1218" s="22"/>
      <c r="E1218" s="19"/>
      <c r="F1218" s="24"/>
      <c r="G1218" s="25"/>
      <c r="H1218" s="26"/>
      <c r="I1218" s="27"/>
      <c r="J1218" s="28"/>
      <c r="K1218" s="28"/>
      <c r="L1218" s="24"/>
      <c r="M1218" s="29"/>
      <c r="N1218" s="29"/>
      <c r="O1218" s="24"/>
      <c r="P1218" s="4"/>
      <c r="Q1218" s="16"/>
    </row>
    <row r="1219" customFormat="false" ht="12.8" hidden="false" customHeight="false" outlineLevel="0" collapsed="false">
      <c r="A1219" s="42" t="s">
        <v>1129</v>
      </c>
      <c r="B1219" s="43"/>
      <c r="C1219" s="44"/>
      <c r="D1219" s="45"/>
      <c r="E1219" s="46"/>
      <c r="F1219" s="44"/>
      <c r="G1219" s="47"/>
      <c r="H1219" s="48"/>
      <c r="I1219" s="49"/>
      <c r="J1219" s="50"/>
      <c r="K1219" s="50"/>
      <c r="L1219" s="44"/>
      <c r="M1219" s="51"/>
      <c r="N1219" s="51"/>
      <c r="O1219" s="44"/>
      <c r="P1219" s="52"/>
      <c r="Q1219" s="53"/>
    </row>
    <row r="1220" customFormat="false" ht="12.8" hidden="false" customHeight="false" outlineLevel="0" collapsed="false">
      <c r="A1220" s="22"/>
      <c r="B1220" s="23"/>
      <c r="C1220" s="24"/>
      <c r="D1220" s="22"/>
      <c r="E1220" s="19"/>
      <c r="F1220" s="24"/>
      <c r="G1220" s="25"/>
      <c r="H1220" s="26"/>
      <c r="I1220" s="27"/>
      <c r="J1220" s="28"/>
      <c r="K1220" s="28"/>
      <c r="L1220" s="24"/>
      <c r="M1220" s="29"/>
      <c r="N1220" s="29"/>
      <c r="O1220" s="24"/>
      <c r="P1220" s="4"/>
      <c r="Q1220" s="16"/>
    </row>
    <row r="1221" customFormat="false" ht="12.8" hidden="false" customHeight="false" outlineLevel="0" collapsed="false">
      <c r="A1221" s="22"/>
      <c r="B1221" s="23" t="n">
        <v>500318000</v>
      </c>
      <c r="C1221" s="24" t="n">
        <v>20</v>
      </c>
      <c r="D1221" s="54" t="s">
        <v>1130</v>
      </c>
      <c r="E1221" s="19" t="s">
        <v>1131</v>
      </c>
      <c r="F1221" s="24" t="s">
        <v>630</v>
      </c>
      <c r="G1221" s="25" t="n">
        <v>0.3</v>
      </c>
      <c r="H1221" s="26" t="n">
        <v>25</v>
      </c>
      <c r="I1221" s="27" t="n">
        <v>30</v>
      </c>
      <c r="J1221" s="28" t="n">
        <v>6</v>
      </c>
      <c r="K1221" s="28" t="n">
        <v>1</v>
      </c>
      <c r="L1221" s="24" t="s">
        <v>631</v>
      </c>
      <c r="M1221" s="29" t="n">
        <f aca="false">IF("oui" = "oui",17.93*(1-disc),17.93)</f>
        <v>17.93</v>
      </c>
      <c r="N1221" s="29" t="n">
        <f aca="false">IF("oui" = "oui",17.93*(1-disc)*1.2,17.93*1.2)</f>
        <v>21.516</v>
      </c>
      <c r="O1221" s="24" t="s">
        <v>25</v>
      </c>
      <c r="P1221" s="55" t="s">
        <v>467</v>
      </c>
      <c r="Q1221" s="16"/>
    </row>
    <row r="1222" customFormat="false" ht="12.8" hidden="false" customHeight="false" outlineLevel="0" collapsed="false">
      <c r="A1222" s="22"/>
      <c r="B1222" s="23" t="n">
        <v>500319000</v>
      </c>
      <c r="C1222" s="24" t="n">
        <v>20</v>
      </c>
      <c r="D1222" s="54" t="s">
        <v>1132</v>
      </c>
      <c r="E1222" s="19" t="s">
        <v>1131</v>
      </c>
      <c r="F1222" s="24" t="s">
        <v>630</v>
      </c>
      <c r="G1222" s="25" t="n">
        <v>0.3</v>
      </c>
      <c r="H1222" s="26" t="n">
        <v>25</v>
      </c>
      <c r="I1222" s="27" t="n">
        <v>30</v>
      </c>
      <c r="J1222" s="28" t="n">
        <v>6</v>
      </c>
      <c r="K1222" s="28" t="n">
        <v>1</v>
      </c>
      <c r="L1222" s="24" t="s">
        <v>631</v>
      </c>
      <c r="M1222" s="29" t="n">
        <f aca="false">IF("oui" = "oui",17.93*(1-disc),17.93)</f>
        <v>17.93</v>
      </c>
      <c r="N1222" s="29" t="n">
        <f aca="false">IF("oui" = "oui",17.93*(1-disc)*1.2,17.93*1.2)</f>
        <v>21.516</v>
      </c>
      <c r="O1222" s="24" t="s">
        <v>25</v>
      </c>
      <c r="P1222" s="55" t="s">
        <v>141</v>
      </c>
      <c r="Q1222" s="16"/>
    </row>
    <row r="1223" customFormat="false" ht="12.8" hidden="false" customHeight="false" outlineLevel="0" collapsed="false">
      <c r="A1223" s="22"/>
      <c r="B1223" s="23" t="n">
        <v>500320000</v>
      </c>
      <c r="C1223" s="24" t="n">
        <v>20</v>
      </c>
      <c r="D1223" s="54" t="s">
        <v>1133</v>
      </c>
      <c r="E1223" s="19" t="s">
        <v>1131</v>
      </c>
      <c r="F1223" s="24" t="s">
        <v>630</v>
      </c>
      <c r="G1223" s="25" t="n">
        <v>0.3</v>
      </c>
      <c r="H1223" s="26" t="n">
        <v>25</v>
      </c>
      <c r="I1223" s="27" t="n">
        <v>30</v>
      </c>
      <c r="J1223" s="28" t="n">
        <v>6</v>
      </c>
      <c r="K1223" s="28" t="n">
        <v>1</v>
      </c>
      <c r="L1223" s="24" t="s">
        <v>631</v>
      </c>
      <c r="M1223" s="29" t="n">
        <f aca="false">IF("oui" = "oui",17.93*(1-disc),17.93)</f>
        <v>17.93</v>
      </c>
      <c r="N1223" s="29" t="n">
        <f aca="false">IF("oui" = "oui",17.93*(1-disc)*1.2,17.93*1.2)</f>
        <v>21.516</v>
      </c>
      <c r="O1223" s="24" t="s">
        <v>25</v>
      </c>
      <c r="P1223" s="7" t="s">
        <v>26</v>
      </c>
      <c r="Q1223" s="16"/>
    </row>
    <row r="1224" customFormat="false" ht="12.8" hidden="false" customHeight="false" outlineLevel="0" collapsed="false">
      <c r="A1224" s="22"/>
      <c r="B1224" s="23" t="n">
        <v>500321000</v>
      </c>
      <c r="C1224" s="24" t="n">
        <v>20</v>
      </c>
      <c r="D1224" s="54" t="s">
        <v>1134</v>
      </c>
      <c r="E1224" s="19" t="s">
        <v>1131</v>
      </c>
      <c r="F1224" s="24" t="s">
        <v>630</v>
      </c>
      <c r="G1224" s="25" t="n">
        <v>0.3</v>
      </c>
      <c r="H1224" s="26" t="n">
        <v>25</v>
      </c>
      <c r="I1224" s="27" t="n">
        <v>30</v>
      </c>
      <c r="J1224" s="28" t="n">
        <v>6</v>
      </c>
      <c r="K1224" s="28" t="n">
        <v>1</v>
      </c>
      <c r="L1224" s="24" t="s">
        <v>631</v>
      </c>
      <c r="M1224" s="29" t="n">
        <f aca="false">IF("oui" = "oui",17.93*(1-disc),17.93)</f>
        <v>17.93</v>
      </c>
      <c r="N1224" s="29" t="n">
        <f aca="false">IF("oui" = "oui",17.93*(1-disc)*1.2,17.93*1.2)</f>
        <v>21.516</v>
      </c>
      <c r="O1224" s="24" t="s">
        <v>25</v>
      </c>
      <c r="P1224" s="55" t="s">
        <v>486</v>
      </c>
      <c r="Q1224" s="16"/>
    </row>
    <row r="1225" customFormat="false" ht="12.8" hidden="false" customHeight="false" outlineLevel="0" collapsed="false">
      <c r="A1225" s="22"/>
      <c r="B1225" s="23" t="n">
        <v>500322000</v>
      </c>
      <c r="C1225" s="24" t="n">
        <v>20</v>
      </c>
      <c r="D1225" s="54" t="s">
        <v>1135</v>
      </c>
      <c r="E1225" s="19" t="s">
        <v>1131</v>
      </c>
      <c r="F1225" s="24" t="s">
        <v>630</v>
      </c>
      <c r="G1225" s="25" t="n">
        <v>0.3</v>
      </c>
      <c r="H1225" s="26" t="n">
        <v>25</v>
      </c>
      <c r="I1225" s="27" t="n">
        <v>30</v>
      </c>
      <c r="J1225" s="28" t="n">
        <v>6</v>
      </c>
      <c r="K1225" s="28" t="n">
        <v>1</v>
      </c>
      <c r="L1225" s="24" t="s">
        <v>631</v>
      </c>
      <c r="M1225" s="29" t="n">
        <f aca="false">IF("oui" = "oui",17.93*(1-disc),17.93)</f>
        <v>17.93</v>
      </c>
      <c r="N1225" s="29" t="n">
        <f aca="false">IF("oui" = "oui",17.93*(1-disc)*1.2,17.93*1.2)</f>
        <v>21.516</v>
      </c>
      <c r="O1225" s="24" t="s">
        <v>25</v>
      </c>
      <c r="P1225" s="7" t="s">
        <v>26</v>
      </c>
      <c r="Q1225" s="16"/>
    </row>
    <row r="1226" customFormat="false" ht="12.8" hidden="false" customHeight="false" outlineLevel="0" collapsed="false">
      <c r="A1226" s="22"/>
      <c r="B1226" s="23" t="n">
        <v>500323000</v>
      </c>
      <c r="C1226" s="24" t="n">
        <v>20</v>
      </c>
      <c r="D1226" s="54" t="s">
        <v>1136</v>
      </c>
      <c r="E1226" s="19" t="s">
        <v>1131</v>
      </c>
      <c r="F1226" s="24" t="s">
        <v>630</v>
      </c>
      <c r="G1226" s="25" t="n">
        <v>0.3</v>
      </c>
      <c r="H1226" s="26" t="n">
        <v>25</v>
      </c>
      <c r="I1226" s="27" t="n">
        <v>30</v>
      </c>
      <c r="J1226" s="28" t="n">
        <v>6</v>
      </c>
      <c r="K1226" s="28" t="n">
        <v>1</v>
      </c>
      <c r="L1226" s="24" t="s">
        <v>631</v>
      </c>
      <c r="M1226" s="29" t="n">
        <f aca="false">IF("oui" = "oui",17.93*(1-disc),17.93)</f>
        <v>17.93</v>
      </c>
      <c r="N1226" s="29" t="n">
        <f aca="false">IF("oui" = "oui",17.93*(1-disc)*1.2,17.93*1.2)</f>
        <v>21.516</v>
      </c>
      <c r="O1226" s="24" t="s">
        <v>25</v>
      </c>
      <c r="P1226" s="55" t="s">
        <v>605</v>
      </c>
      <c r="Q1226" s="16"/>
    </row>
    <row r="1227" customFormat="false" ht="12.8" hidden="false" customHeight="false" outlineLevel="0" collapsed="false">
      <c r="A1227" s="22"/>
      <c r="B1227" s="23" t="n">
        <v>500324000</v>
      </c>
      <c r="C1227" s="24" t="n">
        <v>20</v>
      </c>
      <c r="D1227" s="54" t="s">
        <v>1137</v>
      </c>
      <c r="E1227" s="19" t="s">
        <v>1131</v>
      </c>
      <c r="F1227" s="24" t="s">
        <v>630</v>
      </c>
      <c r="G1227" s="25" t="n">
        <v>0.3</v>
      </c>
      <c r="H1227" s="26" t="n">
        <v>25</v>
      </c>
      <c r="I1227" s="27" t="n">
        <v>30</v>
      </c>
      <c r="J1227" s="28" t="n">
        <v>6</v>
      </c>
      <c r="K1227" s="28" t="n">
        <v>1</v>
      </c>
      <c r="L1227" s="24" t="s">
        <v>631</v>
      </c>
      <c r="M1227" s="29" t="n">
        <f aca="false">IF("oui" = "oui",17.93*(1-disc),17.93)</f>
        <v>17.93</v>
      </c>
      <c r="N1227" s="29" t="n">
        <f aca="false">IF("oui" = "oui",17.93*(1-disc)*1.2,17.93*1.2)</f>
        <v>21.516</v>
      </c>
      <c r="O1227" s="24" t="s">
        <v>25</v>
      </c>
      <c r="P1227" s="7" t="s">
        <v>26</v>
      </c>
      <c r="Q1227" s="16"/>
    </row>
    <row r="1228" customFormat="false" ht="12.8" hidden="false" customHeight="false" outlineLevel="0" collapsed="false">
      <c r="A1228" s="22"/>
      <c r="B1228" s="23" t="n">
        <v>500325000</v>
      </c>
      <c r="C1228" s="24" t="n">
        <v>20</v>
      </c>
      <c r="D1228" s="54" t="s">
        <v>1138</v>
      </c>
      <c r="E1228" s="19" t="s">
        <v>1131</v>
      </c>
      <c r="F1228" s="24" t="s">
        <v>630</v>
      </c>
      <c r="G1228" s="25" t="n">
        <v>0.3</v>
      </c>
      <c r="H1228" s="26" t="n">
        <v>25</v>
      </c>
      <c r="I1228" s="27" t="n">
        <v>30</v>
      </c>
      <c r="J1228" s="28" t="n">
        <v>6</v>
      </c>
      <c r="K1228" s="28" t="n">
        <v>1</v>
      </c>
      <c r="L1228" s="24" t="s">
        <v>631</v>
      </c>
      <c r="M1228" s="29" t="n">
        <f aca="false">IF("oui" = "oui",17.93*(1-disc),17.93)</f>
        <v>17.93</v>
      </c>
      <c r="N1228" s="29" t="n">
        <f aca="false">IF("oui" = "oui",17.93*(1-disc)*1.2,17.93*1.2)</f>
        <v>21.516</v>
      </c>
      <c r="O1228" s="24" t="s">
        <v>25</v>
      </c>
      <c r="P1228" s="7" t="s">
        <v>26</v>
      </c>
      <c r="Q1228" s="16"/>
    </row>
    <row r="1229" customFormat="false" ht="12.8" hidden="false" customHeight="false" outlineLevel="0" collapsed="false">
      <c r="A1229" s="22"/>
      <c r="B1229" s="23" t="n">
        <v>500326000</v>
      </c>
      <c r="C1229" s="24" t="n">
        <v>20</v>
      </c>
      <c r="D1229" s="54" t="s">
        <v>1139</v>
      </c>
      <c r="E1229" s="19" t="s">
        <v>1131</v>
      </c>
      <c r="F1229" s="24" t="s">
        <v>630</v>
      </c>
      <c r="G1229" s="25" t="n">
        <v>0.3</v>
      </c>
      <c r="H1229" s="26" t="n">
        <v>25</v>
      </c>
      <c r="I1229" s="27" t="n">
        <v>30</v>
      </c>
      <c r="J1229" s="28" t="n">
        <v>6</v>
      </c>
      <c r="K1229" s="28" t="n">
        <v>1</v>
      </c>
      <c r="L1229" s="24" t="s">
        <v>631</v>
      </c>
      <c r="M1229" s="29" t="n">
        <f aca="false">IF("oui" = "oui",17.93*(1-disc),17.93)</f>
        <v>17.93</v>
      </c>
      <c r="N1229" s="29" t="n">
        <f aca="false">IF("oui" = "oui",17.93*(1-disc)*1.2,17.93*1.2)</f>
        <v>21.516</v>
      </c>
      <c r="O1229" s="24" t="s">
        <v>25</v>
      </c>
      <c r="P1229" s="55" t="s">
        <v>141</v>
      </c>
      <c r="Q1229" s="16"/>
    </row>
    <row r="1230" customFormat="false" ht="12.8" hidden="false" customHeight="false" outlineLevel="0" collapsed="false">
      <c r="A1230" s="22"/>
      <c r="B1230" s="23"/>
      <c r="C1230" s="24"/>
      <c r="D1230" s="22"/>
      <c r="E1230" s="19"/>
      <c r="F1230" s="24"/>
      <c r="G1230" s="25"/>
      <c r="H1230" s="26"/>
      <c r="I1230" s="27"/>
      <c r="J1230" s="28"/>
      <c r="K1230" s="28"/>
      <c r="L1230" s="24"/>
      <c r="M1230" s="29"/>
      <c r="N1230" s="29"/>
      <c r="O1230" s="24"/>
      <c r="P1230" s="4"/>
      <c r="Q1230" s="16"/>
    </row>
    <row r="1231" customFormat="false" ht="12.8" hidden="false" customHeight="false" outlineLevel="0" collapsed="false">
      <c r="A1231" s="22"/>
      <c r="B1231" s="23" t="n">
        <v>500163000</v>
      </c>
      <c r="C1231" s="24" t="n">
        <v>20</v>
      </c>
      <c r="D1231" s="54" t="s">
        <v>1140</v>
      </c>
      <c r="E1231" s="19" t="s">
        <v>1141</v>
      </c>
      <c r="F1231" s="24" t="s">
        <v>630</v>
      </c>
      <c r="G1231" s="25" t="n">
        <v>0.293</v>
      </c>
      <c r="H1231" s="26" t="n">
        <v>27</v>
      </c>
      <c r="I1231" s="27" t="n">
        <v>30</v>
      </c>
      <c r="J1231" s="28" t="n">
        <v>6</v>
      </c>
      <c r="K1231" s="28" t="n">
        <v>1</v>
      </c>
      <c r="L1231" s="24" t="s">
        <v>631</v>
      </c>
      <c r="M1231" s="29" t="n">
        <f aca="false">IF("oui" = "oui",19.83*(1-disc),19.83)</f>
        <v>19.83</v>
      </c>
      <c r="N1231" s="29" t="n">
        <f aca="false">IF("oui" = "oui",19.83*(1-disc)*1.2,19.83*1.2)</f>
        <v>23.796</v>
      </c>
      <c r="O1231" s="24" t="s">
        <v>25</v>
      </c>
      <c r="P1231" s="7" t="s">
        <v>26</v>
      </c>
      <c r="Q1231" s="16"/>
    </row>
    <row r="1232" customFormat="false" ht="12.8" hidden="false" customHeight="false" outlineLevel="0" collapsed="false">
      <c r="A1232" s="22"/>
      <c r="B1232" s="23"/>
      <c r="C1232" s="24"/>
      <c r="D1232" s="22"/>
      <c r="E1232" s="19"/>
      <c r="F1232" s="24"/>
      <c r="G1232" s="25"/>
      <c r="H1232" s="26"/>
      <c r="I1232" s="27"/>
      <c r="J1232" s="28"/>
      <c r="K1232" s="28"/>
      <c r="L1232" s="24"/>
      <c r="M1232" s="29"/>
      <c r="N1232" s="29"/>
      <c r="O1232" s="24"/>
      <c r="P1232" s="4"/>
      <c r="Q1232" s="16"/>
    </row>
    <row r="1233" customFormat="false" ht="12.8" hidden="false" customHeight="false" outlineLevel="0" collapsed="false">
      <c r="A1233" s="22"/>
      <c r="B1233" s="23" t="n">
        <v>500063000</v>
      </c>
      <c r="C1233" s="24" t="n">
        <v>20</v>
      </c>
      <c r="D1233" s="54" t="s">
        <v>1142</v>
      </c>
      <c r="E1233" s="19" t="s">
        <v>1143</v>
      </c>
      <c r="F1233" s="24" t="s">
        <v>630</v>
      </c>
      <c r="G1233" s="25" t="n">
        <v>0.242</v>
      </c>
      <c r="H1233" s="26" t="n">
        <v>27</v>
      </c>
      <c r="I1233" s="27" t="n">
        <v>30</v>
      </c>
      <c r="J1233" s="28" t="n">
        <v>6</v>
      </c>
      <c r="K1233" s="28" t="n">
        <v>1</v>
      </c>
      <c r="L1233" s="24" t="s">
        <v>631</v>
      </c>
      <c r="M1233" s="29" t="n">
        <f aca="false">IF("oui" = "oui",19.83*(1-disc),19.83)</f>
        <v>19.83</v>
      </c>
      <c r="N1233" s="29" t="n">
        <f aca="false">IF("oui" = "oui",19.83*(1-disc)*1.2,19.83*1.2)</f>
        <v>23.796</v>
      </c>
      <c r="O1233" s="24" t="s">
        <v>25</v>
      </c>
      <c r="P1233" s="7" t="s">
        <v>26</v>
      </c>
      <c r="Q1233" s="16"/>
    </row>
    <row r="1234" customFormat="false" ht="12.8" hidden="false" customHeight="false" outlineLevel="0" collapsed="false">
      <c r="A1234" s="22"/>
      <c r="B1234" s="23" t="n">
        <v>500064000</v>
      </c>
      <c r="C1234" s="24" t="n">
        <v>20</v>
      </c>
      <c r="D1234" s="54" t="s">
        <v>1144</v>
      </c>
      <c r="E1234" s="19" t="s">
        <v>1143</v>
      </c>
      <c r="F1234" s="24" t="s">
        <v>630</v>
      </c>
      <c r="G1234" s="25" t="n">
        <v>0.242</v>
      </c>
      <c r="H1234" s="26" t="n">
        <v>27</v>
      </c>
      <c r="I1234" s="27" t="n">
        <v>30</v>
      </c>
      <c r="J1234" s="28" t="n">
        <v>6</v>
      </c>
      <c r="K1234" s="28" t="n">
        <v>1</v>
      </c>
      <c r="L1234" s="24" t="s">
        <v>631</v>
      </c>
      <c r="M1234" s="29" t="n">
        <f aca="false">IF("oui" = "oui",19.83*(1-disc),19.83)</f>
        <v>19.83</v>
      </c>
      <c r="N1234" s="29" t="n">
        <f aca="false">IF("oui" = "oui",19.83*(1-disc)*1.2,19.83*1.2)</f>
        <v>23.796</v>
      </c>
      <c r="O1234" s="24" t="s">
        <v>25</v>
      </c>
      <c r="P1234" s="7" t="s">
        <v>26</v>
      </c>
      <c r="Q1234" s="16"/>
    </row>
    <row r="1235" customFormat="false" ht="12.8" hidden="false" customHeight="false" outlineLevel="0" collapsed="false">
      <c r="A1235" s="22"/>
      <c r="B1235" s="23" t="n">
        <v>500068000</v>
      </c>
      <c r="C1235" s="24" t="n">
        <v>20</v>
      </c>
      <c r="D1235" s="54" t="s">
        <v>1145</v>
      </c>
      <c r="E1235" s="19" t="s">
        <v>1143</v>
      </c>
      <c r="F1235" s="24" t="s">
        <v>630</v>
      </c>
      <c r="G1235" s="25" t="n">
        <v>0.242</v>
      </c>
      <c r="H1235" s="26" t="n">
        <v>27</v>
      </c>
      <c r="I1235" s="27" t="n">
        <v>30</v>
      </c>
      <c r="J1235" s="28" t="n">
        <v>6</v>
      </c>
      <c r="K1235" s="28" t="n">
        <v>1</v>
      </c>
      <c r="L1235" s="24" t="s">
        <v>631</v>
      </c>
      <c r="M1235" s="29" t="n">
        <f aca="false">IF("oui" = "oui",19.83*(1-disc),19.83)</f>
        <v>19.83</v>
      </c>
      <c r="N1235" s="29" t="n">
        <f aca="false">IF("oui" = "oui",19.83*(1-disc)*1.2,19.83*1.2)</f>
        <v>23.796</v>
      </c>
      <c r="O1235" s="24" t="s">
        <v>25</v>
      </c>
      <c r="P1235" s="7" t="s">
        <v>26</v>
      </c>
      <c r="Q1235" s="16"/>
    </row>
    <row r="1236" customFormat="false" ht="12.8" hidden="false" customHeight="false" outlineLevel="0" collapsed="false">
      <c r="A1236" s="22"/>
      <c r="B1236" s="23" t="n">
        <v>500066000</v>
      </c>
      <c r="C1236" s="24" t="n">
        <v>20</v>
      </c>
      <c r="D1236" s="54" t="s">
        <v>1146</v>
      </c>
      <c r="E1236" s="19" t="s">
        <v>1143</v>
      </c>
      <c r="F1236" s="24" t="s">
        <v>630</v>
      </c>
      <c r="G1236" s="25" t="n">
        <v>0.242</v>
      </c>
      <c r="H1236" s="26" t="n">
        <v>27</v>
      </c>
      <c r="I1236" s="27" t="n">
        <v>30</v>
      </c>
      <c r="J1236" s="28" t="n">
        <v>6</v>
      </c>
      <c r="K1236" s="28" t="n">
        <v>1</v>
      </c>
      <c r="L1236" s="24" t="s">
        <v>631</v>
      </c>
      <c r="M1236" s="29" t="n">
        <f aca="false">IF("oui" = "oui",19.83*(1-disc),19.83)</f>
        <v>19.83</v>
      </c>
      <c r="N1236" s="29" t="n">
        <f aca="false">IF("oui" = "oui",19.83*(1-disc)*1.2,19.83*1.2)</f>
        <v>23.796</v>
      </c>
      <c r="O1236" s="24" t="s">
        <v>25</v>
      </c>
      <c r="P1236" s="7" t="s">
        <v>26</v>
      </c>
      <c r="Q1236" s="16"/>
    </row>
    <row r="1237" customFormat="false" ht="12.8" hidden="false" customHeight="false" outlineLevel="0" collapsed="false">
      <c r="A1237" s="22"/>
      <c r="B1237" s="23" t="n">
        <v>500067000</v>
      </c>
      <c r="C1237" s="24" t="n">
        <v>20</v>
      </c>
      <c r="D1237" s="54" t="s">
        <v>1147</v>
      </c>
      <c r="E1237" s="19" t="s">
        <v>1143</v>
      </c>
      <c r="F1237" s="24" t="s">
        <v>630</v>
      </c>
      <c r="G1237" s="25" t="n">
        <v>0.242</v>
      </c>
      <c r="H1237" s="26" t="n">
        <v>27</v>
      </c>
      <c r="I1237" s="27" t="n">
        <v>30</v>
      </c>
      <c r="J1237" s="28" t="n">
        <v>6</v>
      </c>
      <c r="K1237" s="28" t="n">
        <v>1</v>
      </c>
      <c r="L1237" s="24" t="s">
        <v>631</v>
      </c>
      <c r="M1237" s="29" t="n">
        <f aca="false">IF("oui" = "oui",19.83*(1-disc),19.83)</f>
        <v>19.83</v>
      </c>
      <c r="N1237" s="29" t="n">
        <f aca="false">IF("oui" = "oui",19.83*(1-disc)*1.2,19.83*1.2)</f>
        <v>23.796</v>
      </c>
      <c r="O1237" s="24" t="s">
        <v>25</v>
      </c>
      <c r="P1237" s="7" t="s">
        <v>26</v>
      </c>
      <c r="Q1237" s="16"/>
    </row>
    <row r="1238" customFormat="false" ht="12.8" hidden="false" customHeight="false" outlineLevel="0" collapsed="false">
      <c r="A1238" s="22"/>
      <c r="B1238" s="23" t="n">
        <v>500069000</v>
      </c>
      <c r="C1238" s="24" t="n">
        <v>20</v>
      </c>
      <c r="D1238" s="54" t="s">
        <v>1148</v>
      </c>
      <c r="E1238" s="19" t="s">
        <v>1143</v>
      </c>
      <c r="F1238" s="24" t="s">
        <v>630</v>
      </c>
      <c r="G1238" s="25" t="n">
        <v>0.242</v>
      </c>
      <c r="H1238" s="26" t="n">
        <v>27</v>
      </c>
      <c r="I1238" s="27" t="n">
        <v>30</v>
      </c>
      <c r="J1238" s="28" t="n">
        <v>6</v>
      </c>
      <c r="K1238" s="28" t="n">
        <v>1</v>
      </c>
      <c r="L1238" s="24" t="s">
        <v>631</v>
      </c>
      <c r="M1238" s="29" t="n">
        <f aca="false">IF("oui" = "oui",19.83*(1-disc),19.83)</f>
        <v>19.83</v>
      </c>
      <c r="N1238" s="29" t="n">
        <f aca="false">IF("oui" = "oui",19.83*(1-disc)*1.2,19.83*1.2)</f>
        <v>23.796</v>
      </c>
      <c r="O1238" s="24" t="s">
        <v>25</v>
      </c>
      <c r="P1238" s="7" t="s">
        <v>26</v>
      </c>
      <c r="Q1238" s="16"/>
    </row>
    <row r="1239" customFormat="false" ht="12.8" hidden="false" customHeight="false" outlineLevel="0" collapsed="false">
      <c r="A1239" s="22"/>
      <c r="B1239" s="23" t="n">
        <v>500070000</v>
      </c>
      <c r="C1239" s="24" t="n">
        <v>20</v>
      </c>
      <c r="D1239" s="54" t="s">
        <v>1149</v>
      </c>
      <c r="E1239" s="19" t="s">
        <v>1143</v>
      </c>
      <c r="F1239" s="24" t="s">
        <v>630</v>
      </c>
      <c r="G1239" s="25" t="n">
        <v>0.242</v>
      </c>
      <c r="H1239" s="26" t="n">
        <v>27</v>
      </c>
      <c r="I1239" s="27" t="n">
        <v>30</v>
      </c>
      <c r="J1239" s="28" t="n">
        <v>6</v>
      </c>
      <c r="K1239" s="28" t="n">
        <v>1</v>
      </c>
      <c r="L1239" s="24" t="s">
        <v>631</v>
      </c>
      <c r="M1239" s="29" t="n">
        <f aca="false">IF("oui" = "oui",19.83*(1-disc),19.83)</f>
        <v>19.83</v>
      </c>
      <c r="N1239" s="29" t="n">
        <f aca="false">IF("oui" = "oui",19.83*(1-disc)*1.2,19.83*1.2)</f>
        <v>23.796</v>
      </c>
      <c r="O1239" s="24" t="s">
        <v>25</v>
      </c>
      <c r="P1239" s="7" t="s">
        <v>26</v>
      </c>
      <c r="Q1239" s="16"/>
    </row>
    <row r="1240" customFormat="false" ht="12.8" hidden="false" customHeight="false" outlineLevel="0" collapsed="false">
      <c r="A1240" s="22"/>
      <c r="B1240" s="23" t="n">
        <v>500071000</v>
      </c>
      <c r="C1240" s="24" t="n">
        <v>20</v>
      </c>
      <c r="D1240" s="54" t="s">
        <v>1150</v>
      </c>
      <c r="E1240" s="19" t="s">
        <v>1143</v>
      </c>
      <c r="F1240" s="24" t="s">
        <v>630</v>
      </c>
      <c r="G1240" s="25" t="n">
        <v>0.242</v>
      </c>
      <c r="H1240" s="26" t="n">
        <v>30</v>
      </c>
      <c r="I1240" s="27" t="n">
        <v>30</v>
      </c>
      <c r="J1240" s="28" t="n">
        <v>6</v>
      </c>
      <c r="K1240" s="28" t="n">
        <v>1</v>
      </c>
      <c r="L1240" s="24" t="s">
        <v>631</v>
      </c>
      <c r="M1240" s="29" t="n">
        <f aca="false">IF("oui" = "oui",19.83*(1-disc),19.83)</f>
        <v>19.83</v>
      </c>
      <c r="N1240" s="29" t="n">
        <f aca="false">IF("oui" = "oui",19.83*(1-disc)*1.2,19.83*1.2)</f>
        <v>23.796</v>
      </c>
      <c r="O1240" s="24" t="s">
        <v>25</v>
      </c>
      <c r="P1240" s="7" t="s">
        <v>26</v>
      </c>
      <c r="Q1240" s="16"/>
    </row>
    <row r="1241" customFormat="false" ht="12.8" hidden="false" customHeight="false" outlineLevel="0" collapsed="false">
      <c r="A1241" s="22"/>
      <c r="B1241" s="23" t="n">
        <v>500073000</v>
      </c>
      <c r="C1241" s="24" t="n">
        <v>20</v>
      </c>
      <c r="D1241" s="54" t="s">
        <v>1151</v>
      </c>
      <c r="E1241" s="19" t="s">
        <v>1143</v>
      </c>
      <c r="F1241" s="24" t="s">
        <v>630</v>
      </c>
      <c r="G1241" s="25" t="n">
        <v>0.242</v>
      </c>
      <c r="H1241" s="26" t="n">
        <v>27</v>
      </c>
      <c r="I1241" s="27" t="n">
        <v>30</v>
      </c>
      <c r="J1241" s="28" t="n">
        <v>6</v>
      </c>
      <c r="K1241" s="28" t="n">
        <v>1</v>
      </c>
      <c r="L1241" s="24" t="s">
        <v>631</v>
      </c>
      <c r="M1241" s="29" t="n">
        <f aca="false">IF("oui" = "oui",19.83*(1-disc),19.83)</f>
        <v>19.83</v>
      </c>
      <c r="N1241" s="29" t="n">
        <f aca="false">IF("oui" = "oui",19.83*(1-disc)*1.2,19.83*1.2)</f>
        <v>23.796</v>
      </c>
      <c r="O1241" s="24" t="s">
        <v>25</v>
      </c>
      <c r="P1241" s="7" t="s">
        <v>26</v>
      </c>
      <c r="Q1241" s="16"/>
    </row>
    <row r="1242" customFormat="false" ht="12.8" hidden="false" customHeight="false" outlineLevel="0" collapsed="false">
      <c r="A1242" s="22"/>
      <c r="B1242" s="23"/>
      <c r="C1242" s="24"/>
      <c r="D1242" s="22"/>
      <c r="E1242" s="19"/>
      <c r="F1242" s="24"/>
      <c r="G1242" s="25"/>
      <c r="H1242" s="26"/>
      <c r="I1242" s="27"/>
      <c r="J1242" s="28"/>
      <c r="K1242" s="28"/>
      <c r="L1242" s="24"/>
      <c r="M1242" s="29"/>
      <c r="N1242" s="29"/>
      <c r="O1242" s="24"/>
      <c r="P1242" s="4"/>
      <c r="Q1242" s="16"/>
    </row>
    <row r="1243" customFormat="false" ht="12.8" hidden="false" customHeight="false" outlineLevel="0" collapsed="false">
      <c r="A1243" s="42" t="s">
        <v>1152</v>
      </c>
      <c r="B1243" s="43"/>
      <c r="C1243" s="44"/>
      <c r="D1243" s="45"/>
      <c r="E1243" s="46"/>
      <c r="F1243" s="44"/>
      <c r="G1243" s="47"/>
      <c r="H1243" s="48"/>
      <c r="I1243" s="49"/>
      <c r="J1243" s="50"/>
      <c r="K1243" s="50"/>
      <c r="L1243" s="44"/>
      <c r="M1243" s="51"/>
      <c r="N1243" s="51"/>
      <c r="O1243" s="44"/>
      <c r="P1243" s="52"/>
      <c r="Q1243" s="53"/>
    </row>
    <row r="1244" customFormat="false" ht="12.8" hidden="false" customHeight="false" outlineLevel="0" collapsed="false">
      <c r="A1244" s="22"/>
      <c r="B1244" s="23"/>
      <c r="C1244" s="24"/>
      <c r="D1244" s="22"/>
      <c r="E1244" s="19"/>
      <c r="F1244" s="24"/>
      <c r="G1244" s="25"/>
      <c r="H1244" s="26"/>
      <c r="I1244" s="27"/>
      <c r="J1244" s="28"/>
      <c r="K1244" s="28"/>
      <c r="L1244" s="24"/>
      <c r="M1244" s="29"/>
      <c r="N1244" s="29"/>
      <c r="O1244" s="24"/>
      <c r="P1244" s="4"/>
      <c r="Q1244" s="16"/>
    </row>
    <row r="1245" customFormat="false" ht="12.8" hidden="false" customHeight="false" outlineLevel="0" collapsed="false">
      <c r="A1245" s="22"/>
      <c r="B1245" s="23" t="n">
        <v>500210000</v>
      </c>
      <c r="C1245" s="24" t="n">
        <v>25</v>
      </c>
      <c r="D1245" s="54" t="s">
        <v>1153</v>
      </c>
      <c r="E1245" s="19" t="s">
        <v>1051</v>
      </c>
      <c r="F1245" s="24" t="s">
        <v>647</v>
      </c>
      <c r="G1245" s="25" t="n">
        <v>0.508</v>
      </c>
      <c r="H1245" s="26" t="n">
        <v>30</v>
      </c>
      <c r="I1245" s="27" t="n">
        <v>30</v>
      </c>
      <c r="J1245" s="28" t="n">
        <v>2</v>
      </c>
      <c r="K1245" s="28" t="n">
        <v>1</v>
      </c>
      <c r="L1245" s="24" t="s">
        <v>631</v>
      </c>
      <c r="M1245" s="29" t="n">
        <f aca="false">IF("oui" = "oui",45.75*(1-disc),45.75)</f>
        <v>45.75</v>
      </c>
      <c r="N1245" s="29" t="n">
        <f aca="false">IF("oui" = "oui",45.75*(1-disc)*1.2,45.75*1.2)</f>
        <v>54.9</v>
      </c>
      <c r="O1245" s="24" t="s">
        <v>25</v>
      </c>
      <c r="P1245" s="7" t="s">
        <v>26</v>
      </c>
      <c r="Q1245" s="16"/>
    </row>
    <row r="1246" customFormat="false" ht="12.8" hidden="false" customHeight="false" outlineLevel="0" collapsed="false">
      <c r="A1246" s="22"/>
      <c r="B1246" s="23" t="n">
        <v>500208000</v>
      </c>
      <c r="C1246" s="24" t="n">
        <v>25</v>
      </c>
      <c r="D1246" s="54" t="s">
        <v>1154</v>
      </c>
      <c r="E1246" s="19" t="s">
        <v>1051</v>
      </c>
      <c r="F1246" s="24" t="s">
        <v>647</v>
      </c>
      <c r="G1246" s="25" t="n">
        <v>0.528</v>
      </c>
      <c r="H1246" s="26" t="n">
        <v>30</v>
      </c>
      <c r="I1246" s="27" t="n">
        <v>30</v>
      </c>
      <c r="J1246" s="28" t="n">
        <v>2</v>
      </c>
      <c r="K1246" s="28" t="n">
        <v>1</v>
      </c>
      <c r="L1246" s="24" t="s">
        <v>631</v>
      </c>
      <c r="M1246" s="29" t="n">
        <f aca="false">IF("oui" = "oui",45.75*(1-disc),45.75)</f>
        <v>45.75</v>
      </c>
      <c r="N1246" s="29" t="n">
        <f aca="false">IF("oui" = "oui",45.75*(1-disc)*1.2,45.75*1.2)</f>
        <v>54.9</v>
      </c>
      <c r="O1246" s="24" t="s">
        <v>25</v>
      </c>
      <c r="P1246" s="7" t="s">
        <v>26</v>
      </c>
      <c r="Q1246" s="16"/>
    </row>
    <row r="1247" customFormat="false" ht="12.8" hidden="false" customHeight="false" outlineLevel="0" collapsed="false">
      <c r="A1247" s="22"/>
      <c r="B1247" s="23" t="n">
        <v>500205000</v>
      </c>
      <c r="C1247" s="24" t="n">
        <v>25</v>
      </c>
      <c r="D1247" s="54" t="s">
        <v>1155</v>
      </c>
      <c r="E1247" s="19" t="s">
        <v>1051</v>
      </c>
      <c r="F1247" s="24" t="s">
        <v>647</v>
      </c>
      <c r="G1247" s="25" t="n">
        <v>0.528</v>
      </c>
      <c r="H1247" s="26" t="n">
        <v>30</v>
      </c>
      <c r="I1247" s="27" t="n">
        <v>30</v>
      </c>
      <c r="J1247" s="28" t="n">
        <v>2</v>
      </c>
      <c r="K1247" s="28" t="n">
        <v>1</v>
      </c>
      <c r="L1247" s="24" t="s">
        <v>631</v>
      </c>
      <c r="M1247" s="29" t="n">
        <f aca="false">IF("oui" = "oui",45.75*(1-disc),45.75)</f>
        <v>45.75</v>
      </c>
      <c r="N1247" s="29" t="n">
        <f aca="false">IF("oui" = "oui",45.75*(1-disc)*1.2,45.75*1.2)</f>
        <v>54.9</v>
      </c>
      <c r="O1247" s="24" t="s">
        <v>25</v>
      </c>
      <c r="P1247" s="7" t="s">
        <v>26</v>
      </c>
      <c r="Q1247" s="16"/>
    </row>
    <row r="1248" customFormat="false" ht="12.8" hidden="false" customHeight="false" outlineLevel="0" collapsed="false">
      <c r="A1248" s="22"/>
      <c r="B1248" s="23" t="n">
        <v>500203000</v>
      </c>
      <c r="C1248" s="24" t="n">
        <v>25</v>
      </c>
      <c r="D1248" s="54" t="s">
        <v>1156</v>
      </c>
      <c r="E1248" s="19" t="s">
        <v>1051</v>
      </c>
      <c r="F1248" s="24" t="s">
        <v>647</v>
      </c>
      <c r="G1248" s="25" t="n">
        <v>0.568</v>
      </c>
      <c r="H1248" s="26" t="n">
        <v>30</v>
      </c>
      <c r="I1248" s="27" t="n">
        <v>30</v>
      </c>
      <c r="J1248" s="28" t="n">
        <v>2</v>
      </c>
      <c r="K1248" s="28" t="n">
        <v>1</v>
      </c>
      <c r="L1248" s="24" t="s">
        <v>631</v>
      </c>
      <c r="M1248" s="29" t="n">
        <f aca="false">IF("oui" = "oui",45.75*(1-disc),45.75)</f>
        <v>45.75</v>
      </c>
      <c r="N1248" s="29" t="n">
        <f aca="false">IF("oui" = "oui",45.75*(1-disc)*1.2,45.75*1.2)</f>
        <v>54.9</v>
      </c>
      <c r="O1248" s="24" t="s">
        <v>25</v>
      </c>
      <c r="P1248" s="7" t="s">
        <v>26</v>
      </c>
      <c r="Q1248" s="16"/>
    </row>
    <row r="1249" customFormat="false" ht="12.8" hidden="false" customHeight="false" outlineLevel="0" collapsed="false">
      <c r="A1249" s="22"/>
      <c r="B1249" s="23" t="n">
        <v>500206000</v>
      </c>
      <c r="C1249" s="24" t="n">
        <v>25</v>
      </c>
      <c r="D1249" s="54" t="s">
        <v>1157</v>
      </c>
      <c r="E1249" s="19" t="s">
        <v>1051</v>
      </c>
      <c r="F1249" s="24" t="s">
        <v>647</v>
      </c>
      <c r="G1249" s="25" t="n">
        <v>0.552</v>
      </c>
      <c r="H1249" s="26" t="n">
        <v>30</v>
      </c>
      <c r="I1249" s="27" t="n">
        <v>30</v>
      </c>
      <c r="J1249" s="28" t="n">
        <v>2</v>
      </c>
      <c r="K1249" s="28" t="n">
        <v>1</v>
      </c>
      <c r="L1249" s="24" t="s">
        <v>631</v>
      </c>
      <c r="M1249" s="29" t="n">
        <f aca="false">IF("oui" = "oui",45.75*(1-disc),45.75)</f>
        <v>45.75</v>
      </c>
      <c r="N1249" s="29" t="n">
        <f aca="false">IF("oui" = "oui",45.75*(1-disc)*1.2,45.75*1.2)</f>
        <v>54.9</v>
      </c>
      <c r="O1249" s="24" t="s">
        <v>25</v>
      </c>
      <c r="P1249" s="7" t="s">
        <v>26</v>
      </c>
      <c r="Q1249" s="16"/>
    </row>
    <row r="1250" customFormat="false" ht="12.8" hidden="false" customHeight="false" outlineLevel="0" collapsed="false">
      <c r="A1250" s="22"/>
      <c r="B1250" s="23" t="n">
        <v>500207000</v>
      </c>
      <c r="C1250" s="24" t="n">
        <v>25</v>
      </c>
      <c r="D1250" s="54" t="s">
        <v>1158</v>
      </c>
      <c r="E1250" s="19" t="s">
        <v>1051</v>
      </c>
      <c r="F1250" s="24" t="s">
        <v>647</v>
      </c>
      <c r="G1250" s="25" t="n">
        <v>0.568</v>
      </c>
      <c r="H1250" s="26" t="n">
        <v>30</v>
      </c>
      <c r="I1250" s="27" t="n">
        <v>30</v>
      </c>
      <c r="J1250" s="28" t="n">
        <v>2</v>
      </c>
      <c r="K1250" s="28" t="n">
        <v>1</v>
      </c>
      <c r="L1250" s="24" t="s">
        <v>631</v>
      </c>
      <c r="M1250" s="29" t="n">
        <f aca="false">IF("oui" = "oui",45.75*(1-disc),45.75)</f>
        <v>45.75</v>
      </c>
      <c r="N1250" s="29" t="n">
        <f aca="false">IF("oui" = "oui",45.75*(1-disc)*1.2,45.75*1.2)</f>
        <v>54.9</v>
      </c>
      <c r="O1250" s="24" t="s">
        <v>25</v>
      </c>
      <c r="P1250" s="7" t="s">
        <v>26</v>
      </c>
      <c r="Q1250" s="16"/>
    </row>
    <row r="1251" customFormat="false" ht="12.8" hidden="false" customHeight="false" outlineLevel="0" collapsed="false">
      <c r="A1251" s="22"/>
      <c r="B1251" s="23" t="n">
        <v>500211000</v>
      </c>
      <c r="C1251" s="24" t="n">
        <v>25</v>
      </c>
      <c r="D1251" s="54" t="s">
        <v>1159</v>
      </c>
      <c r="E1251" s="19" t="s">
        <v>1051</v>
      </c>
      <c r="F1251" s="24" t="s">
        <v>647</v>
      </c>
      <c r="G1251" s="25" t="n">
        <v>0.552</v>
      </c>
      <c r="H1251" s="26" t="n">
        <v>30</v>
      </c>
      <c r="I1251" s="27" t="n">
        <v>30</v>
      </c>
      <c r="J1251" s="28" t="n">
        <v>2</v>
      </c>
      <c r="K1251" s="28" t="n">
        <v>1</v>
      </c>
      <c r="L1251" s="24" t="s">
        <v>631</v>
      </c>
      <c r="M1251" s="29" t="n">
        <f aca="false">IF("oui" = "oui",45.75*(1-disc),45.75)</f>
        <v>45.75</v>
      </c>
      <c r="N1251" s="29" t="n">
        <f aca="false">IF("oui" = "oui",45.75*(1-disc)*1.2,45.75*1.2)</f>
        <v>54.9</v>
      </c>
      <c r="O1251" s="24" t="s">
        <v>25</v>
      </c>
      <c r="P1251" s="7" t="s">
        <v>26</v>
      </c>
      <c r="Q1251" s="16"/>
    </row>
    <row r="1252" customFormat="false" ht="12.8" hidden="false" customHeight="false" outlineLevel="0" collapsed="false">
      <c r="A1252" s="22"/>
      <c r="B1252" s="23" t="n">
        <v>500209000</v>
      </c>
      <c r="C1252" s="24" t="n">
        <v>25</v>
      </c>
      <c r="D1252" s="54" t="s">
        <v>1160</v>
      </c>
      <c r="E1252" s="19" t="s">
        <v>1051</v>
      </c>
      <c r="F1252" s="24" t="s">
        <v>647</v>
      </c>
      <c r="G1252" s="25" t="n">
        <v>0.508</v>
      </c>
      <c r="H1252" s="26" t="n">
        <v>30</v>
      </c>
      <c r="I1252" s="27" t="n">
        <v>30</v>
      </c>
      <c r="J1252" s="28" t="n">
        <v>2</v>
      </c>
      <c r="K1252" s="28" t="n">
        <v>1</v>
      </c>
      <c r="L1252" s="24" t="s">
        <v>631</v>
      </c>
      <c r="M1252" s="29" t="n">
        <f aca="false">IF("oui" = "oui",45.75*(1-disc),45.75)</f>
        <v>45.75</v>
      </c>
      <c r="N1252" s="29" t="n">
        <f aca="false">IF("oui" = "oui",45.75*(1-disc)*1.2,45.75*1.2)</f>
        <v>54.9</v>
      </c>
      <c r="O1252" s="24" t="s">
        <v>25</v>
      </c>
      <c r="P1252" s="7" t="s">
        <v>26</v>
      </c>
      <c r="Q1252" s="16"/>
    </row>
    <row r="1253" customFormat="false" ht="12.8" hidden="false" customHeight="false" outlineLevel="0" collapsed="false">
      <c r="A1253" s="22"/>
      <c r="B1253" s="23"/>
      <c r="C1253" s="24"/>
      <c r="D1253" s="22"/>
      <c r="E1253" s="19"/>
      <c r="F1253" s="24"/>
      <c r="G1253" s="25"/>
      <c r="H1253" s="26"/>
      <c r="I1253" s="27"/>
      <c r="J1253" s="28"/>
      <c r="K1253" s="28"/>
      <c r="L1253" s="24"/>
      <c r="M1253" s="29"/>
      <c r="N1253" s="29"/>
      <c r="O1253" s="24"/>
      <c r="P1253" s="4"/>
      <c r="Q1253" s="16"/>
    </row>
    <row r="1254" customFormat="false" ht="12.8" hidden="false" customHeight="false" outlineLevel="0" collapsed="false">
      <c r="A1254" s="22"/>
      <c r="B1254" s="23" t="n">
        <v>500253000</v>
      </c>
      <c r="C1254" s="24" t="n">
        <v>30</v>
      </c>
      <c r="D1254" s="54" t="s">
        <v>1161</v>
      </c>
      <c r="E1254" s="19" t="s">
        <v>1061</v>
      </c>
      <c r="F1254" s="24" t="s">
        <v>647</v>
      </c>
      <c r="G1254" s="25" t="n">
        <v>0.512</v>
      </c>
      <c r="H1254" s="26" t="n">
        <v>30</v>
      </c>
      <c r="I1254" s="27" t="n">
        <v>30</v>
      </c>
      <c r="J1254" s="28" t="n">
        <v>2</v>
      </c>
      <c r="K1254" s="28" t="n">
        <v>1</v>
      </c>
      <c r="L1254" s="24" t="s">
        <v>631</v>
      </c>
      <c r="M1254" s="29" t="n">
        <f aca="false">IF("oui" = "oui",45.75*(1-disc),45.75)</f>
        <v>45.75</v>
      </c>
      <c r="N1254" s="29" t="n">
        <f aca="false">IF("oui" = "oui",45.75*(1-disc)*1.2,45.75*1.2)</f>
        <v>54.9</v>
      </c>
      <c r="O1254" s="24" t="s">
        <v>25</v>
      </c>
      <c r="P1254" s="7" t="s">
        <v>26</v>
      </c>
      <c r="Q1254" s="16"/>
    </row>
    <row r="1255" customFormat="false" ht="12.8" hidden="false" customHeight="false" outlineLevel="0" collapsed="false">
      <c r="A1255" s="22"/>
      <c r="B1255" s="23" t="n">
        <v>500254000</v>
      </c>
      <c r="C1255" s="24" t="n">
        <v>30</v>
      </c>
      <c r="D1255" s="54" t="s">
        <v>1162</v>
      </c>
      <c r="E1255" s="19" t="s">
        <v>1061</v>
      </c>
      <c r="F1255" s="24" t="s">
        <v>647</v>
      </c>
      <c r="G1255" s="25" t="n">
        <v>0.552</v>
      </c>
      <c r="H1255" s="26" t="n">
        <v>30</v>
      </c>
      <c r="I1255" s="27" t="n">
        <v>30</v>
      </c>
      <c r="J1255" s="28" t="n">
        <v>2</v>
      </c>
      <c r="K1255" s="28" t="n">
        <v>1</v>
      </c>
      <c r="L1255" s="24" t="s">
        <v>631</v>
      </c>
      <c r="M1255" s="29" t="n">
        <f aca="false">IF("oui" = "oui",45.75*(1-disc),45.75)</f>
        <v>45.75</v>
      </c>
      <c r="N1255" s="29" t="n">
        <f aca="false">IF("oui" = "oui",45.75*(1-disc)*1.2,45.75*1.2)</f>
        <v>54.9</v>
      </c>
      <c r="O1255" s="24" t="s">
        <v>25</v>
      </c>
      <c r="P1255" s="7" t="s">
        <v>26</v>
      </c>
      <c r="Q1255" s="16"/>
    </row>
    <row r="1256" customFormat="false" ht="12.8" hidden="false" customHeight="false" outlineLevel="0" collapsed="false">
      <c r="A1256" s="22"/>
      <c r="B1256" s="23" t="n">
        <v>500344000</v>
      </c>
      <c r="C1256" s="24" t="n">
        <v>30</v>
      </c>
      <c r="D1256" s="54" t="s">
        <v>1163</v>
      </c>
      <c r="E1256" s="19" t="s">
        <v>1164</v>
      </c>
      <c r="F1256" s="24" t="s">
        <v>647</v>
      </c>
      <c r="G1256" s="25" t="n">
        <v>0.7</v>
      </c>
      <c r="H1256" s="26" t="n">
        <v>30</v>
      </c>
      <c r="I1256" s="27" t="n">
        <v>30</v>
      </c>
      <c r="J1256" s="28" t="n">
        <v>2</v>
      </c>
      <c r="K1256" s="28" t="n">
        <v>1</v>
      </c>
      <c r="L1256" s="24" t="s">
        <v>631</v>
      </c>
      <c r="M1256" s="29" t="n">
        <f aca="false">IF("oui" = "oui",45.75*(1-disc),45.75)</f>
        <v>45.75</v>
      </c>
      <c r="N1256" s="29" t="n">
        <f aca="false">IF("oui" = "oui",45.75*(1-disc)*1.2,45.75*1.2)</f>
        <v>54.9</v>
      </c>
      <c r="O1256" s="24" t="s">
        <v>25</v>
      </c>
      <c r="P1256" s="7" t="s">
        <v>26</v>
      </c>
      <c r="Q1256" s="16"/>
    </row>
    <row r="1257" customFormat="false" ht="12.8" hidden="false" customHeight="false" outlineLevel="0" collapsed="false">
      <c r="A1257" s="22"/>
      <c r="B1257" s="23" t="n">
        <v>500342000</v>
      </c>
      <c r="C1257" s="24" t="n">
        <v>30</v>
      </c>
      <c r="D1257" s="54" t="s">
        <v>1165</v>
      </c>
      <c r="E1257" s="19" t="s">
        <v>1166</v>
      </c>
      <c r="F1257" s="24" t="s">
        <v>23</v>
      </c>
      <c r="G1257" s="25" t="n">
        <v>1.24</v>
      </c>
      <c r="H1257" s="26" t="n">
        <v>25</v>
      </c>
      <c r="I1257" s="27" t="n">
        <v>50</v>
      </c>
      <c r="J1257" s="28" t="n">
        <v>2</v>
      </c>
      <c r="K1257" s="28" t="n">
        <v>1</v>
      </c>
      <c r="L1257" s="24" t="s">
        <v>631</v>
      </c>
      <c r="M1257" s="29" t="n">
        <f aca="false">IF("oui" = "oui",45.75*(1-disc),45.75)</f>
        <v>45.75</v>
      </c>
      <c r="N1257" s="29" t="n">
        <f aca="false">IF("oui" = "oui",45.75*(1-disc)*1.2,45.75*1.2)</f>
        <v>54.9</v>
      </c>
      <c r="O1257" s="24" t="s">
        <v>25</v>
      </c>
      <c r="P1257" s="7" t="s">
        <v>26</v>
      </c>
      <c r="Q1257" s="16"/>
    </row>
    <row r="1258" customFormat="false" ht="12.8" hidden="false" customHeight="false" outlineLevel="0" collapsed="false">
      <c r="A1258" s="22"/>
      <c r="B1258" s="23"/>
      <c r="C1258" s="24"/>
      <c r="D1258" s="22"/>
      <c r="E1258" s="19"/>
      <c r="F1258" s="24"/>
      <c r="G1258" s="25"/>
      <c r="H1258" s="26"/>
      <c r="I1258" s="27"/>
      <c r="J1258" s="28"/>
      <c r="K1258" s="28"/>
      <c r="L1258" s="24"/>
      <c r="M1258" s="29"/>
      <c r="N1258" s="29"/>
      <c r="O1258" s="24"/>
      <c r="P1258" s="4"/>
      <c r="Q1258" s="16"/>
    </row>
    <row r="1259" customFormat="false" ht="12.8" hidden="false" customHeight="false" outlineLevel="0" collapsed="false">
      <c r="A1259" s="22"/>
      <c r="B1259" s="23" t="n">
        <v>500249000</v>
      </c>
      <c r="C1259" s="24" t="n">
        <v>30</v>
      </c>
      <c r="D1259" s="54" t="s">
        <v>1167</v>
      </c>
      <c r="E1259" s="19" t="s">
        <v>1061</v>
      </c>
      <c r="F1259" s="24" t="s">
        <v>647</v>
      </c>
      <c r="G1259" s="25" t="n">
        <v>0.48</v>
      </c>
      <c r="H1259" s="26" t="n">
        <v>30</v>
      </c>
      <c r="I1259" s="27" t="n">
        <v>30</v>
      </c>
      <c r="J1259" s="28" t="n">
        <v>2</v>
      </c>
      <c r="K1259" s="28" t="n">
        <v>1</v>
      </c>
      <c r="L1259" s="24" t="s">
        <v>631</v>
      </c>
      <c r="M1259" s="29" t="n">
        <f aca="false">IF("oui" = "oui",45.75*(1-disc),45.75)</f>
        <v>45.75</v>
      </c>
      <c r="N1259" s="29" t="n">
        <f aca="false">IF("oui" = "oui",45.75*(1-disc)*1.2,45.75*1.2)</f>
        <v>54.9</v>
      </c>
      <c r="O1259" s="24" t="s">
        <v>25</v>
      </c>
      <c r="P1259" s="7" t="s">
        <v>26</v>
      </c>
      <c r="Q1259" s="16"/>
    </row>
    <row r="1260" customFormat="false" ht="12.8" hidden="false" customHeight="false" outlineLevel="0" collapsed="false">
      <c r="A1260" s="22"/>
      <c r="B1260" s="23" t="n">
        <v>500250000</v>
      </c>
      <c r="C1260" s="24" t="n">
        <v>30</v>
      </c>
      <c r="D1260" s="54" t="s">
        <v>1168</v>
      </c>
      <c r="E1260" s="19" t="s">
        <v>1061</v>
      </c>
      <c r="F1260" s="24" t="s">
        <v>647</v>
      </c>
      <c r="G1260" s="25" t="n">
        <v>0.48</v>
      </c>
      <c r="H1260" s="26" t="n">
        <v>30</v>
      </c>
      <c r="I1260" s="27" t="n">
        <v>30</v>
      </c>
      <c r="J1260" s="28" t="n">
        <v>2</v>
      </c>
      <c r="K1260" s="28" t="n">
        <v>1</v>
      </c>
      <c r="L1260" s="24" t="s">
        <v>631</v>
      </c>
      <c r="M1260" s="29" t="n">
        <f aca="false">IF("oui" = "oui",45.75*(1-disc),45.75)</f>
        <v>45.75</v>
      </c>
      <c r="N1260" s="29" t="n">
        <f aca="false">IF("oui" = "oui",45.75*(1-disc)*1.2,45.75*1.2)</f>
        <v>54.9</v>
      </c>
      <c r="O1260" s="24" t="s">
        <v>25</v>
      </c>
      <c r="P1260" s="7" t="s">
        <v>26</v>
      </c>
      <c r="Q1260" s="16"/>
    </row>
    <row r="1261" customFormat="false" ht="12.8" hidden="false" customHeight="false" outlineLevel="0" collapsed="false">
      <c r="A1261" s="22"/>
      <c r="B1261" s="23" t="n">
        <v>500251000</v>
      </c>
      <c r="C1261" s="24" t="n">
        <v>30</v>
      </c>
      <c r="D1261" s="22" t="s">
        <v>1169</v>
      </c>
      <c r="E1261" s="19" t="s">
        <v>1061</v>
      </c>
      <c r="F1261" s="24" t="s">
        <v>647</v>
      </c>
      <c r="G1261" s="25" t="n">
        <v>0.52</v>
      </c>
      <c r="H1261" s="26" t="n">
        <v>30</v>
      </c>
      <c r="I1261" s="27" t="n">
        <v>30</v>
      </c>
      <c r="J1261" s="28" t="n">
        <v>2</v>
      </c>
      <c r="K1261" s="28" t="n">
        <v>1</v>
      </c>
      <c r="L1261" s="24" t="s">
        <v>631</v>
      </c>
      <c r="M1261" s="29" t="n">
        <f aca="false">IF("oui" = "oui",45.75*(1-disc),45.75)</f>
        <v>45.75</v>
      </c>
      <c r="N1261" s="29" t="n">
        <f aca="false">IF("oui" = "oui",45.75*(1-disc)*1.2,45.75*1.2)</f>
        <v>54.9</v>
      </c>
      <c r="O1261" s="24" t="s">
        <v>25</v>
      </c>
      <c r="P1261" s="7" t="s">
        <v>26</v>
      </c>
      <c r="Q1261" s="16"/>
    </row>
    <row r="1262" customFormat="false" ht="12.8" hidden="false" customHeight="false" outlineLevel="0" collapsed="false">
      <c r="A1262" s="22"/>
      <c r="B1262" s="23" t="n">
        <v>500252000</v>
      </c>
      <c r="C1262" s="24" t="n">
        <v>30</v>
      </c>
      <c r="D1262" s="22" t="s">
        <v>1170</v>
      </c>
      <c r="E1262" s="19" t="s">
        <v>1061</v>
      </c>
      <c r="F1262" s="24" t="s">
        <v>647</v>
      </c>
      <c r="G1262" s="25" t="n">
        <v>0.56</v>
      </c>
      <c r="H1262" s="26" t="n">
        <v>30</v>
      </c>
      <c r="I1262" s="27" t="n">
        <v>30</v>
      </c>
      <c r="J1262" s="28" t="n">
        <v>2</v>
      </c>
      <c r="K1262" s="28" t="n">
        <v>1</v>
      </c>
      <c r="L1262" s="24" t="s">
        <v>631</v>
      </c>
      <c r="M1262" s="29" t="n">
        <f aca="false">IF("oui" = "oui",45.75*(1-disc),45.75)</f>
        <v>45.75</v>
      </c>
      <c r="N1262" s="29" t="n">
        <f aca="false">IF("oui" = "oui",45.75*(1-disc)*1.2,45.75*1.2)</f>
        <v>54.9</v>
      </c>
      <c r="O1262" s="24" t="s">
        <v>25</v>
      </c>
      <c r="P1262" s="7" t="s">
        <v>26</v>
      </c>
      <c r="Q1262" s="16"/>
    </row>
    <row r="1263" customFormat="false" ht="12.8" hidden="false" customHeight="false" outlineLevel="0" collapsed="false">
      <c r="A1263" s="22"/>
      <c r="B1263" s="23"/>
      <c r="C1263" s="24"/>
      <c r="D1263" s="22"/>
      <c r="E1263" s="19"/>
      <c r="F1263" s="24"/>
      <c r="G1263" s="25"/>
      <c r="H1263" s="26"/>
      <c r="I1263" s="27"/>
      <c r="J1263" s="28"/>
      <c r="K1263" s="28"/>
      <c r="L1263" s="24"/>
      <c r="M1263" s="29"/>
      <c r="N1263" s="29"/>
      <c r="O1263" s="24"/>
      <c r="P1263" s="4"/>
      <c r="Q1263" s="16"/>
    </row>
    <row r="1264" customFormat="false" ht="12.8" hidden="false" customHeight="false" outlineLevel="0" collapsed="false">
      <c r="A1264" s="22"/>
      <c r="B1264" s="23" t="n">
        <v>500345000</v>
      </c>
      <c r="C1264" s="24" t="n">
        <v>30</v>
      </c>
      <c r="D1264" s="54" t="s">
        <v>1171</v>
      </c>
      <c r="E1264" s="19" t="s">
        <v>1172</v>
      </c>
      <c r="F1264" s="24" t="s">
        <v>647</v>
      </c>
      <c r="G1264" s="25" t="n">
        <v>0.5</v>
      </c>
      <c r="H1264" s="26" t="n">
        <v>30</v>
      </c>
      <c r="I1264" s="27" t="n">
        <v>30</v>
      </c>
      <c r="J1264" s="28" t="n">
        <v>2</v>
      </c>
      <c r="K1264" s="28" t="n">
        <v>1</v>
      </c>
      <c r="L1264" s="24" t="s">
        <v>631</v>
      </c>
      <c r="M1264" s="29" t="n">
        <f aca="false">IF("oui" = "oui",54.33*(1-disc),54.33)</f>
        <v>54.33</v>
      </c>
      <c r="N1264" s="29" t="n">
        <f aca="false">IF("oui" = "oui",54.33*(1-disc)*1.2,54.33*1.2)</f>
        <v>65.196</v>
      </c>
      <c r="O1264" s="24" t="s">
        <v>25</v>
      </c>
      <c r="P1264" s="7" t="s">
        <v>26</v>
      </c>
      <c r="Q1264" s="16"/>
    </row>
    <row r="1265" customFormat="false" ht="12.8" hidden="false" customHeight="false" outlineLevel="0" collapsed="false">
      <c r="A1265" s="22"/>
      <c r="B1265" s="23" t="n">
        <v>500346000</v>
      </c>
      <c r="C1265" s="24" t="n">
        <v>30</v>
      </c>
      <c r="D1265" s="54" t="s">
        <v>1173</v>
      </c>
      <c r="E1265" s="19" t="s">
        <v>1172</v>
      </c>
      <c r="F1265" s="24" t="s">
        <v>647</v>
      </c>
      <c r="G1265" s="25" t="n">
        <v>0.5</v>
      </c>
      <c r="H1265" s="26" t="n">
        <v>30</v>
      </c>
      <c r="I1265" s="27" t="n">
        <v>30</v>
      </c>
      <c r="J1265" s="28" t="n">
        <v>2</v>
      </c>
      <c r="K1265" s="28" t="n">
        <v>1</v>
      </c>
      <c r="L1265" s="24" t="s">
        <v>631</v>
      </c>
      <c r="M1265" s="29" t="n">
        <f aca="false">IF("oui" = "oui",54.33*(1-disc),54.33)</f>
        <v>54.33</v>
      </c>
      <c r="N1265" s="29" t="n">
        <f aca="false">IF("oui" = "oui",54.33*(1-disc)*1.2,54.33*1.2)</f>
        <v>65.196</v>
      </c>
      <c r="O1265" s="24" t="s">
        <v>25</v>
      </c>
      <c r="P1265" s="7" t="s">
        <v>26</v>
      </c>
      <c r="Q1265" s="16"/>
    </row>
    <row r="1266" customFormat="false" ht="12.8" hidden="false" customHeight="false" outlineLevel="0" collapsed="false">
      <c r="A1266" s="22"/>
      <c r="B1266" s="23" t="n">
        <v>500347000</v>
      </c>
      <c r="C1266" s="24" t="n">
        <v>30</v>
      </c>
      <c r="D1266" s="54" t="s">
        <v>1174</v>
      </c>
      <c r="E1266" s="19" t="s">
        <v>1172</v>
      </c>
      <c r="F1266" s="24" t="s">
        <v>647</v>
      </c>
      <c r="G1266" s="25" t="n">
        <v>0.5</v>
      </c>
      <c r="H1266" s="26" t="n">
        <v>30</v>
      </c>
      <c r="I1266" s="27" t="n">
        <v>30</v>
      </c>
      <c r="J1266" s="28" t="n">
        <v>2</v>
      </c>
      <c r="K1266" s="28" t="n">
        <v>1</v>
      </c>
      <c r="L1266" s="24" t="s">
        <v>631</v>
      </c>
      <c r="M1266" s="29" t="n">
        <f aca="false">IF("oui" = "oui",54.33*(1-disc),54.33)</f>
        <v>54.33</v>
      </c>
      <c r="N1266" s="29" t="n">
        <f aca="false">IF("oui" = "oui",54.33*(1-disc)*1.2,54.33*1.2)</f>
        <v>65.196</v>
      </c>
      <c r="O1266" s="24" t="s">
        <v>25</v>
      </c>
      <c r="P1266" s="7" t="s">
        <v>26</v>
      </c>
      <c r="Q1266" s="16"/>
    </row>
    <row r="1267" customFormat="false" ht="12.8" hidden="false" customHeight="false" outlineLevel="0" collapsed="false">
      <c r="A1267" s="22"/>
      <c r="B1267" s="23" t="n">
        <v>500348000</v>
      </c>
      <c r="C1267" s="24" t="n">
        <v>30</v>
      </c>
      <c r="D1267" s="54" t="s">
        <v>1175</v>
      </c>
      <c r="E1267" s="19" t="s">
        <v>1172</v>
      </c>
      <c r="F1267" s="24" t="s">
        <v>647</v>
      </c>
      <c r="G1267" s="25" t="n">
        <v>0.5</v>
      </c>
      <c r="H1267" s="26" t="n">
        <v>30</v>
      </c>
      <c r="I1267" s="27" t="n">
        <v>30</v>
      </c>
      <c r="J1267" s="28" t="n">
        <v>2</v>
      </c>
      <c r="K1267" s="28" t="n">
        <v>1</v>
      </c>
      <c r="L1267" s="24" t="s">
        <v>631</v>
      </c>
      <c r="M1267" s="29" t="n">
        <f aca="false">IF("oui" = "oui",54.33*(1-disc),54.33)</f>
        <v>54.33</v>
      </c>
      <c r="N1267" s="29" t="n">
        <f aca="false">IF("oui" = "oui",54.33*(1-disc)*1.2,54.33*1.2)</f>
        <v>65.196</v>
      </c>
      <c r="O1267" s="24" t="s">
        <v>25</v>
      </c>
      <c r="P1267" s="7" t="s">
        <v>26</v>
      </c>
      <c r="Q1267" s="16"/>
    </row>
    <row r="1268" customFormat="false" ht="12.8" hidden="false" customHeight="false" outlineLevel="0" collapsed="false">
      <c r="A1268" s="22"/>
      <c r="B1268" s="23" t="n">
        <v>500349000</v>
      </c>
      <c r="C1268" s="24" t="n">
        <v>30</v>
      </c>
      <c r="D1268" s="54" t="s">
        <v>1176</v>
      </c>
      <c r="E1268" s="19" t="s">
        <v>1172</v>
      </c>
      <c r="F1268" s="24" t="s">
        <v>647</v>
      </c>
      <c r="G1268" s="25" t="n">
        <v>0.5</v>
      </c>
      <c r="H1268" s="26" t="n">
        <v>30</v>
      </c>
      <c r="I1268" s="27" t="n">
        <v>30</v>
      </c>
      <c r="J1268" s="28" t="n">
        <v>2</v>
      </c>
      <c r="K1268" s="28" t="n">
        <v>1</v>
      </c>
      <c r="L1268" s="24" t="s">
        <v>631</v>
      </c>
      <c r="M1268" s="29" t="n">
        <f aca="false">IF("oui" = "oui",54.33*(1-disc),54.33)</f>
        <v>54.33</v>
      </c>
      <c r="N1268" s="29" t="n">
        <f aca="false">IF("oui" = "oui",54.33*(1-disc)*1.2,54.33*1.2)</f>
        <v>65.196</v>
      </c>
      <c r="O1268" s="24" t="s">
        <v>25</v>
      </c>
      <c r="P1268" s="7" t="s">
        <v>26</v>
      </c>
      <c r="Q1268" s="16"/>
    </row>
    <row r="1269" customFormat="false" ht="12.8" hidden="false" customHeight="false" outlineLevel="0" collapsed="false">
      <c r="A1269" s="22"/>
      <c r="B1269" s="23" t="n">
        <v>500350000</v>
      </c>
      <c r="C1269" s="24" t="n">
        <v>30</v>
      </c>
      <c r="D1269" s="54" t="s">
        <v>1177</v>
      </c>
      <c r="E1269" s="19" t="s">
        <v>1172</v>
      </c>
      <c r="F1269" s="24" t="s">
        <v>647</v>
      </c>
      <c r="G1269" s="25" t="n">
        <v>0.5</v>
      </c>
      <c r="H1269" s="26" t="n">
        <v>30</v>
      </c>
      <c r="I1269" s="27" t="n">
        <v>30</v>
      </c>
      <c r="J1269" s="28" t="n">
        <v>2</v>
      </c>
      <c r="K1269" s="28" t="n">
        <v>1</v>
      </c>
      <c r="L1269" s="24" t="s">
        <v>631</v>
      </c>
      <c r="M1269" s="29" t="n">
        <f aca="false">IF("oui" = "oui",54.33*(1-disc),54.33)</f>
        <v>54.33</v>
      </c>
      <c r="N1269" s="29" t="n">
        <f aca="false">IF("oui" = "oui",54.33*(1-disc)*1.2,54.33*1.2)</f>
        <v>65.196</v>
      </c>
      <c r="O1269" s="24" t="s">
        <v>25</v>
      </c>
      <c r="P1269" s="7" t="s">
        <v>26</v>
      </c>
      <c r="Q1269" s="16"/>
    </row>
    <row r="1270" customFormat="false" ht="12.8" hidden="false" customHeight="false" outlineLevel="0" collapsed="false">
      <c r="A1270" s="22"/>
      <c r="B1270" s="23" t="n">
        <v>500351000</v>
      </c>
      <c r="C1270" s="24" t="n">
        <v>30</v>
      </c>
      <c r="D1270" s="54" t="s">
        <v>1178</v>
      </c>
      <c r="E1270" s="19" t="s">
        <v>1172</v>
      </c>
      <c r="F1270" s="24" t="s">
        <v>647</v>
      </c>
      <c r="G1270" s="25" t="n">
        <v>0.5</v>
      </c>
      <c r="H1270" s="26" t="n">
        <v>30</v>
      </c>
      <c r="I1270" s="27" t="n">
        <v>30</v>
      </c>
      <c r="J1270" s="28" t="n">
        <v>2</v>
      </c>
      <c r="K1270" s="28" t="n">
        <v>1</v>
      </c>
      <c r="L1270" s="24" t="s">
        <v>631</v>
      </c>
      <c r="M1270" s="29" t="n">
        <f aca="false">IF("oui" = "oui",54.33*(1-disc),54.33)</f>
        <v>54.33</v>
      </c>
      <c r="N1270" s="29" t="n">
        <f aca="false">IF("oui" = "oui",54.33*(1-disc)*1.2,54.33*1.2)</f>
        <v>65.196</v>
      </c>
      <c r="O1270" s="24" t="s">
        <v>25</v>
      </c>
      <c r="P1270" s="7" t="s">
        <v>26</v>
      </c>
      <c r="Q1270" s="16"/>
    </row>
    <row r="1271" customFormat="false" ht="12.8" hidden="false" customHeight="false" outlineLevel="0" collapsed="false">
      <c r="A1271" s="22"/>
      <c r="B1271" s="23" t="n">
        <v>500352000</v>
      </c>
      <c r="C1271" s="24" t="n">
        <v>30</v>
      </c>
      <c r="D1271" s="54" t="s">
        <v>1179</v>
      </c>
      <c r="E1271" s="19" t="s">
        <v>1172</v>
      </c>
      <c r="F1271" s="24" t="s">
        <v>647</v>
      </c>
      <c r="G1271" s="25" t="n">
        <v>0.5</v>
      </c>
      <c r="H1271" s="26" t="n">
        <v>30</v>
      </c>
      <c r="I1271" s="27" t="n">
        <v>30</v>
      </c>
      <c r="J1271" s="28" t="n">
        <v>2</v>
      </c>
      <c r="K1271" s="28" t="n">
        <v>1</v>
      </c>
      <c r="L1271" s="24" t="s">
        <v>631</v>
      </c>
      <c r="M1271" s="29" t="n">
        <f aca="false">IF("oui" = "oui",54.33*(1-disc),54.33)</f>
        <v>54.33</v>
      </c>
      <c r="N1271" s="29" t="n">
        <f aca="false">IF("oui" = "oui",54.33*(1-disc)*1.2,54.33*1.2)</f>
        <v>65.196</v>
      </c>
      <c r="O1271" s="24" t="s">
        <v>25</v>
      </c>
      <c r="P1271" s="55" t="s">
        <v>141</v>
      </c>
      <c r="Q1271" s="16"/>
    </row>
    <row r="1272" customFormat="false" ht="12.8" hidden="false" customHeight="false" outlineLevel="0" collapsed="false">
      <c r="A1272" s="22"/>
      <c r="B1272" s="23" t="n">
        <v>500353000</v>
      </c>
      <c r="C1272" s="24" t="n">
        <v>30</v>
      </c>
      <c r="D1272" s="54" t="s">
        <v>1180</v>
      </c>
      <c r="E1272" s="19" t="s">
        <v>1172</v>
      </c>
      <c r="F1272" s="24" t="s">
        <v>647</v>
      </c>
      <c r="G1272" s="25" t="n">
        <v>0.5</v>
      </c>
      <c r="H1272" s="26" t="n">
        <v>30</v>
      </c>
      <c r="I1272" s="27" t="n">
        <v>30</v>
      </c>
      <c r="J1272" s="28" t="n">
        <v>2</v>
      </c>
      <c r="K1272" s="28" t="n">
        <v>1</v>
      </c>
      <c r="L1272" s="24" t="s">
        <v>631</v>
      </c>
      <c r="M1272" s="29" t="n">
        <f aca="false">IF("oui" = "oui",54.33*(1-disc),54.33)</f>
        <v>54.33</v>
      </c>
      <c r="N1272" s="29" t="n">
        <f aca="false">IF("oui" = "oui",54.33*(1-disc)*1.2,54.33*1.2)</f>
        <v>65.196</v>
      </c>
      <c r="O1272" s="24" t="s">
        <v>25</v>
      </c>
      <c r="P1272" s="7" t="s">
        <v>26</v>
      </c>
      <c r="Q1272" s="16"/>
    </row>
    <row r="1273" customFormat="false" ht="12.8" hidden="false" customHeight="false" outlineLevel="0" collapsed="false">
      <c r="A1273" s="22"/>
      <c r="B1273" s="23" t="n">
        <v>500354000</v>
      </c>
      <c r="C1273" s="24" t="n">
        <v>30</v>
      </c>
      <c r="D1273" s="54" t="s">
        <v>1181</v>
      </c>
      <c r="E1273" s="19" t="s">
        <v>1172</v>
      </c>
      <c r="F1273" s="24" t="s">
        <v>647</v>
      </c>
      <c r="G1273" s="25" t="n">
        <v>0.5</v>
      </c>
      <c r="H1273" s="26" t="n">
        <v>30</v>
      </c>
      <c r="I1273" s="27" t="n">
        <v>30</v>
      </c>
      <c r="J1273" s="28" t="n">
        <v>2</v>
      </c>
      <c r="K1273" s="28" t="n">
        <v>1</v>
      </c>
      <c r="L1273" s="24" t="s">
        <v>631</v>
      </c>
      <c r="M1273" s="29" t="n">
        <f aca="false">IF("oui" = "oui",54.33*(1-disc),54.33)</f>
        <v>54.33</v>
      </c>
      <c r="N1273" s="29" t="n">
        <f aca="false">IF("oui" = "oui",54.33*(1-disc)*1.2,54.33*1.2)</f>
        <v>65.196</v>
      </c>
      <c r="O1273" s="24" t="s">
        <v>25</v>
      </c>
      <c r="P1273" s="7" t="s">
        <v>26</v>
      </c>
      <c r="Q1273" s="16"/>
    </row>
    <row r="1274" customFormat="false" ht="12.8" hidden="false" customHeight="false" outlineLevel="0" collapsed="false">
      <c r="A1274" s="22"/>
      <c r="B1274" s="23" t="n">
        <v>500355000</v>
      </c>
      <c r="C1274" s="24" t="n">
        <v>30</v>
      </c>
      <c r="D1274" s="54" t="s">
        <v>1182</v>
      </c>
      <c r="E1274" s="19" t="s">
        <v>1172</v>
      </c>
      <c r="F1274" s="24" t="s">
        <v>647</v>
      </c>
      <c r="G1274" s="25" t="n">
        <v>0.5</v>
      </c>
      <c r="H1274" s="26" t="n">
        <v>30</v>
      </c>
      <c r="I1274" s="27" t="n">
        <v>30</v>
      </c>
      <c r="J1274" s="28" t="n">
        <v>2</v>
      </c>
      <c r="K1274" s="28" t="n">
        <v>1</v>
      </c>
      <c r="L1274" s="24" t="s">
        <v>631</v>
      </c>
      <c r="M1274" s="29" t="n">
        <f aca="false">IF("oui" = "oui",54.33*(1-disc),54.33)</f>
        <v>54.33</v>
      </c>
      <c r="N1274" s="29" t="n">
        <f aca="false">IF("oui" = "oui",54.33*(1-disc)*1.2,54.33*1.2)</f>
        <v>65.196</v>
      </c>
      <c r="O1274" s="24" t="s">
        <v>25</v>
      </c>
      <c r="P1274" s="7" t="s">
        <v>26</v>
      </c>
      <c r="Q1274" s="16"/>
    </row>
    <row r="1275" customFormat="false" ht="12.8" hidden="false" customHeight="false" outlineLevel="0" collapsed="false">
      <c r="A1275" s="22"/>
      <c r="B1275" s="23"/>
      <c r="C1275" s="24"/>
      <c r="D1275" s="22"/>
      <c r="E1275" s="19"/>
      <c r="F1275" s="24"/>
      <c r="G1275" s="25"/>
      <c r="H1275" s="26"/>
      <c r="I1275" s="27"/>
      <c r="J1275" s="28"/>
      <c r="K1275" s="28"/>
      <c r="L1275" s="24"/>
      <c r="M1275" s="29"/>
      <c r="N1275" s="29"/>
      <c r="O1275" s="24"/>
      <c r="P1275" s="4"/>
      <c r="Q1275" s="16"/>
    </row>
    <row r="1276" customFormat="false" ht="12.8" hidden="false" customHeight="false" outlineLevel="0" collapsed="false">
      <c r="A1276" s="42" t="s">
        <v>1183</v>
      </c>
      <c r="B1276" s="43"/>
      <c r="C1276" s="44"/>
      <c r="D1276" s="45"/>
      <c r="E1276" s="46"/>
      <c r="F1276" s="44"/>
      <c r="G1276" s="47"/>
      <c r="H1276" s="48"/>
      <c r="I1276" s="49"/>
      <c r="J1276" s="50"/>
      <c r="K1276" s="50"/>
      <c r="L1276" s="44"/>
      <c r="M1276" s="51"/>
      <c r="N1276" s="51"/>
      <c r="O1276" s="44"/>
      <c r="P1276" s="52"/>
      <c r="Q1276" s="53"/>
    </row>
    <row r="1277" customFormat="false" ht="12.8" hidden="false" customHeight="false" outlineLevel="0" collapsed="false">
      <c r="A1277" s="22"/>
      <c r="B1277" s="23"/>
      <c r="C1277" s="24"/>
      <c r="D1277" s="22"/>
      <c r="E1277" s="19"/>
      <c r="F1277" s="24"/>
      <c r="G1277" s="25"/>
      <c r="H1277" s="26"/>
      <c r="I1277" s="27"/>
      <c r="J1277" s="28"/>
      <c r="K1277" s="28"/>
      <c r="L1277" s="24"/>
      <c r="M1277" s="29"/>
      <c r="N1277" s="29"/>
      <c r="O1277" s="24"/>
      <c r="P1277" s="4"/>
      <c r="Q1277" s="16"/>
    </row>
    <row r="1278" customFormat="false" ht="12.8" hidden="false" customHeight="false" outlineLevel="0" collapsed="false">
      <c r="A1278" s="22"/>
      <c r="B1278" s="23" t="n">
        <v>500111000</v>
      </c>
      <c r="C1278" s="24" t="n">
        <v>30</v>
      </c>
      <c r="D1278" s="54" t="s">
        <v>1184</v>
      </c>
      <c r="E1278" s="19" t="s">
        <v>1185</v>
      </c>
      <c r="F1278" s="24" t="s">
        <v>23</v>
      </c>
      <c r="G1278" s="25" t="n">
        <v>1.579</v>
      </c>
      <c r="H1278" s="26" t="n">
        <v>30</v>
      </c>
      <c r="I1278" s="27" t="n">
        <v>30</v>
      </c>
      <c r="J1278" s="28" t="n">
        <v>1</v>
      </c>
      <c r="K1278" s="28" t="n">
        <v>1</v>
      </c>
      <c r="L1278" s="24" t="s">
        <v>631</v>
      </c>
      <c r="M1278" s="29" t="n">
        <f aca="false">IF("oui" = "oui",108.65*(1-disc),108.65)</f>
        <v>108.65</v>
      </c>
      <c r="N1278" s="29" t="n">
        <f aca="false">IF("oui" = "oui",108.65*(1-disc)*1.2,108.65*1.2)</f>
        <v>130.38</v>
      </c>
      <c r="O1278" s="24" t="s">
        <v>25</v>
      </c>
      <c r="P1278" s="7" t="s">
        <v>26</v>
      </c>
      <c r="Q1278" s="16"/>
    </row>
    <row r="1279" customFormat="false" ht="12.8" hidden="false" customHeight="false" outlineLevel="0" collapsed="false">
      <c r="A1279" s="22"/>
      <c r="B1279" s="23"/>
      <c r="C1279" s="24"/>
      <c r="D1279" s="22"/>
      <c r="E1279" s="19"/>
      <c r="F1279" s="24"/>
      <c r="G1279" s="25"/>
      <c r="H1279" s="26"/>
      <c r="I1279" s="27"/>
      <c r="J1279" s="28"/>
      <c r="K1279" s="28"/>
      <c r="L1279" s="24"/>
      <c r="M1279" s="29"/>
      <c r="N1279" s="29"/>
      <c r="O1279" s="24"/>
      <c r="P1279" s="4"/>
      <c r="Q1279" s="16"/>
    </row>
    <row r="1280" customFormat="false" ht="12.8" hidden="false" customHeight="false" outlineLevel="0" collapsed="false">
      <c r="A1280" s="22"/>
      <c r="B1280" s="23" t="n">
        <v>500106000</v>
      </c>
      <c r="C1280" s="24" t="n">
        <v>30</v>
      </c>
      <c r="D1280" s="54" t="s">
        <v>1186</v>
      </c>
      <c r="E1280" s="19" t="s">
        <v>1185</v>
      </c>
      <c r="F1280" s="24" t="s">
        <v>23</v>
      </c>
      <c r="G1280" s="25" t="n">
        <v>1.428</v>
      </c>
      <c r="H1280" s="26" t="n">
        <v>30</v>
      </c>
      <c r="I1280" s="27" t="n">
        <v>40</v>
      </c>
      <c r="J1280" s="28" t="n">
        <v>1</v>
      </c>
      <c r="K1280" s="28" t="n">
        <v>1</v>
      </c>
      <c r="L1280" s="24" t="s">
        <v>631</v>
      </c>
      <c r="M1280" s="29" t="n">
        <f aca="false">IF("oui" = "oui",108.65*(1-disc),108.65)</f>
        <v>108.65</v>
      </c>
      <c r="N1280" s="29" t="n">
        <f aca="false">IF("oui" = "oui",108.65*(1-disc)*1.2,108.65*1.2)</f>
        <v>130.38</v>
      </c>
      <c r="O1280" s="24" t="s">
        <v>25</v>
      </c>
      <c r="P1280" s="7" t="s">
        <v>26</v>
      </c>
      <c r="Q1280" s="16"/>
    </row>
    <row r="1281" customFormat="false" ht="12.8" hidden="false" customHeight="false" outlineLevel="0" collapsed="false">
      <c r="A1281" s="22"/>
      <c r="B1281" s="23"/>
      <c r="C1281" s="24"/>
      <c r="D1281" s="22"/>
      <c r="E1281" s="19"/>
      <c r="F1281" s="24"/>
      <c r="G1281" s="25"/>
      <c r="H1281" s="26"/>
      <c r="I1281" s="27"/>
      <c r="J1281" s="28"/>
      <c r="K1281" s="28"/>
      <c r="L1281" s="24"/>
      <c r="M1281" s="29"/>
      <c r="N1281" s="29"/>
      <c r="O1281" s="24"/>
      <c r="P1281" s="4"/>
      <c r="Q1281" s="16"/>
    </row>
    <row r="1282" customFormat="false" ht="12.8" hidden="false" customHeight="false" outlineLevel="0" collapsed="false">
      <c r="A1282" s="22"/>
      <c r="B1282" s="23" t="n">
        <v>500109000</v>
      </c>
      <c r="C1282" s="24" t="n">
        <v>30</v>
      </c>
      <c r="D1282" s="54" t="s">
        <v>1187</v>
      </c>
      <c r="E1282" s="19" t="s">
        <v>1095</v>
      </c>
      <c r="F1282" s="24" t="s">
        <v>23</v>
      </c>
      <c r="G1282" s="25" t="n">
        <v>2.478</v>
      </c>
      <c r="H1282" s="26" t="n">
        <v>30</v>
      </c>
      <c r="I1282" s="27" t="n">
        <v>40</v>
      </c>
      <c r="J1282" s="28" t="n">
        <v>1</v>
      </c>
      <c r="K1282" s="28" t="n">
        <v>1</v>
      </c>
      <c r="L1282" s="24" t="s">
        <v>631</v>
      </c>
      <c r="M1282" s="29" t="n">
        <f aca="false">IF("oui" = "oui",108.65*(1-disc),108.65)</f>
        <v>108.65</v>
      </c>
      <c r="N1282" s="29" t="n">
        <f aca="false">IF("oui" = "oui",108.65*(1-disc)*1.2,108.65*1.2)</f>
        <v>130.38</v>
      </c>
      <c r="O1282" s="24" t="s">
        <v>25</v>
      </c>
      <c r="P1282" s="7" t="s">
        <v>26</v>
      </c>
      <c r="Q1282" s="16"/>
    </row>
    <row r="1283" customFormat="false" ht="12.8" hidden="false" customHeight="false" outlineLevel="0" collapsed="false">
      <c r="A1283" s="22"/>
      <c r="B1283" s="23" t="n">
        <v>500177000</v>
      </c>
      <c r="C1283" s="24" t="n">
        <v>30</v>
      </c>
      <c r="D1283" s="54" t="s">
        <v>1188</v>
      </c>
      <c r="E1283" s="19" t="s">
        <v>1095</v>
      </c>
      <c r="F1283" s="24" t="s">
        <v>23</v>
      </c>
      <c r="G1283" s="25" t="n">
        <v>2.478</v>
      </c>
      <c r="H1283" s="26" t="n">
        <v>30</v>
      </c>
      <c r="I1283" s="27" t="n">
        <v>40</v>
      </c>
      <c r="J1283" s="28" t="n">
        <v>1</v>
      </c>
      <c r="K1283" s="28" t="n">
        <v>1</v>
      </c>
      <c r="L1283" s="24" t="s">
        <v>631</v>
      </c>
      <c r="M1283" s="29" t="n">
        <f aca="false">IF("oui" = "oui",108.65*(1-disc),108.65)</f>
        <v>108.65</v>
      </c>
      <c r="N1283" s="29" t="n">
        <f aca="false">IF("oui" = "oui",108.65*(1-disc)*1.2,108.65*1.2)</f>
        <v>130.38</v>
      </c>
      <c r="O1283" s="24" t="s">
        <v>25</v>
      </c>
      <c r="P1283" s="7" t="s">
        <v>26</v>
      </c>
      <c r="Q1283" s="16"/>
    </row>
    <row r="1284" customFormat="false" ht="12.8" hidden="false" customHeight="false" outlineLevel="0" collapsed="false">
      <c r="A1284" s="22"/>
      <c r="B1284" s="23" t="n">
        <v>500180000</v>
      </c>
      <c r="C1284" s="24" t="n">
        <v>30</v>
      </c>
      <c r="D1284" s="54" t="s">
        <v>1189</v>
      </c>
      <c r="E1284" s="19" t="s">
        <v>1095</v>
      </c>
      <c r="F1284" s="24" t="s">
        <v>23</v>
      </c>
      <c r="G1284" s="25" t="n">
        <v>2.478</v>
      </c>
      <c r="H1284" s="26" t="n">
        <v>30</v>
      </c>
      <c r="I1284" s="27" t="n">
        <v>40</v>
      </c>
      <c r="J1284" s="28" t="n">
        <v>1</v>
      </c>
      <c r="K1284" s="28" t="n">
        <v>1</v>
      </c>
      <c r="L1284" s="24" t="s">
        <v>631</v>
      </c>
      <c r="M1284" s="29" t="n">
        <f aca="false">IF("oui" = "oui",108.65*(1-disc),108.65)</f>
        <v>108.65</v>
      </c>
      <c r="N1284" s="29" t="n">
        <f aca="false">IF("oui" = "oui",108.65*(1-disc)*1.2,108.65*1.2)</f>
        <v>130.38</v>
      </c>
      <c r="O1284" s="24" t="s">
        <v>25</v>
      </c>
      <c r="P1284" s="55" t="s">
        <v>591</v>
      </c>
      <c r="Q1284" s="16"/>
    </row>
    <row r="1285" customFormat="false" ht="12.8" hidden="false" customHeight="false" outlineLevel="0" collapsed="false">
      <c r="A1285" s="22"/>
      <c r="B1285" s="23" t="n">
        <v>500218000</v>
      </c>
      <c r="C1285" s="24" t="n">
        <v>30</v>
      </c>
      <c r="D1285" s="54" t="s">
        <v>1190</v>
      </c>
      <c r="E1285" s="19" t="s">
        <v>1095</v>
      </c>
      <c r="F1285" s="24" t="s">
        <v>23</v>
      </c>
      <c r="G1285" s="25" t="n">
        <v>2.478</v>
      </c>
      <c r="H1285" s="26" t="n">
        <v>30</v>
      </c>
      <c r="I1285" s="27" t="n">
        <v>40</v>
      </c>
      <c r="J1285" s="28" t="n">
        <v>1</v>
      </c>
      <c r="K1285" s="28" t="n">
        <v>1</v>
      </c>
      <c r="L1285" s="24" t="s">
        <v>631</v>
      </c>
      <c r="M1285" s="29" t="n">
        <f aca="false">IF("oui" = "oui",108.65*(1-disc),108.65)</f>
        <v>108.65</v>
      </c>
      <c r="N1285" s="29" t="n">
        <f aca="false">IF("oui" = "oui",108.65*(1-disc)*1.2,108.65*1.2)</f>
        <v>130.38</v>
      </c>
      <c r="O1285" s="24" t="s">
        <v>25</v>
      </c>
      <c r="P1285" s="55" t="s">
        <v>593</v>
      </c>
      <c r="Q1285" s="16"/>
    </row>
    <row r="1286" customFormat="false" ht="12.8" hidden="false" customHeight="false" outlineLevel="0" collapsed="false">
      <c r="A1286" s="22"/>
      <c r="B1286" s="23" t="n">
        <v>500182000</v>
      </c>
      <c r="C1286" s="24" t="n">
        <v>30</v>
      </c>
      <c r="D1286" s="54" t="s">
        <v>1191</v>
      </c>
      <c r="E1286" s="19" t="s">
        <v>1095</v>
      </c>
      <c r="F1286" s="24" t="s">
        <v>23</v>
      </c>
      <c r="G1286" s="25" t="n">
        <v>2.67</v>
      </c>
      <c r="H1286" s="26" t="n">
        <v>30</v>
      </c>
      <c r="I1286" s="27" t="n">
        <v>40</v>
      </c>
      <c r="J1286" s="28" t="n">
        <v>1</v>
      </c>
      <c r="K1286" s="28" t="n">
        <v>1</v>
      </c>
      <c r="L1286" s="24" t="s">
        <v>631</v>
      </c>
      <c r="M1286" s="29" t="n">
        <f aca="false">IF("oui" = "oui",108.65*(1-disc),108.65)</f>
        <v>108.65</v>
      </c>
      <c r="N1286" s="29" t="n">
        <f aca="false">IF("oui" = "oui",108.65*(1-disc)*1.2,108.65*1.2)</f>
        <v>130.38</v>
      </c>
      <c r="O1286" s="24" t="s">
        <v>25</v>
      </c>
      <c r="P1286" s="7" t="s">
        <v>26</v>
      </c>
      <c r="Q1286" s="16"/>
    </row>
    <row r="1287" customFormat="false" ht="12.8" hidden="false" customHeight="false" outlineLevel="0" collapsed="false">
      <c r="A1287" s="22"/>
      <c r="B1287" s="23"/>
      <c r="C1287" s="24"/>
      <c r="D1287" s="22"/>
      <c r="E1287" s="19"/>
      <c r="F1287" s="24"/>
      <c r="G1287" s="25"/>
      <c r="H1287" s="26"/>
      <c r="I1287" s="27"/>
      <c r="J1287" s="28"/>
      <c r="K1287" s="28"/>
      <c r="L1287" s="24"/>
      <c r="M1287" s="29"/>
      <c r="N1287" s="29"/>
      <c r="O1287" s="24"/>
      <c r="P1287" s="4"/>
      <c r="Q1287" s="16"/>
    </row>
    <row r="1288" customFormat="false" ht="12.8" hidden="false" customHeight="false" outlineLevel="0" collapsed="false">
      <c r="A1288" s="22"/>
      <c r="B1288" s="23" t="n">
        <v>500278000</v>
      </c>
      <c r="C1288" s="24" t="n">
        <v>30</v>
      </c>
      <c r="D1288" s="22" t="s">
        <v>1192</v>
      </c>
      <c r="E1288" s="19" t="s">
        <v>1115</v>
      </c>
      <c r="F1288" s="24" t="s">
        <v>23</v>
      </c>
      <c r="G1288" s="25" t="n">
        <v>1.9</v>
      </c>
      <c r="H1288" s="26" t="n">
        <v>30</v>
      </c>
      <c r="I1288" s="27" t="n">
        <v>40</v>
      </c>
      <c r="J1288" s="28" t="n">
        <v>1</v>
      </c>
      <c r="K1288" s="28" t="n">
        <v>1</v>
      </c>
      <c r="L1288" s="24" t="s">
        <v>631</v>
      </c>
      <c r="M1288" s="29" t="n">
        <f aca="false">IF("oui" = "oui",124.95*(1-disc),124.95)</f>
        <v>124.95</v>
      </c>
      <c r="N1288" s="29" t="n">
        <f aca="false">IF("oui" = "oui",124.95*(1-disc)*1.2,124.95*1.2)</f>
        <v>149.94</v>
      </c>
      <c r="O1288" s="24" t="s">
        <v>25</v>
      </c>
      <c r="P1288" s="7" t="s">
        <v>26</v>
      </c>
      <c r="Q1288" s="16"/>
    </row>
    <row r="1289" customFormat="false" ht="12.8" hidden="false" customHeight="false" outlineLevel="0" collapsed="false">
      <c r="A1289" s="22"/>
      <c r="B1289" s="23" t="n">
        <v>500110000</v>
      </c>
      <c r="C1289" s="24" t="n">
        <v>30</v>
      </c>
      <c r="D1289" s="54" t="s">
        <v>1193</v>
      </c>
      <c r="E1289" s="19" t="s">
        <v>1185</v>
      </c>
      <c r="F1289" s="24" t="s">
        <v>23</v>
      </c>
      <c r="G1289" s="25" t="n">
        <v>1.709</v>
      </c>
      <c r="H1289" s="26" t="n">
        <v>30</v>
      </c>
      <c r="I1289" s="27" t="n">
        <v>30</v>
      </c>
      <c r="J1289" s="28" t="n">
        <v>1</v>
      </c>
      <c r="K1289" s="28" t="n">
        <v>1</v>
      </c>
      <c r="L1289" s="24" t="s">
        <v>631</v>
      </c>
      <c r="M1289" s="29" t="n">
        <f aca="false">IF("oui" = "oui",108.65*(1-disc),108.65)</f>
        <v>108.65</v>
      </c>
      <c r="N1289" s="29" t="n">
        <f aca="false">IF("oui" = "oui",108.65*(1-disc)*1.2,108.65*1.2)</f>
        <v>130.38</v>
      </c>
      <c r="O1289" s="24" t="s">
        <v>25</v>
      </c>
      <c r="P1289" s="7" t="s">
        <v>26</v>
      </c>
      <c r="Q1289" s="16"/>
    </row>
    <row r="1290" customFormat="false" ht="12.8" hidden="false" customHeight="false" outlineLevel="0" collapsed="false">
      <c r="A1290" s="22"/>
      <c r="B1290" s="23" t="n">
        <v>500340000</v>
      </c>
      <c r="C1290" s="24" t="n">
        <v>30</v>
      </c>
      <c r="D1290" s="54" t="s">
        <v>1194</v>
      </c>
      <c r="E1290" s="19" t="s">
        <v>1117</v>
      </c>
      <c r="F1290" s="24" t="s">
        <v>23</v>
      </c>
      <c r="G1290" s="25" t="n">
        <v>2.5</v>
      </c>
      <c r="H1290" s="26" t="n">
        <v>30</v>
      </c>
      <c r="I1290" s="27" t="n">
        <v>50</v>
      </c>
      <c r="J1290" s="28" t="n">
        <v>1</v>
      </c>
      <c r="K1290" s="28" t="n">
        <v>1</v>
      </c>
      <c r="L1290" s="24" t="s">
        <v>631</v>
      </c>
      <c r="M1290" s="29" t="n">
        <f aca="false">IF("oui" = "oui",124.95*(1-disc),124.95)</f>
        <v>124.95</v>
      </c>
      <c r="N1290" s="29" t="n">
        <f aca="false">IF("oui" = "oui",124.95*(1-disc)*1.2,124.95*1.2)</f>
        <v>149.94</v>
      </c>
      <c r="O1290" s="24" t="s">
        <v>25</v>
      </c>
      <c r="P1290" s="7" t="s">
        <v>26</v>
      </c>
      <c r="Q1290" s="16"/>
    </row>
    <row r="1291" customFormat="false" ht="12.8" hidden="false" customHeight="false" outlineLevel="0" collapsed="false">
      <c r="A1291" s="22"/>
      <c r="B1291" s="23"/>
      <c r="C1291" s="24"/>
      <c r="D1291" s="22"/>
      <c r="E1291" s="19"/>
      <c r="F1291" s="24"/>
      <c r="G1291" s="25"/>
      <c r="H1291" s="26"/>
      <c r="I1291" s="27"/>
      <c r="J1291" s="28"/>
      <c r="K1291" s="28"/>
      <c r="L1291" s="24"/>
      <c r="M1291" s="29"/>
      <c r="N1291" s="29"/>
      <c r="O1291" s="24"/>
      <c r="P1291" s="4"/>
      <c r="Q1291" s="16"/>
    </row>
    <row r="1292" customFormat="false" ht="12.8" hidden="false" customHeight="false" outlineLevel="0" collapsed="false">
      <c r="A1292" s="22"/>
      <c r="B1292" s="23" t="n">
        <v>500270000</v>
      </c>
      <c r="C1292" s="24" t="n">
        <v>30</v>
      </c>
      <c r="D1292" s="54" t="s">
        <v>1195</v>
      </c>
      <c r="E1292" s="19" t="s">
        <v>1196</v>
      </c>
      <c r="F1292" s="24" t="s">
        <v>23</v>
      </c>
      <c r="G1292" s="25" t="n">
        <v>1.67</v>
      </c>
      <c r="H1292" s="26" t="n">
        <v>30</v>
      </c>
      <c r="I1292" s="27" t="n">
        <v>60</v>
      </c>
      <c r="J1292" s="28" t="n">
        <v>1</v>
      </c>
      <c r="K1292" s="28" t="n">
        <v>1</v>
      </c>
      <c r="L1292" s="24" t="s">
        <v>631</v>
      </c>
      <c r="M1292" s="29" t="n">
        <f aca="false">IF("oui" = "oui",124.95*(1-disc),124.95)</f>
        <v>124.95</v>
      </c>
      <c r="N1292" s="29" t="n">
        <f aca="false">IF("oui" = "oui",124.95*(1-disc)*1.2,124.95*1.2)</f>
        <v>149.94</v>
      </c>
      <c r="O1292" s="24" t="s">
        <v>25</v>
      </c>
      <c r="P1292" s="7" t="s">
        <v>26</v>
      </c>
      <c r="Q1292" s="16"/>
    </row>
    <row r="1293" customFormat="false" ht="12.8" hidden="false" customHeight="false" outlineLevel="0" collapsed="false">
      <c r="A1293" s="22"/>
      <c r="B1293" s="23" t="n">
        <v>500271000</v>
      </c>
      <c r="C1293" s="24" t="n">
        <v>30</v>
      </c>
      <c r="D1293" s="54" t="s">
        <v>1197</v>
      </c>
      <c r="E1293" s="19" t="s">
        <v>1198</v>
      </c>
      <c r="F1293" s="24" t="s">
        <v>23</v>
      </c>
      <c r="G1293" s="25" t="n">
        <v>2.1</v>
      </c>
      <c r="H1293" s="26" t="n">
        <v>30</v>
      </c>
      <c r="I1293" s="27" t="n">
        <v>40</v>
      </c>
      <c r="J1293" s="28" t="n">
        <v>1</v>
      </c>
      <c r="K1293" s="28" t="n">
        <v>1</v>
      </c>
      <c r="L1293" s="24" t="s">
        <v>631</v>
      </c>
      <c r="M1293" s="29" t="n">
        <f aca="false">IF("oui" = "oui",119.52*(1-disc),119.52)</f>
        <v>119.52</v>
      </c>
      <c r="N1293" s="29" t="n">
        <f aca="false">IF("oui" = "oui",119.52*(1-disc)*1.2,119.52*1.2)</f>
        <v>143.424</v>
      </c>
      <c r="O1293" s="24" t="s">
        <v>25</v>
      </c>
      <c r="P1293" s="7" t="s">
        <v>26</v>
      </c>
      <c r="Q1293" s="16"/>
    </row>
    <row r="1294" customFormat="false" ht="12.8" hidden="false" customHeight="false" outlineLevel="0" collapsed="false">
      <c r="A1294" s="22"/>
      <c r="B1294" s="23" t="n">
        <v>500272000</v>
      </c>
      <c r="C1294" s="24" t="n">
        <v>30</v>
      </c>
      <c r="D1294" s="54" t="s">
        <v>1199</v>
      </c>
      <c r="E1294" s="19" t="s">
        <v>1198</v>
      </c>
      <c r="F1294" s="24" t="s">
        <v>23</v>
      </c>
      <c r="G1294" s="25" t="n">
        <v>2.3</v>
      </c>
      <c r="H1294" s="26" t="n">
        <v>30</v>
      </c>
      <c r="I1294" s="27" t="n">
        <v>40</v>
      </c>
      <c r="J1294" s="28" t="n">
        <v>1</v>
      </c>
      <c r="K1294" s="28" t="n">
        <v>1</v>
      </c>
      <c r="L1294" s="24" t="s">
        <v>631</v>
      </c>
      <c r="M1294" s="29" t="n">
        <f aca="false">IF("oui" = "oui",119.52*(1-disc),119.52)</f>
        <v>119.52</v>
      </c>
      <c r="N1294" s="29" t="n">
        <f aca="false">IF("oui" = "oui",119.52*(1-disc)*1.2,119.52*1.2)</f>
        <v>143.424</v>
      </c>
      <c r="O1294" s="24" t="s">
        <v>25</v>
      </c>
      <c r="P1294" s="7" t="s">
        <v>26</v>
      </c>
      <c r="Q1294" s="16"/>
    </row>
    <row r="1295" customFormat="false" ht="12.8" hidden="false" customHeight="false" outlineLevel="0" collapsed="false">
      <c r="A1295" s="22"/>
      <c r="B1295" s="23"/>
      <c r="C1295" s="24"/>
      <c r="D1295" s="22"/>
      <c r="E1295" s="19"/>
      <c r="F1295" s="24"/>
      <c r="G1295" s="25"/>
      <c r="H1295" s="26"/>
      <c r="I1295" s="27"/>
      <c r="J1295" s="28"/>
      <c r="K1295" s="28"/>
      <c r="L1295" s="24"/>
      <c r="M1295" s="29"/>
      <c r="N1295" s="29"/>
      <c r="O1295" s="24"/>
      <c r="P1295" s="4"/>
      <c r="Q1295" s="16"/>
    </row>
    <row r="1296" customFormat="false" ht="12.8" hidden="false" customHeight="false" outlineLevel="0" collapsed="false">
      <c r="A1296" s="22"/>
      <c r="B1296" s="23" t="n">
        <v>500327000</v>
      </c>
      <c r="C1296" s="24" t="n">
        <v>30</v>
      </c>
      <c r="D1296" s="54" t="s">
        <v>1200</v>
      </c>
      <c r="E1296" s="19" t="s">
        <v>1201</v>
      </c>
      <c r="F1296" s="24" t="s">
        <v>23</v>
      </c>
      <c r="G1296" s="25" t="n">
        <v>1.45</v>
      </c>
      <c r="H1296" s="26" t="n">
        <v>30</v>
      </c>
      <c r="I1296" s="27" t="n">
        <v>50</v>
      </c>
      <c r="J1296" s="28" t="n">
        <v>1</v>
      </c>
      <c r="K1296" s="28" t="n">
        <v>1</v>
      </c>
      <c r="L1296" s="24" t="s">
        <v>631</v>
      </c>
      <c r="M1296" s="29" t="n">
        <f aca="false">IF("oui" = "oui",119.52*(1-disc),119.52)</f>
        <v>119.52</v>
      </c>
      <c r="N1296" s="29" t="n">
        <f aca="false">IF("oui" = "oui",119.52*(1-disc)*1.2,119.52*1.2)</f>
        <v>143.424</v>
      </c>
      <c r="O1296" s="24" t="s">
        <v>25</v>
      </c>
      <c r="P1296" s="55" t="s">
        <v>605</v>
      </c>
      <c r="Q1296" s="16"/>
    </row>
    <row r="1297" customFormat="false" ht="12.8" hidden="false" customHeight="false" outlineLevel="0" collapsed="false">
      <c r="A1297" s="22"/>
      <c r="B1297" s="23" t="n">
        <v>500328000</v>
      </c>
      <c r="C1297" s="24" t="n">
        <v>20</v>
      </c>
      <c r="D1297" s="54" t="s">
        <v>1202</v>
      </c>
      <c r="E1297" s="19" t="s">
        <v>1203</v>
      </c>
      <c r="F1297" s="24" t="s">
        <v>647</v>
      </c>
      <c r="G1297" s="25" t="n">
        <v>0.82</v>
      </c>
      <c r="H1297" s="26" t="n">
        <v>35</v>
      </c>
      <c r="I1297" s="27" t="n">
        <v>30</v>
      </c>
      <c r="J1297" s="28" t="n">
        <v>1</v>
      </c>
      <c r="K1297" s="28" t="n">
        <v>1</v>
      </c>
      <c r="L1297" s="24" t="s">
        <v>631</v>
      </c>
      <c r="M1297" s="29" t="n">
        <f aca="false">IF("oui" = "oui",81.49*(1-disc),81.49)</f>
        <v>81.49</v>
      </c>
      <c r="N1297" s="29" t="n">
        <f aca="false">IF("oui" = "oui",81.49*(1-disc)*1.2,81.49*1.2)</f>
        <v>97.788</v>
      </c>
      <c r="O1297" s="24" t="s">
        <v>25</v>
      </c>
      <c r="P1297" s="7" t="s">
        <v>26</v>
      </c>
      <c r="Q1297" s="16"/>
    </row>
    <row r="1298" customFormat="false" ht="12.8" hidden="false" customHeight="false" outlineLevel="0" collapsed="false">
      <c r="A1298" s="22"/>
      <c r="B1298" s="23"/>
      <c r="C1298" s="24"/>
      <c r="D1298" s="22"/>
      <c r="E1298" s="19"/>
      <c r="F1298" s="24"/>
      <c r="G1298" s="25"/>
      <c r="H1298" s="26"/>
      <c r="I1298" s="27"/>
      <c r="J1298" s="28"/>
      <c r="K1298" s="28"/>
      <c r="L1298" s="24"/>
      <c r="M1298" s="29"/>
      <c r="N1298" s="29"/>
      <c r="O1298" s="24"/>
      <c r="P1298" s="4"/>
      <c r="Q1298" s="16"/>
    </row>
    <row r="1299" customFormat="false" ht="12.8" hidden="false" customHeight="false" outlineLevel="0" collapsed="false">
      <c r="A1299" s="42" t="s">
        <v>1204</v>
      </c>
      <c r="B1299" s="43"/>
      <c r="C1299" s="44"/>
      <c r="D1299" s="45"/>
      <c r="E1299" s="46"/>
      <c r="F1299" s="44"/>
      <c r="G1299" s="47"/>
      <c r="H1299" s="48"/>
      <c r="I1299" s="49"/>
      <c r="J1299" s="50"/>
      <c r="K1299" s="50"/>
      <c r="L1299" s="44"/>
      <c r="M1299" s="51"/>
      <c r="N1299" s="51"/>
      <c r="O1299" s="44"/>
      <c r="P1299" s="52"/>
      <c r="Q1299" s="53"/>
    </row>
    <row r="1300" customFormat="false" ht="12.8" hidden="false" customHeight="false" outlineLevel="0" collapsed="false">
      <c r="A1300" s="22"/>
      <c r="B1300" s="23"/>
      <c r="C1300" s="24"/>
      <c r="D1300" s="22"/>
      <c r="E1300" s="19"/>
      <c r="F1300" s="24"/>
      <c r="G1300" s="25"/>
      <c r="H1300" s="26"/>
      <c r="I1300" s="27"/>
      <c r="J1300" s="28"/>
      <c r="K1300" s="28"/>
      <c r="L1300" s="24"/>
      <c r="M1300" s="29"/>
      <c r="N1300" s="29"/>
      <c r="O1300" s="24"/>
      <c r="P1300" s="4"/>
      <c r="Q1300" s="16"/>
    </row>
    <row r="1301" customFormat="false" ht="12.8" hidden="false" customHeight="false" outlineLevel="0" collapsed="false">
      <c r="A1301" s="22"/>
      <c r="B1301" s="23" t="n">
        <v>500186000</v>
      </c>
      <c r="C1301" s="24" t="n">
        <v>13</v>
      </c>
      <c r="D1301" s="54" t="s">
        <v>1205</v>
      </c>
      <c r="E1301" s="19" t="s">
        <v>1206</v>
      </c>
      <c r="F1301" s="24" t="s">
        <v>23</v>
      </c>
      <c r="G1301" s="25" t="n">
        <v>1.005</v>
      </c>
      <c r="H1301" s="26" t="n">
        <v>30</v>
      </c>
      <c r="I1301" s="27" t="n">
        <v>40</v>
      </c>
      <c r="J1301" s="28" t="n">
        <v>1</v>
      </c>
      <c r="K1301" s="28" t="n">
        <v>1</v>
      </c>
      <c r="L1301" s="24" t="s">
        <v>631</v>
      </c>
      <c r="M1301" s="29" t="n">
        <f aca="false">IF("oui" = "oui",211.87*(1-disc),211.87)</f>
        <v>211.87</v>
      </c>
      <c r="N1301" s="29" t="n">
        <f aca="false">IF("oui" = "oui",211.87*(1-disc)*1.2,211.87*1.2)</f>
        <v>254.244</v>
      </c>
      <c r="O1301" s="24" t="s">
        <v>25</v>
      </c>
      <c r="P1301" s="55" t="s">
        <v>605</v>
      </c>
      <c r="Q1301" s="16"/>
    </row>
    <row r="1302" customFormat="false" ht="12.8" hidden="false" customHeight="false" outlineLevel="0" collapsed="false">
      <c r="A1302" s="22"/>
      <c r="B1302" s="23"/>
      <c r="C1302" s="24"/>
      <c r="D1302" s="22"/>
      <c r="E1302" s="19"/>
      <c r="F1302" s="24"/>
      <c r="G1302" s="25"/>
      <c r="H1302" s="26"/>
      <c r="I1302" s="27"/>
      <c r="J1302" s="28"/>
      <c r="K1302" s="28"/>
      <c r="L1302" s="24"/>
      <c r="M1302" s="29"/>
      <c r="N1302" s="29"/>
      <c r="O1302" s="24"/>
      <c r="P1302" s="4"/>
      <c r="Q1302" s="16"/>
    </row>
    <row r="1303" customFormat="false" ht="12.8" hidden="false" customHeight="false" outlineLevel="0" collapsed="false">
      <c r="A1303" s="30" t="s">
        <v>1207</v>
      </c>
      <c r="B1303" s="31"/>
      <c r="C1303" s="32"/>
      <c r="D1303" s="33"/>
      <c r="E1303" s="34"/>
      <c r="F1303" s="32"/>
      <c r="G1303" s="35"/>
      <c r="H1303" s="36"/>
      <c r="I1303" s="37"/>
      <c r="J1303" s="38"/>
      <c r="K1303" s="38"/>
      <c r="L1303" s="32"/>
      <c r="M1303" s="39"/>
      <c r="N1303" s="39"/>
      <c r="O1303" s="32"/>
      <c r="P1303" s="40"/>
      <c r="Q1303" s="41"/>
    </row>
    <row r="1304" customFormat="false" ht="12.8" hidden="false" customHeight="false" outlineLevel="0" collapsed="false">
      <c r="A1304" s="22"/>
      <c r="B1304" s="23"/>
      <c r="C1304" s="24"/>
      <c r="D1304" s="22"/>
      <c r="E1304" s="19"/>
      <c r="F1304" s="24"/>
      <c r="G1304" s="25"/>
      <c r="H1304" s="26"/>
      <c r="I1304" s="27"/>
      <c r="J1304" s="28"/>
      <c r="K1304" s="28"/>
      <c r="L1304" s="24"/>
      <c r="M1304" s="29"/>
      <c r="N1304" s="29"/>
      <c r="O1304" s="24"/>
      <c r="P1304" s="4"/>
      <c r="Q1304" s="16"/>
    </row>
    <row r="1305" customFormat="false" ht="12.8" hidden="false" customHeight="false" outlineLevel="0" collapsed="false">
      <c r="A1305" s="42" t="s">
        <v>1208</v>
      </c>
      <c r="B1305" s="43"/>
      <c r="C1305" s="44"/>
      <c r="D1305" s="45"/>
      <c r="E1305" s="46"/>
      <c r="F1305" s="44"/>
      <c r="G1305" s="47"/>
      <c r="H1305" s="48"/>
      <c r="I1305" s="49"/>
      <c r="J1305" s="50"/>
      <c r="K1305" s="50"/>
      <c r="L1305" s="44"/>
      <c r="M1305" s="51"/>
      <c r="N1305" s="51"/>
      <c r="O1305" s="44"/>
      <c r="P1305" s="52"/>
      <c r="Q1305" s="53"/>
    </row>
    <row r="1306" customFormat="false" ht="12.8" hidden="false" customHeight="false" outlineLevel="0" collapsed="false">
      <c r="A1306" s="22"/>
      <c r="B1306" s="23"/>
      <c r="C1306" s="24"/>
      <c r="D1306" s="22"/>
      <c r="E1306" s="19"/>
      <c r="F1306" s="24"/>
      <c r="G1306" s="25"/>
      <c r="H1306" s="26"/>
      <c r="I1306" s="27"/>
      <c r="J1306" s="28"/>
      <c r="K1306" s="28"/>
      <c r="L1306" s="24"/>
      <c r="M1306" s="29"/>
      <c r="N1306" s="29"/>
      <c r="O1306" s="24"/>
      <c r="P1306" s="4"/>
      <c r="Q1306" s="16"/>
    </row>
    <row r="1307" customFormat="false" ht="12.8" hidden="false" customHeight="false" outlineLevel="0" collapsed="false">
      <c r="A1307" s="22"/>
      <c r="B1307" s="23" t="n">
        <v>508001000</v>
      </c>
      <c r="C1307" s="24" t="n">
        <v>38</v>
      </c>
      <c r="D1307" s="22" t="s">
        <v>1209</v>
      </c>
      <c r="E1307" s="19" t="s">
        <v>1210</v>
      </c>
      <c r="F1307" s="24" t="s">
        <v>23</v>
      </c>
      <c r="G1307" s="25" t="n">
        <v>1.3</v>
      </c>
      <c r="H1307" s="26" t="n">
        <v>60</v>
      </c>
      <c r="I1307" s="27" t="n">
        <v>50</v>
      </c>
      <c r="J1307" s="28" t="n">
        <v>2</v>
      </c>
      <c r="K1307" s="28" t="n">
        <v>1</v>
      </c>
      <c r="L1307" s="24" t="s">
        <v>631</v>
      </c>
      <c r="M1307" s="29" t="n">
        <f aca="false">IF("oui" = "oui",69.04*(1-disc),69.04)</f>
        <v>69.04</v>
      </c>
      <c r="N1307" s="29" t="n">
        <f aca="false">IF("oui" = "oui",69.04*(1-disc)*1.2,69.04*1.2)</f>
        <v>82.848</v>
      </c>
      <c r="O1307" s="24" t="s">
        <v>25</v>
      </c>
      <c r="P1307" s="4" t="s">
        <v>25</v>
      </c>
      <c r="Q1307" s="16"/>
    </row>
    <row r="1308" customFormat="false" ht="12.8" hidden="false" customHeight="false" outlineLevel="0" collapsed="false">
      <c r="A1308" s="22"/>
      <c r="B1308" s="23" t="n">
        <v>508002000</v>
      </c>
      <c r="C1308" s="24" t="n">
        <v>38</v>
      </c>
      <c r="D1308" s="54" t="s">
        <v>1211</v>
      </c>
      <c r="E1308" s="19" t="s">
        <v>1210</v>
      </c>
      <c r="F1308" s="24" t="s">
        <v>23</v>
      </c>
      <c r="G1308" s="25" t="n">
        <v>1.2</v>
      </c>
      <c r="H1308" s="26" t="n">
        <v>60</v>
      </c>
      <c r="I1308" s="27" t="n">
        <v>50</v>
      </c>
      <c r="J1308" s="28" t="n">
        <v>2</v>
      </c>
      <c r="K1308" s="28" t="n">
        <v>1</v>
      </c>
      <c r="L1308" s="24" t="s">
        <v>631</v>
      </c>
      <c r="M1308" s="29" t="n">
        <f aca="false">IF("oui" = "oui",69.04*(1-disc),69.04)</f>
        <v>69.04</v>
      </c>
      <c r="N1308" s="29" t="n">
        <f aca="false">IF("oui" = "oui",69.04*(1-disc)*1.2,69.04*1.2)</f>
        <v>82.848</v>
      </c>
      <c r="O1308" s="24" t="s">
        <v>25</v>
      </c>
      <c r="P1308" s="55" t="s">
        <v>311</v>
      </c>
      <c r="Q1308" s="16"/>
    </row>
    <row r="1309" customFormat="false" ht="12.8" hidden="false" customHeight="false" outlineLevel="0" collapsed="false">
      <c r="A1309" s="22"/>
      <c r="B1309" s="23" t="n">
        <v>508003000</v>
      </c>
      <c r="C1309" s="24" t="n">
        <v>38</v>
      </c>
      <c r="D1309" s="54" t="s">
        <v>1212</v>
      </c>
      <c r="E1309" s="19" t="s">
        <v>1210</v>
      </c>
      <c r="F1309" s="24" t="s">
        <v>23</v>
      </c>
      <c r="G1309" s="25" t="n">
        <v>1.2</v>
      </c>
      <c r="H1309" s="26" t="n">
        <v>60</v>
      </c>
      <c r="I1309" s="27" t="n">
        <v>50</v>
      </c>
      <c r="J1309" s="28" t="n">
        <v>2</v>
      </c>
      <c r="K1309" s="28" t="n">
        <v>1</v>
      </c>
      <c r="L1309" s="24" t="s">
        <v>631</v>
      </c>
      <c r="M1309" s="29" t="n">
        <f aca="false">IF("oui" = "oui",69.04*(1-disc),69.04)</f>
        <v>69.04</v>
      </c>
      <c r="N1309" s="29" t="n">
        <f aca="false">IF("oui" = "oui",69.04*(1-disc)*1.2,69.04*1.2)</f>
        <v>82.848</v>
      </c>
      <c r="O1309" s="24" t="s">
        <v>25</v>
      </c>
      <c r="P1309" s="55" t="s">
        <v>593</v>
      </c>
      <c r="Q1309" s="16"/>
    </row>
    <row r="1310" customFormat="false" ht="12.8" hidden="false" customHeight="false" outlineLevel="0" collapsed="false">
      <c r="A1310" s="22"/>
      <c r="B1310" s="23" t="n">
        <v>508004000</v>
      </c>
      <c r="C1310" s="24" t="n">
        <v>38</v>
      </c>
      <c r="D1310" s="54" t="s">
        <v>1213</v>
      </c>
      <c r="E1310" s="19" t="s">
        <v>1210</v>
      </c>
      <c r="F1310" s="24" t="s">
        <v>23</v>
      </c>
      <c r="G1310" s="25" t="n">
        <v>1.2</v>
      </c>
      <c r="H1310" s="26" t="n">
        <v>60</v>
      </c>
      <c r="I1310" s="27" t="n">
        <v>50</v>
      </c>
      <c r="J1310" s="28" t="n">
        <v>2</v>
      </c>
      <c r="K1310" s="28" t="n">
        <v>1</v>
      </c>
      <c r="L1310" s="24" t="s">
        <v>631</v>
      </c>
      <c r="M1310" s="29" t="n">
        <f aca="false">IF("oui" = "oui",69.04*(1-disc),69.04)</f>
        <v>69.04</v>
      </c>
      <c r="N1310" s="29" t="n">
        <f aca="false">IF("oui" = "oui",69.04*(1-disc)*1.2,69.04*1.2)</f>
        <v>82.848</v>
      </c>
      <c r="O1310" s="24" t="s">
        <v>25</v>
      </c>
      <c r="P1310" s="55" t="s">
        <v>726</v>
      </c>
      <c r="Q1310" s="16"/>
    </row>
    <row r="1311" customFormat="false" ht="12.8" hidden="false" customHeight="false" outlineLevel="0" collapsed="false">
      <c r="A1311" s="22"/>
      <c r="B1311" s="23" t="n">
        <v>508005000</v>
      </c>
      <c r="C1311" s="24" t="n">
        <v>38</v>
      </c>
      <c r="D1311" s="22" t="s">
        <v>1214</v>
      </c>
      <c r="E1311" s="19" t="s">
        <v>1210</v>
      </c>
      <c r="F1311" s="24" t="s">
        <v>23</v>
      </c>
      <c r="G1311" s="25" t="n">
        <v>1.2</v>
      </c>
      <c r="H1311" s="26" t="n">
        <v>60</v>
      </c>
      <c r="I1311" s="27" t="n">
        <v>50</v>
      </c>
      <c r="J1311" s="28" t="n">
        <v>2</v>
      </c>
      <c r="K1311" s="28" t="n">
        <v>1</v>
      </c>
      <c r="L1311" s="24" t="s">
        <v>631</v>
      </c>
      <c r="M1311" s="29" t="n">
        <f aca="false">IF("oui" = "oui",69.04*(1-disc),69.04)</f>
        <v>69.04</v>
      </c>
      <c r="N1311" s="29" t="n">
        <f aca="false">IF("oui" = "oui",69.04*(1-disc)*1.2,69.04*1.2)</f>
        <v>82.848</v>
      </c>
      <c r="O1311" s="24" t="s">
        <v>25</v>
      </c>
      <c r="P1311" s="55" t="s">
        <v>1215</v>
      </c>
      <c r="Q1311" s="16"/>
    </row>
    <row r="1312" customFormat="false" ht="12.8" hidden="false" customHeight="false" outlineLevel="0" collapsed="false">
      <c r="A1312" s="22"/>
      <c r="B1312" s="23" t="n">
        <v>508006000</v>
      </c>
      <c r="C1312" s="24" t="n">
        <v>38</v>
      </c>
      <c r="D1312" s="54" t="s">
        <v>1216</v>
      </c>
      <c r="E1312" s="19" t="s">
        <v>1210</v>
      </c>
      <c r="F1312" s="24" t="s">
        <v>23</v>
      </c>
      <c r="G1312" s="25" t="n">
        <v>1.2</v>
      </c>
      <c r="H1312" s="26" t="n">
        <v>60</v>
      </c>
      <c r="I1312" s="27" t="n">
        <v>50</v>
      </c>
      <c r="J1312" s="28" t="n">
        <v>2</v>
      </c>
      <c r="K1312" s="28" t="n">
        <v>1</v>
      </c>
      <c r="L1312" s="24" t="s">
        <v>631</v>
      </c>
      <c r="M1312" s="29" t="n">
        <f aca="false">IF("oui" = "oui",69.04*(1-disc),69.04)</f>
        <v>69.04</v>
      </c>
      <c r="N1312" s="29" t="n">
        <f aca="false">IF("oui" = "oui",69.04*(1-disc)*1.2,69.04*1.2)</f>
        <v>82.848</v>
      </c>
      <c r="O1312" s="24" t="s">
        <v>25</v>
      </c>
      <c r="P1312" s="7" t="s">
        <v>26</v>
      </c>
      <c r="Q1312" s="16"/>
    </row>
    <row r="1313" customFormat="false" ht="12.8" hidden="false" customHeight="false" outlineLevel="0" collapsed="false">
      <c r="A1313" s="22"/>
      <c r="B1313" s="23"/>
      <c r="C1313" s="24"/>
      <c r="D1313" s="22"/>
      <c r="E1313" s="19"/>
      <c r="F1313" s="24"/>
      <c r="G1313" s="25"/>
      <c r="H1313" s="26"/>
      <c r="I1313" s="27"/>
      <c r="J1313" s="28"/>
      <c r="K1313" s="28"/>
      <c r="L1313" s="24"/>
      <c r="M1313" s="29"/>
      <c r="N1313" s="29"/>
      <c r="O1313" s="24"/>
      <c r="P1313" s="4"/>
      <c r="Q1313" s="16"/>
    </row>
    <row r="1314" customFormat="false" ht="12.8" hidden="false" customHeight="false" outlineLevel="0" collapsed="false">
      <c r="A1314" s="30" t="s">
        <v>1217</v>
      </c>
      <c r="B1314" s="31"/>
      <c r="C1314" s="32"/>
      <c r="D1314" s="33"/>
      <c r="E1314" s="34"/>
      <c r="F1314" s="32"/>
      <c r="G1314" s="35"/>
      <c r="H1314" s="36"/>
      <c r="I1314" s="37"/>
      <c r="J1314" s="38"/>
      <c r="K1314" s="38"/>
      <c r="L1314" s="32"/>
      <c r="M1314" s="39"/>
      <c r="N1314" s="39"/>
      <c r="O1314" s="32"/>
      <c r="P1314" s="40"/>
      <c r="Q1314" s="41"/>
    </row>
    <row r="1315" customFormat="false" ht="12.8" hidden="false" customHeight="false" outlineLevel="0" collapsed="false">
      <c r="A1315" s="22"/>
      <c r="B1315" s="23"/>
      <c r="C1315" s="24"/>
      <c r="D1315" s="22"/>
      <c r="E1315" s="19"/>
      <c r="F1315" s="24"/>
      <c r="G1315" s="25"/>
      <c r="H1315" s="26"/>
      <c r="I1315" s="27"/>
      <c r="J1315" s="28"/>
      <c r="K1315" s="28"/>
      <c r="L1315" s="24"/>
      <c r="M1315" s="29"/>
      <c r="N1315" s="29"/>
      <c r="O1315" s="24"/>
      <c r="P1315" s="4"/>
      <c r="Q1315" s="16"/>
    </row>
    <row r="1316" customFormat="false" ht="12.8" hidden="false" customHeight="false" outlineLevel="0" collapsed="false">
      <c r="A1316" s="42" t="s">
        <v>1218</v>
      </c>
      <c r="B1316" s="43"/>
      <c r="C1316" s="44"/>
      <c r="D1316" s="45"/>
      <c r="E1316" s="46"/>
      <c r="F1316" s="44"/>
      <c r="G1316" s="47"/>
      <c r="H1316" s="48"/>
      <c r="I1316" s="49"/>
      <c r="J1316" s="50"/>
      <c r="K1316" s="50"/>
      <c r="L1316" s="44"/>
      <c r="M1316" s="51"/>
      <c r="N1316" s="51"/>
      <c r="O1316" s="44"/>
      <c r="P1316" s="52"/>
      <c r="Q1316" s="53"/>
    </row>
    <row r="1317" customFormat="false" ht="12.8" hidden="false" customHeight="false" outlineLevel="0" collapsed="false">
      <c r="A1317" s="22"/>
      <c r="B1317" s="23"/>
      <c r="C1317" s="24"/>
      <c r="D1317" s="22"/>
      <c r="E1317" s="19"/>
      <c r="F1317" s="24"/>
      <c r="G1317" s="25"/>
      <c r="H1317" s="26"/>
      <c r="I1317" s="27"/>
      <c r="J1317" s="28"/>
      <c r="K1317" s="28"/>
      <c r="L1317" s="24"/>
      <c r="M1317" s="29"/>
      <c r="N1317" s="29"/>
      <c r="O1317" s="24"/>
      <c r="P1317" s="4"/>
      <c r="Q1317" s="16"/>
    </row>
    <row r="1318" customFormat="false" ht="12.8" hidden="false" customHeight="false" outlineLevel="0" collapsed="false">
      <c r="A1318" s="22"/>
      <c r="B1318" s="23" t="n">
        <v>603025000</v>
      </c>
      <c r="C1318" s="24" t="n">
        <v>20</v>
      </c>
      <c r="D1318" s="54" t="s">
        <v>1219</v>
      </c>
      <c r="E1318" s="19" t="s">
        <v>1220</v>
      </c>
      <c r="F1318" s="24" t="s">
        <v>630</v>
      </c>
      <c r="G1318" s="25" t="n">
        <v>0.068</v>
      </c>
      <c r="H1318" s="26" t="n">
        <v>10</v>
      </c>
      <c r="I1318" s="27" t="n">
        <v>30</v>
      </c>
      <c r="J1318" s="28" t="n">
        <v>24</v>
      </c>
      <c r="K1318" s="28" t="n">
        <v>1</v>
      </c>
      <c r="L1318" s="24" t="s">
        <v>631</v>
      </c>
      <c r="M1318" s="29" t="n">
        <f aca="false">IF("oui" = "oui",4.53*(1-disc),4.53)</f>
        <v>4.53</v>
      </c>
      <c r="N1318" s="29" t="n">
        <f aca="false">IF("oui" = "oui",4.53*(1-disc)*1.2,4.53*1.2)</f>
        <v>5.436</v>
      </c>
      <c r="O1318" s="24" t="s">
        <v>25</v>
      </c>
      <c r="P1318" s="7" t="s">
        <v>26</v>
      </c>
      <c r="Q1318" s="16"/>
    </row>
    <row r="1319" customFormat="false" ht="12.8" hidden="false" customHeight="false" outlineLevel="0" collapsed="false">
      <c r="A1319" s="22"/>
      <c r="B1319" s="23" t="n">
        <v>603027000</v>
      </c>
      <c r="C1319" s="24" t="n">
        <v>20</v>
      </c>
      <c r="D1319" s="54" t="s">
        <v>1221</v>
      </c>
      <c r="E1319" s="19" t="s">
        <v>1222</v>
      </c>
      <c r="F1319" s="24" t="s">
        <v>630</v>
      </c>
      <c r="G1319" s="25" t="n">
        <v>0.117</v>
      </c>
      <c r="H1319" s="26" t="n">
        <v>10</v>
      </c>
      <c r="I1319" s="27" t="n">
        <v>30</v>
      </c>
      <c r="J1319" s="28" t="n">
        <v>24</v>
      </c>
      <c r="K1319" s="28" t="n">
        <v>1</v>
      </c>
      <c r="L1319" s="24" t="s">
        <v>631</v>
      </c>
      <c r="M1319" s="29" t="n">
        <f aca="false">IF("oui" = "oui",8.15*(1-disc),8.15)</f>
        <v>8.15</v>
      </c>
      <c r="N1319" s="29" t="n">
        <f aca="false">IF("oui" = "oui",8.15*(1-disc)*1.2,8.15*1.2)</f>
        <v>9.78</v>
      </c>
      <c r="O1319" s="24" t="s">
        <v>25</v>
      </c>
      <c r="P1319" s="7" t="s">
        <v>26</v>
      </c>
      <c r="Q1319" s="16"/>
    </row>
    <row r="1320" customFormat="false" ht="12.8" hidden="false" customHeight="false" outlineLevel="0" collapsed="false">
      <c r="A1320" s="22"/>
      <c r="B1320" s="23" t="n">
        <v>603026000</v>
      </c>
      <c r="C1320" s="24" t="n">
        <v>20</v>
      </c>
      <c r="D1320" s="54" t="s">
        <v>1223</v>
      </c>
      <c r="E1320" s="19" t="s">
        <v>1220</v>
      </c>
      <c r="F1320" s="24" t="s">
        <v>630</v>
      </c>
      <c r="G1320" s="25" t="n">
        <v>0.068</v>
      </c>
      <c r="H1320" s="26" t="n">
        <v>10</v>
      </c>
      <c r="I1320" s="27" t="n">
        <v>30</v>
      </c>
      <c r="J1320" s="28" t="n">
        <v>24</v>
      </c>
      <c r="K1320" s="28" t="n">
        <v>1</v>
      </c>
      <c r="L1320" s="24" t="s">
        <v>631</v>
      </c>
      <c r="M1320" s="29" t="n">
        <f aca="false">IF("oui" = "oui",5.43*(1-disc),5.43)</f>
        <v>5.43</v>
      </c>
      <c r="N1320" s="29" t="n">
        <f aca="false">IF("oui" = "oui",5.43*(1-disc)*1.2,5.43*1.2)</f>
        <v>6.516</v>
      </c>
      <c r="O1320" s="24" t="s">
        <v>25</v>
      </c>
      <c r="P1320" s="4" t="s">
        <v>25</v>
      </c>
      <c r="Q1320" s="16"/>
    </row>
    <row r="1321" customFormat="false" ht="12.8" hidden="false" customHeight="false" outlineLevel="0" collapsed="false">
      <c r="A1321" s="22"/>
      <c r="B1321" s="23" t="n">
        <v>603004000</v>
      </c>
      <c r="C1321" s="24" t="n">
        <v>30</v>
      </c>
      <c r="D1321" s="54" t="s">
        <v>1224</v>
      </c>
      <c r="E1321" s="19" t="s">
        <v>1225</v>
      </c>
      <c r="F1321" s="24" t="s">
        <v>630</v>
      </c>
      <c r="G1321" s="25" t="n">
        <v>0.495</v>
      </c>
      <c r="H1321" s="26" t="n">
        <v>28</v>
      </c>
      <c r="I1321" s="27" t="n">
        <v>30</v>
      </c>
      <c r="J1321" s="28" t="n">
        <v>4</v>
      </c>
      <c r="K1321" s="28" t="n">
        <v>1</v>
      </c>
      <c r="L1321" s="24" t="s">
        <v>631</v>
      </c>
      <c r="M1321" s="29" t="n">
        <f aca="false">IF("oui" = "oui",49.79*(1-disc),49.79)</f>
        <v>49.79</v>
      </c>
      <c r="N1321" s="29" t="n">
        <f aca="false">IF("oui" = "oui",49.79*(1-disc)*1.2,49.79*1.2)</f>
        <v>59.748</v>
      </c>
      <c r="O1321" s="24" t="s">
        <v>25</v>
      </c>
      <c r="P1321" s="7" t="s">
        <v>26</v>
      </c>
      <c r="Q1321" s="16"/>
    </row>
    <row r="1322" customFormat="false" ht="12.8" hidden="false" customHeight="false" outlineLevel="0" collapsed="false">
      <c r="A1322" s="22"/>
      <c r="B1322" s="23" t="n">
        <v>603009000</v>
      </c>
      <c r="C1322" s="24" t="n">
        <v>20</v>
      </c>
      <c r="D1322" s="54" t="s">
        <v>1226</v>
      </c>
      <c r="E1322" s="19" t="s">
        <v>1227</v>
      </c>
      <c r="F1322" s="24" t="s">
        <v>630</v>
      </c>
      <c r="G1322" s="25" t="n">
        <v>0.096</v>
      </c>
      <c r="H1322" s="26" t="n">
        <v>30</v>
      </c>
      <c r="I1322" s="27" t="n">
        <v>30</v>
      </c>
      <c r="J1322" s="28" t="n">
        <v>16</v>
      </c>
      <c r="K1322" s="28" t="n">
        <v>1</v>
      </c>
      <c r="L1322" s="24" t="s">
        <v>631</v>
      </c>
      <c r="M1322" s="29" t="n">
        <f aca="false">IF("oui" = "oui",12.23*(1-disc),12.23)</f>
        <v>12.23</v>
      </c>
      <c r="N1322" s="29" t="n">
        <f aca="false">IF("oui" = "oui",12.23*(1-disc)*1.2,12.23*1.2)</f>
        <v>14.676</v>
      </c>
      <c r="O1322" s="24" t="s">
        <v>25</v>
      </c>
      <c r="P1322" s="7" t="s">
        <v>26</v>
      </c>
      <c r="Q1322" s="16"/>
    </row>
    <row r="1323" customFormat="false" ht="12.8" hidden="false" customHeight="false" outlineLevel="0" collapsed="false">
      <c r="A1323" s="22"/>
      <c r="B1323" s="23" t="n">
        <v>603017000</v>
      </c>
      <c r="C1323" s="24"/>
      <c r="D1323" s="54" t="s">
        <v>1228</v>
      </c>
      <c r="E1323" s="19" t="s">
        <v>1229</v>
      </c>
      <c r="F1323" s="24" t="s">
        <v>630</v>
      </c>
      <c r="G1323" s="25" t="n">
        <v>0.24</v>
      </c>
      <c r="H1323" s="26" t="n">
        <v>20</v>
      </c>
      <c r="I1323" s="27" t="n">
        <v>30</v>
      </c>
      <c r="J1323" s="28" t="n">
        <v>12</v>
      </c>
      <c r="K1323" s="28" t="n">
        <v>1</v>
      </c>
      <c r="L1323" s="24" t="s">
        <v>631</v>
      </c>
      <c r="M1323" s="29" t="n">
        <f aca="false">IF("oui" = "oui",28.98*(1-disc),28.98)</f>
        <v>28.98</v>
      </c>
      <c r="N1323" s="29" t="n">
        <f aca="false">IF("oui" = "oui",28.98*(1-disc)*1.2,28.98*1.2)</f>
        <v>34.776</v>
      </c>
      <c r="O1323" s="24" t="s">
        <v>25</v>
      </c>
      <c r="P1323" s="55" t="s">
        <v>311</v>
      </c>
      <c r="Q1323" s="16"/>
    </row>
    <row r="1324" customFormat="false" ht="12.8" hidden="false" customHeight="false" outlineLevel="0" collapsed="false">
      <c r="A1324" s="22"/>
      <c r="B1324" s="23" t="n">
        <v>603019000</v>
      </c>
      <c r="C1324" s="24"/>
      <c r="D1324" s="54" t="s">
        <v>1230</v>
      </c>
      <c r="E1324" s="19" t="s">
        <v>1231</v>
      </c>
      <c r="F1324" s="24" t="s">
        <v>630</v>
      </c>
      <c r="G1324" s="25" t="n">
        <v>0.5</v>
      </c>
      <c r="H1324" s="26" t="n">
        <v>35</v>
      </c>
      <c r="I1324" s="27" t="n">
        <v>30</v>
      </c>
      <c r="J1324" s="28" t="n">
        <v>6</v>
      </c>
      <c r="K1324" s="28" t="n">
        <v>1</v>
      </c>
      <c r="L1324" s="24" t="s">
        <v>631</v>
      </c>
      <c r="M1324" s="29" t="n">
        <f aca="false">IF("oui" = "oui",35.31*(1-disc),35.31)</f>
        <v>35.31</v>
      </c>
      <c r="N1324" s="29" t="n">
        <f aca="false">IF("oui" = "oui",35.31*(1-disc)*1.2,35.31*1.2)</f>
        <v>42.372</v>
      </c>
      <c r="O1324" s="24" t="s">
        <v>25</v>
      </c>
      <c r="P1324" s="7" t="s">
        <v>26</v>
      </c>
      <c r="Q1324" s="16"/>
    </row>
    <row r="1325" customFormat="false" ht="12.8" hidden="false" customHeight="false" outlineLevel="0" collapsed="false">
      <c r="A1325" s="22"/>
      <c r="B1325" s="23" t="n">
        <v>603018000</v>
      </c>
      <c r="C1325" s="24"/>
      <c r="D1325" s="54" t="s">
        <v>1232</v>
      </c>
      <c r="E1325" s="19" t="s">
        <v>1233</v>
      </c>
      <c r="F1325" s="24" t="s">
        <v>630</v>
      </c>
      <c r="G1325" s="25" t="n">
        <v>0.45</v>
      </c>
      <c r="H1325" s="26" t="n">
        <v>30</v>
      </c>
      <c r="I1325" s="27" t="n">
        <v>30</v>
      </c>
      <c r="J1325" s="28" t="n">
        <v>6</v>
      </c>
      <c r="K1325" s="28" t="n">
        <v>1</v>
      </c>
      <c r="L1325" s="24" t="s">
        <v>631</v>
      </c>
      <c r="M1325" s="29" t="n">
        <f aca="false">IF("oui" = "oui",31.69*(1-disc),31.69)</f>
        <v>31.69</v>
      </c>
      <c r="N1325" s="29" t="n">
        <f aca="false">IF("oui" = "oui",31.69*(1-disc)*1.2,31.69*1.2)</f>
        <v>38.028</v>
      </c>
      <c r="O1325" s="24" t="s">
        <v>25</v>
      </c>
      <c r="P1325" s="7" t="s">
        <v>26</v>
      </c>
      <c r="Q1325" s="16"/>
    </row>
    <row r="1326" customFormat="false" ht="12.8" hidden="false" customHeight="false" outlineLevel="0" collapsed="false">
      <c r="A1326" s="22"/>
      <c r="B1326" s="23" t="n">
        <v>603012000</v>
      </c>
      <c r="C1326" s="24" t="n">
        <v>30</v>
      </c>
      <c r="D1326" s="54" t="s">
        <v>1234</v>
      </c>
      <c r="E1326" s="19" t="s">
        <v>1235</v>
      </c>
      <c r="F1326" s="24" t="s">
        <v>630</v>
      </c>
      <c r="G1326" s="25" t="n">
        <v>1.125</v>
      </c>
      <c r="H1326" s="26" t="n">
        <v>60</v>
      </c>
      <c r="I1326" s="27" t="n">
        <v>30</v>
      </c>
      <c r="J1326" s="28" t="n">
        <v>1</v>
      </c>
      <c r="K1326" s="28" t="n">
        <v>1</v>
      </c>
      <c r="L1326" s="24" t="s">
        <v>631</v>
      </c>
      <c r="M1326" s="29" t="n">
        <f aca="false">IF("oui" = "oui",125.85*(1-disc),125.85)</f>
        <v>125.85</v>
      </c>
      <c r="N1326" s="29" t="n">
        <f aca="false">IF("oui" = "oui",125.85*(1-disc)*1.2,125.85*1.2)</f>
        <v>151.02</v>
      </c>
      <c r="O1326" s="24" t="s">
        <v>25</v>
      </c>
      <c r="P1326" s="7" t="s">
        <v>26</v>
      </c>
      <c r="Q1326" s="16"/>
    </row>
    <row r="1327" customFormat="false" ht="12.8" hidden="false" customHeight="false" outlineLevel="0" collapsed="false">
      <c r="A1327" s="22"/>
      <c r="B1327" s="23" t="n">
        <v>603020000</v>
      </c>
      <c r="C1327" s="24"/>
      <c r="D1327" s="54" t="s">
        <v>1236</v>
      </c>
      <c r="E1327" s="19" t="s">
        <v>1237</v>
      </c>
      <c r="F1327" s="24" t="s">
        <v>630</v>
      </c>
      <c r="G1327" s="25" t="n">
        <v>0.5</v>
      </c>
      <c r="H1327" s="26" t="n">
        <v>20</v>
      </c>
      <c r="I1327" s="27" t="n">
        <v>30</v>
      </c>
      <c r="J1327" s="28" t="n">
        <v>6</v>
      </c>
      <c r="K1327" s="28" t="n">
        <v>1</v>
      </c>
      <c r="L1327" s="24" t="s">
        <v>631</v>
      </c>
      <c r="M1327" s="29" t="n">
        <f aca="false">IF("oui" = "oui",28.98*(1-disc),28.98)</f>
        <v>28.98</v>
      </c>
      <c r="N1327" s="29" t="n">
        <f aca="false">IF("oui" = "oui",28.98*(1-disc)*1.2,28.98*1.2)</f>
        <v>34.776</v>
      </c>
      <c r="O1327" s="24" t="s">
        <v>25</v>
      </c>
      <c r="P1327" s="7" t="s">
        <v>26</v>
      </c>
      <c r="Q1327" s="16"/>
    </row>
    <row r="1328" customFormat="false" ht="12.8" hidden="false" customHeight="false" outlineLevel="0" collapsed="false">
      <c r="A1328" s="22"/>
      <c r="B1328" s="23" t="n">
        <v>603028000</v>
      </c>
      <c r="C1328" s="24" t="n">
        <v>30</v>
      </c>
      <c r="D1328" s="54" t="s">
        <v>1238</v>
      </c>
      <c r="E1328" s="19" t="s">
        <v>1239</v>
      </c>
      <c r="F1328" s="24" t="s">
        <v>630</v>
      </c>
      <c r="G1328" s="25" t="n">
        <v>0.468</v>
      </c>
      <c r="H1328" s="26" t="n">
        <v>30</v>
      </c>
      <c r="I1328" s="27" t="n">
        <v>30</v>
      </c>
      <c r="J1328" s="28" t="n">
        <v>6</v>
      </c>
      <c r="K1328" s="28" t="n">
        <v>1</v>
      </c>
      <c r="L1328" s="24" t="s">
        <v>631</v>
      </c>
      <c r="M1328" s="29" t="n">
        <f aca="false">IF("oui" = "oui",32.6*(1-disc),32.6)</f>
        <v>32.6</v>
      </c>
      <c r="N1328" s="29" t="n">
        <f aca="false">IF("oui" = "oui",32.6*(1-disc)*1.2,32.6*1.2)</f>
        <v>39.12</v>
      </c>
      <c r="O1328" s="24" t="s">
        <v>25</v>
      </c>
      <c r="P1328" s="7" t="s">
        <v>26</v>
      </c>
      <c r="Q1328" s="16"/>
    </row>
    <row r="1329" customFormat="false" ht="12.8" hidden="false" customHeight="false" outlineLevel="0" collapsed="false">
      <c r="A1329" s="22"/>
      <c r="B1329" s="23" t="n">
        <v>603021000</v>
      </c>
      <c r="C1329" s="24" t="n">
        <v>20</v>
      </c>
      <c r="D1329" s="54" t="s">
        <v>1240</v>
      </c>
      <c r="E1329" s="19" t="s">
        <v>1241</v>
      </c>
      <c r="F1329" s="24" t="s">
        <v>630</v>
      </c>
      <c r="G1329" s="25" t="n">
        <v>0.498</v>
      </c>
      <c r="H1329" s="26" t="n">
        <v>12</v>
      </c>
      <c r="I1329" s="27" t="n">
        <v>30</v>
      </c>
      <c r="J1329" s="28" t="n">
        <v>6</v>
      </c>
      <c r="K1329" s="28" t="n">
        <v>1</v>
      </c>
      <c r="L1329" s="24" t="s">
        <v>631</v>
      </c>
      <c r="M1329" s="29" t="n">
        <f aca="false">IF("oui" = "oui",34.41*(1-disc),34.41)</f>
        <v>34.41</v>
      </c>
      <c r="N1329" s="29" t="n">
        <f aca="false">IF("oui" = "oui",34.41*(1-disc)*1.2,34.41*1.2)</f>
        <v>41.292</v>
      </c>
      <c r="O1329" s="24" t="s">
        <v>25</v>
      </c>
      <c r="P1329" s="55" t="s">
        <v>726</v>
      </c>
      <c r="Q1329" s="16"/>
    </row>
    <row r="1330" customFormat="false" ht="12.8" hidden="false" customHeight="false" outlineLevel="0" collapsed="false">
      <c r="A1330" s="22"/>
      <c r="B1330" s="23" t="n">
        <v>603022000</v>
      </c>
      <c r="C1330" s="24" t="n">
        <v>25</v>
      </c>
      <c r="D1330" s="54" t="s">
        <v>1242</v>
      </c>
      <c r="E1330" s="19" t="s">
        <v>1243</v>
      </c>
      <c r="F1330" s="24" t="s">
        <v>630</v>
      </c>
      <c r="G1330" s="25" t="n">
        <v>0.994</v>
      </c>
      <c r="H1330" s="26" t="n">
        <v>50</v>
      </c>
      <c r="I1330" s="27" t="n">
        <v>30</v>
      </c>
      <c r="J1330" s="28" t="n">
        <v>3</v>
      </c>
      <c r="K1330" s="28" t="n">
        <v>1</v>
      </c>
      <c r="L1330" s="24" t="s">
        <v>631</v>
      </c>
      <c r="M1330" s="29" t="n">
        <f aca="false">IF("oui" = "oui",76.96*(1-disc),76.96)</f>
        <v>76.96</v>
      </c>
      <c r="N1330" s="29" t="n">
        <f aca="false">IF("oui" = "oui",76.96*(1-disc)*1.2,76.96*1.2)</f>
        <v>92.352</v>
      </c>
      <c r="O1330" s="24" t="s">
        <v>25</v>
      </c>
      <c r="P1330" s="7" t="s">
        <v>26</v>
      </c>
      <c r="Q1330" s="16"/>
    </row>
    <row r="1331" customFormat="false" ht="12.8" hidden="false" customHeight="false" outlineLevel="0" collapsed="false">
      <c r="A1331" s="22"/>
      <c r="B1331" s="23" t="n">
        <v>603023000</v>
      </c>
      <c r="C1331" s="24" t="n">
        <v>25</v>
      </c>
      <c r="D1331" s="54" t="s">
        <v>1244</v>
      </c>
      <c r="E1331" s="19" t="s">
        <v>1243</v>
      </c>
      <c r="F1331" s="24" t="s">
        <v>630</v>
      </c>
      <c r="G1331" s="25" t="n">
        <v>0.994</v>
      </c>
      <c r="H1331" s="26" t="n">
        <v>45</v>
      </c>
      <c r="I1331" s="27" t="n">
        <v>30</v>
      </c>
      <c r="J1331" s="28" t="n">
        <v>3</v>
      </c>
      <c r="K1331" s="28" t="n">
        <v>1</v>
      </c>
      <c r="L1331" s="24" t="s">
        <v>631</v>
      </c>
      <c r="M1331" s="29" t="n">
        <f aca="false">IF("oui" = "oui",76.96*(1-disc),76.96)</f>
        <v>76.96</v>
      </c>
      <c r="N1331" s="29" t="n">
        <f aca="false">IF("oui" = "oui",76.96*(1-disc)*1.2,76.96*1.2)</f>
        <v>92.352</v>
      </c>
      <c r="O1331" s="24" t="s">
        <v>25</v>
      </c>
      <c r="P1331" s="7" t="s">
        <v>26</v>
      </c>
      <c r="Q1331" s="16"/>
    </row>
    <row r="1332" customFormat="false" ht="12.8" hidden="false" customHeight="false" outlineLevel="0" collapsed="false">
      <c r="A1332" s="22"/>
      <c r="B1332" s="23" t="n">
        <v>603024000</v>
      </c>
      <c r="C1332" s="24"/>
      <c r="D1332" s="54" t="s">
        <v>1245</v>
      </c>
      <c r="E1332" s="19" t="s">
        <v>1246</v>
      </c>
      <c r="F1332" s="24" t="s">
        <v>630</v>
      </c>
      <c r="G1332" s="25" t="n">
        <v>2</v>
      </c>
      <c r="H1332" s="26" t="n">
        <v>120</v>
      </c>
      <c r="I1332" s="27" t="n">
        <v>30</v>
      </c>
      <c r="J1332" s="28" t="n">
        <v>1</v>
      </c>
      <c r="K1332" s="28" t="n">
        <v>1</v>
      </c>
      <c r="L1332" s="24" t="s">
        <v>631</v>
      </c>
      <c r="M1332" s="29" t="n">
        <f aca="false">IF("oui" = "oui",180.17*(1-disc),180.17)</f>
        <v>180.17</v>
      </c>
      <c r="N1332" s="29" t="n">
        <f aca="false">IF("oui" = "oui",180.17*(1-disc)*1.2,180.17*1.2)</f>
        <v>216.204</v>
      </c>
      <c r="O1332" s="24" t="s">
        <v>25</v>
      </c>
      <c r="P1332" s="7" t="s">
        <v>26</v>
      </c>
      <c r="Q1332" s="16"/>
    </row>
    <row r="1333" customFormat="false" ht="12.8" hidden="false" customHeight="false" outlineLevel="0" collapsed="false">
      <c r="A1333" s="22"/>
      <c r="B1333" s="23" t="n">
        <v>603029000</v>
      </c>
      <c r="C1333" s="24" t="n">
        <v>20</v>
      </c>
      <c r="D1333" s="54" t="s">
        <v>1247</v>
      </c>
      <c r="E1333" s="19" t="s">
        <v>1248</v>
      </c>
      <c r="F1333" s="24" t="s">
        <v>630</v>
      </c>
      <c r="G1333" s="25" t="n">
        <v>0.8</v>
      </c>
      <c r="H1333" s="26" t="n">
        <v>40</v>
      </c>
      <c r="I1333" s="27" t="n">
        <v>30</v>
      </c>
      <c r="J1333" s="28" t="n">
        <v>4</v>
      </c>
      <c r="K1333" s="28" t="n">
        <v>1</v>
      </c>
      <c r="L1333" s="24" t="s">
        <v>631</v>
      </c>
      <c r="M1333" s="29" t="n">
        <f aca="false">IF("oui" = "oui",71.52*(1-disc),71.52)</f>
        <v>71.52</v>
      </c>
      <c r="N1333" s="29" t="n">
        <f aca="false">IF("oui" = "oui",71.52*(1-disc)*1.2,71.52*1.2)</f>
        <v>85.824</v>
      </c>
      <c r="O1333" s="24" t="s">
        <v>25</v>
      </c>
      <c r="P1333" s="7" t="s">
        <v>26</v>
      </c>
      <c r="Q1333" s="16"/>
    </row>
    <row r="1334" customFormat="false" ht="12.8" hidden="false" customHeight="false" outlineLevel="0" collapsed="false">
      <c r="A1334" s="22"/>
      <c r="B1334" s="23" t="n">
        <v>603007000</v>
      </c>
      <c r="C1334" s="24" t="n">
        <v>30</v>
      </c>
      <c r="D1334" s="54" t="s">
        <v>1249</v>
      </c>
      <c r="E1334" s="19" t="s">
        <v>1250</v>
      </c>
      <c r="F1334" s="24" t="s">
        <v>630</v>
      </c>
      <c r="G1334" s="25" t="n">
        <v>1.5</v>
      </c>
      <c r="H1334" s="26" t="n">
        <v>60</v>
      </c>
      <c r="I1334" s="27" t="n">
        <v>30</v>
      </c>
      <c r="J1334" s="28" t="n">
        <v>2</v>
      </c>
      <c r="K1334" s="28" t="n">
        <v>1</v>
      </c>
      <c r="L1334" s="24" t="s">
        <v>631</v>
      </c>
      <c r="M1334" s="57" t="n">
        <f aca="false">IF("non" = "oui",125.85*(1-disc),125.85)</f>
        <v>125.85</v>
      </c>
      <c r="N1334" s="57" t="n">
        <f aca="false">IF("non" = "oui",125.85*(1-disc)*1.2,125.85*1.2)</f>
        <v>151.02</v>
      </c>
      <c r="O1334" s="58" t="s">
        <v>26</v>
      </c>
      <c r="P1334" s="55" t="s">
        <v>591</v>
      </c>
      <c r="Q1334" s="16"/>
    </row>
    <row r="1335" customFormat="false" ht="12.8" hidden="false" customHeight="false" outlineLevel="0" collapsed="false">
      <c r="A1335" s="22"/>
      <c r="B1335" s="23" t="n">
        <v>603010000</v>
      </c>
      <c r="C1335" s="24" t="n">
        <v>30</v>
      </c>
      <c r="D1335" s="54" t="s">
        <v>1251</v>
      </c>
      <c r="E1335" s="19" t="s">
        <v>1252</v>
      </c>
      <c r="F1335" s="24" t="s">
        <v>630</v>
      </c>
      <c r="G1335" s="25" t="n">
        <v>2</v>
      </c>
      <c r="H1335" s="26" t="n">
        <v>120</v>
      </c>
      <c r="I1335" s="27" t="n">
        <v>30</v>
      </c>
      <c r="J1335" s="28" t="n">
        <v>1</v>
      </c>
      <c r="K1335" s="28" t="n">
        <v>1</v>
      </c>
      <c r="L1335" s="24" t="s">
        <v>631</v>
      </c>
      <c r="M1335" s="29" t="n">
        <f aca="false">IF("oui" = "oui",180.17*(1-disc),180.17)</f>
        <v>180.17</v>
      </c>
      <c r="N1335" s="29" t="n">
        <f aca="false">IF("oui" = "oui",180.17*(1-disc)*1.2,180.17*1.2)</f>
        <v>216.204</v>
      </c>
      <c r="O1335" s="24" t="s">
        <v>25</v>
      </c>
      <c r="P1335" s="55" t="s">
        <v>45</v>
      </c>
      <c r="Q1335" s="16"/>
    </row>
    <row r="1336" customFormat="false" ht="12.8" hidden="false" customHeight="false" outlineLevel="0" collapsed="false">
      <c r="A1336" s="22"/>
      <c r="B1336" s="23" t="n">
        <v>603042000</v>
      </c>
      <c r="C1336" s="24" t="n">
        <v>25</v>
      </c>
      <c r="D1336" s="54" t="s">
        <v>1253</v>
      </c>
      <c r="E1336" s="19" t="s">
        <v>1254</v>
      </c>
      <c r="F1336" s="24" t="s">
        <v>630</v>
      </c>
      <c r="G1336" s="25" t="n">
        <v>1.6</v>
      </c>
      <c r="H1336" s="26" t="n">
        <v>60</v>
      </c>
      <c r="I1336" s="27" t="n">
        <v>25</v>
      </c>
      <c r="J1336" s="28" t="n">
        <v>1</v>
      </c>
      <c r="K1336" s="28" t="n">
        <v>1</v>
      </c>
      <c r="L1336" s="24" t="s">
        <v>631</v>
      </c>
      <c r="M1336" s="29" t="n">
        <f aca="false">IF("oui" = "oui",134.65*(1-disc),134.65)</f>
        <v>134.65</v>
      </c>
      <c r="N1336" s="29" t="n">
        <f aca="false">IF("oui" = "oui",134.65*(1-disc)*1.2,134.65*1.2)</f>
        <v>161.58</v>
      </c>
      <c r="O1336" s="24" t="s">
        <v>25</v>
      </c>
      <c r="P1336" s="55" t="s">
        <v>63</v>
      </c>
      <c r="Q1336" s="16"/>
    </row>
    <row r="1337" customFormat="false" ht="12.8" hidden="false" customHeight="false" outlineLevel="0" collapsed="false">
      <c r="A1337" s="22"/>
      <c r="B1337" s="23" t="n">
        <v>603041000</v>
      </c>
      <c r="C1337" s="24" t="n">
        <v>25</v>
      </c>
      <c r="D1337" s="54" t="s">
        <v>1255</v>
      </c>
      <c r="E1337" s="19" t="s">
        <v>1256</v>
      </c>
      <c r="F1337" s="24" t="s">
        <v>630</v>
      </c>
      <c r="G1337" s="25" t="n">
        <v>1.8</v>
      </c>
      <c r="H1337" s="26" t="n">
        <v>55</v>
      </c>
      <c r="I1337" s="27" t="n">
        <v>25</v>
      </c>
      <c r="J1337" s="28" t="n">
        <v>1</v>
      </c>
      <c r="K1337" s="28" t="n">
        <v>1</v>
      </c>
      <c r="L1337" s="24" t="s">
        <v>631</v>
      </c>
      <c r="M1337" s="29" t="n">
        <f aca="false">IF("oui" = "oui",133.73*(1-disc),133.73)</f>
        <v>133.73</v>
      </c>
      <c r="N1337" s="29" t="n">
        <f aca="false">IF("oui" = "oui",133.73*(1-disc)*1.2,133.73*1.2)</f>
        <v>160.476</v>
      </c>
      <c r="O1337" s="24" t="s">
        <v>25</v>
      </c>
      <c r="P1337" s="55" t="s">
        <v>1043</v>
      </c>
      <c r="Q1337" s="16"/>
    </row>
    <row r="1338" customFormat="false" ht="12.8" hidden="false" customHeight="false" outlineLevel="0" collapsed="false">
      <c r="A1338" s="22"/>
      <c r="B1338" s="83" t="n">
        <v>603046000</v>
      </c>
      <c r="C1338" s="24" t="n">
        <v>25</v>
      </c>
      <c r="D1338" s="54" t="s">
        <v>1257</v>
      </c>
      <c r="E1338" s="19" t="s">
        <v>1258</v>
      </c>
      <c r="F1338" s="24" t="s">
        <v>630</v>
      </c>
      <c r="G1338" s="25" t="n">
        <v>1.445</v>
      </c>
      <c r="H1338" s="26" t="n">
        <v>75</v>
      </c>
      <c r="I1338" s="27" t="n">
        <v>25</v>
      </c>
      <c r="J1338" s="28" t="n">
        <v>1</v>
      </c>
      <c r="K1338" s="28" t="n">
        <v>1</v>
      </c>
      <c r="L1338" s="24" t="s">
        <v>631</v>
      </c>
      <c r="M1338" s="29" t="n">
        <f aca="false">IF("oui" = "oui",158.21*(1-disc),158.21)</f>
        <v>158.21</v>
      </c>
      <c r="N1338" s="29" t="n">
        <f aca="false">IF("oui" = "oui",158.21*(1-disc)*1.2,158.21*1.2)</f>
        <v>189.852</v>
      </c>
      <c r="O1338" s="24" t="s">
        <v>25</v>
      </c>
      <c r="P1338" s="7" t="s">
        <v>26</v>
      </c>
      <c r="Q1338" s="16"/>
    </row>
    <row r="1339" customFormat="false" ht="12.8" hidden="false" customHeight="false" outlineLevel="0" collapsed="false">
      <c r="A1339" s="22"/>
      <c r="B1339" s="23" t="n">
        <v>603047000</v>
      </c>
      <c r="C1339" s="24" t="n">
        <v>25</v>
      </c>
      <c r="D1339" s="54" t="s">
        <v>1259</v>
      </c>
      <c r="E1339" s="19" t="s">
        <v>1260</v>
      </c>
      <c r="F1339" s="24" t="s">
        <v>630</v>
      </c>
      <c r="G1339" s="25" t="n">
        <v>1.056</v>
      </c>
      <c r="H1339" s="26" t="n">
        <v>50</v>
      </c>
      <c r="I1339" s="27" t="n">
        <v>25</v>
      </c>
      <c r="J1339" s="28" t="n">
        <v>1</v>
      </c>
      <c r="K1339" s="28" t="n">
        <v>1</v>
      </c>
      <c r="L1339" s="24" t="s">
        <v>631</v>
      </c>
      <c r="M1339" s="29" t="n">
        <f aca="false">IF("oui" = "oui",92.5*(1-disc),92.5)</f>
        <v>92.5</v>
      </c>
      <c r="N1339" s="29" t="n">
        <f aca="false">IF("oui" = "oui",92.5*(1-disc)*1.2,92.5*1.2)</f>
        <v>111</v>
      </c>
      <c r="O1339" s="24" t="s">
        <v>25</v>
      </c>
      <c r="P1339" s="55" t="s">
        <v>176</v>
      </c>
      <c r="Q1339" s="16"/>
    </row>
    <row r="1340" customFormat="false" ht="12.8" hidden="false" customHeight="false" outlineLevel="0" collapsed="false">
      <c r="A1340" s="22"/>
      <c r="B1340" s="23" t="n">
        <v>603048000</v>
      </c>
      <c r="C1340" s="24" t="n">
        <v>25</v>
      </c>
      <c r="D1340" s="54" t="s">
        <v>1261</v>
      </c>
      <c r="E1340" s="19" t="s">
        <v>1262</v>
      </c>
      <c r="F1340" s="24" t="s">
        <v>630</v>
      </c>
      <c r="G1340" s="25" t="n">
        <v>0.5</v>
      </c>
      <c r="H1340" s="26" t="n">
        <v>20</v>
      </c>
      <c r="I1340" s="27" t="n">
        <v>25</v>
      </c>
      <c r="J1340" s="28" t="n">
        <v>4</v>
      </c>
      <c r="K1340" s="28" t="n">
        <v>1</v>
      </c>
      <c r="L1340" s="24" t="s">
        <v>631</v>
      </c>
      <c r="M1340" s="29" t="n">
        <f aca="false">IF("oui" = "oui",52.5*(1-disc),52.5)</f>
        <v>52.5</v>
      </c>
      <c r="N1340" s="29" t="n">
        <f aca="false">IF("oui" = "oui",52.5*(1-disc)*1.2,52.5*1.2)</f>
        <v>63</v>
      </c>
      <c r="O1340" s="24" t="s">
        <v>25</v>
      </c>
      <c r="P1340" s="7" t="s">
        <v>26</v>
      </c>
      <c r="Q1340" s="16"/>
    </row>
    <row r="1341" customFormat="false" ht="35.05" hidden="false" customHeight="false" outlineLevel="0" collapsed="false">
      <c r="A1341" s="22"/>
      <c r="B1341" s="23" t="n">
        <v>603016000</v>
      </c>
      <c r="C1341" s="24" t="n">
        <v>30</v>
      </c>
      <c r="D1341" s="54" t="s">
        <v>1263</v>
      </c>
      <c r="E1341" s="19" t="s">
        <v>1264</v>
      </c>
      <c r="F1341" s="24" t="s">
        <v>630</v>
      </c>
      <c r="G1341" s="25" t="n">
        <v>3.786</v>
      </c>
      <c r="H1341" s="26" t="n">
        <v>110</v>
      </c>
      <c r="I1341" s="27" t="n">
        <v>30</v>
      </c>
      <c r="J1341" s="28" t="n">
        <v>1</v>
      </c>
      <c r="K1341" s="28" t="n">
        <v>1</v>
      </c>
      <c r="L1341" s="24" t="s">
        <v>631</v>
      </c>
      <c r="M1341" s="29" t="n">
        <f aca="false">IF("oui" = "oui",423.88*(1-disc),423.88)</f>
        <v>423.88</v>
      </c>
      <c r="N1341" s="29" t="n">
        <f aca="false">IF("oui" = "oui",423.88*(1-disc)*1.2,423.88*1.2)</f>
        <v>508.656</v>
      </c>
      <c r="O1341" s="24" t="s">
        <v>25</v>
      </c>
      <c r="P1341" s="55" t="s">
        <v>311</v>
      </c>
      <c r="Q1341" s="16"/>
    </row>
    <row r="1342" customFormat="false" ht="12.8" hidden="false" customHeight="false" outlineLevel="0" collapsed="false">
      <c r="A1342" s="22"/>
      <c r="B1342" s="23" t="n">
        <v>603040000</v>
      </c>
      <c r="C1342" s="24" t="n">
        <v>25</v>
      </c>
      <c r="D1342" s="54" t="s">
        <v>1265</v>
      </c>
      <c r="E1342" s="19" t="s">
        <v>1266</v>
      </c>
      <c r="F1342" s="24" t="s">
        <v>630</v>
      </c>
      <c r="G1342" s="25" t="n">
        <v>3.122</v>
      </c>
      <c r="H1342" s="26" t="n">
        <v>130</v>
      </c>
      <c r="I1342" s="27" t="n">
        <v>30</v>
      </c>
      <c r="J1342" s="28" t="n">
        <v>1</v>
      </c>
      <c r="K1342" s="28" t="n">
        <v>1</v>
      </c>
      <c r="L1342" s="24" t="s">
        <v>631</v>
      </c>
      <c r="M1342" s="29" t="n">
        <f aca="false">IF("oui" = "oui",315.11*(1-disc),315.11)</f>
        <v>315.11</v>
      </c>
      <c r="N1342" s="29" t="n">
        <f aca="false">IF("oui" = "oui",315.11*(1-disc)*1.2,315.11*1.2)</f>
        <v>378.132</v>
      </c>
      <c r="O1342" s="24" t="s">
        <v>25</v>
      </c>
      <c r="P1342" s="55" t="s">
        <v>127</v>
      </c>
      <c r="Q1342" s="16"/>
    </row>
    <row r="1343" customFormat="false" ht="23.85" hidden="false" customHeight="false" outlineLevel="0" collapsed="false">
      <c r="A1343" s="22"/>
      <c r="B1343" s="23" t="n">
        <v>603044000</v>
      </c>
      <c r="C1343" s="24" t="n">
        <v>25</v>
      </c>
      <c r="D1343" s="54" t="s">
        <v>1267</v>
      </c>
      <c r="E1343" s="19" t="s">
        <v>1268</v>
      </c>
      <c r="F1343" s="24" t="s">
        <v>630</v>
      </c>
      <c r="G1343" s="25" t="n">
        <v>3.814</v>
      </c>
      <c r="H1343" s="26" t="n">
        <v>420</v>
      </c>
      <c r="I1343" s="27" t="n">
        <v>25</v>
      </c>
      <c r="J1343" s="28" t="n">
        <v>1</v>
      </c>
      <c r="K1343" s="28" t="n">
        <v>1</v>
      </c>
      <c r="L1343" s="24" t="s">
        <v>631</v>
      </c>
      <c r="M1343" s="29" t="n">
        <f aca="false">IF("oui" = "oui",546.87*(1-disc),546.87)</f>
        <v>546.87</v>
      </c>
      <c r="N1343" s="29" t="n">
        <f aca="false">IF("oui" = "oui",546.87*(1-disc)*1.2,546.87*1.2)</f>
        <v>656.244</v>
      </c>
      <c r="O1343" s="24" t="s">
        <v>25</v>
      </c>
      <c r="P1343" s="55" t="s">
        <v>1269</v>
      </c>
      <c r="Q1343" s="16"/>
    </row>
    <row r="1344" customFormat="false" ht="12.8" hidden="false" customHeight="false" outlineLevel="0" collapsed="false">
      <c r="A1344" s="22"/>
      <c r="B1344" s="23" t="n">
        <v>603045000</v>
      </c>
      <c r="C1344" s="24" t="n">
        <v>20</v>
      </c>
      <c r="D1344" s="54" t="s">
        <v>1270</v>
      </c>
      <c r="E1344" s="19" t="s">
        <v>1271</v>
      </c>
      <c r="F1344" s="24" t="s">
        <v>630</v>
      </c>
      <c r="G1344" s="25" t="n">
        <v>1.467</v>
      </c>
      <c r="H1344" s="26" t="n">
        <v>110</v>
      </c>
      <c r="I1344" s="27" t="n">
        <v>25</v>
      </c>
      <c r="J1344" s="28" t="n">
        <v>1</v>
      </c>
      <c r="K1344" s="28" t="n">
        <v>1</v>
      </c>
      <c r="L1344" s="24" t="s">
        <v>631</v>
      </c>
      <c r="M1344" s="29" t="n">
        <f aca="false">IF("oui" = "oui",132.14*(1-disc),132.14)</f>
        <v>132.14</v>
      </c>
      <c r="N1344" s="29" t="n">
        <f aca="false">IF("oui" = "oui",132.14*(1-disc)*1.2,132.14*1.2)</f>
        <v>158.568</v>
      </c>
      <c r="O1344" s="24" t="s">
        <v>25</v>
      </c>
      <c r="P1344" s="55" t="s">
        <v>467</v>
      </c>
      <c r="Q1344" s="16"/>
    </row>
    <row r="1345" customFormat="false" ht="12.8" hidden="false" customHeight="false" outlineLevel="0" collapsed="false">
      <c r="A1345" s="22"/>
      <c r="B1345" s="23" t="n">
        <v>603057000</v>
      </c>
      <c r="C1345" s="24" t="n">
        <v>30</v>
      </c>
      <c r="D1345" s="54" t="s">
        <v>1272</v>
      </c>
      <c r="E1345" s="19" t="s">
        <v>1273</v>
      </c>
      <c r="F1345" s="24" t="s">
        <v>630</v>
      </c>
      <c r="G1345" s="25" t="n">
        <v>1.955</v>
      </c>
      <c r="H1345" s="26" t="n">
        <v>208</v>
      </c>
      <c r="I1345" s="27" t="n">
        <v>25</v>
      </c>
      <c r="J1345" s="28" t="n">
        <v>1</v>
      </c>
      <c r="K1345" s="28" t="n">
        <v>1</v>
      </c>
      <c r="L1345" s="24" t="s">
        <v>631</v>
      </c>
      <c r="M1345" s="29" t="n">
        <f aca="false">IF("oui" = "oui",202.39*(1-disc),202.39)</f>
        <v>202.39</v>
      </c>
      <c r="N1345" s="29" t="n">
        <f aca="false">IF("oui" = "oui",202.39*(1-disc)*1.2,202.39*1.2)</f>
        <v>242.868</v>
      </c>
      <c r="O1345" s="24" t="s">
        <v>25</v>
      </c>
      <c r="P1345" s="55" t="s">
        <v>1269</v>
      </c>
      <c r="Q1345" s="16"/>
    </row>
    <row r="1346" customFormat="false" ht="23.85" hidden="false" customHeight="false" outlineLevel="0" collapsed="false">
      <c r="A1346" s="22"/>
      <c r="B1346" s="23" t="n">
        <v>603056000</v>
      </c>
      <c r="C1346" s="24" t="n">
        <v>20</v>
      </c>
      <c r="D1346" s="54" t="s">
        <v>1274</v>
      </c>
      <c r="E1346" s="19" t="s">
        <v>1275</v>
      </c>
      <c r="F1346" s="24" t="s">
        <v>630</v>
      </c>
      <c r="G1346" s="25" t="n">
        <v>2.701</v>
      </c>
      <c r="H1346" s="26" t="n">
        <v>195</v>
      </c>
      <c r="I1346" s="27" t="n">
        <v>25</v>
      </c>
      <c r="J1346" s="28" t="n">
        <v>1</v>
      </c>
      <c r="K1346" s="28" t="n">
        <v>1</v>
      </c>
      <c r="L1346" s="24" t="s">
        <v>631</v>
      </c>
      <c r="M1346" s="29" t="n">
        <f aca="false">IF("oui" = "oui",325*(1-disc),325)</f>
        <v>325</v>
      </c>
      <c r="N1346" s="29" t="n">
        <f aca="false">IF("oui" = "oui",325*(1-disc)*1.2,325*1.2)</f>
        <v>390</v>
      </c>
      <c r="O1346" s="24" t="s">
        <v>25</v>
      </c>
      <c r="P1346" s="55" t="s">
        <v>467</v>
      </c>
      <c r="Q1346" s="16"/>
    </row>
    <row r="1347" customFormat="false" ht="12.8" hidden="false" customHeight="false" outlineLevel="0" collapsed="false">
      <c r="A1347" s="22"/>
      <c r="B1347" s="23" t="n">
        <v>603058000</v>
      </c>
      <c r="C1347" s="24" t="n">
        <v>20</v>
      </c>
      <c r="D1347" s="54" t="s">
        <v>1276</v>
      </c>
      <c r="E1347" s="19" t="s">
        <v>1277</v>
      </c>
      <c r="F1347" s="24" t="s">
        <v>630</v>
      </c>
      <c r="G1347" s="25" t="n">
        <v>1.344</v>
      </c>
      <c r="H1347" s="26" t="n">
        <v>108</v>
      </c>
      <c r="I1347" s="27" t="n">
        <v>25</v>
      </c>
      <c r="J1347" s="28" t="n">
        <v>1</v>
      </c>
      <c r="K1347" s="28" t="n">
        <v>1</v>
      </c>
      <c r="L1347" s="24" t="s">
        <v>631</v>
      </c>
      <c r="M1347" s="29" t="n">
        <f aca="false">IF("oui" = "oui",170*(1-disc),170)</f>
        <v>170</v>
      </c>
      <c r="N1347" s="29" t="n">
        <f aca="false">IF("oui" = "oui",170*(1-disc)*1.2,170*1.2)</f>
        <v>204</v>
      </c>
      <c r="O1347" s="24" t="s">
        <v>25</v>
      </c>
      <c r="P1347" s="55" t="s">
        <v>658</v>
      </c>
      <c r="Q1347" s="16"/>
    </row>
    <row r="1348" customFormat="false" ht="12.8" hidden="false" customHeight="false" outlineLevel="0" collapsed="false">
      <c r="A1348" s="22"/>
      <c r="B1348" s="23" t="n">
        <v>603059000</v>
      </c>
      <c r="C1348" s="24" t="n">
        <v>20</v>
      </c>
      <c r="D1348" s="54" t="s">
        <v>1278</v>
      </c>
      <c r="E1348" s="19" t="s">
        <v>1279</v>
      </c>
      <c r="F1348" s="24" t="s">
        <v>630</v>
      </c>
      <c r="G1348" s="25" t="n">
        <v>1.248</v>
      </c>
      <c r="H1348" s="26" t="n">
        <v>120</v>
      </c>
      <c r="I1348" s="27" t="n">
        <v>25</v>
      </c>
      <c r="J1348" s="28" t="n">
        <v>1</v>
      </c>
      <c r="K1348" s="28" t="n">
        <v>1</v>
      </c>
      <c r="L1348" s="24" t="s">
        <v>631</v>
      </c>
      <c r="M1348" s="29" t="n">
        <f aca="false">IF("oui" = "oui",144.07*(1-disc),144.07)</f>
        <v>144.07</v>
      </c>
      <c r="N1348" s="29" t="n">
        <f aca="false">IF("oui" = "oui",144.07*(1-disc)*1.2,144.07*1.2)</f>
        <v>172.884</v>
      </c>
      <c r="O1348" s="24" t="s">
        <v>25</v>
      </c>
      <c r="P1348" s="55" t="s">
        <v>658</v>
      </c>
      <c r="Q1348" s="16"/>
    </row>
    <row r="1349" customFormat="false" ht="12.8" hidden="false" customHeight="false" outlineLevel="0" collapsed="false">
      <c r="A1349" s="22"/>
      <c r="B1349" s="23" t="n">
        <v>603050000</v>
      </c>
      <c r="C1349" s="24" t="n">
        <v>10</v>
      </c>
      <c r="D1349" s="54" t="s">
        <v>1280</v>
      </c>
      <c r="E1349" s="19" t="s">
        <v>1281</v>
      </c>
      <c r="F1349" s="24" t="s">
        <v>630</v>
      </c>
      <c r="G1349" s="25" t="n">
        <v>0.092</v>
      </c>
      <c r="H1349" s="26" t="n">
        <v>45</v>
      </c>
      <c r="I1349" s="27" t="n">
        <v>25</v>
      </c>
      <c r="J1349" s="28" t="n">
        <v>12</v>
      </c>
      <c r="K1349" s="28" t="n">
        <v>1</v>
      </c>
      <c r="L1349" s="24" t="s">
        <v>631</v>
      </c>
      <c r="M1349" s="29" t="n">
        <f aca="false">IF("oui" = "oui",10.5*(1-disc),10.5)</f>
        <v>10.5</v>
      </c>
      <c r="N1349" s="29" t="n">
        <f aca="false">IF("oui" = "oui",10.5*(1-disc)*1.2,10.5*1.2)</f>
        <v>12.6</v>
      </c>
      <c r="O1349" s="24" t="s">
        <v>25</v>
      </c>
      <c r="P1349" s="4" t="s">
        <v>25</v>
      </c>
      <c r="Q1349" s="16"/>
    </row>
    <row r="1350" customFormat="false" ht="12.8" hidden="false" customHeight="false" outlineLevel="0" collapsed="false">
      <c r="A1350" s="22"/>
      <c r="B1350" s="23" t="n">
        <v>603051000</v>
      </c>
      <c r="C1350" s="24" t="n">
        <v>20</v>
      </c>
      <c r="D1350" s="54" t="s">
        <v>1282</v>
      </c>
      <c r="E1350" s="19" t="s">
        <v>1283</v>
      </c>
      <c r="F1350" s="24" t="s">
        <v>630</v>
      </c>
      <c r="G1350" s="25" t="n">
        <v>0.163</v>
      </c>
      <c r="H1350" s="26" t="n">
        <v>30</v>
      </c>
      <c r="I1350" s="27" t="n">
        <v>25</v>
      </c>
      <c r="J1350" s="28" t="n">
        <v>12</v>
      </c>
      <c r="K1350" s="28" t="n">
        <v>1</v>
      </c>
      <c r="L1350" s="24" t="s">
        <v>631</v>
      </c>
      <c r="M1350" s="29" t="n">
        <f aca="false">IF("oui" = "oui",15.75*(1-disc),15.75)</f>
        <v>15.75</v>
      </c>
      <c r="N1350" s="29" t="n">
        <f aca="false">IF("oui" = "oui",15.75*(1-disc)*1.2,15.75*1.2)</f>
        <v>18.9</v>
      </c>
      <c r="O1350" s="24" t="s">
        <v>25</v>
      </c>
      <c r="P1350" s="7" t="s">
        <v>26</v>
      </c>
      <c r="Q1350" s="16"/>
    </row>
    <row r="1351" customFormat="false" ht="12.8" hidden="false" customHeight="false" outlineLevel="0" collapsed="false">
      <c r="A1351" s="22"/>
      <c r="B1351" s="23" t="n">
        <v>603054000</v>
      </c>
      <c r="C1351" s="24" t="n">
        <v>20</v>
      </c>
      <c r="D1351" s="54" t="s">
        <v>1284</v>
      </c>
      <c r="E1351" s="19" t="s">
        <v>1285</v>
      </c>
      <c r="F1351" s="24" t="s">
        <v>630</v>
      </c>
      <c r="G1351" s="25" t="n">
        <v>0.406</v>
      </c>
      <c r="H1351" s="26" t="n">
        <v>45</v>
      </c>
      <c r="I1351" s="27" t="n">
        <v>25</v>
      </c>
      <c r="J1351" s="28" t="n">
        <v>6</v>
      </c>
      <c r="K1351" s="28" t="n">
        <v>1</v>
      </c>
      <c r="L1351" s="24" t="s">
        <v>631</v>
      </c>
      <c r="M1351" s="29" t="n">
        <f aca="false">IF("oui" = "oui",50.16*(1-disc),50.16)</f>
        <v>50.16</v>
      </c>
      <c r="N1351" s="29" t="n">
        <f aca="false">IF("oui" = "oui",50.16*(1-disc)*1.2,50.16*1.2)</f>
        <v>60.192</v>
      </c>
      <c r="O1351" s="24" t="s">
        <v>25</v>
      </c>
      <c r="P1351" s="55" t="s">
        <v>1286</v>
      </c>
      <c r="Q1351" s="16"/>
    </row>
    <row r="1352" customFormat="false" ht="12.8" hidden="false" customHeight="false" outlineLevel="0" collapsed="false">
      <c r="A1352" s="22"/>
      <c r="B1352" s="23" t="n">
        <v>603049000</v>
      </c>
      <c r="C1352" s="24" t="n">
        <v>25</v>
      </c>
      <c r="D1352" s="54" t="s">
        <v>1287</v>
      </c>
      <c r="E1352" s="19" t="s">
        <v>1288</v>
      </c>
      <c r="F1352" s="24" t="s">
        <v>630</v>
      </c>
      <c r="G1352" s="25" t="n">
        <v>1.807</v>
      </c>
      <c r="H1352" s="26" t="n">
        <v>180</v>
      </c>
      <c r="I1352" s="27" t="n">
        <v>25</v>
      </c>
      <c r="J1352" s="28" t="n">
        <v>1</v>
      </c>
      <c r="K1352" s="28" t="n">
        <v>1</v>
      </c>
      <c r="L1352" s="24" t="s">
        <v>631</v>
      </c>
      <c r="M1352" s="29" t="n">
        <f aca="false">IF("oui" = "oui",298.78*(1-disc),298.78)</f>
        <v>298.78</v>
      </c>
      <c r="N1352" s="29" t="n">
        <f aca="false">IF("oui" = "oui",298.78*(1-disc)*1.2,298.78*1.2)</f>
        <v>358.536</v>
      </c>
      <c r="O1352" s="24" t="s">
        <v>25</v>
      </c>
      <c r="P1352" s="55" t="s">
        <v>1029</v>
      </c>
      <c r="Q1352" s="16"/>
    </row>
    <row r="1353" customFormat="false" ht="23.85" hidden="false" customHeight="false" outlineLevel="0" collapsed="false">
      <c r="A1353" s="22"/>
      <c r="B1353" s="23" t="n">
        <v>603043000</v>
      </c>
      <c r="C1353" s="24" t="n">
        <v>25</v>
      </c>
      <c r="D1353" s="54" t="s">
        <v>1289</v>
      </c>
      <c r="E1353" s="19" t="s">
        <v>1268</v>
      </c>
      <c r="F1353" s="24" t="s">
        <v>630</v>
      </c>
      <c r="G1353" s="25" t="n">
        <v>3.814</v>
      </c>
      <c r="H1353" s="26" t="n">
        <v>300</v>
      </c>
      <c r="I1353" s="27" t="n">
        <v>25</v>
      </c>
      <c r="J1353" s="28" t="n">
        <v>1</v>
      </c>
      <c r="K1353" s="28" t="n">
        <v>1</v>
      </c>
      <c r="L1353" s="24" t="s">
        <v>631</v>
      </c>
      <c r="M1353" s="29" t="n">
        <f aca="false">IF("oui" = "oui",501.24*(1-disc),501.24)</f>
        <v>501.24</v>
      </c>
      <c r="N1353" s="29" t="n">
        <f aca="false">IF("oui" = "oui",501.24*(1-disc)*1.2,501.24*1.2)</f>
        <v>601.488</v>
      </c>
      <c r="O1353" s="24" t="s">
        <v>25</v>
      </c>
      <c r="P1353" s="55" t="s">
        <v>1102</v>
      </c>
      <c r="Q1353" s="16"/>
    </row>
    <row r="1354" customFormat="false" ht="12.8" hidden="false" customHeight="false" outlineLevel="0" collapsed="false">
      <c r="A1354" s="22"/>
      <c r="B1354" s="23" t="n">
        <v>603052000</v>
      </c>
      <c r="C1354" s="24" t="n">
        <v>20</v>
      </c>
      <c r="D1354" s="54" t="s">
        <v>1290</v>
      </c>
      <c r="E1354" s="19" t="s">
        <v>1291</v>
      </c>
      <c r="F1354" s="24" t="s">
        <v>630</v>
      </c>
      <c r="G1354" s="25" t="n">
        <v>0.17</v>
      </c>
      <c r="H1354" s="26" t="n">
        <v>23</v>
      </c>
      <c r="I1354" s="27" t="n">
        <v>25</v>
      </c>
      <c r="J1354" s="28" t="n">
        <v>12</v>
      </c>
      <c r="K1354" s="28" t="n">
        <v>1</v>
      </c>
      <c r="L1354" s="24" t="s">
        <v>631</v>
      </c>
      <c r="M1354" s="29" t="n">
        <f aca="false">IF("oui" = "oui",11.67*(1-disc),11.67)</f>
        <v>11.67</v>
      </c>
      <c r="N1354" s="29" t="n">
        <f aca="false">IF("oui" = "oui",11.67*(1-disc)*1.2,11.67*1.2)</f>
        <v>14.004</v>
      </c>
      <c r="O1354" s="24" t="s">
        <v>25</v>
      </c>
      <c r="P1354" s="55" t="s">
        <v>357</v>
      </c>
      <c r="Q1354" s="16"/>
    </row>
    <row r="1355" customFormat="false" ht="12.8" hidden="false" customHeight="false" outlineLevel="0" collapsed="false">
      <c r="A1355" s="22"/>
      <c r="B1355" s="23" t="n">
        <v>603053000</v>
      </c>
      <c r="C1355" s="24" t="n">
        <v>25</v>
      </c>
      <c r="D1355" s="54" t="s">
        <v>1292</v>
      </c>
      <c r="E1355" s="19" t="s">
        <v>1291</v>
      </c>
      <c r="F1355" s="24" t="s">
        <v>630</v>
      </c>
      <c r="G1355" s="25" t="n">
        <v>0.405</v>
      </c>
      <c r="H1355" s="26" t="n">
        <v>37</v>
      </c>
      <c r="I1355" s="27" t="n">
        <v>25</v>
      </c>
      <c r="J1355" s="28" t="n">
        <v>8</v>
      </c>
      <c r="K1355" s="28" t="n">
        <v>1</v>
      </c>
      <c r="L1355" s="24" t="s">
        <v>631</v>
      </c>
      <c r="M1355" s="29" t="n">
        <f aca="false">IF("oui" = "oui",30.32*(1-disc),30.32)</f>
        <v>30.32</v>
      </c>
      <c r="N1355" s="29" t="n">
        <f aca="false">IF("oui" = "oui",30.32*(1-disc)*1.2,30.32*1.2)</f>
        <v>36.384</v>
      </c>
      <c r="O1355" s="24" t="s">
        <v>25</v>
      </c>
      <c r="P1355" s="7" t="s">
        <v>26</v>
      </c>
      <c r="Q1355" s="16"/>
    </row>
    <row r="1356" customFormat="false" ht="12.8" hidden="false" customHeight="false" outlineLevel="0" collapsed="false">
      <c r="A1356" s="22"/>
      <c r="B1356" s="23" t="n">
        <v>603055000</v>
      </c>
      <c r="C1356" s="24" t="n">
        <v>25</v>
      </c>
      <c r="D1356" s="54" t="s">
        <v>1293</v>
      </c>
      <c r="E1356" s="19" t="s">
        <v>1294</v>
      </c>
      <c r="F1356" s="24" t="s">
        <v>630</v>
      </c>
      <c r="G1356" s="25" t="n">
        <v>3.942</v>
      </c>
      <c r="H1356" s="26" t="n">
        <v>135</v>
      </c>
      <c r="I1356" s="27" t="n">
        <v>25</v>
      </c>
      <c r="J1356" s="28" t="n">
        <v>1</v>
      </c>
      <c r="K1356" s="28" t="n">
        <v>1</v>
      </c>
      <c r="L1356" s="24" t="s">
        <v>631</v>
      </c>
      <c r="M1356" s="29" t="n">
        <f aca="false">IF("oui" = "oui",363.39*(1-disc),363.39)</f>
        <v>363.39</v>
      </c>
      <c r="N1356" s="29" t="n">
        <f aca="false">IF("oui" = "oui",363.39*(1-disc)*1.2,363.39*1.2)</f>
        <v>436.068</v>
      </c>
      <c r="O1356" s="24" t="s">
        <v>25</v>
      </c>
      <c r="P1356" s="55" t="s">
        <v>106</v>
      </c>
      <c r="Q1356" s="16"/>
    </row>
    <row r="1357" customFormat="false" ht="12.8" hidden="false" customHeight="false" outlineLevel="0" collapsed="false">
      <c r="A1357" s="22"/>
      <c r="B1357" s="23" t="n">
        <v>603060000</v>
      </c>
      <c r="C1357" s="24" t="n">
        <v>25</v>
      </c>
      <c r="D1357" s="54" t="s">
        <v>1295</v>
      </c>
      <c r="E1357" s="19" t="s">
        <v>1296</v>
      </c>
      <c r="F1357" s="24" t="s">
        <v>630</v>
      </c>
      <c r="G1357" s="25" t="n">
        <v>1.054</v>
      </c>
      <c r="H1357" s="26" t="n">
        <v>40</v>
      </c>
      <c r="I1357" s="27" t="n">
        <v>25</v>
      </c>
      <c r="J1357" s="28" t="n">
        <v>1</v>
      </c>
      <c r="K1357" s="28" t="n">
        <v>1</v>
      </c>
      <c r="L1357" s="24" t="s">
        <v>631</v>
      </c>
      <c r="M1357" s="29" t="n">
        <f aca="false">IF("oui" = "oui",109.87*(1-disc),109.87)</f>
        <v>109.87</v>
      </c>
      <c r="N1357" s="29" t="n">
        <f aca="false">IF("oui" = "oui",109.87*(1-disc)*1.2,109.87*1.2)</f>
        <v>131.844</v>
      </c>
      <c r="O1357" s="24" t="s">
        <v>25</v>
      </c>
      <c r="P1357" s="7" t="s">
        <v>26</v>
      </c>
      <c r="Q1357" s="16"/>
    </row>
    <row r="1358" customFormat="false" ht="12.8" hidden="false" customHeight="false" outlineLevel="0" collapsed="false">
      <c r="A1358" s="22"/>
      <c r="B1358" s="23" t="n">
        <v>603061000</v>
      </c>
      <c r="C1358" s="24" t="n">
        <v>30</v>
      </c>
      <c r="D1358" s="54" t="s">
        <v>1297</v>
      </c>
      <c r="E1358" s="19" t="s">
        <v>1298</v>
      </c>
      <c r="F1358" s="24" t="s">
        <v>630</v>
      </c>
      <c r="G1358" s="25" t="n">
        <v>0.981</v>
      </c>
      <c r="H1358" s="26" t="n">
        <v>40</v>
      </c>
      <c r="I1358" s="27" t="n">
        <v>25</v>
      </c>
      <c r="J1358" s="28" t="n">
        <v>1</v>
      </c>
      <c r="K1358" s="28" t="n">
        <v>1</v>
      </c>
      <c r="L1358" s="24" t="s">
        <v>631</v>
      </c>
      <c r="M1358" s="29" t="n">
        <f aca="false">IF("oui" = "oui",69.46*(1-disc),69.46)</f>
        <v>69.46</v>
      </c>
      <c r="N1358" s="29" t="n">
        <f aca="false">IF("oui" = "oui",69.46*(1-disc)*1.2,69.46*1.2)</f>
        <v>83.352</v>
      </c>
      <c r="O1358" s="24" t="s">
        <v>25</v>
      </c>
      <c r="P1358" s="7" t="s">
        <v>26</v>
      </c>
      <c r="Q1358" s="16"/>
    </row>
    <row r="1359" customFormat="false" ht="12.8" hidden="false" customHeight="false" outlineLevel="0" collapsed="false">
      <c r="A1359" s="22"/>
      <c r="B1359" s="23"/>
      <c r="C1359" s="24"/>
      <c r="D1359" s="22"/>
      <c r="E1359" s="19"/>
      <c r="F1359" s="24"/>
      <c r="G1359" s="25"/>
      <c r="H1359" s="26"/>
      <c r="I1359" s="27"/>
      <c r="J1359" s="28"/>
      <c r="K1359" s="28"/>
      <c r="L1359" s="24"/>
      <c r="M1359" s="29"/>
      <c r="N1359" s="29"/>
      <c r="O1359" s="24"/>
      <c r="P1359" s="4"/>
      <c r="Q1359" s="16"/>
    </row>
    <row r="1360" customFormat="false" ht="12.8" hidden="false" customHeight="false" outlineLevel="0" collapsed="false">
      <c r="A1360" s="42" t="s">
        <v>1299</v>
      </c>
      <c r="B1360" s="43"/>
      <c r="C1360" s="44"/>
      <c r="D1360" s="45"/>
      <c r="E1360" s="46"/>
      <c r="F1360" s="44"/>
      <c r="G1360" s="47"/>
      <c r="H1360" s="48"/>
      <c r="I1360" s="49"/>
      <c r="J1360" s="50"/>
      <c r="K1360" s="50"/>
      <c r="L1360" s="44"/>
      <c r="M1360" s="51"/>
      <c r="N1360" s="51"/>
      <c r="O1360" s="44"/>
      <c r="P1360" s="52"/>
      <c r="Q1360" s="53"/>
    </row>
    <row r="1361" customFormat="false" ht="12.8" hidden="false" customHeight="false" outlineLevel="0" collapsed="false">
      <c r="A1361" s="22"/>
      <c r="B1361" s="23"/>
      <c r="C1361" s="24"/>
      <c r="D1361" s="22"/>
      <c r="E1361" s="19"/>
      <c r="F1361" s="24"/>
      <c r="G1361" s="25"/>
      <c r="H1361" s="26"/>
      <c r="I1361" s="27"/>
      <c r="J1361" s="28"/>
      <c r="K1361" s="28"/>
      <c r="L1361" s="24"/>
      <c r="M1361" s="29"/>
      <c r="N1361" s="29"/>
      <c r="O1361" s="24"/>
      <c r="P1361" s="4"/>
      <c r="Q1361" s="16"/>
    </row>
    <row r="1362" customFormat="false" ht="12.8" hidden="false" customHeight="false" outlineLevel="0" collapsed="false">
      <c r="A1362" s="22"/>
      <c r="B1362" s="23" t="n">
        <v>500266000</v>
      </c>
      <c r="C1362" s="24" t="n">
        <v>25</v>
      </c>
      <c r="D1362" s="54" t="s">
        <v>1300</v>
      </c>
      <c r="E1362" s="19" t="s">
        <v>1301</v>
      </c>
      <c r="F1362" s="24" t="s">
        <v>647</v>
      </c>
      <c r="G1362" s="25" t="n">
        <v>0.761</v>
      </c>
      <c r="H1362" s="26" t="n">
        <v>70</v>
      </c>
      <c r="I1362" s="27" t="n">
        <v>30</v>
      </c>
      <c r="J1362" s="28" t="n">
        <v>2</v>
      </c>
      <c r="K1362" s="28" t="n">
        <v>1</v>
      </c>
      <c r="L1362" s="24" t="s">
        <v>631</v>
      </c>
      <c r="M1362" s="29" t="n">
        <f aca="false">IF("oui" = "oui",55.35*(1-disc),55.35)</f>
        <v>55.35</v>
      </c>
      <c r="N1362" s="29" t="n">
        <f aca="false">IF("oui" = "oui",55.35*(1-disc)*1.2,55.35*1.2)</f>
        <v>66.42</v>
      </c>
      <c r="O1362" s="24" t="s">
        <v>25</v>
      </c>
      <c r="P1362" s="4" t="s">
        <v>25</v>
      </c>
      <c r="Q1362" s="16"/>
    </row>
    <row r="1363" customFormat="false" ht="12.8" hidden="false" customHeight="false" outlineLevel="0" collapsed="false">
      <c r="A1363" s="22"/>
      <c r="B1363" s="23" t="n">
        <v>500283000</v>
      </c>
      <c r="C1363" s="24" t="n">
        <v>25</v>
      </c>
      <c r="D1363" s="54" t="s">
        <v>1302</v>
      </c>
      <c r="E1363" s="19" t="s">
        <v>1303</v>
      </c>
      <c r="F1363" s="24" t="s">
        <v>647</v>
      </c>
      <c r="G1363" s="25" t="n">
        <v>0.862</v>
      </c>
      <c r="H1363" s="26" t="n">
        <v>50</v>
      </c>
      <c r="I1363" s="27" t="n">
        <v>30</v>
      </c>
      <c r="J1363" s="28" t="n">
        <v>2</v>
      </c>
      <c r="K1363" s="28" t="n">
        <v>1</v>
      </c>
      <c r="L1363" s="24" t="s">
        <v>631</v>
      </c>
      <c r="M1363" s="29" t="n">
        <f aca="false">IF("oui" = "oui",62.37*(1-disc),62.37)</f>
        <v>62.37</v>
      </c>
      <c r="N1363" s="29" t="n">
        <f aca="false">IF("oui" = "oui",62.37*(1-disc)*1.2,62.37*1.2)</f>
        <v>74.844</v>
      </c>
      <c r="O1363" s="24" t="s">
        <v>25</v>
      </c>
      <c r="P1363" s="4" t="s">
        <v>25</v>
      </c>
      <c r="Q1363" s="16"/>
    </row>
    <row r="1364" customFormat="false" ht="12.8" hidden="false" customHeight="false" outlineLevel="0" collapsed="false">
      <c r="A1364" s="22"/>
      <c r="B1364" s="23" t="n">
        <v>500284000</v>
      </c>
      <c r="C1364" s="24" t="n">
        <v>20</v>
      </c>
      <c r="D1364" s="54" t="s">
        <v>1304</v>
      </c>
      <c r="E1364" s="19" t="s">
        <v>1305</v>
      </c>
      <c r="F1364" s="24" t="s">
        <v>647</v>
      </c>
      <c r="G1364" s="25" t="n">
        <v>0.962</v>
      </c>
      <c r="H1364" s="26" t="n">
        <v>50</v>
      </c>
      <c r="I1364" s="27" t="n">
        <v>30</v>
      </c>
      <c r="J1364" s="28" t="n">
        <v>1</v>
      </c>
      <c r="K1364" s="28" t="n">
        <v>1</v>
      </c>
      <c r="L1364" s="24" t="s">
        <v>631</v>
      </c>
      <c r="M1364" s="29" t="n">
        <f aca="false">IF("oui" = "oui",66.19*(1-disc),66.19)</f>
        <v>66.19</v>
      </c>
      <c r="N1364" s="29" t="n">
        <f aca="false">IF("oui" = "oui",66.19*(1-disc)*1.2,66.19*1.2)</f>
        <v>79.428</v>
      </c>
      <c r="O1364" s="24" t="s">
        <v>25</v>
      </c>
      <c r="P1364" s="4" t="s">
        <v>25</v>
      </c>
      <c r="Q1364" s="16"/>
    </row>
    <row r="1365" customFormat="false" ht="12.8" hidden="false" customHeight="false" outlineLevel="0" collapsed="false">
      <c r="A1365" s="22"/>
      <c r="B1365" s="23" t="n">
        <v>500286000</v>
      </c>
      <c r="C1365" s="24" t="n">
        <v>20</v>
      </c>
      <c r="D1365" s="54" t="s">
        <v>1306</v>
      </c>
      <c r="E1365" s="19" t="s">
        <v>1307</v>
      </c>
      <c r="F1365" s="24" t="s">
        <v>630</v>
      </c>
      <c r="G1365" s="25" t="n">
        <v>0.495</v>
      </c>
      <c r="H1365" s="26" t="n">
        <v>45</v>
      </c>
      <c r="I1365" s="27" t="n">
        <v>30</v>
      </c>
      <c r="J1365" s="28" t="n">
        <v>6</v>
      </c>
      <c r="K1365" s="28" t="n">
        <v>1</v>
      </c>
      <c r="L1365" s="24" t="s">
        <v>631</v>
      </c>
      <c r="M1365" s="29" t="n">
        <f aca="false">IF("oui" = "oui",30.49*(1-disc),30.49)</f>
        <v>30.49</v>
      </c>
      <c r="N1365" s="29" t="n">
        <f aca="false">IF("oui" = "oui",30.49*(1-disc)*1.2,30.49*1.2)</f>
        <v>36.588</v>
      </c>
      <c r="O1365" s="24" t="s">
        <v>25</v>
      </c>
      <c r="P1365" s="4" t="s">
        <v>25</v>
      </c>
      <c r="Q1365" s="16"/>
    </row>
    <row r="1366" customFormat="false" ht="12.8" hidden="false" customHeight="false" outlineLevel="0" collapsed="false">
      <c r="A1366" s="22"/>
      <c r="B1366" s="23" t="n">
        <v>500288000</v>
      </c>
      <c r="C1366" s="24" t="n">
        <v>20</v>
      </c>
      <c r="D1366" s="54" t="s">
        <v>1308</v>
      </c>
      <c r="E1366" s="19" t="s">
        <v>1309</v>
      </c>
      <c r="F1366" s="24" t="s">
        <v>647</v>
      </c>
      <c r="G1366" s="25" t="n">
        <v>0.93</v>
      </c>
      <c r="H1366" s="26" t="n">
        <v>50</v>
      </c>
      <c r="I1366" s="27" t="n">
        <v>30</v>
      </c>
      <c r="J1366" s="28" t="n">
        <v>2</v>
      </c>
      <c r="K1366" s="28" t="n">
        <v>1</v>
      </c>
      <c r="L1366" s="24" t="s">
        <v>631</v>
      </c>
      <c r="M1366" s="29" t="n">
        <f aca="false">IF("oui" = "oui",66.19*(1-disc),66.19)</f>
        <v>66.19</v>
      </c>
      <c r="N1366" s="29" t="n">
        <f aca="false">IF("oui" = "oui",66.19*(1-disc)*1.2,66.19*1.2)</f>
        <v>79.428</v>
      </c>
      <c r="O1366" s="24" t="s">
        <v>25</v>
      </c>
      <c r="P1366" s="4" t="s">
        <v>25</v>
      </c>
      <c r="Q1366" s="16"/>
    </row>
    <row r="1367" customFormat="false" ht="12.8" hidden="false" customHeight="false" outlineLevel="0" collapsed="false">
      <c r="A1367" s="22"/>
      <c r="B1367" s="23" t="n">
        <v>500290000</v>
      </c>
      <c r="C1367" s="24" t="n">
        <v>30</v>
      </c>
      <c r="D1367" s="54" t="s">
        <v>1310</v>
      </c>
      <c r="E1367" s="19" t="s">
        <v>1311</v>
      </c>
      <c r="F1367" s="24" t="s">
        <v>647</v>
      </c>
      <c r="G1367" s="25" t="n">
        <v>0.718</v>
      </c>
      <c r="H1367" s="26" t="n">
        <v>30</v>
      </c>
      <c r="I1367" s="27" t="n">
        <v>30</v>
      </c>
      <c r="J1367" s="28" t="n">
        <v>2</v>
      </c>
      <c r="K1367" s="28" t="n">
        <v>1</v>
      </c>
      <c r="L1367" s="24" t="s">
        <v>631</v>
      </c>
      <c r="M1367" s="29" t="n">
        <f aca="false">IF("oui" = "oui",51.25*(1-disc),51.25)</f>
        <v>51.25</v>
      </c>
      <c r="N1367" s="29" t="n">
        <f aca="false">IF("oui" = "oui",51.25*(1-disc)*1.2,51.25*1.2)</f>
        <v>61.5</v>
      </c>
      <c r="O1367" s="24" t="s">
        <v>25</v>
      </c>
      <c r="P1367" s="7" t="s">
        <v>26</v>
      </c>
      <c r="Q1367" s="16"/>
    </row>
    <row r="1368" customFormat="false" ht="12.8" hidden="false" customHeight="false" outlineLevel="0" collapsed="false">
      <c r="A1368" s="22"/>
      <c r="B1368" s="23" t="n">
        <v>500314000</v>
      </c>
      <c r="C1368" s="24" t="n">
        <v>20</v>
      </c>
      <c r="D1368" s="54" t="s">
        <v>1312</v>
      </c>
      <c r="E1368" s="19" t="s">
        <v>1309</v>
      </c>
      <c r="F1368" s="24" t="s">
        <v>647</v>
      </c>
      <c r="G1368" s="25" t="n">
        <v>0.965</v>
      </c>
      <c r="H1368" s="26" t="n">
        <v>55</v>
      </c>
      <c r="I1368" s="27" t="n">
        <v>30</v>
      </c>
      <c r="J1368" s="28" t="n">
        <v>2</v>
      </c>
      <c r="K1368" s="28" t="n">
        <v>1</v>
      </c>
      <c r="L1368" s="24" t="s">
        <v>631</v>
      </c>
      <c r="M1368" s="29" t="n">
        <f aca="false">IF("oui" = "oui",55.35*(1-disc),55.35)</f>
        <v>55.35</v>
      </c>
      <c r="N1368" s="29" t="n">
        <f aca="false">IF("oui" = "oui",55.35*(1-disc)*1.2,55.35*1.2)</f>
        <v>66.42</v>
      </c>
      <c r="O1368" s="24" t="s">
        <v>25</v>
      </c>
      <c r="P1368" s="4" t="s">
        <v>25</v>
      </c>
      <c r="Q1368" s="16"/>
    </row>
    <row r="1369" customFormat="false" ht="12.8" hidden="false" customHeight="false" outlineLevel="0" collapsed="false">
      <c r="A1369" s="22"/>
      <c r="B1369" s="23" t="n">
        <v>500282000</v>
      </c>
      <c r="C1369" s="24" t="n">
        <v>25</v>
      </c>
      <c r="D1369" s="54" t="s">
        <v>1313</v>
      </c>
      <c r="E1369" s="19" t="s">
        <v>1303</v>
      </c>
      <c r="F1369" s="24" t="s">
        <v>647</v>
      </c>
      <c r="G1369" s="25" t="n">
        <v>0.864</v>
      </c>
      <c r="H1369" s="26" t="n">
        <v>50</v>
      </c>
      <c r="I1369" s="27" t="n">
        <v>30</v>
      </c>
      <c r="J1369" s="28" t="n">
        <v>2</v>
      </c>
      <c r="K1369" s="28" t="n">
        <v>1</v>
      </c>
      <c r="L1369" s="24" t="s">
        <v>631</v>
      </c>
      <c r="M1369" s="29" t="n">
        <f aca="false">IF("oui" = "oui",60.56*(1-disc),60.56)</f>
        <v>60.56</v>
      </c>
      <c r="N1369" s="29" t="n">
        <f aca="false">IF("oui" = "oui",60.56*(1-disc)*1.2,60.56*1.2)</f>
        <v>72.672</v>
      </c>
      <c r="O1369" s="24" t="s">
        <v>25</v>
      </c>
      <c r="P1369" s="4" t="s">
        <v>25</v>
      </c>
      <c r="Q1369" s="16"/>
    </row>
    <row r="1370" customFormat="false" ht="12.8" hidden="false" customHeight="false" outlineLevel="0" collapsed="false">
      <c r="A1370" s="22"/>
      <c r="B1370" s="23" t="n">
        <v>500315000</v>
      </c>
      <c r="C1370" s="24" t="n">
        <v>20</v>
      </c>
      <c r="D1370" s="54" t="s">
        <v>1314</v>
      </c>
      <c r="E1370" s="19" t="s">
        <v>1307</v>
      </c>
      <c r="F1370" s="24" t="s">
        <v>630</v>
      </c>
      <c r="G1370" s="25" t="n">
        <v>0.45</v>
      </c>
      <c r="H1370" s="26" t="n">
        <v>55</v>
      </c>
      <c r="I1370" s="27" t="n">
        <v>30</v>
      </c>
      <c r="J1370" s="28" t="n">
        <v>6</v>
      </c>
      <c r="K1370" s="28" t="n">
        <v>1</v>
      </c>
      <c r="L1370" s="24" t="s">
        <v>631</v>
      </c>
      <c r="M1370" s="29" t="n">
        <f aca="false">IF("oui" = "oui",30.49*(1-disc),30.49)</f>
        <v>30.49</v>
      </c>
      <c r="N1370" s="29" t="n">
        <f aca="false">IF("oui" = "oui",30.49*(1-disc)*1.2,30.49*1.2)</f>
        <v>36.588</v>
      </c>
      <c r="O1370" s="24" t="s">
        <v>25</v>
      </c>
      <c r="P1370" s="55" t="s">
        <v>658</v>
      </c>
      <c r="Q1370" s="16"/>
    </row>
    <row r="1371" customFormat="false" ht="12.8" hidden="false" customHeight="false" outlineLevel="0" collapsed="false">
      <c r="A1371" s="22"/>
      <c r="B1371" s="23" t="n">
        <v>500316000</v>
      </c>
      <c r="C1371" s="24" t="n">
        <v>25</v>
      </c>
      <c r="D1371" s="54" t="s">
        <v>1315</v>
      </c>
      <c r="E1371" s="19" t="s">
        <v>1316</v>
      </c>
      <c r="F1371" s="24" t="s">
        <v>647</v>
      </c>
      <c r="G1371" s="25" t="n">
        <v>0.594</v>
      </c>
      <c r="H1371" s="26" t="n">
        <v>60</v>
      </c>
      <c r="I1371" s="27" t="n">
        <v>30</v>
      </c>
      <c r="J1371" s="28" t="n">
        <v>4</v>
      </c>
      <c r="K1371" s="28" t="n">
        <v>1</v>
      </c>
      <c r="L1371" s="24" t="s">
        <v>631</v>
      </c>
      <c r="M1371" s="29" t="n">
        <f aca="false">IF("oui" = "oui",34.85*(1-disc),34.85)</f>
        <v>34.85</v>
      </c>
      <c r="N1371" s="29" t="n">
        <f aca="false">IF("oui" = "oui",34.85*(1-disc)*1.2,34.85*1.2)</f>
        <v>41.82</v>
      </c>
      <c r="O1371" s="24" t="s">
        <v>25</v>
      </c>
      <c r="P1371" s="4" t="s">
        <v>25</v>
      </c>
      <c r="Q1371" s="16"/>
    </row>
    <row r="1372" customFormat="false" ht="12.8" hidden="false" customHeight="false" outlineLevel="0" collapsed="false">
      <c r="A1372" s="22"/>
      <c r="B1372" s="23" t="n">
        <v>500317000</v>
      </c>
      <c r="C1372" s="24" t="n">
        <v>20</v>
      </c>
      <c r="D1372" s="54" t="s">
        <v>1317</v>
      </c>
      <c r="E1372" s="19" t="s">
        <v>1309</v>
      </c>
      <c r="F1372" s="24" t="s">
        <v>647</v>
      </c>
      <c r="G1372" s="25" t="n">
        <v>0.97</v>
      </c>
      <c r="H1372" s="26" t="n">
        <v>60</v>
      </c>
      <c r="I1372" s="27" t="n">
        <v>30</v>
      </c>
      <c r="J1372" s="28" t="n">
        <v>2</v>
      </c>
      <c r="K1372" s="28" t="n">
        <v>1</v>
      </c>
      <c r="L1372" s="24" t="s">
        <v>631</v>
      </c>
      <c r="M1372" s="29" t="n">
        <f aca="false">IF("oui" = "oui",57.4*(1-disc),57.4)</f>
        <v>57.4</v>
      </c>
      <c r="N1372" s="29" t="n">
        <f aca="false">IF("oui" = "oui",57.4*(1-disc)*1.2,57.4*1.2)</f>
        <v>68.88</v>
      </c>
      <c r="O1372" s="24" t="s">
        <v>25</v>
      </c>
      <c r="P1372" s="4" t="s">
        <v>25</v>
      </c>
      <c r="Q1372" s="16"/>
    </row>
    <row r="1373" customFormat="false" ht="12.8" hidden="false" customHeight="false" outlineLevel="0" collapsed="false">
      <c r="A1373" s="22"/>
      <c r="B1373" s="23"/>
      <c r="C1373" s="24"/>
      <c r="D1373" s="22"/>
      <c r="E1373" s="19"/>
      <c r="F1373" s="24"/>
      <c r="G1373" s="25"/>
      <c r="H1373" s="26"/>
      <c r="I1373" s="27"/>
      <c r="J1373" s="28"/>
      <c r="K1373" s="28"/>
      <c r="L1373" s="24"/>
      <c r="M1373" s="29"/>
      <c r="N1373" s="29"/>
      <c r="O1373" s="24"/>
      <c r="P1373" s="4"/>
      <c r="Q1373" s="16"/>
    </row>
    <row r="1374" customFormat="false" ht="12.8" hidden="false" customHeight="false" outlineLevel="0" collapsed="false">
      <c r="A1374" s="22"/>
      <c r="B1374" s="23" t="n">
        <v>604001000</v>
      </c>
      <c r="C1374" s="24" t="n">
        <v>25</v>
      </c>
      <c r="D1374" s="54" t="s">
        <v>1318</v>
      </c>
      <c r="E1374" s="19" t="s">
        <v>1319</v>
      </c>
      <c r="F1374" s="24" t="s">
        <v>630</v>
      </c>
      <c r="G1374" s="25" t="n">
        <v>1.356</v>
      </c>
      <c r="H1374" s="26" t="n">
        <v>50</v>
      </c>
      <c r="I1374" s="27" t="n">
        <v>30</v>
      </c>
      <c r="J1374" s="28" t="n">
        <v>1</v>
      </c>
      <c r="K1374" s="28" t="n">
        <v>1</v>
      </c>
      <c r="L1374" s="24" t="s">
        <v>631</v>
      </c>
      <c r="M1374" s="57" t="n">
        <f aca="false">IF("non" = "oui",98.31*(1-disc),98.31)</f>
        <v>98.31</v>
      </c>
      <c r="N1374" s="57" t="n">
        <f aca="false">IF("non" = "oui",98.31*(1-disc)*1.2,98.31*1.2)</f>
        <v>117.972</v>
      </c>
      <c r="O1374" s="58" t="s">
        <v>26</v>
      </c>
      <c r="P1374" s="7" t="s">
        <v>26</v>
      </c>
      <c r="Q1374" s="16"/>
    </row>
    <row r="1375" customFormat="false" ht="12.8" hidden="false" customHeight="false" outlineLevel="0" collapsed="false">
      <c r="A1375" s="22"/>
      <c r="B1375" s="23"/>
      <c r="C1375" s="24"/>
      <c r="D1375" s="22"/>
      <c r="E1375" s="19"/>
      <c r="F1375" s="24"/>
      <c r="G1375" s="25"/>
      <c r="H1375" s="26"/>
      <c r="I1375" s="27"/>
      <c r="J1375" s="28"/>
      <c r="K1375" s="28"/>
      <c r="L1375" s="24"/>
      <c r="M1375" s="29"/>
      <c r="N1375" s="29"/>
      <c r="O1375" s="24"/>
      <c r="P1375" s="4"/>
      <c r="Q1375" s="16"/>
    </row>
    <row r="1376" customFormat="false" ht="12.8" hidden="false" customHeight="false" outlineLevel="0" collapsed="false">
      <c r="A1376" s="42" t="s">
        <v>1320</v>
      </c>
      <c r="B1376" s="43"/>
      <c r="C1376" s="44"/>
      <c r="D1376" s="45"/>
      <c r="E1376" s="46"/>
      <c r="F1376" s="44"/>
      <c r="G1376" s="47"/>
      <c r="H1376" s="48"/>
      <c r="I1376" s="49"/>
      <c r="J1376" s="50"/>
      <c r="K1376" s="50"/>
      <c r="L1376" s="44"/>
      <c r="M1376" s="51"/>
      <c r="N1376" s="51"/>
      <c r="O1376" s="44"/>
      <c r="P1376" s="52"/>
      <c r="Q1376" s="53"/>
    </row>
    <row r="1377" customFormat="false" ht="12.8" hidden="false" customHeight="false" outlineLevel="0" collapsed="false">
      <c r="A1377" s="22"/>
      <c r="B1377" s="23"/>
      <c r="C1377" s="24"/>
      <c r="D1377" s="22"/>
      <c r="E1377" s="19"/>
      <c r="F1377" s="24"/>
      <c r="G1377" s="25"/>
      <c r="H1377" s="26"/>
      <c r="I1377" s="27"/>
      <c r="J1377" s="28"/>
      <c r="K1377" s="28"/>
      <c r="L1377" s="24"/>
      <c r="M1377" s="29"/>
      <c r="N1377" s="29"/>
      <c r="O1377" s="24"/>
      <c r="P1377" s="4"/>
      <c r="Q1377" s="16"/>
    </row>
    <row r="1378" customFormat="false" ht="12.8" hidden="false" customHeight="false" outlineLevel="0" collapsed="false">
      <c r="A1378" s="22"/>
      <c r="B1378" s="23" t="n">
        <v>600154000</v>
      </c>
      <c r="C1378" s="24"/>
      <c r="D1378" s="54" t="s">
        <v>1321</v>
      </c>
      <c r="E1378" s="19" t="s">
        <v>1322</v>
      </c>
      <c r="F1378" s="24" t="s">
        <v>630</v>
      </c>
      <c r="G1378" s="25" t="n">
        <v>0.696</v>
      </c>
      <c r="H1378" s="26" t="n">
        <v>120</v>
      </c>
      <c r="I1378" s="27" t="n">
        <v>8</v>
      </c>
      <c r="J1378" s="28" t="n">
        <v>2</v>
      </c>
      <c r="K1378" s="28" t="n">
        <v>1</v>
      </c>
      <c r="L1378" s="24" t="s">
        <v>631</v>
      </c>
      <c r="M1378" s="57" t="n">
        <f aca="false">IF("non" = "oui",89.64*(1-disc),89.64)</f>
        <v>89.64</v>
      </c>
      <c r="N1378" s="57" t="n">
        <f aca="false">IF("non" = "oui",89.64*(1-disc)*1.2,89.64*1.2)</f>
        <v>107.568</v>
      </c>
      <c r="O1378" s="58" t="s">
        <v>26</v>
      </c>
      <c r="P1378" s="55" t="s">
        <v>1286</v>
      </c>
      <c r="Q1378" s="16"/>
    </row>
    <row r="1379" customFormat="false" ht="12.8" hidden="false" customHeight="false" outlineLevel="0" collapsed="false">
      <c r="A1379" s="22"/>
      <c r="B1379" s="23" t="n">
        <v>600180000</v>
      </c>
      <c r="C1379" s="24"/>
      <c r="D1379" s="54" t="s">
        <v>1323</v>
      </c>
      <c r="E1379" s="19" t="s">
        <v>1324</v>
      </c>
      <c r="F1379" s="24" t="s">
        <v>630</v>
      </c>
      <c r="G1379" s="25" t="n">
        <v>0.92</v>
      </c>
      <c r="H1379" s="26" t="n">
        <v>90</v>
      </c>
      <c r="I1379" s="27" t="n">
        <v>8</v>
      </c>
      <c r="J1379" s="28" t="n">
        <v>2</v>
      </c>
      <c r="K1379" s="28" t="n">
        <v>1</v>
      </c>
      <c r="L1379" s="24" t="s">
        <v>631</v>
      </c>
      <c r="M1379" s="29" t="n">
        <f aca="false">IF("oui" = "oui",143.96*(1-disc),143.96)</f>
        <v>143.96</v>
      </c>
      <c r="N1379" s="29" t="n">
        <f aca="false">IF("oui" = "oui",143.96*(1-disc)*1.2,143.96*1.2)</f>
        <v>172.752</v>
      </c>
      <c r="O1379" s="24" t="s">
        <v>25</v>
      </c>
      <c r="P1379" s="7" t="s">
        <v>26</v>
      </c>
      <c r="Q1379" s="16"/>
    </row>
    <row r="1380" customFormat="false" ht="12.8" hidden="false" customHeight="false" outlineLevel="0" collapsed="false">
      <c r="A1380" s="22"/>
      <c r="B1380" s="23" t="n">
        <v>600184000</v>
      </c>
      <c r="C1380" s="24"/>
      <c r="D1380" s="54" t="s">
        <v>1325</v>
      </c>
      <c r="E1380" s="19" t="s">
        <v>1326</v>
      </c>
      <c r="F1380" s="24" t="s">
        <v>630</v>
      </c>
      <c r="G1380" s="25" t="n">
        <v>0.399</v>
      </c>
      <c r="H1380" s="26" t="n">
        <v>85</v>
      </c>
      <c r="I1380" s="27" t="n">
        <v>8</v>
      </c>
      <c r="J1380" s="28" t="n">
        <v>4</v>
      </c>
      <c r="K1380" s="28" t="n">
        <v>1</v>
      </c>
      <c r="L1380" s="24" t="s">
        <v>631</v>
      </c>
      <c r="M1380" s="57" t="n">
        <f aca="false">IF("non" = "oui",62.47*(1-disc),62.47)</f>
        <v>62.47</v>
      </c>
      <c r="N1380" s="57" t="n">
        <f aca="false">IF("non" = "oui",62.47*(1-disc)*1.2,62.47*1.2)</f>
        <v>74.964</v>
      </c>
      <c r="O1380" s="58" t="s">
        <v>26</v>
      </c>
      <c r="P1380" s="55" t="s">
        <v>1043</v>
      </c>
      <c r="Q1380" s="16"/>
    </row>
    <row r="1381" customFormat="false" ht="12.8" hidden="false" customHeight="false" outlineLevel="0" collapsed="false">
      <c r="A1381" s="22"/>
      <c r="B1381" s="23"/>
      <c r="C1381" s="24"/>
      <c r="D1381" s="22"/>
      <c r="E1381" s="19"/>
      <c r="F1381" s="24"/>
      <c r="G1381" s="25"/>
      <c r="H1381" s="26"/>
      <c r="I1381" s="27"/>
      <c r="J1381" s="28"/>
      <c r="K1381" s="28"/>
      <c r="L1381" s="24"/>
      <c r="M1381" s="29"/>
      <c r="N1381" s="29"/>
      <c r="O1381" s="24"/>
      <c r="P1381" s="4"/>
      <c r="Q1381" s="16"/>
    </row>
    <row r="1382" customFormat="false" ht="12.8" hidden="false" customHeight="false" outlineLevel="0" collapsed="false">
      <c r="A1382" s="22" t="s">
        <v>1327</v>
      </c>
      <c r="B1382" s="23"/>
      <c r="C1382" s="24"/>
      <c r="D1382" s="22"/>
      <c r="E1382" s="19"/>
      <c r="F1382" s="24"/>
      <c r="G1382" s="25"/>
      <c r="H1382" s="26"/>
      <c r="I1382" s="27"/>
      <c r="J1382" s="28"/>
      <c r="K1382" s="28"/>
      <c r="L1382" s="24"/>
      <c r="M1382" s="29"/>
      <c r="N1382" s="29"/>
      <c r="O1382" s="24"/>
      <c r="P1382" s="4"/>
      <c r="Q1382" s="16"/>
    </row>
    <row r="1383" customFormat="false" ht="12.8" hidden="false" customHeight="false" outlineLevel="0" collapsed="false">
      <c r="A1383" s="22"/>
      <c r="B1383" s="23"/>
      <c r="C1383" s="24"/>
      <c r="D1383" s="22"/>
      <c r="E1383" s="19"/>
      <c r="F1383" s="24"/>
      <c r="G1383" s="25"/>
      <c r="H1383" s="26"/>
      <c r="I1383" s="27"/>
      <c r="J1383" s="28"/>
      <c r="K1383" s="28"/>
      <c r="L1383" s="24"/>
      <c r="M1383" s="29"/>
      <c r="N1383" s="29"/>
      <c r="O1383" s="24"/>
      <c r="P1383" s="4"/>
      <c r="Q1383" s="16"/>
    </row>
    <row r="1384" customFormat="false" ht="12.8" hidden="false" customHeight="false" outlineLevel="0" collapsed="false">
      <c r="A1384" s="22"/>
      <c r="B1384" s="23" t="n">
        <v>101000000</v>
      </c>
      <c r="C1384" s="24"/>
      <c r="D1384" s="54" t="s">
        <v>1328</v>
      </c>
      <c r="E1384" s="19" t="s">
        <v>1329</v>
      </c>
      <c r="F1384" s="24" t="s">
        <v>630</v>
      </c>
      <c r="G1384" s="25" t="n">
        <v>1.996</v>
      </c>
      <c r="H1384" s="26" t="n">
        <v>180</v>
      </c>
      <c r="I1384" s="27" t="n">
        <v>35</v>
      </c>
      <c r="J1384" s="28" t="n">
        <v>1</v>
      </c>
      <c r="K1384" s="28" t="n">
        <v>1</v>
      </c>
      <c r="L1384" s="24" t="s">
        <v>631</v>
      </c>
      <c r="M1384" s="57" t="n">
        <f aca="false">IF("non" = "oui",260.76*(1-disc),260.76)</f>
        <v>260.76</v>
      </c>
      <c r="N1384" s="57" t="n">
        <f aca="false">IF("non" = "oui",260.76*(1-disc)*1.2,260.76*1.2)</f>
        <v>312.912</v>
      </c>
      <c r="O1384" s="58" t="s">
        <v>26</v>
      </c>
      <c r="P1384" s="7" t="s">
        <v>26</v>
      </c>
      <c r="Q1384" s="16"/>
    </row>
    <row r="1385" customFormat="false" ht="12.8" hidden="false" customHeight="false" outlineLevel="0" collapsed="false">
      <c r="A1385" s="22"/>
      <c r="B1385" s="23" t="n">
        <v>101001000</v>
      </c>
      <c r="C1385" s="24" t="n">
        <v>15</v>
      </c>
      <c r="D1385" s="54" t="s">
        <v>1330</v>
      </c>
      <c r="E1385" s="19" t="s">
        <v>1331</v>
      </c>
      <c r="F1385" s="24" t="s">
        <v>630</v>
      </c>
      <c r="G1385" s="25" t="n">
        <v>1.908</v>
      </c>
      <c r="H1385" s="26" t="n">
        <v>150</v>
      </c>
      <c r="I1385" s="27" t="n">
        <v>35</v>
      </c>
      <c r="J1385" s="28" t="n">
        <v>1</v>
      </c>
      <c r="K1385" s="28" t="n">
        <v>1</v>
      </c>
      <c r="L1385" s="24" t="s">
        <v>631</v>
      </c>
      <c r="M1385" s="57" t="n">
        <f aca="false">IF("non" = "oui",235.5*(1-disc),235.5)</f>
        <v>235.5</v>
      </c>
      <c r="N1385" s="57" t="n">
        <f aca="false">IF("non" = "oui",235.5*(1-disc)*1.2,235.5*1.2)</f>
        <v>282.6</v>
      </c>
      <c r="O1385" s="58" t="s">
        <v>26</v>
      </c>
      <c r="P1385" s="7" t="s">
        <v>26</v>
      </c>
      <c r="Q1385" s="16"/>
    </row>
    <row r="1386" customFormat="false" ht="12.8" hidden="false" customHeight="false" outlineLevel="0" collapsed="false">
      <c r="A1386" s="22"/>
      <c r="B1386" s="23" t="n">
        <v>101002000</v>
      </c>
      <c r="C1386" s="24" t="n">
        <v>20</v>
      </c>
      <c r="D1386" s="54" t="s">
        <v>1332</v>
      </c>
      <c r="E1386" s="19" t="s">
        <v>1333</v>
      </c>
      <c r="F1386" s="24" t="s">
        <v>630</v>
      </c>
      <c r="G1386" s="25" t="n">
        <v>0.114</v>
      </c>
      <c r="H1386" s="26" t="n">
        <v>20</v>
      </c>
      <c r="I1386" s="27" t="n">
        <v>35</v>
      </c>
      <c r="J1386" s="28" t="n">
        <v>18</v>
      </c>
      <c r="K1386" s="28" t="n">
        <v>1</v>
      </c>
      <c r="L1386" s="24" t="s">
        <v>631</v>
      </c>
      <c r="M1386" s="29" t="n">
        <f aca="false">IF("oui" = "oui",12.49*(1-disc),12.49)</f>
        <v>12.49</v>
      </c>
      <c r="N1386" s="29" t="n">
        <f aca="false">IF("oui" = "oui",12.49*(1-disc)*1.2,12.49*1.2)</f>
        <v>14.988</v>
      </c>
      <c r="O1386" s="24" t="s">
        <v>25</v>
      </c>
      <c r="P1386" s="7" t="s">
        <v>26</v>
      </c>
      <c r="Q1386" s="16"/>
    </row>
    <row r="1387" customFormat="false" ht="12.8" hidden="false" customHeight="false" outlineLevel="0" collapsed="false">
      <c r="A1387" s="22"/>
      <c r="B1387" s="23" t="n">
        <v>101003000</v>
      </c>
      <c r="C1387" s="24" t="n">
        <v>20</v>
      </c>
      <c r="D1387" s="54" t="s">
        <v>1334</v>
      </c>
      <c r="E1387" s="19" t="s">
        <v>1335</v>
      </c>
      <c r="F1387" s="24" t="s">
        <v>630</v>
      </c>
      <c r="G1387" s="25" t="n">
        <v>1.951</v>
      </c>
      <c r="H1387" s="26" t="n">
        <v>120</v>
      </c>
      <c r="I1387" s="27" t="n">
        <v>35</v>
      </c>
      <c r="J1387" s="28" t="n">
        <v>1</v>
      </c>
      <c r="K1387" s="28" t="n">
        <v>1</v>
      </c>
      <c r="L1387" s="24" t="s">
        <v>631</v>
      </c>
      <c r="M1387" s="57" t="n">
        <f aca="false">IF("non" = "oui",276.25*(1-disc),276.25)</f>
        <v>276.25</v>
      </c>
      <c r="N1387" s="57" t="n">
        <f aca="false">IF("non" = "oui",276.25*(1-disc)*1.2,276.25*1.2)</f>
        <v>331.5</v>
      </c>
      <c r="O1387" s="58" t="s">
        <v>26</v>
      </c>
      <c r="P1387" s="55" t="s">
        <v>538</v>
      </c>
      <c r="Q1387" s="16"/>
    </row>
    <row r="1388" customFormat="false" ht="12.8" hidden="false" customHeight="false" outlineLevel="0" collapsed="false">
      <c r="A1388" s="22"/>
      <c r="B1388" s="23" t="n">
        <v>101004000</v>
      </c>
      <c r="C1388" s="24" t="n">
        <v>25</v>
      </c>
      <c r="D1388" s="54" t="s">
        <v>1336</v>
      </c>
      <c r="E1388" s="19" t="s">
        <v>1337</v>
      </c>
      <c r="F1388" s="24" t="s">
        <v>630</v>
      </c>
      <c r="G1388" s="25" t="n">
        <v>1.499</v>
      </c>
      <c r="H1388" s="26" t="n">
        <v>45</v>
      </c>
      <c r="I1388" s="27" t="n">
        <v>35</v>
      </c>
      <c r="J1388" s="28" t="n">
        <v>1</v>
      </c>
      <c r="K1388" s="28" t="n">
        <v>1</v>
      </c>
      <c r="L1388" s="24" t="s">
        <v>631</v>
      </c>
      <c r="M1388" s="57" t="n">
        <f aca="false">IF("non" = "oui",152.11*(1-disc),152.11)</f>
        <v>152.11</v>
      </c>
      <c r="N1388" s="57" t="n">
        <f aca="false">IF("non" = "oui",152.11*(1-disc)*1.2,152.11*1.2)</f>
        <v>182.532</v>
      </c>
      <c r="O1388" s="58" t="s">
        <v>26</v>
      </c>
      <c r="P1388" s="7" t="s">
        <v>26</v>
      </c>
      <c r="Q1388" s="16"/>
    </row>
    <row r="1389" customFormat="false" ht="12.8" hidden="false" customHeight="false" outlineLevel="0" collapsed="false">
      <c r="A1389" s="22"/>
      <c r="B1389" s="23" t="n">
        <v>101005000</v>
      </c>
      <c r="C1389" s="24" t="n">
        <v>25</v>
      </c>
      <c r="D1389" s="54" t="s">
        <v>1338</v>
      </c>
      <c r="E1389" s="19" t="s">
        <v>1337</v>
      </c>
      <c r="F1389" s="24" t="s">
        <v>630</v>
      </c>
      <c r="G1389" s="25" t="n">
        <v>1.499</v>
      </c>
      <c r="H1389" s="26" t="n">
        <v>45</v>
      </c>
      <c r="I1389" s="27" t="n">
        <v>35</v>
      </c>
      <c r="J1389" s="28" t="n">
        <v>1</v>
      </c>
      <c r="K1389" s="28" t="n">
        <v>1</v>
      </c>
      <c r="L1389" s="24" t="s">
        <v>631</v>
      </c>
      <c r="M1389" s="57" t="n">
        <f aca="false">IF("non" = "oui",152.11*(1-disc),152.11)</f>
        <v>152.11</v>
      </c>
      <c r="N1389" s="57" t="n">
        <f aca="false">IF("non" = "oui",152.11*(1-disc)*1.2,152.11*1.2)</f>
        <v>182.532</v>
      </c>
      <c r="O1389" s="58" t="s">
        <v>26</v>
      </c>
      <c r="P1389" s="7" t="s">
        <v>26</v>
      </c>
      <c r="Q1389" s="16"/>
    </row>
    <row r="1390" customFormat="false" ht="12.8" hidden="false" customHeight="false" outlineLevel="0" collapsed="false">
      <c r="A1390" s="22"/>
      <c r="B1390" s="23"/>
      <c r="C1390" s="24"/>
      <c r="D1390" s="22"/>
      <c r="E1390" s="19"/>
      <c r="F1390" s="24"/>
      <c r="G1390" s="25"/>
      <c r="H1390" s="26"/>
      <c r="I1390" s="27"/>
      <c r="J1390" s="28"/>
      <c r="K1390" s="28"/>
      <c r="L1390" s="24"/>
      <c r="M1390" s="29"/>
      <c r="N1390" s="29"/>
      <c r="O1390" s="24"/>
      <c r="P1390" s="4"/>
      <c r="Q1390" s="16"/>
    </row>
    <row r="1391" customFormat="false" ht="12.8" hidden="false" customHeight="false" outlineLevel="0" collapsed="false">
      <c r="A1391" s="30" t="s">
        <v>1339</v>
      </c>
      <c r="B1391" s="31"/>
      <c r="C1391" s="32"/>
      <c r="D1391" s="33"/>
      <c r="E1391" s="34"/>
      <c r="F1391" s="32"/>
      <c r="G1391" s="35"/>
      <c r="H1391" s="36"/>
      <c r="I1391" s="37"/>
      <c r="J1391" s="38"/>
      <c r="K1391" s="38"/>
      <c r="L1391" s="32"/>
      <c r="M1391" s="39"/>
      <c r="N1391" s="39"/>
      <c r="O1391" s="32"/>
      <c r="P1391" s="40"/>
      <c r="Q1391" s="41"/>
    </row>
    <row r="1392" customFormat="false" ht="12.8" hidden="false" customHeight="false" outlineLevel="0" collapsed="false">
      <c r="A1392" s="22"/>
      <c r="B1392" s="23"/>
      <c r="C1392" s="24"/>
      <c r="D1392" s="22"/>
      <c r="E1392" s="19"/>
      <c r="F1392" s="24"/>
      <c r="G1392" s="25"/>
      <c r="H1392" s="26"/>
      <c r="I1392" s="27"/>
      <c r="J1392" s="28"/>
      <c r="K1392" s="28"/>
      <c r="L1392" s="24"/>
      <c r="M1392" s="29"/>
      <c r="N1392" s="29"/>
      <c r="O1392" s="24"/>
      <c r="P1392" s="4"/>
      <c r="Q1392" s="16"/>
    </row>
    <row r="1393" customFormat="false" ht="12.8" hidden="false" customHeight="false" outlineLevel="0" collapsed="false">
      <c r="A1393" s="42" t="s">
        <v>1340</v>
      </c>
      <c r="B1393" s="43"/>
      <c r="C1393" s="44"/>
      <c r="D1393" s="45"/>
      <c r="E1393" s="46"/>
      <c r="F1393" s="44"/>
      <c r="G1393" s="47"/>
      <c r="H1393" s="48"/>
      <c r="I1393" s="49"/>
      <c r="J1393" s="50"/>
      <c r="K1393" s="50"/>
      <c r="L1393" s="44"/>
      <c r="M1393" s="51"/>
      <c r="N1393" s="51"/>
      <c r="O1393" s="44"/>
      <c r="P1393" s="52"/>
      <c r="Q1393" s="53"/>
    </row>
    <row r="1394" customFormat="false" ht="12.8" hidden="false" customHeight="false" outlineLevel="0" collapsed="false">
      <c r="A1394" s="22"/>
      <c r="B1394" s="23"/>
      <c r="C1394" s="24"/>
      <c r="D1394" s="22"/>
      <c r="E1394" s="19"/>
      <c r="F1394" s="24"/>
      <c r="G1394" s="25"/>
      <c r="H1394" s="26"/>
      <c r="I1394" s="27"/>
      <c r="J1394" s="28"/>
      <c r="K1394" s="28"/>
      <c r="L1394" s="24"/>
      <c r="M1394" s="29"/>
      <c r="N1394" s="29"/>
      <c r="O1394" s="24"/>
      <c r="P1394" s="4"/>
      <c r="Q1394" s="16"/>
    </row>
    <row r="1395" customFormat="false" ht="12.8" hidden="false" customHeight="false" outlineLevel="0" collapsed="false">
      <c r="A1395" s="22"/>
      <c r="B1395" s="23" t="n">
        <v>503043000</v>
      </c>
      <c r="C1395" s="24"/>
      <c r="D1395" s="54" t="s">
        <v>1341</v>
      </c>
      <c r="E1395" s="19" t="s">
        <v>1342</v>
      </c>
      <c r="F1395" s="24" t="s">
        <v>630</v>
      </c>
      <c r="G1395" s="25" t="n">
        <v>0.065</v>
      </c>
      <c r="H1395" s="26" t="n">
        <v>40</v>
      </c>
      <c r="I1395" s="27" t="n">
        <v>8</v>
      </c>
      <c r="J1395" s="28" t="n">
        <v>100</v>
      </c>
      <c r="K1395" s="28" t="n">
        <v>1</v>
      </c>
      <c r="L1395" s="24" t="s">
        <v>631</v>
      </c>
      <c r="M1395" s="29" t="n">
        <f aca="false">IF("oui" = "oui",9.52*(1-disc),9.52)</f>
        <v>9.52</v>
      </c>
      <c r="N1395" s="29" t="n">
        <f aca="false">IF("oui" = "oui",9.52*(1-disc)*1.2,9.52*1.2)</f>
        <v>11.424</v>
      </c>
      <c r="O1395" s="24" t="s">
        <v>25</v>
      </c>
      <c r="P1395" s="4" t="s">
        <v>25</v>
      </c>
      <c r="Q1395" s="16"/>
    </row>
    <row r="1396" customFormat="false" ht="12.8" hidden="false" customHeight="false" outlineLevel="0" collapsed="false">
      <c r="A1396" s="22"/>
      <c r="B1396" s="23" t="n">
        <v>503012000</v>
      </c>
      <c r="C1396" s="24"/>
      <c r="D1396" s="54" t="s">
        <v>1343</v>
      </c>
      <c r="E1396" s="19" t="s">
        <v>1342</v>
      </c>
      <c r="F1396" s="24" t="s">
        <v>630</v>
      </c>
      <c r="G1396" s="25" t="n">
        <v>0.05</v>
      </c>
      <c r="H1396" s="26" t="n">
        <v>40</v>
      </c>
      <c r="I1396" s="27" t="n">
        <v>8</v>
      </c>
      <c r="J1396" s="28" t="n">
        <v>100</v>
      </c>
      <c r="K1396" s="28" t="n">
        <v>1</v>
      </c>
      <c r="L1396" s="24" t="s">
        <v>631</v>
      </c>
      <c r="M1396" s="29" t="n">
        <f aca="false">IF("oui" = "oui",9.52*(1-disc),9.52)</f>
        <v>9.52</v>
      </c>
      <c r="N1396" s="29" t="n">
        <f aca="false">IF("oui" = "oui",9.52*(1-disc)*1.2,9.52*1.2)</f>
        <v>11.424</v>
      </c>
      <c r="O1396" s="24" t="s">
        <v>25</v>
      </c>
      <c r="P1396" s="4" t="s">
        <v>25</v>
      </c>
      <c r="Q1396" s="16"/>
    </row>
    <row r="1397" customFormat="false" ht="12.8" hidden="false" customHeight="false" outlineLevel="0" collapsed="false">
      <c r="A1397" s="22"/>
      <c r="B1397" s="23"/>
      <c r="C1397" s="24"/>
      <c r="D1397" s="22"/>
      <c r="E1397" s="19"/>
      <c r="F1397" s="24"/>
      <c r="G1397" s="25"/>
      <c r="H1397" s="26"/>
      <c r="I1397" s="27"/>
      <c r="J1397" s="28"/>
      <c r="K1397" s="28"/>
      <c r="L1397" s="24"/>
      <c r="M1397" s="29"/>
      <c r="N1397" s="29"/>
      <c r="O1397" s="24"/>
      <c r="P1397" s="4"/>
      <c r="Q1397" s="16"/>
    </row>
    <row r="1398" customFormat="false" ht="12.8" hidden="false" customHeight="false" outlineLevel="0" collapsed="false">
      <c r="A1398" s="22"/>
      <c r="B1398" s="23" t="n">
        <v>503015000</v>
      </c>
      <c r="C1398" s="24"/>
      <c r="D1398" s="54" t="s">
        <v>1344</v>
      </c>
      <c r="E1398" s="19" t="s">
        <v>1345</v>
      </c>
      <c r="F1398" s="24" t="s">
        <v>630</v>
      </c>
      <c r="G1398" s="25" t="n">
        <v>0.13</v>
      </c>
      <c r="H1398" s="26" t="n">
        <v>90</v>
      </c>
      <c r="I1398" s="27" t="n">
        <v>8</v>
      </c>
      <c r="J1398" s="28" t="n">
        <v>12</v>
      </c>
      <c r="K1398" s="28" t="n">
        <v>1</v>
      </c>
      <c r="L1398" s="24" t="s">
        <v>631</v>
      </c>
      <c r="M1398" s="29" t="n">
        <f aca="false">IF("oui" = "oui",22.39*(1-disc),22.39)</f>
        <v>22.39</v>
      </c>
      <c r="N1398" s="29" t="n">
        <f aca="false">IF("oui" = "oui",22.39*(1-disc)*1.2,22.39*1.2)</f>
        <v>26.868</v>
      </c>
      <c r="O1398" s="24" t="s">
        <v>25</v>
      </c>
      <c r="P1398" s="4" t="s">
        <v>25</v>
      </c>
      <c r="Q1398" s="16"/>
    </row>
    <row r="1399" customFormat="false" ht="12.8" hidden="false" customHeight="false" outlineLevel="0" collapsed="false">
      <c r="A1399" s="22"/>
      <c r="B1399" s="23"/>
      <c r="C1399" s="24"/>
      <c r="D1399" s="22"/>
      <c r="E1399" s="19"/>
      <c r="F1399" s="24"/>
      <c r="G1399" s="25"/>
      <c r="H1399" s="26"/>
      <c r="I1399" s="27"/>
      <c r="J1399" s="28"/>
      <c r="K1399" s="28"/>
      <c r="L1399" s="24"/>
      <c r="M1399" s="29"/>
      <c r="N1399" s="29"/>
      <c r="O1399" s="24"/>
      <c r="P1399" s="4"/>
      <c r="Q1399" s="16"/>
    </row>
    <row r="1400" customFormat="false" ht="12.8" hidden="false" customHeight="false" outlineLevel="0" collapsed="false">
      <c r="A1400" s="22" t="s">
        <v>1346</v>
      </c>
      <c r="B1400" s="23" t="n">
        <v>503006000</v>
      </c>
      <c r="C1400" s="24"/>
      <c r="D1400" s="54" t="s">
        <v>1347</v>
      </c>
      <c r="E1400" s="19" t="s">
        <v>1348</v>
      </c>
      <c r="F1400" s="24" t="s">
        <v>630</v>
      </c>
      <c r="G1400" s="25" t="n">
        <v>0.095</v>
      </c>
      <c r="H1400" s="26" t="n">
        <v>30</v>
      </c>
      <c r="I1400" s="27" t="n">
        <v>25</v>
      </c>
      <c r="J1400" s="28" t="n">
        <v>100</v>
      </c>
      <c r="K1400" s="28" t="n">
        <v>1</v>
      </c>
      <c r="L1400" s="24" t="s">
        <v>631</v>
      </c>
      <c r="M1400" s="57" t="n">
        <f aca="false">IF("non" = "oui",6.58*(1-disc),6.58)</f>
        <v>6.58</v>
      </c>
      <c r="N1400" s="57" t="n">
        <f aca="false">IF("non" = "oui",6.58*(1-disc)*1.2,6.58*1.2)</f>
        <v>7.896</v>
      </c>
      <c r="O1400" s="58" t="s">
        <v>26</v>
      </c>
      <c r="P1400" s="4" t="s">
        <v>25</v>
      </c>
      <c r="Q1400" s="16"/>
    </row>
    <row r="1401" customFormat="false" ht="12.8" hidden="false" customHeight="false" outlineLevel="0" collapsed="false">
      <c r="A1401" s="22" t="s">
        <v>1346</v>
      </c>
      <c r="B1401" s="23" t="n">
        <v>503007000</v>
      </c>
      <c r="C1401" s="24"/>
      <c r="D1401" s="54" t="s">
        <v>1349</v>
      </c>
      <c r="E1401" s="19" t="s">
        <v>1348</v>
      </c>
      <c r="F1401" s="24" t="s">
        <v>630</v>
      </c>
      <c r="G1401" s="25" t="n">
        <v>0.095</v>
      </c>
      <c r="H1401" s="26" t="n">
        <v>30</v>
      </c>
      <c r="I1401" s="27" t="n">
        <v>25</v>
      </c>
      <c r="J1401" s="28" t="n">
        <v>100</v>
      </c>
      <c r="K1401" s="28" t="n">
        <v>1</v>
      </c>
      <c r="L1401" s="24" t="s">
        <v>631</v>
      </c>
      <c r="M1401" s="57" t="n">
        <f aca="false">IF("non" = "oui",6.58*(1-disc),6.58)</f>
        <v>6.58</v>
      </c>
      <c r="N1401" s="57" t="n">
        <f aca="false">IF("non" = "oui",6.58*(1-disc)*1.2,6.58*1.2)</f>
        <v>7.896</v>
      </c>
      <c r="O1401" s="58" t="s">
        <v>26</v>
      </c>
      <c r="P1401" s="4" t="s">
        <v>25</v>
      </c>
      <c r="Q1401" s="16"/>
    </row>
    <row r="1402" customFormat="false" ht="12.8" hidden="false" customHeight="false" outlineLevel="0" collapsed="false">
      <c r="A1402" s="22" t="s">
        <v>1346</v>
      </c>
      <c r="B1402" s="23" t="n">
        <v>503008000</v>
      </c>
      <c r="C1402" s="24"/>
      <c r="D1402" s="54" t="s">
        <v>1350</v>
      </c>
      <c r="E1402" s="19" t="s">
        <v>1348</v>
      </c>
      <c r="F1402" s="24" t="s">
        <v>630</v>
      </c>
      <c r="G1402" s="25" t="n">
        <v>0.095</v>
      </c>
      <c r="H1402" s="26" t="n">
        <v>30</v>
      </c>
      <c r="I1402" s="27" t="n">
        <v>25</v>
      </c>
      <c r="J1402" s="28" t="n">
        <v>100</v>
      </c>
      <c r="K1402" s="28" t="n">
        <v>1</v>
      </c>
      <c r="L1402" s="24" t="s">
        <v>631</v>
      </c>
      <c r="M1402" s="57" t="n">
        <f aca="false">IF("non" = "oui",6.58*(1-disc),6.58)</f>
        <v>6.58</v>
      </c>
      <c r="N1402" s="57" t="n">
        <f aca="false">IF("non" = "oui",6.58*(1-disc)*1.2,6.58*1.2)</f>
        <v>7.896</v>
      </c>
      <c r="O1402" s="58" t="s">
        <v>26</v>
      </c>
      <c r="P1402" s="4" t="s">
        <v>25</v>
      </c>
      <c r="Q1402" s="16"/>
    </row>
    <row r="1403" customFormat="false" ht="12.8" hidden="false" customHeight="false" outlineLevel="0" collapsed="false">
      <c r="A1403" s="22" t="s">
        <v>1346</v>
      </c>
      <c r="B1403" s="23" t="n">
        <v>503009000</v>
      </c>
      <c r="C1403" s="24"/>
      <c r="D1403" s="54" t="s">
        <v>1351</v>
      </c>
      <c r="E1403" s="19" t="s">
        <v>1348</v>
      </c>
      <c r="F1403" s="24" t="s">
        <v>630</v>
      </c>
      <c r="G1403" s="25" t="n">
        <v>0.095</v>
      </c>
      <c r="H1403" s="26" t="n">
        <v>30</v>
      </c>
      <c r="I1403" s="27" t="n">
        <v>25</v>
      </c>
      <c r="J1403" s="28" t="n">
        <v>100</v>
      </c>
      <c r="K1403" s="28" t="n">
        <v>1</v>
      </c>
      <c r="L1403" s="24" t="s">
        <v>631</v>
      </c>
      <c r="M1403" s="57" t="n">
        <f aca="false">IF("non" = "oui",6.58*(1-disc),6.58)</f>
        <v>6.58</v>
      </c>
      <c r="N1403" s="57" t="n">
        <f aca="false">IF("non" = "oui",6.58*(1-disc)*1.2,6.58*1.2)</f>
        <v>7.896</v>
      </c>
      <c r="O1403" s="58" t="s">
        <v>26</v>
      </c>
      <c r="P1403" s="4" t="s">
        <v>25</v>
      </c>
      <c r="Q1403" s="16"/>
    </row>
    <row r="1404" customFormat="false" ht="12.8" hidden="false" customHeight="false" outlineLevel="0" collapsed="false">
      <c r="A1404" s="22"/>
      <c r="B1404" s="23"/>
      <c r="C1404" s="24"/>
      <c r="D1404" s="22"/>
      <c r="E1404" s="19"/>
      <c r="F1404" s="24"/>
      <c r="G1404" s="25"/>
      <c r="H1404" s="26"/>
      <c r="I1404" s="27"/>
      <c r="J1404" s="28"/>
      <c r="K1404" s="28"/>
      <c r="L1404" s="24"/>
      <c r="M1404" s="29"/>
      <c r="N1404" s="29"/>
      <c r="O1404" s="24"/>
      <c r="P1404" s="4"/>
      <c r="Q1404" s="16"/>
    </row>
    <row r="1405" customFormat="false" ht="12.8" hidden="false" customHeight="false" outlineLevel="0" collapsed="false">
      <c r="A1405" s="22"/>
      <c r="B1405" s="23" t="n">
        <v>503021000</v>
      </c>
      <c r="C1405" s="24"/>
      <c r="D1405" s="54" t="s">
        <v>1352</v>
      </c>
      <c r="E1405" s="19" t="s">
        <v>1353</v>
      </c>
      <c r="F1405" s="24" t="s">
        <v>647</v>
      </c>
      <c r="G1405" s="25" t="n">
        <v>0.396</v>
      </c>
      <c r="H1405" s="26" t="n">
        <v>60</v>
      </c>
      <c r="I1405" s="27" t="n">
        <v>25</v>
      </c>
      <c r="J1405" s="28" t="n">
        <v>30</v>
      </c>
      <c r="K1405" s="28" t="n">
        <v>1</v>
      </c>
      <c r="L1405" s="24" t="s">
        <v>631</v>
      </c>
      <c r="M1405" s="57" t="n">
        <f aca="false">IF("non" = "oui",11.95*(1-disc),11.95)</f>
        <v>11.95</v>
      </c>
      <c r="N1405" s="57" t="n">
        <f aca="false">IF("non" = "oui",11.95*(1-disc)*1.2,11.95*1.2)</f>
        <v>14.34</v>
      </c>
      <c r="O1405" s="58" t="s">
        <v>26</v>
      </c>
      <c r="P1405" s="4" t="s">
        <v>25</v>
      </c>
      <c r="Q1405" s="59" t="s">
        <v>81</v>
      </c>
    </row>
    <row r="1406" customFormat="false" ht="12.8" hidden="false" customHeight="false" outlineLevel="0" collapsed="false">
      <c r="A1406" s="22"/>
      <c r="B1406" s="23" t="n">
        <v>503022000</v>
      </c>
      <c r="C1406" s="24"/>
      <c r="D1406" s="54" t="s">
        <v>1354</v>
      </c>
      <c r="E1406" s="19" t="s">
        <v>1353</v>
      </c>
      <c r="F1406" s="24" t="s">
        <v>647</v>
      </c>
      <c r="G1406" s="25" t="n">
        <v>0.396</v>
      </c>
      <c r="H1406" s="26" t="n">
        <v>60</v>
      </c>
      <c r="I1406" s="27" t="n">
        <v>25</v>
      </c>
      <c r="J1406" s="28" t="n">
        <v>30</v>
      </c>
      <c r="K1406" s="28" t="n">
        <v>1</v>
      </c>
      <c r="L1406" s="24" t="s">
        <v>631</v>
      </c>
      <c r="M1406" s="57" t="n">
        <f aca="false">IF("non" = "oui",11.95*(1-disc),11.95)</f>
        <v>11.95</v>
      </c>
      <c r="N1406" s="57" t="n">
        <f aca="false">IF("non" = "oui",11.95*(1-disc)*1.2,11.95*1.2)</f>
        <v>14.34</v>
      </c>
      <c r="O1406" s="58" t="s">
        <v>26</v>
      </c>
      <c r="P1406" s="4" t="s">
        <v>25</v>
      </c>
      <c r="Q1406" s="59" t="s">
        <v>81</v>
      </c>
    </row>
    <row r="1407" customFormat="false" ht="12.8" hidden="false" customHeight="false" outlineLevel="0" collapsed="false">
      <c r="A1407" s="22"/>
      <c r="B1407" s="23" t="n">
        <v>503023000</v>
      </c>
      <c r="C1407" s="24"/>
      <c r="D1407" s="54" t="s">
        <v>1355</v>
      </c>
      <c r="E1407" s="19" t="s">
        <v>1353</v>
      </c>
      <c r="F1407" s="24" t="s">
        <v>647</v>
      </c>
      <c r="G1407" s="25" t="n">
        <v>0.396</v>
      </c>
      <c r="H1407" s="26" t="n">
        <v>60</v>
      </c>
      <c r="I1407" s="27" t="n">
        <v>25</v>
      </c>
      <c r="J1407" s="28" t="n">
        <v>30</v>
      </c>
      <c r="K1407" s="28" t="n">
        <v>1</v>
      </c>
      <c r="L1407" s="24" t="s">
        <v>631</v>
      </c>
      <c r="M1407" s="57" t="n">
        <f aca="false">IF("non" = "oui",11.95*(1-disc),11.95)</f>
        <v>11.95</v>
      </c>
      <c r="N1407" s="57" t="n">
        <f aca="false">IF("non" = "oui",11.95*(1-disc)*1.2,11.95*1.2)</f>
        <v>14.34</v>
      </c>
      <c r="O1407" s="58" t="s">
        <v>26</v>
      </c>
      <c r="P1407" s="4" t="s">
        <v>25</v>
      </c>
      <c r="Q1407" s="59" t="s">
        <v>81</v>
      </c>
    </row>
    <row r="1408" customFormat="false" ht="12.8" hidden="false" customHeight="false" outlineLevel="0" collapsed="false">
      <c r="A1408" s="22"/>
      <c r="B1408" s="23" t="n">
        <v>503027000</v>
      </c>
      <c r="C1408" s="24"/>
      <c r="D1408" s="54" t="s">
        <v>1356</v>
      </c>
      <c r="E1408" s="19" t="s">
        <v>1353</v>
      </c>
      <c r="F1408" s="24" t="s">
        <v>647</v>
      </c>
      <c r="G1408" s="25" t="n">
        <v>0.396</v>
      </c>
      <c r="H1408" s="26" t="n">
        <v>60</v>
      </c>
      <c r="I1408" s="27" t="n">
        <v>25</v>
      </c>
      <c r="J1408" s="28" t="n">
        <v>30</v>
      </c>
      <c r="K1408" s="28" t="n">
        <v>1</v>
      </c>
      <c r="L1408" s="24" t="s">
        <v>631</v>
      </c>
      <c r="M1408" s="57" t="n">
        <f aca="false">IF("non" = "oui",11.95*(1-disc),11.95)</f>
        <v>11.95</v>
      </c>
      <c r="N1408" s="57" t="n">
        <f aca="false">IF("non" = "oui",11.95*(1-disc)*1.2,11.95*1.2)</f>
        <v>14.34</v>
      </c>
      <c r="O1408" s="58" t="s">
        <v>26</v>
      </c>
      <c r="P1408" s="7" t="s">
        <v>26</v>
      </c>
      <c r="Q1408" s="59" t="s">
        <v>81</v>
      </c>
    </row>
    <row r="1409" customFormat="false" ht="12.8" hidden="false" customHeight="false" outlineLevel="0" collapsed="false">
      <c r="A1409" s="22"/>
      <c r="B1409" s="23"/>
      <c r="C1409" s="24"/>
      <c r="D1409" s="22"/>
      <c r="E1409" s="19"/>
      <c r="F1409" s="24"/>
      <c r="G1409" s="25"/>
      <c r="H1409" s="26"/>
      <c r="I1409" s="27"/>
      <c r="J1409" s="28"/>
      <c r="K1409" s="28"/>
      <c r="L1409" s="24"/>
      <c r="M1409" s="29"/>
      <c r="N1409" s="29"/>
      <c r="O1409" s="24"/>
      <c r="P1409" s="4"/>
      <c r="Q1409" s="16"/>
    </row>
    <row r="1410" customFormat="false" ht="12.8" hidden="false" customHeight="false" outlineLevel="0" collapsed="false">
      <c r="A1410" s="22"/>
      <c r="B1410" s="23" t="n">
        <v>503060000</v>
      </c>
      <c r="C1410" s="24"/>
      <c r="D1410" s="54" t="s">
        <v>1357</v>
      </c>
      <c r="E1410" s="19" t="s">
        <v>1358</v>
      </c>
      <c r="F1410" s="24" t="s">
        <v>630</v>
      </c>
      <c r="G1410" s="25" t="n">
        <v>0.032</v>
      </c>
      <c r="H1410" s="26" t="n">
        <v>3</v>
      </c>
      <c r="I1410" s="27" t="n">
        <v>8</v>
      </c>
      <c r="J1410" s="28" t="n">
        <v>100</v>
      </c>
      <c r="K1410" s="28" t="n">
        <v>1</v>
      </c>
      <c r="L1410" s="24" t="s">
        <v>631</v>
      </c>
      <c r="M1410" s="29" t="n">
        <f aca="false">IF("oui" = "oui",4.99*(1-disc),4.99)</f>
        <v>4.99</v>
      </c>
      <c r="N1410" s="29" t="n">
        <f aca="false">IF("oui" = "oui",4.99*(1-disc)*1.2,4.99*1.2)</f>
        <v>5.988</v>
      </c>
      <c r="O1410" s="24" t="s">
        <v>25</v>
      </c>
      <c r="P1410" s="4" t="s">
        <v>25</v>
      </c>
      <c r="Q1410" s="16"/>
    </row>
    <row r="1411" customFormat="false" ht="12.8" hidden="false" customHeight="false" outlineLevel="0" collapsed="false">
      <c r="A1411" s="22"/>
      <c r="B1411" s="23" t="n">
        <v>601031000</v>
      </c>
      <c r="C1411" s="24"/>
      <c r="D1411" s="54" t="s">
        <v>1359</v>
      </c>
      <c r="E1411" s="19" t="s">
        <v>1360</v>
      </c>
      <c r="F1411" s="24" t="s">
        <v>1361</v>
      </c>
      <c r="G1411" s="25" t="n">
        <v>0.026</v>
      </c>
      <c r="H1411" s="26"/>
      <c r="I1411" s="27" t="n">
        <v>4</v>
      </c>
      <c r="J1411" s="28" t="n">
        <v>100</v>
      </c>
      <c r="K1411" s="28" t="n">
        <v>1</v>
      </c>
      <c r="L1411" s="24" t="s">
        <v>631</v>
      </c>
      <c r="M1411" s="29" t="n">
        <f aca="false">IF("oui" = "oui",7.61*(1-disc),7.61)</f>
        <v>7.61</v>
      </c>
      <c r="N1411" s="29" t="n">
        <f aca="false">IF("oui" = "oui",7.61*(1-disc)*1.2,7.61*1.2)</f>
        <v>9.132</v>
      </c>
      <c r="O1411" s="24" t="s">
        <v>25</v>
      </c>
      <c r="P1411" s="4" t="s">
        <v>25</v>
      </c>
      <c r="Q1411" s="16"/>
    </row>
    <row r="1412" customFormat="false" ht="12.8" hidden="false" customHeight="false" outlineLevel="0" collapsed="false">
      <c r="A1412" s="22"/>
      <c r="B1412" s="23"/>
      <c r="C1412" s="24"/>
      <c r="D1412" s="22"/>
      <c r="E1412" s="19"/>
      <c r="F1412" s="24"/>
      <c r="G1412" s="25"/>
      <c r="H1412" s="26"/>
      <c r="I1412" s="27"/>
      <c r="J1412" s="28"/>
      <c r="K1412" s="28"/>
      <c r="L1412" s="24"/>
      <c r="M1412" s="29"/>
      <c r="N1412" s="29"/>
      <c r="O1412" s="24"/>
      <c r="P1412" s="4"/>
      <c r="Q1412" s="16"/>
    </row>
    <row r="1413" customFormat="false" ht="12.8" hidden="false" customHeight="false" outlineLevel="0" collapsed="false">
      <c r="A1413" s="22"/>
      <c r="B1413" s="23" t="n">
        <v>602003000</v>
      </c>
      <c r="C1413" s="24" t="n">
        <v>14</v>
      </c>
      <c r="D1413" s="54" t="s">
        <v>1362</v>
      </c>
      <c r="E1413" s="19" t="s">
        <v>1363</v>
      </c>
      <c r="F1413" s="24" t="s">
        <v>647</v>
      </c>
      <c r="G1413" s="25" t="n">
        <v>0.022</v>
      </c>
      <c r="H1413" s="26" t="n">
        <v>12</v>
      </c>
      <c r="I1413" s="27" t="n">
        <v>30</v>
      </c>
      <c r="J1413" s="28" t="n">
        <v>650</v>
      </c>
      <c r="K1413" s="28" t="n">
        <v>1</v>
      </c>
      <c r="L1413" s="24" t="s">
        <v>631</v>
      </c>
      <c r="M1413" s="57" t="n">
        <f aca="false">IF("non" = "oui",2.22*(1-disc),2.22)</f>
        <v>2.22</v>
      </c>
      <c r="N1413" s="57" t="n">
        <f aca="false">IF("non" = "oui",2.22*(1-disc)*1.2,2.22*1.2)</f>
        <v>2.664</v>
      </c>
      <c r="O1413" s="58" t="s">
        <v>26</v>
      </c>
      <c r="P1413" s="4" t="s">
        <v>25</v>
      </c>
      <c r="Q1413" s="16"/>
    </row>
    <row r="1414" customFormat="false" ht="12.8" hidden="false" customHeight="false" outlineLevel="0" collapsed="false">
      <c r="A1414" s="22"/>
      <c r="B1414" s="23" t="n">
        <v>602003001</v>
      </c>
      <c r="C1414" s="24" t="n">
        <v>21</v>
      </c>
      <c r="D1414" s="54" t="s">
        <v>1364</v>
      </c>
      <c r="E1414" s="19" t="s">
        <v>1363</v>
      </c>
      <c r="F1414" s="24" t="s">
        <v>647</v>
      </c>
      <c r="G1414" s="25" t="n">
        <v>0.063</v>
      </c>
      <c r="H1414" s="26" t="n">
        <v>24</v>
      </c>
      <c r="I1414" s="27" t="n">
        <v>30</v>
      </c>
      <c r="J1414" s="28" t="n">
        <v>300</v>
      </c>
      <c r="K1414" s="28" t="n">
        <v>1</v>
      </c>
      <c r="L1414" s="24" t="s">
        <v>631</v>
      </c>
      <c r="M1414" s="57" t="n">
        <f aca="false">IF("non" = "oui",6.68*(1-disc),6.68)</f>
        <v>6.68</v>
      </c>
      <c r="N1414" s="57" t="n">
        <f aca="false">IF("non" = "oui",6.68*(1-disc)*1.2,6.68*1.2)</f>
        <v>8.016</v>
      </c>
      <c r="O1414" s="58" t="s">
        <v>26</v>
      </c>
      <c r="P1414" s="7" t="s">
        <v>26</v>
      </c>
      <c r="Q1414" s="16"/>
    </row>
    <row r="1415" customFormat="false" ht="12.8" hidden="false" customHeight="false" outlineLevel="0" collapsed="false">
      <c r="A1415" s="22"/>
      <c r="B1415" s="23"/>
      <c r="C1415" s="24"/>
      <c r="D1415" s="22"/>
      <c r="E1415" s="19"/>
      <c r="F1415" s="24"/>
      <c r="G1415" s="25"/>
      <c r="H1415" s="26"/>
      <c r="I1415" s="27"/>
      <c r="J1415" s="28"/>
      <c r="K1415" s="28"/>
      <c r="L1415" s="24"/>
      <c r="M1415" s="29"/>
      <c r="N1415" s="29"/>
      <c r="O1415" s="24"/>
      <c r="P1415" s="4"/>
      <c r="Q1415" s="16"/>
    </row>
    <row r="1416" customFormat="false" ht="12.8" hidden="false" customHeight="false" outlineLevel="0" collapsed="false">
      <c r="A1416" s="42" t="s">
        <v>1365</v>
      </c>
      <c r="B1416" s="43"/>
      <c r="C1416" s="44"/>
      <c r="D1416" s="45"/>
      <c r="E1416" s="46"/>
      <c r="F1416" s="44"/>
      <c r="G1416" s="47"/>
      <c r="H1416" s="48"/>
      <c r="I1416" s="49"/>
      <c r="J1416" s="50"/>
      <c r="K1416" s="50"/>
      <c r="L1416" s="44"/>
      <c r="M1416" s="51"/>
      <c r="N1416" s="51"/>
      <c r="O1416" s="44"/>
      <c r="P1416" s="52"/>
      <c r="Q1416" s="53"/>
    </row>
    <row r="1417" customFormat="false" ht="12.8" hidden="false" customHeight="false" outlineLevel="0" collapsed="false">
      <c r="A1417" s="22"/>
      <c r="B1417" s="23"/>
      <c r="C1417" s="24"/>
      <c r="D1417" s="22"/>
      <c r="E1417" s="19"/>
      <c r="F1417" s="24"/>
      <c r="G1417" s="25"/>
      <c r="H1417" s="26"/>
      <c r="I1417" s="27"/>
      <c r="J1417" s="28"/>
      <c r="K1417" s="28"/>
      <c r="L1417" s="24"/>
      <c r="M1417" s="29"/>
      <c r="N1417" s="29"/>
      <c r="O1417" s="24"/>
      <c r="P1417" s="4"/>
      <c r="Q1417" s="16"/>
    </row>
    <row r="1418" customFormat="false" ht="12.8" hidden="false" customHeight="false" outlineLevel="0" collapsed="false">
      <c r="A1418" s="22"/>
      <c r="B1418" s="23" t="n">
        <v>503025000</v>
      </c>
      <c r="C1418" s="24" t="n">
        <v>20</v>
      </c>
      <c r="D1418" s="54" t="s">
        <v>1366</v>
      </c>
      <c r="E1418" s="19" t="s">
        <v>1367</v>
      </c>
      <c r="F1418" s="24" t="s">
        <v>23</v>
      </c>
      <c r="G1418" s="25" t="n">
        <v>1.272</v>
      </c>
      <c r="H1418" s="26" t="n">
        <v>70</v>
      </c>
      <c r="I1418" s="27" t="n">
        <v>8</v>
      </c>
      <c r="J1418" s="28" t="n">
        <v>6</v>
      </c>
      <c r="K1418" s="28" t="n">
        <v>1</v>
      </c>
      <c r="L1418" s="24" t="s">
        <v>631</v>
      </c>
      <c r="M1418" s="29" t="n">
        <f aca="false">IF("oui" = "oui",117.17*(1-disc),117.17)</f>
        <v>117.17</v>
      </c>
      <c r="N1418" s="29" t="n">
        <f aca="false">IF("oui" = "oui",117.17*(1-disc)*1.2,117.17*1.2)</f>
        <v>140.604</v>
      </c>
      <c r="O1418" s="24" t="s">
        <v>25</v>
      </c>
      <c r="P1418" s="7" t="s">
        <v>26</v>
      </c>
      <c r="Q1418" s="16"/>
    </row>
    <row r="1419" customFormat="false" ht="12.8" hidden="false" customHeight="false" outlineLevel="0" collapsed="false">
      <c r="A1419" s="22"/>
      <c r="B1419" s="23"/>
      <c r="C1419" s="24"/>
      <c r="D1419" s="22"/>
      <c r="E1419" s="19"/>
      <c r="F1419" s="24"/>
      <c r="G1419" s="25"/>
      <c r="H1419" s="26"/>
      <c r="I1419" s="27"/>
      <c r="J1419" s="28"/>
      <c r="K1419" s="28"/>
      <c r="L1419" s="24"/>
      <c r="M1419" s="29"/>
      <c r="N1419" s="29"/>
      <c r="O1419" s="24"/>
      <c r="P1419" s="4"/>
      <c r="Q1419" s="16"/>
    </row>
    <row r="1420" customFormat="false" ht="12.8" hidden="false" customHeight="false" outlineLevel="0" collapsed="false">
      <c r="A1420" s="42" t="s">
        <v>1368</v>
      </c>
      <c r="B1420" s="43"/>
      <c r="C1420" s="44"/>
      <c r="D1420" s="45"/>
      <c r="E1420" s="46"/>
      <c r="F1420" s="44"/>
      <c r="G1420" s="47"/>
      <c r="H1420" s="48"/>
      <c r="I1420" s="49"/>
      <c r="J1420" s="50"/>
      <c r="K1420" s="50"/>
      <c r="L1420" s="44"/>
      <c r="M1420" s="51"/>
      <c r="N1420" s="51"/>
      <c r="O1420" s="44"/>
      <c r="P1420" s="52"/>
      <c r="Q1420" s="53"/>
    </row>
    <row r="1421" customFormat="false" ht="12.8" hidden="false" customHeight="false" outlineLevel="0" collapsed="false">
      <c r="A1421" s="22"/>
      <c r="B1421" s="23"/>
      <c r="C1421" s="24"/>
      <c r="D1421" s="22"/>
      <c r="E1421" s="19"/>
      <c r="F1421" s="24"/>
      <c r="G1421" s="25"/>
      <c r="H1421" s="26"/>
      <c r="I1421" s="27"/>
      <c r="J1421" s="28"/>
      <c r="K1421" s="28"/>
      <c r="L1421" s="24"/>
      <c r="M1421" s="29"/>
      <c r="N1421" s="29"/>
      <c r="O1421" s="24"/>
      <c r="P1421" s="4"/>
      <c r="Q1421" s="16"/>
    </row>
    <row r="1422" customFormat="false" ht="12.8" hidden="false" customHeight="false" outlineLevel="0" collapsed="false">
      <c r="A1422" s="22"/>
      <c r="B1422" s="23" t="n">
        <v>503014000</v>
      </c>
      <c r="C1422" s="24" t="n">
        <v>25</v>
      </c>
      <c r="D1422" s="54" t="s">
        <v>1369</v>
      </c>
      <c r="E1422" s="19" t="s">
        <v>1370</v>
      </c>
      <c r="F1422" s="24" t="s">
        <v>23</v>
      </c>
      <c r="G1422" s="25" t="n">
        <v>0.61</v>
      </c>
      <c r="H1422" s="26" t="n">
        <v>60</v>
      </c>
      <c r="I1422" s="27" t="n">
        <v>15</v>
      </c>
      <c r="J1422" s="28" t="n">
        <v>5</v>
      </c>
      <c r="K1422" s="28" t="n">
        <v>1</v>
      </c>
      <c r="L1422" s="24" t="s">
        <v>631</v>
      </c>
      <c r="M1422" s="57" t="n">
        <f aca="false">IF("non" = "oui",78.34*(1-disc),78.34)</f>
        <v>78.34</v>
      </c>
      <c r="N1422" s="57" t="n">
        <f aca="false">IF("non" = "oui",78.34*(1-disc)*1.2,78.34*1.2)</f>
        <v>94.008</v>
      </c>
      <c r="O1422" s="58" t="s">
        <v>26</v>
      </c>
      <c r="P1422" s="55" t="s">
        <v>427</v>
      </c>
      <c r="Q1422" s="16"/>
    </row>
    <row r="1423" customFormat="false" ht="12.8" hidden="false" customHeight="false" outlineLevel="0" collapsed="false">
      <c r="A1423" s="22"/>
      <c r="B1423" s="23" t="n">
        <v>602003002</v>
      </c>
      <c r="C1423" s="24" t="n">
        <v>14</v>
      </c>
      <c r="D1423" s="54" t="s">
        <v>1371</v>
      </c>
      <c r="E1423" s="19" t="s">
        <v>1372</v>
      </c>
      <c r="F1423" s="24" t="s">
        <v>647</v>
      </c>
      <c r="G1423" s="25" t="n">
        <v>0.184</v>
      </c>
      <c r="H1423" s="26" t="n">
        <v>40</v>
      </c>
      <c r="I1423" s="27" t="n">
        <v>30</v>
      </c>
      <c r="J1423" s="28"/>
      <c r="K1423" s="28" t="n">
        <v>1</v>
      </c>
      <c r="L1423" s="24" t="s">
        <v>631</v>
      </c>
      <c r="M1423" s="57" t="n">
        <f aca="false">IF("non" = "oui",38.03*(1-disc),38.03)</f>
        <v>38.03</v>
      </c>
      <c r="N1423" s="57" t="n">
        <f aca="false">IF("non" = "oui",38.03*(1-disc)*1.2,38.03*1.2)</f>
        <v>45.636</v>
      </c>
      <c r="O1423" s="58" t="s">
        <v>26</v>
      </c>
      <c r="P1423" s="4" t="s">
        <v>25</v>
      </c>
      <c r="Q1423" s="16"/>
    </row>
    <row r="1424" customFormat="false" ht="12.8" hidden="false" customHeight="false" outlineLevel="0" collapsed="false">
      <c r="A1424" s="22"/>
      <c r="B1424" s="23" t="n">
        <v>602003003</v>
      </c>
      <c r="C1424" s="24" t="n">
        <v>14</v>
      </c>
      <c r="D1424" s="54" t="s">
        <v>1373</v>
      </c>
      <c r="E1424" s="19" t="s">
        <v>1363</v>
      </c>
      <c r="F1424" s="24" t="s">
        <v>647</v>
      </c>
      <c r="G1424" s="25" t="n">
        <v>0.368</v>
      </c>
      <c r="H1424" s="26" t="n">
        <v>60</v>
      </c>
      <c r="I1424" s="27" t="n">
        <v>30</v>
      </c>
      <c r="J1424" s="28"/>
      <c r="K1424" s="28" t="n">
        <v>1</v>
      </c>
      <c r="L1424" s="24" t="s">
        <v>631</v>
      </c>
      <c r="M1424" s="57" t="n">
        <f aca="false">IF("non" = "oui",43.46*(1-disc),43.46)</f>
        <v>43.46</v>
      </c>
      <c r="N1424" s="57" t="n">
        <f aca="false">IF("non" = "oui",43.46*(1-disc)*1.2,43.46*1.2)</f>
        <v>52.152</v>
      </c>
      <c r="O1424" s="58" t="s">
        <v>26</v>
      </c>
      <c r="P1424" s="4" t="s">
        <v>25</v>
      </c>
      <c r="Q1424" s="16"/>
    </row>
    <row r="1425" customFormat="false" ht="12.8" hidden="false" customHeight="false" outlineLevel="0" collapsed="false">
      <c r="A1425" s="22"/>
      <c r="B1425" s="23"/>
      <c r="C1425" s="24"/>
      <c r="D1425" s="22"/>
      <c r="E1425" s="19"/>
      <c r="F1425" s="24"/>
      <c r="G1425" s="25"/>
      <c r="H1425" s="26"/>
      <c r="I1425" s="27"/>
      <c r="J1425" s="28"/>
      <c r="K1425" s="28"/>
      <c r="L1425" s="24"/>
      <c r="M1425" s="29"/>
      <c r="N1425" s="29"/>
      <c r="O1425" s="24"/>
      <c r="P1425" s="4"/>
      <c r="Q1425" s="16"/>
    </row>
    <row r="1426" customFormat="false" ht="12.8" hidden="false" customHeight="false" outlineLevel="0" collapsed="false">
      <c r="A1426" s="42" t="s">
        <v>1374</v>
      </c>
      <c r="B1426" s="43"/>
      <c r="C1426" s="44"/>
      <c r="D1426" s="45"/>
      <c r="E1426" s="46"/>
      <c r="F1426" s="44"/>
      <c r="G1426" s="47"/>
      <c r="H1426" s="48"/>
      <c r="I1426" s="49"/>
      <c r="J1426" s="50"/>
      <c r="K1426" s="50"/>
      <c r="L1426" s="44"/>
      <c r="M1426" s="51"/>
      <c r="N1426" s="51"/>
      <c r="O1426" s="44"/>
      <c r="P1426" s="52"/>
      <c r="Q1426" s="53"/>
    </row>
    <row r="1427" customFormat="false" ht="12.8" hidden="false" customHeight="false" outlineLevel="0" collapsed="false">
      <c r="A1427" s="22"/>
      <c r="B1427" s="23"/>
      <c r="C1427" s="24"/>
      <c r="D1427" s="22"/>
      <c r="E1427" s="19"/>
      <c r="F1427" s="24"/>
      <c r="G1427" s="25"/>
      <c r="H1427" s="26"/>
      <c r="I1427" s="27"/>
      <c r="J1427" s="28"/>
      <c r="K1427" s="28"/>
      <c r="L1427" s="24"/>
      <c r="M1427" s="29"/>
      <c r="N1427" s="29"/>
      <c r="O1427" s="24"/>
      <c r="P1427" s="4"/>
      <c r="Q1427" s="16"/>
    </row>
    <row r="1428" customFormat="false" ht="12.8" hidden="false" customHeight="false" outlineLevel="0" collapsed="false">
      <c r="A1428" s="22"/>
      <c r="B1428" s="23" t="n">
        <v>401004000</v>
      </c>
      <c r="C1428" s="24"/>
      <c r="D1428" s="54" t="s">
        <v>1375</v>
      </c>
      <c r="E1428" s="19" t="s">
        <v>1376</v>
      </c>
      <c r="F1428" s="24" t="s">
        <v>23</v>
      </c>
      <c r="G1428" s="25" t="n">
        <v>0.337</v>
      </c>
      <c r="H1428" s="26" t="n">
        <v>22</v>
      </c>
      <c r="I1428" s="27" t="n">
        <v>50</v>
      </c>
      <c r="J1428" s="28" t="n">
        <v>10</v>
      </c>
      <c r="K1428" s="28" t="n">
        <v>1</v>
      </c>
      <c r="L1428" s="24" t="s">
        <v>631</v>
      </c>
      <c r="M1428" s="29" t="n">
        <f aca="false">IF("oui" = "oui",58.67*(1-disc),58.67)</f>
        <v>58.67</v>
      </c>
      <c r="N1428" s="29" t="n">
        <f aca="false">IF("oui" = "oui",58.67*(1-disc)*1.2,58.67*1.2)</f>
        <v>70.404</v>
      </c>
      <c r="O1428" s="24" t="s">
        <v>25</v>
      </c>
      <c r="P1428" s="7" t="s">
        <v>26</v>
      </c>
      <c r="Q1428" s="16"/>
    </row>
    <row r="1429" customFormat="false" ht="12.8" hidden="false" customHeight="false" outlineLevel="0" collapsed="false">
      <c r="A1429" s="22"/>
      <c r="B1429" s="23" t="n">
        <v>401005000</v>
      </c>
      <c r="C1429" s="24"/>
      <c r="D1429" s="54" t="s">
        <v>1377</v>
      </c>
      <c r="E1429" s="19" t="s">
        <v>1376</v>
      </c>
      <c r="F1429" s="24" t="s">
        <v>23</v>
      </c>
      <c r="G1429" s="25" t="n">
        <v>0.337</v>
      </c>
      <c r="H1429" s="26" t="n">
        <v>22</v>
      </c>
      <c r="I1429" s="27" t="n">
        <v>50</v>
      </c>
      <c r="J1429" s="28" t="n">
        <v>10</v>
      </c>
      <c r="K1429" s="28" t="n">
        <v>1</v>
      </c>
      <c r="L1429" s="24" t="s">
        <v>631</v>
      </c>
      <c r="M1429" s="29" t="n">
        <f aca="false">IF("oui" = "oui",58.67*(1-disc),58.67)</f>
        <v>58.67</v>
      </c>
      <c r="N1429" s="29" t="n">
        <f aca="false">IF("oui" = "oui",58.67*(1-disc)*1.2,58.67*1.2)</f>
        <v>70.404</v>
      </c>
      <c r="O1429" s="24" t="s">
        <v>25</v>
      </c>
      <c r="P1429" s="55" t="s">
        <v>538</v>
      </c>
      <c r="Q1429" s="16"/>
    </row>
    <row r="1430" customFormat="false" ht="12.8" hidden="false" customHeight="false" outlineLevel="0" collapsed="false">
      <c r="A1430" s="22"/>
      <c r="B1430" s="23"/>
      <c r="C1430" s="24"/>
      <c r="D1430" s="22"/>
      <c r="E1430" s="19"/>
      <c r="F1430" s="24"/>
      <c r="G1430" s="25"/>
      <c r="H1430" s="26"/>
      <c r="I1430" s="27"/>
      <c r="J1430" s="28"/>
      <c r="K1430" s="28"/>
      <c r="L1430" s="24"/>
      <c r="M1430" s="29"/>
      <c r="N1430" s="29"/>
      <c r="O1430" s="24"/>
      <c r="P1430" s="4"/>
      <c r="Q1430" s="16"/>
    </row>
    <row r="1431" customFormat="false" ht="12.8" hidden="false" customHeight="false" outlineLevel="0" collapsed="false">
      <c r="A1431" s="42" t="s">
        <v>1378</v>
      </c>
      <c r="B1431" s="43"/>
      <c r="C1431" s="44"/>
      <c r="D1431" s="45"/>
      <c r="E1431" s="46"/>
      <c r="F1431" s="44"/>
      <c r="G1431" s="47"/>
      <c r="H1431" s="48"/>
      <c r="I1431" s="49"/>
      <c r="J1431" s="50"/>
      <c r="K1431" s="50"/>
      <c r="L1431" s="44"/>
      <c r="M1431" s="51"/>
      <c r="N1431" s="51"/>
      <c r="O1431" s="44"/>
      <c r="P1431" s="52"/>
      <c r="Q1431" s="53"/>
    </row>
    <row r="1432" customFormat="false" ht="12.8" hidden="false" customHeight="false" outlineLevel="0" collapsed="false">
      <c r="A1432" s="22"/>
      <c r="B1432" s="23"/>
      <c r="C1432" s="24"/>
      <c r="D1432" s="22"/>
      <c r="E1432" s="19"/>
      <c r="F1432" s="24"/>
      <c r="G1432" s="25"/>
      <c r="H1432" s="26"/>
      <c r="I1432" s="27"/>
      <c r="J1432" s="28"/>
      <c r="K1432" s="28"/>
      <c r="L1432" s="24"/>
      <c r="M1432" s="29"/>
      <c r="N1432" s="29"/>
      <c r="O1432" s="24"/>
      <c r="P1432" s="4"/>
      <c r="Q1432" s="16"/>
    </row>
    <row r="1433" customFormat="false" ht="12.8" hidden="false" customHeight="false" outlineLevel="0" collapsed="false">
      <c r="A1433" s="22"/>
      <c r="B1433" s="23" t="n">
        <v>503036000</v>
      </c>
      <c r="C1433" s="24"/>
      <c r="D1433" s="54" t="s">
        <v>1379</v>
      </c>
      <c r="E1433" s="19" t="s">
        <v>1380</v>
      </c>
      <c r="F1433" s="24" t="s">
        <v>1361</v>
      </c>
      <c r="G1433" s="25" t="n">
        <v>0.006</v>
      </c>
      <c r="H1433" s="26" t="n">
        <v>60</v>
      </c>
      <c r="I1433" s="27" t="n">
        <v>1</v>
      </c>
      <c r="J1433" s="28" t="n">
        <v>1000</v>
      </c>
      <c r="K1433" s="28" t="n">
        <v>1</v>
      </c>
      <c r="L1433" s="24" t="s">
        <v>1381</v>
      </c>
      <c r="M1433" s="29" t="n">
        <f aca="false">IF("oui" = "oui",1.01*(1-disc),1.01)</f>
        <v>1.01</v>
      </c>
      <c r="N1433" s="29" t="n">
        <f aca="false">IF("oui" = "oui",1.01*(1-disc)*1.2,1.01*1.2)</f>
        <v>1.212</v>
      </c>
      <c r="O1433" s="24" t="s">
        <v>25</v>
      </c>
      <c r="P1433" s="4" t="s">
        <v>25</v>
      </c>
      <c r="Q1433" s="16"/>
    </row>
    <row r="1434" customFormat="false" ht="12.8" hidden="false" customHeight="false" outlineLevel="0" collapsed="false">
      <c r="A1434" s="22"/>
      <c r="B1434" s="23" t="n">
        <v>503034000</v>
      </c>
      <c r="C1434" s="24"/>
      <c r="D1434" s="54" t="s">
        <v>1382</v>
      </c>
      <c r="E1434" s="19" t="s">
        <v>1380</v>
      </c>
      <c r="F1434" s="24" t="s">
        <v>1361</v>
      </c>
      <c r="G1434" s="25" t="n">
        <v>0.006</v>
      </c>
      <c r="H1434" s="26" t="n">
        <v>60</v>
      </c>
      <c r="I1434" s="27" t="n">
        <v>1</v>
      </c>
      <c r="J1434" s="28" t="n">
        <v>1000</v>
      </c>
      <c r="K1434" s="28" t="n">
        <v>1</v>
      </c>
      <c r="L1434" s="24" t="s">
        <v>1381</v>
      </c>
      <c r="M1434" s="29" t="n">
        <f aca="false">IF("oui" = "oui",1.01*(1-disc),1.01)</f>
        <v>1.01</v>
      </c>
      <c r="N1434" s="29" t="n">
        <f aca="false">IF("oui" = "oui",1.01*(1-disc)*1.2,1.01*1.2)</f>
        <v>1.212</v>
      </c>
      <c r="O1434" s="24" t="s">
        <v>25</v>
      </c>
      <c r="P1434" s="4" t="s">
        <v>25</v>
      </c>
      <c r="Q1434" s="16"/>
    </row>
    <row r="1435" customFormat="false" ht="12.8" hidden="false" customHeight="false" outlineLevel="0" collapsed="false">
      <c r="A1435" s="22"/>
      <c r="B1435" s="23" t="n">
        <v>503038000</v>
      </c>
      <c r="C1435" s="24"/>
      <c r="D1435" s="54" t="s">
        <v>1383</v>
      </c>
      <c r="E1435" s="19" t="s">
        <v>1380</v>
      </c>
      <c r="F1435" s="24" t="s">
        <v>1361</v>
      </c>
      <c r="G1435" s="25" t="n">
        <v>0.006</v>
      </c>
      <c r="H1435" s="26" t="n">
        <v>60</v>
      </c>
      <c r="I1435" s="27" t="n">
        <v>1</v>
      </c>
      <c r="J1435" s="28" t="n">
        <v>1000</v>
      </c>
      <c r="K1435" s="28" t="n">
        <v>1</v>
      </c>
      <c r="L1435" s="24" t="s">
        <v>1381</v>
      </c>
      <c r="M1435" s="29" t="n">
        <f aca="false">IF("oui" = "oui",1.01*(1-disc),1.01)</f>
        <v>1.01</v>
      </c>
      <c r="N1435" s="29" t="n">
        <f aca="false">IF("oui" = "oui",1.01*(1-disc)*1.2,1.01*1.2)</f>
        <v>1.212</v>
      </c>
      <c r="O1435" s="24" t="s">
        <v>25</v>
      </c>
      <c r="P1435" s="4" t="s">
        <v>25</v>
      </c>
      <c r="Q1435" s="16"/>
    </row>
    <row r="1436" customFormat="false" ht="12.8" hidden="false" customHeight="false" outlineLevel="0" collapsed="false">
      <c r="A1436" s="22"/>
      <c r="B1436" s="23" t="n">
        <v>503035000</v>
      </c>
      <c r="C1436" s="24"/>
      <c r="D1436" s="54" t="s">
        <v>1384</v>
      </c>
      <c r="E1436" s="19" t="s">
        <v>1380</v>
      </c>
      <c r="F1436" s="24" t="s">
        <v>1361</v>
      </c>
      <c r="G1436" s="25" t="n">
        <v>0.006</v>
      </c>
      <c r="H1436" s="26" t="n">
        <v>60</v>
      </c>
      <c r="I1436" s="27" t="n">
        <v>1</v>
      </c>
      <c r="J1436" s="28" t="n">
        <v>1000</v>
      </c>
      <c r="K1436" s="28" t="n">
        <v>1</v>
      </c>
      <c r="L1436" s="24" t="s">
        <v>1381</v>
      </c>
      <c r="M1436" s="29" t="n">
        <f aca="false">IF("oui" = "oui",1.01*(1-disc),1.01)</f>
        <v>1.01</v>
      </c>
      <c r="N1436" s="29" t="n">
        <f aca="false">IF("oui" = "oui",1.01*(1-disc)*1.2,1.01*1.2)</f>
        <v>1.212</v>
      </c>
      <c r="O1436" s="24" t="s">
        <v>25</v>
      </c>
      <c r="P1436" s="4" t="s">
        <v>25</v>
      </c>
      <c r="Q1436" s="16"/>
    </row>
    <row r="1437" customFormat="false" ht="12.8" hidden="false" customHeight="false" outlineLevel="0" collapsed="false">
      <c r="A1437" s="22"/>
      <c r="B1437" s="23"/>
      <c r="C1437" s="24"/>
      <c r="D1437" s="22"/>
      <c r="E1437" s="19"/>
      <c r="F1437" s="24"/>
      <c r="G1437" s="25"/>
      <c r="H1437" s="26"/>
      <c r="I1437" s="27"/>
      <c r="J1437" s="28"/>
      <c r="K1437" s="28"/>
      <c r="L1437" s="24"/>
      <c r="M1437" s="29"/>
      <c r="N1437" s="29"/>
      <c r="O1437" s="24"/>
      <c r="P1437" s="4"/>
      <c r="Q1437" s="16"/>
    </row>
    <row r="1438" customFormat="false" ht="12.8" hidden="false" customHeight="false" outlineLevel="0" collapsed="false">
      <c r="A1438" s="42" t="s">
        <v>1385</v>
      </c>
      <c r="B1438" s="43"/>
      <c r="C1438" s="44"/>
      <c r="D1438" s="45"/>
      <c r="E1438" s="46"/>
      <c r="F1438" s="44"/>
      <c r="G1438" s="47"/>
      <c r="H1438" s="48"/>
      <c r="I1438" s="49"/>
      <c r="J1438" s="50"/>
      <c r="K1438" s="50"/>
      <c r="L1438" s="44"/>
      <c r="M1438" s="51"/>
      <c r="N1438" s="51"/>
      <c r="O1438" s="44"/>
      <c r="P1438" s="52"/>
      <c r="Q1438" s="53"/>
    </row>
    <row r="1439" customFormat="false" ht="12.8" hidden="false" customHeight="false" outlineLevel="0" collapsed="false">
      <c r="A1439" s="22"/>
      <c r="B1439" s="23"/>
      <c r="C1439" s="24"/>
      <c r="D1439" s="22"/>
      <c r="E1439" s="19"/>
      <c r="F1439" s="24"/>
      <c r="G1439" s="25"/>
      <c r="H1439" s="26"/>
      <c r="I1439" s="27"/>
      <c r="J1439" s="28"/>
      <c r="K1439" s="28"/>
      <c r="L1439" s="24"/>
      <c r="M1439" s="29"/>
      <c r="N1439" s="29"/>
      <c r="O1439" s="24"/>
      <c r="P1439" s="4"/>
      <c r="Q1439" s="16"/>
    </row>
    <row r="1440" customFormat="false" ht="12.8" hidden="false" customHeight="false" outlineLevel="0" collapsed="false">
      <c r="A1440" s="22"/>
      <c r="B1440" s="23" t="n">
        <v>100024000</v>
      </c>
      <c r="C1440" s="24"/>
      <c r="D1440" s="54" t="s">
        <v>1386</v>
      </c>
      <c r="E1440" s="19" t="s">
        <v>1387</v>
      </c>
      <c r="F1440" s="24" t="s">
        <v>1361</v>
      </c>
      <c r="G1440" s="25" t="n">
        <v>0.131</v>
      </c>
      <c r="H1440" s="26" t="n">
        <v>60</v>
      </c>
      <c r="I1440" s="27" t="n">
        <v>8</v>
      </c>
      <c r="J1440" s="28" t="n">
        <v>100</v>
      </c>
      <c r="K1440" s="28" t="n">
        <v>1</v>
      </c>
      <c r="L1440" s="24" t="s">
        <v>631</v>
      </c>
      <c r="M1440" s="57" t="n">
        <f aca="false">IF("non" = "oui",9.78*(1-disc),9.78)</f>
        <v>9.78</v>
      </c>
      <c r="N1440" s="57" t="n">
        <f aca="false">IF("non" = "oui",9.78*(1-disc)*1.2,9.78*1.2)</f>
        <v>11.736</v>
      </c>
      <c r="O1440" s="58" t="s">
        <v>26</v>
      </c>
      <c r="P1440" s="4" t="s">
        <v>25</v>
      </c>
      <c r="Q1440" s="16"/>
    </row>
    <row r="1441" customFormat="false" ht="12.8" hidden="false" customHeight="false" outlineLevel="0" collapsed="false">
      <c r="A1441" s="22"/>
      <c r="B1441" s="23" t="n">
        <v>100021000</v>
      </c>
      <c r="C1441" s="24"/>
      <c r="D1441" s="54" t="s">
        <v>1388</v>
      </c>
      <c r="E1441" s="19" t="s">
        <v>1387</v>
      </c>
      <c r="F1441" s="24" t="s">
        <v>1361</v>
      </c>
      <c r="G1441" s="25" t="n">
        <v>0.104</v>
      </c>
      <c r="H1441" s="26" t="n">
        <v>60</v>
      </c>
      <c r="I1441" s="27" t="n">
        <v>8</v>
      </c>
      <c r="J1441" s="28" t="n">
        <v>100</v>
      </c>
      <c r="K1441" s="28" t="n">
        <v>1</v>
      </c>
      <c r="L1441" s="24" t="s">
        <v>631</v>
      </c>
      <c r="M1441" s="57" t="n">
        <f aca="false">IF("non" = "oui",9.78*(1-disc),9.78)</f>
        <v>9.78</v>
      </c>
      <c r="N1441" s="57" t="n">
        <f aca="false">IF("non" = "oui",9.78*(1-disc)*1.2,9.78*1.2)</f>
        <v>11.736</v>
      </c>
      <c r="O1441" s="58" t="s">
        <v>26</v>
      </c>
      <c r="P1441" s="4" t="s">
        <v>25</v>
      </c>
      <c r="Q1441" s="16"/>
    </row>
    <row r="1442" customFormat="false" ht="12.8" hidden="false" customHeight="false" outlineLevel="0" collapsed="false">
      <c r="A1442" s="22"/>
      <c r="B1442" s="23" t="n">
        <v>100028000</v>
      </c>
      <c r="C1442" s="24"/>
      <c r="D1442" s="54" t="s">
        <v>1389</v>
      </c>
      <c r="E1442" s="19" t="s">
        <v>1387</v>
      </c>
      <c r="F1442" s="24" t="s">
        <v>1361</v>
      </c>
      <c r="G1442" s="25" t="n">
        <v>0.122</v>
      </c>
      <c r="H1442" s="26" t="n">
        <v>60</v>
      </c>
      <c r="I1442" s="27" t="n">
        <v>8</v>
      </c>
      <c r="J1442" s="28" t="n">
        <v>100</v>
      </c>
      <c r="K1442" s="28" t="n">
        <v>1</v>
      </c>
      <c r="L1442" s="24" t="s">
        <v>631</v>
      </c>
      <c r="M1442" s="57" t="n">
        <f aca="false">IF("non" = "oui",9.78*(1-disc),9.78)</f>
        <v>9.78</v>
      </c>
      <c r="N1442" s="57" t="n">
        <f aca="false">IF("non" = "oui",9.78*(1-disc)*1.2,9.78*1.2)</f>
        <v>11.736</v>
      </c>
      <c r="O1442" s="58" t="s">
        <v>26</v>
      </c>
      <c r="P1442" s="4" t="s">
        <v>25</v>
      </c>
      <c r="Q1442" s="16"/>
    </row>
    <row r="1443" customFormat="false" ht="12.8" hidden="false" customHeight="false" outlineLevel="0" collapsed="false">
      <c r="A1443" s="22"/>
      <c r="B1443" s="23" t="n">
        <v>100023000</v>
      </c>
      <c r="C1443" s="24"/>
      <c r="D1443" s="54" t="s">
        <v>1390</v>
      </c>
      <c r="E1443" s="19" t="s">
        <v>1387</v>
      </c>
      <c r="F1443" s="24" t="s">
        <v>1361</v>
      </c>
      <c r="G1443" s="25" t="n">
        <v>0.109</v>
      </c>
      <c r="H1443" s="26" t="n">
        <v>60</v>
      </c>
      <c r="I1443" s="27" t="n">
        <v>8</v>
      </c>
      <c r="J1443" s="28" t="n">
        <v>100</v>
      </c>
      <c r="K1443" s="28" t="n">
        <v>1</v>
      </c>
      <c r="L1443" s="24" t="s">
        <v>631</v>
      </c>
      <c r="M1443" s="57" t="n">
        <f aca="false">IF("non" = "oui",9.78*(1-disc),9.78)</f>
        <v>9.78</v>
      </c>
      <c r="N1443" s="57" t="n">
        <f aca="false">IF("non" = "oui",9.78*(1-disc)*1.2,9.78*1.2)</f>
        <v>11.736</v>
      </c>
      <c r="O1443" s="58" t="s">
        <v>26</v>
      </c>
      <c r="P1443" s="4" t="s">
        <v>25</v>
      </c>
      <c r="Q1443" s="16"/>
    </row>
    <row r="1444" customFormat="false" ht="12.8" hidden="false" customHeight="false" outlineLevel="0" collapsed="false">
      <c r="A1444" s="22"/>
      <c r="B1444" s="23" t="n">
        <v>100025000</v>
      </c>
      <c r="C1444" s="24"/>
      <c r="D1444" s="54" t="s">
        <v>1391</v>
      </c>
      <c r="E1444" s="19" t="s">
        <v>1387</v>
      </c>
      <c r="F1444" s="24" t="s">
        <v>1361</v>
      </c>
      <c r="G1444" s="25" t="n">
        <v>0.107</v>
      </c>
      <c r="H1444" s="26" t="n">
        <v>60</v>
      </c>
      <c r="I1444" s="27" t="n">
        <v>8</v>
      </c>
      <c r="J1444" s="28" t="n">
        <v>100</v>
      </c>
      <c r="K1444" s="28" t="n">
        <v>1</v>
      </c>
      <c r="L1444" s="24" t="s">
        <v>631</v>
      </c>
      <c r="M1444" s="57" t="n">
        <f aca="false">IF("non" = "oui",9.78*(1-disc),9.78)</f>
        <v>9.78</v>
      </c>
      <c r="N1444" s="57" t="n">
        <f aca="false">IF("non" = "oui",9.78*(1-disc)*1.2,9.78*1.2)</f>
        <v>11.736</v>
      </c>
      <c r="O1444" s="58" t="s">
        <v>26</v>
      </c>
      <c r="P1444" s="4" t="s">
        <v>25</v>
      </c>
      <c r="Q1444" s="16"/>
    </row>
    <row r="1445" customFormat="false" ht="12.8" hidden="false" customHeight="false" outlineLevel="0" collapsed="false">
      <c r="A1445" s="22"/>
      <c r="B1445" s="23"/>
      <c r="C1445" s="24"/>
      <c r="D1445" s="22"/>
      <c r="E1445" s="19"/>
      <c r="F1445" s="24"/>
      <c r="G1445" s="25"/>
      <c r="H1445" s="26"/>
      <c r="I1445" s="27"/>
      <c r="J1445" s="28"/>
      <c r="K1445" s="28"/>
      <c r="L1445" s="24"/>
      <c r="M1445" s="29"/>
      <c r="N1445" s="29"/>
      <c r="O1445" s="24"/>
      <c r="P1445" s="4"/>
      <c r="Q1445" s="16"/>
    </row>
    <row r="1446" customFormat="false" ht="12.8" hidden="false" customHeight="false" outlineLevel="0" collapsed="false">
      <c r="A1446" s="22"/>
      <c r="B1446" s="23" t="n">
        <v>503052000</v>
      </c>
      <c r="C1446" s="24"/>
      <c r="D1446" s="54" t="s">
        <v>1392</v>
      </c>
      <c r="E1446" s="19" t="s">
        <v>1393</v>
      </c>
      <c r="F1446" s="24" t="s">
        <v>630</v>
      </c>
      <c r="G1446" s="25" t="n">
        <v>0.125</v>
      </c>
      <c r="H1446" s="26" t="n">
        <v>120</v>
      </c>
      <c r="I1446" s="27" t="n">
        <v>8</v>
      </c>
      <c r="J1446" s="28" t="n">
        <v>80</v>
      </c>
      <c r="K1446" s="28" t="n">
        <v>1</v>
      </c>
      <c r="L1446" s="24" t="s">
        <v>631</v>
      </c>
      <c r="M1446" s="29" t="n">
        <f aca="false">IF("oui" = "oui",12.84*(1-disc),12.84)</f>
        <v>12.84</v>
      </c>
      <c r="N1446" s="29" t="n">
        <f aca="false">IF("oui" = "oui",12.84*(1-disc)*1.2,12.84*1.2)</f>
        <v>15.408</v>
      </c>
      <c r="O1446" s="24" t="s">
        <v>25</v>
      </c>
      <c r="P1446" s="4" t="s">
        <v>25</v>
      </c>
      <c r="Q1446" s="16"/>
    </row>
    <row r="1447" customFormat="false" ht="12.8" hidden="false" customHeight="false" outlineLevel="0" collapsed="false">
      <c r="A1447" s="22"/>
      <c r="B1447" s="23" t="n">
        <v>503053000</v>
      </c>
      <c r="C1447" s="24"/>
      <c r="D1447" s="54" t="s">
        <v>1394</v>
      </c>
      <c r="E1447" s="19" t="s">
        <v>1393</v>
      </c>
      <c r="F1447" s="24" t="s">
        <v>630</v>
      </c>
      <c r="G1447" s="25" t="n">
        <v>0.125</v>
      </c>
      <c r="H1447" s="26" t="n">
        <v>120</v>
      </c>
      <c r="I1447" s="27" t="n">
        <v>8</v>
      </c>
      <c r="J1447" s="28" t="n">
        <v>80</v>
      </c>
      <c r="K1447" s="28" t="n">
        <v>1</v>
      </c>
      <c r="L1447" s="24" t="s">
        <v>631</v>
      </c>
      <c r="M1447" s="29" t="n">
        <f aca="false">IF("oui" = "oui",12.84*(1-disc),12.84)</f>
        <v>12.84</v>
      </c>
      <c r="N1447" s="29" t="n">
        <f aca="false">IF("oui" = "oui",12.84*(1-disc)*1.2,12.84*1.2)</f>
        <v>15.408</v>
      </c>
      <c r="O1447" s="24" t="s">
        <v>25</v>
      </c>
      <c r="P1447" s="4" t="s">
        <v>25</v>
      </c>
      <c r="Q1447" s="16"/>
    </row>
    <row r="1448" customFormat="false" ht="12.8" hidden="false" customHeight="false" outlineLevel="0" collapsed="false">
      <c r="A1448" s="22"/>
      <c r="B1448" s="23" t="n">
        <v>503054000</v>
      </c>
      <c r="C1448" s="24"/>
      <c r="D1448" s="54" t="s">
        <v>1395</v>
      </c>
      <c r="E1448" s="19" t="s">
        <v>1393</v>
      </c>
      <c r="F1448" s="24" t="s">
        <v>630</v>
      </c>
      <c r="G1448" s="25" t="n">
        <v>0.125</v>
      </c>
      <c r="H1448" s="26" t="n">
        <v>120</v>
      </c>
      <c r="I1448" s="27" t="n">
        <v>8</v>
      </c>
      <c r="J1448" s="28" t="n">
        <v>80</v>
      </c>
      <c r="K1448" s="28" t="n">
        <v>1</v>
      </c>
      <c r="L1448" s="24" t="s">
        <v>631</v>
      </c>
      <c r="M1448" s="29" t="n">
        <f aca="false">IF("oui" = "oui",12.84*(1-disc),12.84)</f>
        <v>12.84</v>
      </c>
      <c r="N1448" s="29" t="n">
        <f aca="false">IF("oui" = "oui",12.84*(1-disc)*1.2,12.84*1.2)</f>
        <v>15.408</v>
      </c>
      <c r="O1448" s="24" t="s">
        <v>25</v>
      </c>
      <c r="P1448" s="7" t="s">
        <v>26</v>
      </c>
      <c r="Q1448" s="16"/>
    </row>
    <row r="1449" customFormat="false" ht="12.8" hidden="false" customHeight="false" outlineLevel="0" collapsed="false">
      <c r="A1449" s="22"/>
      <c r="B1449" s="23"/>
      <c r="C1449" s="24"/>
      <c r="D1449" s="22"/>
      <c r="E1449" s="19"/>
      <c r="F1449" s="24"/>
      <c r="G1449" s="25"/>
      <c r="H1449" s="26"/>
      <c r="I1449" s="27"/>
      <c r="J1449" s="28"/>
      <c r="K1449" s="28"/>
      <c r="L1449" s="24"/>
      <c r="M1449" s="29"/>
      <c r="N1449" s="29"/>
      <c r="O1449" s="24"/>
      <c r="P1449" s="4"/>
      <c r="Q1449" s="16"/>
    </row>
    <row r="1450" customFormat="false" ht="12.8" hidden="false" customHeight="false" outlineLevel="0" collapsed="false">
      <c r="A1450" s="42" t="s">
        <v>1396</v>
      </c>
      <c r="B1450" s="43"/>
      <c r="C1450" s="44"/>
      <c r="D1450" s="45"/>
      <c r="E1450" s="46"/>
      <c r="F1450" s="44"/>
      <c r="G1450" s="47"/>
      <c r="H1450" s="48"/>
      <c r="I1450" s="49"/>
      <c r="J1450" s="50"/>
      <c r="K1450" s="50"/>
      <c r="L1450" s="44"/>
      <c r="M1450" s="51"/>
      <c r="N1450" s="51"/>
      <c r="O1450" s="44"/>
      <c r="P1450" s="52"/>
      <c r="Q1450" s="53"/>
    </row>
    <row r="1451" customFormat="false" ht="12.8" hidden="false" customHeight="false" outlineLevel="0" collapsed="false">
      <c r="A1451" s="22"/>
      <c r="B1451" s="23"/>
      <c r="C1451" s="24"/>
      <c r="D1451" s="22"/>
      <c r="E1451" s="19"/>
      <c r="F1451" s="24"/>
      <c r="G1451" s="25"/>
      <c r="H1451" s="26"/>
      <c r="I1451" s="27"/>
      <c r="J1451" s="28"/>
      <c r="K1451" s="28"/>
      <c r="L1451" s="24"/>
      <c r="M1451" s="29"/>
      <c r="N1451" s="29"/>
      <c r="O1451" s="24"/>
      <c r="P1451" s="4"/>
      <c r="Q1451" s="16"/>
    </row>
    <row r="1452" customFormat="false" ht="12.8" hidden="false" customHeight="false" outlineLevel="0" collapsed="false">
      <c r="A1452" s="22"/>
      <c r="B1452" s="23" t="n">
        <v>600081000</v>
      </c>
      <c r="C1452" s="24"/>
      <c r="D1452" s="54" t="s">
        <v>1397</v>
      </c>
      <c r="E1452" s="19" t="s">
        <v>1398</v>
      </c>
      <c r="F1452" s="24" t="s">
        <v>1361</v>
      </c>
      <c r="G1452" s="25" t="n">
        <v>0.001</v>
      </c>
      <c r="H1452" s="26" t="n">
        <v>1</v>
      </c>
      <c r="I1452" s="27" t="n">
        <v>5</v>
      </c>
      <c r="J1452" s="28" t="n">
        <v>1</v>
      </c>
      <c r="K1452" s="28" t="n">
        <v>1</v>
      </c>
      <c r="L1452" s="24" t="s">
        <v>1381</v>
      </c>
      <c r="M1452" s="57" t="n">
        <f aca="false">IF("non" = "oui",7.36*(1-disc),7.36)</f>
        <v>7.36</v>
      </c>
      <c r="N1452" s="57" t="n">
        <f aca="false">IF("non" = "oui",7.36*(1-disc)*1.2,7.36*1.2)</f>
        <v>8.832</v>
      </c>
      <c r="O1452" s="58" t="s">
        <v>26</v>
      </c>
      <c r="P1452" s="7" t="s">
        <v>26</v>
      </c>
      <c r="Q1452" s="16"/>
    </row>
    <row r="1453" customFormat="false" ht="12.8" hidden="false" customHeight="false" outlineLevel="0" collapsed="false">
      <c r="A1453" s="22"/>
      <c r="B1453" s="23" t="n">
        <v>600082000</v>
      </c>
      <c r="C1453" s="24"/>
      <c r="D1453" s="54" t="s">
        <v>1399</v>
      </c>
      <c r="E1453" s="19" t="s">
        <v>1400</v>
      </c>
      <c r="F1453" s="24" t="s">
        <v>1401</v>
      </c>
      <c r="G1453" s="25" t="n">
        <v>0.056</v>
      </c>
      <c r="H1453" s="26" t="n">
        <v>5</v>
      </c>
      <c r="I1453" s="27" t="n">
        <v>13</v>
      </c>
      <c r="J1453" s="28" t="n">
        <v>1</v>
      </c>
      <c r="K1453" s="28" t="n">
        <v>1</v>
      </c>
      <c r="L1453" s="24" t="s">
        <v>1381</v>
      </c>
      <c r="M1453" s="57" t="n">
        <f aca="false">IF("non" = "oui",19.6*(1-disc),19.6)</f>
        <v>19.6</v>
      </c>
      <c r="N1453" s="57" t="n">
        <f aca="false">IF("non" = "oui",19.6*(1-disc)*1.2,19.6*1.2)</f>
        <v>23.52</v>
      </c>
      <c r="O1453" s="58" t="s">
        <v>26</v>
      </c>
      <c r="P1453" s="7" t="s">
        <v>26</v>
      </c>
      <c r="Q1453" s="16"/>
    </row>
    <row r="1454" customFormat="false" ht="12.8" hidden="false" customHeight="false" outlineLevel="0" collapsed="false">
      <c r="A1454" s="22"/>
      <c r="B1454" s="23" t="n">
        <v>600083000</v>
      </c>
      <c r="C1454" s="24"/>
      <c r="D1454" s="54" t="s">
        <v>1402</v>
      </c>
      <c r="E1454" s="19" t="s">
        <v>1403</v>
      </c>
      <c r="F1454" s="24" t="s">
        <v>1361</v>
      </c>
      <c r="G1454" s="25" t="n">
        <v>0.013</v>
      </c>
      <c r="H1454" s="26" t="n">
        <v>6</v>
      </c>
      <c r="I1454" s="27" t="n">
        <v>6</v>
      </c>
      <c r="J1454" s="28" t="n">
        <v>1</v>
      </c>
      <c r="K1454" s="28" t="n">
        <v>1</v>
      </c>
      <c r="L1454" s="24" t="s">
        <v>1381</v>
      </c>
      <c r="M1454" s="57" t="n">
        <f aca="false">IF("non" = "oui",8.35*(1-disc),8.35)</f>
        <v>8.35</v>
      </c>
      <c r="N1454" s="57" t="n">
        <f aca="false">IF("non" = "oui",8.35*(1-disc)*1.2,8.35*1.2)</f>
        <v>10.02</v>
      </c>
      <c r="O1454" s="58" t="s">
        <v>26</v>
      </c>
      <c r="P1454" s="7" t="s">
        <v>26</v>
      </c>
      <c r="Q1454" s="16"/>
    </row>
    <row r="1455" customFormat="false" ht="12.8" hidden="false" customHeight="false" outlineLevel="0" collapsed="false">
      <c r="A1455" s="22"/>
      <c r="B1455" s="23" t="n">
        <v>600084000</v>
      </c>
      <c r="C1455" s="24"/>
      <c r="D1455" s="54" t="s">
        <v>1404</v>
      </c>
      <c r="E1455" s="19" t="s">
        <v>1405</v>
      </c>
      <c r="F1455" s="24" t="s">
        <v>1361</v>
      </c>
      <c r="G1455" s="25" t="n">
        <v>0.008</v>
      </c>
      <c r="H1455" s="26" t="n">
        <v>12</v>
      </c>
      <c r="I1455" s="27" t="n">
        <v>4</v>
      </c>
      <c r="J1455" s="28" t="n">
        <v>1</v>
      </c>
      <c r="K1455" s="28" t="n">
        <v>1</v>
      </c>
      <c r="L1455" s="24" t="s">
        <v>1381</v>
      </c>
      <c r="M1455" s="57" t="n">
        <f aca="false">IF("non" = "oui",11.47*(1-disc),11.47)</f>
        <v>11.47</v>
      </c>
      <c r="N1455" s="57" t="n">
        <f aca="false">IF("non" = "oui",11.47*(1-disc)*1.2,11.47*1.2)</f>
        <v>13.764</v>
      </c>
      <c r="O1455" s="58" t="s">
        <v>26</v>
      </c>
      <c r="P1455" s="7" t="s">
        <v>26</v>
      </c>
      <c r="Q1455" s="16"/>
    </row>
    <row r="1456" customFormat="false" ht="12.8" hidden="false" customHeight="false" outlineLevel="0" collapsed="false">
      <c r="A1456" s="22"/>
      <c r="B1456" s="23" t="n">
        <v>600085000</v>
      </c>
      <c r="C1456" s="24"/>
      <c r="D1456" s="54" t="s">
        <v>1406</v>
      </c>
      <c r="E1456" s="19" t="s">
        <v>1407</v>
      </c>
      <c r="F1456" s="24" t="s">
        <v>1361</v>
      </c>
      <c r="G1456" s="25" t="n">
        <v>0.006</v>
      </c>
      <c r="H1456" s="26" t="n">
        <v>1</v>
      </c>
      <c r="I1456" s="27" t="n">
        <v>1</v>
      </c>
      <c r="J1456" s="28" t="n">
        <v>1</v>
      </c>
      <c r="K1456" s="28" t="n">
        <v>1</v>
      </c>
      <c r="L1456" s="24" t="s">
        <v>1381</v>
      </c>
      <c r="M1456" s="57" t="n">
        <f aca="false">IF("non" = "oui",5.01*(1-disc),5.01)</f>
        <v>5.01</v>
      </c>
      <c r="N1456" s="57" t="n">
        <f aca="false">IF("non" = "oui",5.01*(1-disc)*1.2,5.01*1.2)</f>
        <v>6.012</v>
      </c>
      <c r="O1456" s="58" t="s">
        <v>26</v>
      </c>
      <c r="P1456" s="7" t="s">
        <v>26</v>
      </c>
      <c r="Q1456" s="16"/>
    </row>
    <row r="1457" customFormat="false" ht="12.8" hidden="false" customHeight="false" outlineLevel="0" collapsed="false">
      <c r="A1457" s="22"/>
      <c r="B1457" s="23" t="n">
        <v>600086000</v>
      </c>
      <c r="C1457" s="24"/>
      <c r="D1457" s="54" t="s">
        <v>1408</v>
      </c>
      <c r="E1457" s="19" t="s">
        <v>1409</v>
      </c>
      <c r="F1457" s="24" t="s">
        <v>1361</v>
      </c>
      <c r="G1457" s="25" t="n">
        <v>0.015</v>
      </c>
      <c r="H1457" s="26" t="n">
        <v>1</v>
      </c>
      <c r="I1457" s="27" t="n">
        <v>5</v>
      </c>
      <c r="J1457" s="28" t="n">
        <v>1</v>
      </c>
      <c r="K1457" s="28" t="n">
        <v>1</v>
      </c>
      <c r="L1457" s="24" t="s">
        <v>1381</v>
      </c>
      <c r="M1457" s="57" t="n">
        <f aca="false">IF("non" = "oui",11.95*(1-disc),11.95)</f>
        <v>11.95</v>
      </c>
      <c r="N1457" s="57" t="n">
        <f aca="false">IF("non" = "oui",11.95*(1-disc)*1.2,11.95*1.2)</f>
        <v>14.34</v>
      </c>
      <c r="O1457" s="58" t="s">
        <v>26</v>
      </c>
      <c r="P1457" s="4" t="s">
        <v>25</v>
      </c>
      <c r="Q1457" s="16"/>
    </row>
    <row r="1458" customFormat="false" ht="12.8" hidden="false" customHeight="false" outlineLevel="0" collapsed="false">
      <c r="A1458" s="22"/>
      <c r="B1458" s="23" t="n">
        <v>600087000</v>
      </c>
      <c r="C1458" s="24"/>
      <c r="D1458" s="54" t="s">
        <v>1410</v>
      </c>
      <c r="E1458" s="19" t="s">
        <v>1411</v>
      </c>
      <c r="F1458" s="24" t="s">
        <v>1361</v>
      </c>
      <c r="G1458" s="25" t="n">
        <v>0.008</v>
      </c>
      <c r="H1458" s="26" t="n">
        <v>1</v>
      </c>
      <c r="I1458" s="27" t="n">
        <v>4</v>
      </c>
      <c r="J1458" s="28" t="n">
        <v>1</v>
      </c>
      <c r="K1458" s="28" t="n">
        <v>1</v>
      </c>
      <c r="L1458" s="24" t="s">
        <v>1381</v>
      </c>
      <c r="M1458" s="57" t="n">
        <f aca="false">IF("non" = "oui",16.84*(1-disc),16.84)</f>
        <v>16.84</v>
      </c>
      <c r="N1458" s="57" t="n">
        <f aca="false">IF("non" = "oui",16.84*(1-disc)*1.2,16.84*1.2)</f>
        <v>20.208</v>
      </c>
      <c r="O1458" s="58" t="s">
        <v>26</v>
      </c>
      <c r="P1458" s="7" t="s">
        <v>26</v>
      </c>
      <c r="Q1458" s="16"/>
    </row>
    <row r="1459" customFormat="false" ht="12.8" hidden="false" customHeight="false" outlineLevel="0" collapsed="false">
      <c r="A1459" s="22"/>
      <c r="B1459" s="23" t="n">
        <v>600088000</v>
      </c>
      <c r="C1459" s="24"/>
      <c r="D1459" s="54" t="s">
        <v>1412</v>
      </c>
      <c r="E1459" s="19" t="s">
        <v>1413</v>
      </c>
      <c r="F1459" s="24" t="s">
        <v>1361</v>
      </c>
      <c r="G1459" s="25" t="n">
        <v>0.041</v>
      </c>
      <c r="H1459" s="26" t="n">
        <v>3</v>
      </c>
      <c r="I1459" s="27" t="n">
        <v>4</v>
      </c>
      <c r="J1459" s="28" t="n">
        <v>1</v>
      </c>
      <c r="K1459" s="28" t="n">
        <v>1</v>
      </c>
      <c r="L1459" s="24" t="s">
        <v>1381</v>
      </c>
      <c r="M1459" s="57" t="n">
        <f aca="false">IF("non" = "oui",19.6*(1-disc),19.6)</f>
        <v>19.6</v>
      </c>
      <c r="N1459" s="57" t="n">
        <f aca="false">IF("non" = "oui",19.6*(1-disc)*1.2,19.6*1.2)</f>
        <v>23.52</v>
      </c>
      <c r="O1459" s="58" t="s">
        <v>26</v>
      </c>
      <c r="P1459" s="55" t="s">
        <v>570</v>
      </c>
      <c r="Q1459" s="16"/>
    </row>
    <row r="1460" customFormat="false" ht="12.8" hidden="false" customHeight="false" outlineLevel="0" collapsed="false">
      <c r="A1460" s="22"/>
      <c r="B1460" s="23" t="n">
        <v>600089000</v>
      </c>
      <c r="C1460" s="24"/>
      <c r="D1460" s="54" t="s">
        <v>1414</v>
      </c>
      <c r="E1460" s="19" t="s">
        <v>1415</v>
      </c>
      <c r="F1460" s="24" t="s">
        <v>1361</v>
      </c>
      <c r="G1460" s="25" t="n">
        <v>0.001</v>
      </c>
      <c r="H1460" s="26" t="n">
        <v>1</v>
      </c>
      <c r="I1460" s="27" t="n">
        <v>16</v>
      </c>
      <c r="J1460" s="28" t="n">
        <v>10</v>
      </c>
      <c r="K1460" s="28" t="n">
        <v>1</v>
      </c>
      <c r="L1460" s="24" t="s">
        <v>1381</v>
      </c>
      <c r="M1460" s="57" t="n">
        <f aca="false">IF("non" = "oui",6.6*(1-disc),6.6)</f>
        <v>6.6</v>
      </c>
      <c r="N1460" s="57" t="n">
        <f aca="false">IF("non" = "oui",6.6*(1-disc)*1.2,6.6*1.2)</f>
        <v>7.92</v>
      </c>
      <c r="O1460" s="58" t="s">
        <v>26</v>
      </c>
      <c r="P1460" s="4" t="s">
        <v>25</v>
      </c>
      <c r="Q1460" s="16"/>
    </row>
    <row r="1461" customFormat="false" ht="12.8" hidden="false" customHeight="false" outlineLevel="0" collapsed="false">
      <c r="A1461" s="22"/>
      <c r="B1461" s="23" t="n">
        <v>600152000</v>
      </c>
      <c r="C1461" s="24"/>
      <c r="D1461" s="54" t="s">
        <v>1416</v>
      </c>
      <c r="E1461" s="19" t="s">
        <v>1417</v>
      </c>
      <c r="F1461" s="24" t="s">
        <v>1361</v>
      </c>
      <c r="G1461" s="25" t="n">
        <v>0.033</v>
      </c>
      <c r="H1461" s="26" t="n">
        <v>2</v>
      </c>
      <c r="I1461" s="27" t="n">
        <v>6</v>
      </c>
      <c r="J1461" s="28" t="n">
        <v>1</v>
      </c>
      <c r="K1461" s="28" t="n">
        <v>1</v>
      </c>
      <c r="L1461" s="24" t="s">
        <v>1381</v>
      </c>
      <c r="M1461" s="57" t="n">
        <f aca="false">IF("non" = "oui",6.13*(1-disc),6.13)</f>
        <v>6.13</v>
      </c>
      <c r="N1461" s="57" t="n">
        <f aca="false">IF("non" = "oui",6.13*(1-disc)*1.2,6.13*1.2)</f>
        <v>7.356</v>
      </c>
      <c r="O1461" s="58" t="s">
        <v>26</v>
      </c>
      <c r="P1461" s="4" t="s">
        <v>25</v>
      </c>
      <c r="Q1461" s="16"/>
    </row>
    <row r="1462" customFormat="false" ht="12.8" hidden="false" customHeight="false" outlineLevel="0" collapsed="false">
      <c r="A1462" s="22"/>
      <c r="B1462" s="23" t="n">
        <v>600153000</v>
      </c>
      <c r="C1462" s="24" t="n">
        <v>15</v>
      </c>
      <c r="D1462" s="22" t="s">
        <v>1418</v>
      </c>
      <c r="E1462" s="19" t="s">
        <v>1419</v>
      </c>
      <c r="F1462" s="24" t="s">
        <v>1361</v>
      </c>
      <c r="G1462" s="25" t="n">
        <v>0.02</v>
      </c>
      <c r="H1462" s="26" t="n">
        <v>15</v>
      </c>
      <c r="I1462" s="27" t="n">
        <v>4</v>
      </c>
      <c r="J1462" s="28" t="n">
        <v>1</v>
      </c>
      <c r="K1462" s="28" t="n">
        <v>1</v>
      </c>
      <c r="L1462" s="24" t="s">
        <v>1381</v>
      </c>
      <c r="M1462" s="57" t="n">
        <f aca="false">IF("non" = "oui",17.04*(1-disc),17.04)</f>
        <v>17.04</v>
      </c>
      <c r="N1462" s="57" t="n">
        <f aca="false">IF("non" = "oui",17.04*(1-disc)*1.2,17.04*1.2)</f>
        <v>20.448</v>
      </c>
      <c r="O1462" s="58" t="s">
        <v>26</v>
      </c>
      <c r="P1462" s="55" t="s">
        <v>45</v>
      </c>
      <c r="Q1462" s="16"/>
    </row>
    <row r="1463" customFormat="false" ht="12.8" hidden="false" customHeight="false" outlineLevel="0" collapsed="false">
      <c r="A1463" s="22"/>
      <c r="B1463" s="23" t="n">
        <v>600155000</v>
      </c>
      <c r="C1463" s="24"/>
      <c r="D1463" s="54" t="s">
        <v>1420</v>
      </c>
      <c r="E1463" s="19" t="s">
        <v>1407</v>
      </c>
      <c r="F1463" s="24" t="s">
        <v>1361</v>
      </c>
      <c r="G1463" s="25" t="n">
        <v>0.001</v>
      </c>
      <c r="H1463" s="26" t="n">
        <v>1</v>
      </c>
      <c r="I1463" s="27" t="n">
        <v>5</v>
      </c>
      <c r="J1463" s="28" t="n">
        <v>200</v>
      </c>
      <c r="K1463" s="28" t="n">
        <v>1</v>
      </c>
      <c r="L1463" s="24" t="s">
        <v>1381</v>
      </c>
      <c r="M1463" s="57" t="n">
        <f aca="false">IF("non" = "oui",8.26*(1-disc),8.26)</f>
        <v>8.26</v>
      </c>
      <c r="N1463" s="57" t="n">
        <f aca="false">IF("non" = "oui",8.26*(1-disc)*1.2,8.26*1.2)</f>
        <v>9.912</v>
      </c>
      <c r="O1463" s="58" t="s">
        <v>26</v>
      </c>
      <c r="P1463" s="4" t="s">
        <v>25</v>
      </c>
      <c r="Q1463" s="16"/>
    </row>
    <row r="1464" customFormat="false" ht="12.8" hidden="false" customHeight="false" outlineLevel="0" collapsed="false">
      <c r="A1464" s="22"/>
      <c r="B1464" s="23"/>
      <c r="C1464" s="24"/>
      <c r="D1464" s="22"/>
      <c r="E1464" s="19"/>
      <c r="F1464" s="24"/>
      <c r="G1464" s="25"/>
      <c r="H1464" s="26"/>
      <c r="I1464" s="27"/>
      <c r="J1464" s="28"/>
      <c r="K1464" s="28"/>
      <c r="L1464" s="24"/>
      <c r="M1464" s="29"/>
      <c r="N1464" s="29"/>
      <c r="O1464" s="24"/>
      <c r="P1464" s="4"/>
      <c r="Q1464" s="16"/>
    </row>
    <row r="1465" customFormat="false" ht="12.8" hidden="false" customHeight="false" outlineLevel="0" collapsed="false">
      <c r="A1465" s="22" t="s">
        <v>1421</v>
      </c>
      <c r="B1465" s="23"/>
      <c r="C1465" s="24"/>
      <c r="D1465" s="22"/>
      <c r="E1465" s="19"/>
      <c r="F1465" s="24"/>
      <c r="G1465" s="25"/>
      <c r="H1465" s="26"/>
      <c r="I1465" s="27"/>
      <c r="J1465" s="28"/>
      <c r="K1465" s="28"/>
      <c r="L1465" s="24"/>
      <c r="M1465" s="29"/>
      <c r="N1465" s="29"/>
      <c r="O1465" s="24"/>
      <c r="P1465" s="4"/>
      <c r="Q1465" s="16"/>
    </row>
    <row r="1466" customFormat="false" ht="12.8" hidden="false" customHeight="false" outlineLevel="0" collapsed="false">
      <c r="A1466" s="22"/>
      <c r="B1466" s="23"/>
      <c r="C1466" s="24"/>
      <c r="D1466" s="22"/>
      <c r="E1466" s="19"/>
      <c r="F1466" s="24"/>
      <c r="G1466" s="25"/>
      <c r="H1466" s="26"/>
      <c r="I1466" s="27"/>
      <c r="J1466" s="28"/>
      <c r="K1466" s="28"/>
      <c r="L1466" s="24"/>
      <c r="M1466" s="29"/>
      <c r="N1466" s="29"/>
      <c r="O1466" s="24"/>
      <c r="P1466" s="4"/>
      <c r="Q1466" s="16"/>
    </row>
    <row r="1467" customFormat="false" ht="12.8" hidden="false" customHeight="false" outlineLevel="0" collapsed="false">
      <c r="A1467" s="22" t="s">
        <v>69</v>
      </c>
      <c r="B1467" s="23" t="n">
        <v>401002000</v>
      </c>
      <c r="C1467" s="24" t="n">
        <v>30</v>
      </c>
      <c r="D1467" s="54" t="s">
        <v>1422</v>
      </c>
      <c r="E1467" s="19" t="s">
        <v>1423</v>
      </c>
      <c r="F1467" s="24" t="s">
        <v>1361</v>
      </c>
      <c r="G1467" s="25" t="n">
        <v>0.01</v>
      </c>
      <c r="H1467" s="26"/>
      <c r="I1467" s="27" t="n">
        <v>2</v>
      </c>
      <c r="J1467" s="28" t="n">
        <v>50</v>
      </c>
      <c r="K1467" s="28" t="n">
        <v>1</v>
      </c>
      <c r="L1467" s="24" t="s">
        <v>1381</v>
      </c>
      <c r="M1467" s="57" t="n">
        <f aca="false">IF("non" = "oui",4.62*(1-disc),4.62)</f>
        <v>4.62</v>
      </c>
      <c r="N1467" s="57" t="n">
        <f aca="false">IF("non" = "oui",4.62*(1-disc)*1.2,4.62*1.2)</f>
        <v>5.544</v>
      </c>
      <c r="O1467" s="58" t="s">
        <v>26</v>
      </c>
      <c r="P1467" s="4" t="s">
        <v>25</v>
      </c>
      <c r="Q1467" s="16"/>
    </row>
    <row r="1468" customFormat="false" ht="12.8" hidden="false" customHeight="false" outlineLevel="0" collapsed="false">
      <c r="A1468" s="22" t="s">
        <v>69</v>
      </c>
      <c r="B1468" s="23" t="n">
        <v>401003000</v>
      </c>
      <c r="C1468" s="24" t="n">
        <v>30</v>
      </c>
      <c r="D1468" s="54" t="s">
        <v>1424</v>
      </c>
      <c r="E1468" s="19" t="s">
        <v>1423</v>
      </c>
      <c r="F1468" s="24" t="s">
        <v>1361</v>
      </c>
      <c r="G1468" s="25" t="n">
        <v>0.01</v>
      </c>
      <c r="H1468" s="26"/>
      <c r="I1468" s="27" t="n">
        <v>2</v>
      </c>
      <c r="J1468" s="28" t="n">
        <v>50</v>
      </c>
      <c r="K1468" s="28" t="n">
        <v>1</v>
      </c>
      <c r="L1468" s="24" t="s">
        <v>1381</v>
      </c>
      <c r="M1468" s="57" t="n">
        <f aca="false">IF("non" = "oui",4.62*(1-disc),4.62)</f>
        <v>4.62</v>
      </c>
      <c r="N1468" s="57" t="n">
        <f aca="false">IF("non" = "oui",4.62*(1-disc)*1.2,4.62*1.2)</f>
        <v>5.544</v>
      </c>
      <c r="O1468" s="58" t="s">
        <v>26</v>
      </c>
      <c r="P1468" s="4" t="s">
        <v>25</v>
      </c>
      <c r="Q1468" s="16"/>
    </row>
    <row r="1469" customFormat="false" ht="12.8" hidden="false" customHeight="false" outlineLevel="0" collapsed="false">
      <c r="A1469" s="22"/>
      <c r="B1469" s="23"/>
      <c r="C1469" s="24"/>
      <c r="D1469" s="22"/>
      <c r="E1469" s="19"/>
      <c r="F1469" s="24"/>
      <c r="G1469" s="25"/>
      <c r="H1469" s="26"/>
      <c r="I1469" s="27"/>
      <c r="J1469" s="28"/>
      <c r="K1469" s="28"/>
      <c r="L1469" s="24"/>
      <c r="M1469" s="29"/>
      <c r="N1469" s="29"/>
      <c r="O1469" s="24"/>
      <c r="P1469" s="4"/>
      <c r="Q1469" s="16"/>
    </row>
    <row r="1470" customFormat="false" ht="12.8" hidden="false" customHeight="false" outlineLevel="0" collapsed="false">
      <c r="A1470" s="30" t="s">
        <v>1425</v>
      </c>
      <c r="B1470" s="31"/>
      <c r="C1470" s="32"/>
      <c r="D1470" s="33"/>
      <c r="E1470" s="34"/>
      <c r="F1470" s="32"/>
      <c r="G1470" s="35"/>
      <c r="H1470" s="36"/>
      <c r="I1470" s="37"/>
      <c r="J1470" s="38"/>
      <c r="K1470" s="38"/>
      <c r="L1470" s="32"/>
      <c r="M1470" s="39"/>
      <c r="N1470" s="39"/>
      <c r="O1470" s="32"/>
      <c r="P1470" s="40"/>
      <c r="Q1470" s="41"/>
    </row>
    <row r="1471" customFormat="false" ht="12.8" hidden="false" customHeight="false" outlineLevel="0" collapsed="false">
      <c r="A1471" s="22"/>
      <c r="B1471" s="23"/>
      <c r="C1471" s="24"/>
      <c r="D1471" s="22"/>
      <c r="E1471" s="19"/>
      <c r="F1471" s="24"/>
      <c r="G1471" s="25"/>
      <c r="H1471" s="26"/>
      <c r="I1471" s="27"/>
      <c r="J1471" s="28"/>
      <c r="K1471" s="28"/>
      <c r="L1471" s="24"/>
      <c r="M1471" s="29"/>
      <c r="N1471" s="29"/>
      <c r="O1471" s="24"/>
      <c r="P1471" s="4"/>
      <c r="Q1471" s="16"/>
    </row>
    <row r="1472" customFormat="false" ht="12.8" hidden="false" customHeight="false" outlineLevel="0" collapsed="false">
      <c r="A1472" s="22"/>
      <c r="B1472" s="56" t="n">
        <v>801001000</v>
      </c>
      <c r="C1472" s="24" t="n">
        <v>75</v>
      </c>
      <c r="D1472" s="54" t="s">
        <v>1426</v>
      </c>
      <c r="E1472" s="19" t="s">
        <v>1427</v>
      </c>
      <c r="F1472" s="24" t="s">
        <v>647</v>
      </c>
      <c r="G1472" s="25" t="n">
        <v>0.162</v>
      </c>
      <c r="H1472" s="26"/>
      <c r="I1472" s="27" t="n">
        <v>25</v>
      </c>
      <c r="J1472" s="28" t="n">
        <v>48</v>
      </c>
      <c r="K1472" s="28" t="n">
        <v>1</v>
      </c>
      <c r="L1472" s="24" t="s">
        <v>631</v>
      </c>
      <c r="M1472" s="57" t="n">
        <f aca="false">IF("non" = "oui",12.49*(1-disc),12.49)</f>
        <v>12.49</v>
      </c>
      <c r="N1472" s="57" t="n">
        <f aca="false">IF("non" = "oui",12.49*(1-disc)*1.2,12.49*1.2)</f>
        <v>14.988</v>
      </c>
      <c r="O1472" s="58" t="s">
        <v>26</v>
      </c>
      <c r="P1472" s="7" t="s">
        <v>26</v>
      </c>
      <c r="Q1472" s="16"/>
    </row>
    <row r="1473" customFormat="false" ht="12.8" hidden="false" customHeight="false" outlineLevel="0" collapsed="false">
      <c r="A1473" s="22"/>
      <c r="B1473" s="56" t="n">
        <v>801002000</v>
      </c>
      <c r="C1473" s="24" t="n">
        <v>75</v>
      </c>
      <c r="D1473" s="54" t="s">
        <v>1428</v>
      </c>
      <c r="E1473" s="19" t="s">
        <v>1427</v>
      </c>
      <c r="F1473" s="24" t="s">
        <v>647</v>
      </c>
      <c r="G1473" s="25" t="n">
        <v>0.162</v>
      </c>
      <c r="H1473" s="26"/>
      <c r="I1473" s="27" t="n">
        <v>25</v>
      </c>
      <c r="J1473" s="28" t="n">
        <v>48</v>
      </c>
      <c r="K1473" s="28" t="n">
        <v>1</v>
      </c>
      <c r="L1473" s="24" t="s">
        <v>631</v>
      </c>
      <c r="M1473" s="57" t="n">
        <f aca="false">IF("non" = "oui",12.49*(1-disc),12.49)</f>
        <v>12.49</v>
      </c>
      <c r="N1473" s="57" t="n">
        <f aca="false">IF("non" = "oui",12.49*(1-disc)*1.2,12.49*1.2)</f>
        <v>14.988</v>
      </c>
      <c r="O1473" s="58" t="s">
        <v>26</v>
      </c>
      <c r="P1473" s="55" t="s">
        <v>593</v>
      </c>
      <c r="Q1473" s="16"/>
    </row>
    <row r="1474" customFormat="false" ht="12.8" hidden="false" customHeight="false" outlineLevel="0" collapsed="false">
      <c r="A1474" s="22"/>
      <c r="B1474" s="56" t="n">
        <v>801003000</v>
      </c>
      <c r="C1474" s="24" t="n">
        <v>75</v>
      </c>
      <c r="D1474" s="54" t="s">
        <v>1429</v>
      </c>
      <c r="E1474" s="19" t="s">
        <v>1427</v>
      </c>
      <c r="F1474" s="24" t="s">
        <v>647</v>
      </c>
      <c r="G1474" s="25" t="n">
        <v>0.162</v>
      </c>
      <c r="H1474" s="26"/>
      <c r="I1474" s="27" t="n">
        <v>25</v>
      </c>
      <c r="J1474" s="28" t="n">
        <v>48</v>
      </c>
      <c r="K1474" s="28" t="n">
        <v>1</v>
      </c>
      <c r="L1474" s="24" t="s">
        <v>631</v>
      </c>
      <c r="M1474" s="57" t="n">
        <f aca="false">IF("non" = "oui",12.49*(1-disc),12.49)</f>
        <v>12.49</v>
      </c>
      <c r="N1474" s="57" t="n">
        <f aca="false">IF("non" = "oui",12.49*(1-disc)*1.2,12.49*1.2)</f>
        <v>14.988</v>
      </c>
      <c r="O1474" s="58" t="s">
        <v>26</v>
      </c>
      <c r="P1474" s="7" t="s">
        <v>26</v>
      </c>
      <c r="Q1474" s="16"/>
    </row>
    <row r="1475" customFormat="false" ht="12.8" hidden="false" customHeight="false" outlineLevel="0" collapsed="false">
      <c r="A1475" s="22"/>
      <c r="B1475" s="56" t="n">
        <v>801004000</v>
      </c>
      <c r="C1475" s="24" t="n">
        <v>75</v>
      </c>
      <c r="D1475" s="54" t="s">
        <v>1430</v>
      </c>
      <c r="E1475" s="19" t="s">
        <v>1427</v>
      </c>
      <c r="F1475" s="24" t="s">
        <v>647</v>
      </c>
      <c r="G1475" s="25" t="n">
        <v>0.162</v>
      </c>
      <c r="H1475" s="26"/>
      <c r="I1475" s="27" t="n">
        <v>25</v>
      </c>
      <c r="J1475" s="28" t="n">
        <v>48</v>
      </c>
      <c r="K1475" s="28" t="n">
        <v>1</v>
      </c>
      <c r="L1475" s="24" t="s">
        <v>631</v>
      </c>
      <c r="M1475" s="57" t="n">
        <f aca="false">IF("non" = "oui",12.49*(1-disc),12.49)</f>
        <v>12.49</v>
      </c>
      <c r="N1475" s="57" t="n">
        <f aca="false">IF("non" = "oui",12.49*(1-disc)*1.2,12.49*1.2)</f>
        <v>14.988</v>
      </c>
      <c r="O1475" s="58" t="s">
        <v>26</v>
      </c>
      <c r="P1475" s="4" t="s">
        <v>25</v>
      </c>
      <c r="Q1475" s="16"/>
    </row>
    <row r="1476" customFormat="false" ht="12.8" hidden="false" customHeight="false" outlineLevel="0" collapsed="false">
      <c r="A1476" s="22"/>
      <c r="B1476" s="56" t="n">
        <v>801005000</v>
      </c>
      <c r="C1476" s="24" t="n">
        <v>75</v>
      </c>
      <c r="D1476" s="54" t="s">
        <v>1431</v>
      </c>
      <c r="E1476" s="19" t="s">
        <v>1427</v>
      </c>
      <c r="F1476" s="24" t="s">
        <v>647</v>
      </c>
      <c r="G1476" s="25" t="n">
        <v>0.162</v>
      </c>
      <c r="H1476" s="26"/>
      <c r="I1476" s="27" t="n">
        <v>25</v>
      </c>
      <c r="J1476" s="28" t="n">
        <v>48</v>
      </c>
      <c r="K1476" s="28" t="n">
        <v>1</v>
      </c>
      <c r="L1476" s="24" t="s">
        <v>631</v>
      </c>
      <c r="M1476" s="57" t="n">
        <f aca="false">IF("non" = "oui",12.49*(1-disc),12.49)</f>
        <v>12.49</v>
      </c>
      <c r="N1476" s="57" t="n">
        <f aca="false">IF("non" = "oui",12.49*(1-disc)*1.2,12.49*1.2)</f>
        <v>14.988</v>
      </c>
      <c r="O1476" s="58" t="s">
        <v>26</v>
      </c>
      <c r="P1476" s="55" t="s">
        <v>591</v>
      </c>
      <c r="Q1476" s="16"/>
    </row>
    <row r="1477" customFormat="false" ht="12.8" hidden="false" customHeight="false" outlineLevel="0" collapsed="false">
      <c r="A1477" s="22"/>
      <c r="B1477" s="56" t="n">
        <v>101006000</v>
      </c>
      <c r="C1477" s="24"/>
      <c r="D1477" s="54" t="s">
        <v>1432</v>
      </c>
      <c r="E1477" s="19" t="s">
        <v>1433</v>
      </c>
      <c r="F1477" s="24" t="s">
        <v>630</v>
      </c>
      <c r="G1477" s="25" t="n">
        <v>0.075</v>
      </c>
      <c r="H1477" s="26"/>
      <c r="I1477" s="27" t="n">
        <v>8</v>
      </c>
      <c r="J1477" s="28" t="n">
        <v>24</v>
      </c>
      <c r="K1477" s="28" t="n">
        <v>1</v>
      </c>
      <c r="L1477" s="24" t="s">
        <v>631</v>
      </c>
      <c r="M1477" s="57" t="n">
        <f aca="false">IF("non" = "oui",8.69*(1-disc),8.69)</f>
        <v>8.69</v>
      </c>
      <c r="N1477" s="57" t="n">
        <f aca="false">IF("non" = "oui",8.69*(1-disc)*1.2,8.69*1.2)</f>
        <v>10.428</v>
      </c>
      <c r="O1477" s="58" t="s">
        <v>26</v>
      </c>
      <c r="P1477" s="7" t="s">
        <v>26</v>
      </c>
      <c r="Q1477" s="16"/>
    </row>
    <row r="1478" customFormat="false" ht="12.8" hidden="false" customHeight="false" outlineLevel="0" collapsed="false">
      <c r="A1478" s="22"/>
      <c r="B1478" s="56" t="n">
        <v>101008000</v>
      </c>
      <c r="C1478" s="24"/>
      <c r="D1478" s="54" t="s">
        <v>1434</v>
      </c>
      <c r="E1478" s="19" t="s">
        <v>1433</v>
      </c>
      <c r="F1478" s="24" t="s">
        <v>630</v>
      </c>
      <c r="G1478" s="25" t="n">
        <v>0.075</v>
      </c>
      <c r="H1478" s="26"/>
      <c r="I1478" s="27" t="n">
        <v>8</v>
      </c>
      <c r="J1478" s="28" t="n">
        <v>24</v>
      </c>
      <c r="K1478" s="28" t="n">
        <v>1</v>
      </c>
      <c r="L1478" s="24" t="s">
        <v>631</v>
      </c>
      <c r="M1478" s="57" t="n">
        <f aca="false">IF("non" = "oui",8.69*(1-disc),8.69)</f>
        <v>8.69</v>
      </c>
      <c r="N1478" s="57" t="n">
        <f aca="false">IF("non" = "oui",8.69*(1-disc)*1.2,8.69*1.2)</f>
        <v>10.428</v>
      </c>
      <c r="O1478" s="58" t="s">
        <v>26</v>
      </c>
      <c r="P1478" s="7" t="s">
        <v>26</v>
      </c>
      <c r="Q1478" s="16"/>
    </row>
    <row r="1479" customFormat="false" ht="12.8" hidden="false" customHeight="false" outlineLevel="0" collapsed="false">
      <c r="A1479" s="22"/>
      <c r="B1479" s="56" t="n">
        <v>101009000</v>
      </c>
      <c r="C1479" s="24"/>
      <c r="D1479" s="54" t="s">
        <v>1435</v>
      </c>
      <c r="E1479" s="19" t="s">
        <v>1433</v>
      </c>
      <c r="F1479" s="24" t="s">
        <v>630</v>
      </c>
      <c r="G1479" s="25" t="n">
        <v>0.075</v>
      </c>
      <c r="H1479" s="26"/>
      <c r="I1479" s="27" t="n">
        <v>8</v>
      </c>
      <c r="J1479" s="28" t="n">
        <v>24</v>
      </c>
      <c r="K1479" s="28" t="n">
        <v>1</v>
      </c>
      <c r="L1479" s="24" t="s">
        <v>631</v>
      </c>
      <c r="M1479" s="57" t="n">
        <f aca="false">IF("non" = "oui",8.69*(1-disc),8.69)</f>
        <v>8.69</v>
      </c>
      <c r="N1479" s="57" t="n">
        <f aca="false">IF("non" = "oui",8.69*(1-disc)*1.2,8.69*1.2)</f>
        <v>10.428</v>
      </c>
      <c r="O1479" s="58" t="s">
        <v>26</v>
      </c>
      <c r="P1479" s="7" t="s">
        <v>26</v>
      </c>
      <c r="Q1479" s="16"/>
    </row>
    <row r="1480" customFormat="false" ht="12.8" hidden="false" customHeight="false" outlineLevel="0" collapsed="false">
      <c r="A1480" s="22"/>
      <c r="B1480" s="56" t="n">
        <v>101007000</v>
      </c>
      <c r="C1480" s="24"/>
      <c r="D1480" s="54" t="s">
        <v>1436</v>
      </c>
      <c r="E1480" s="19" t="s">
        <v>1433</v>
      </c>
      <c r="F1480" s="24" t="s">
        <v>630</v>
      </c>
      <c r="G1480" s="25" t="n">
        <v>0.075</v>
      </c>
      <c r="H1480" s="26"/>
      <c r="I1480" s="27" t="n">
        <v>8</v>
      </c>
      <c r="J1480" s="28" t="n">
        <v>24</v>
      </c>
      <c r="K1480" s="28" t="n">
        <v>1</v>
      </c>
      <c r="L1480" s="24" t="s">
        <v>631</v>
      </c>
      <c r="M1480" s="57" t="n">
        <f aca="false">IF("non" = "oui",8.69*(1-disc),8.69)</f>
        <v>8.69</v>
      </c>
      <c r="N1480" s="57" t="n">
        <f aca="false">IF("non" = "oui",8.69*(1-disc)*1.2,8.69*1.2)</f>
        <v>10.428</v>
      </c>
      <c r="O1480" s="58" t="s">
        <v>26</v>
      </c>
      <c r="P1480" s="7" t="s">
        <v>26</v>
      </c>
      <c r="Q1480" s="16"/>
    </row>
    <row r="1481" customFormat="false" ht="12.8" hidden="false" customHeight="false" outlineLevel="0" collapsed="false">
      <c r="A1481" s="22"/>
      <c r="B1481" s="23"/>
      <c r="C1481" s="24"/>
      <c r="D1481" s="22"/>
      <c r="E1481" s="19"/>
      <c r="F1481" s="24"/>
      <c r="G1481" s="25"/>
      <c r="H1481" s="26"/>
      <c r="I1481" s="27"/>
      <c r="J1481" s="28"/>
      <c r="K1481" s="28"/>
      <c r="L1481" s="24"/>
      <c r="M1481" s="29"/>
      <c r="N1481" s="29"/>
      <c r="O1481" s="24"/>
      <c r="P1481" s="4"/>
      <c r="Q1481" s="16"/>
    </row>
    <row r="1482" customFormat="false" ht="12.8" hidden="false" customHeight="false" outlineLevel="0" collapsed="false">
      <c r="A1482" s="30" t="s">
        <v>1437</v>
      </c>
      <c r="B1482" s="31"/>
      <c r="C1482" s="32"/>
      <c r="D1482" s="33"/>
      <c r="E1482" s="34"/>
      <c r="F1482" s="32"/>
      <c r="G1482" s="35"/>
      <c r="H1482" s="36"/>
      <c r="I1482" s="37"/>
      <c r="J1482" s="38"/>
      <c r="K1482" s="38"/>
      <c r="L1482" s="32"/>
      <c r="M1482" s="39"/>
      <c r="N1482" s="39"/>
      <c r="O1482" s="32"/>
      <c r="P1482" s="40"/>
      <c r="Q1482" s="41"/>
    </row>
    <row r="1483" customFormat="false" ht="12.8" hidden="false" customHeight="false" outlineLevel="0" collapsed="false">
      <c r="A1483" s="22"/>
      <c r="B1483" s="23"/>
      <c r="C1483" s="24"/>
      <c r="D1483" s="22"/>
      <c r="E1483" s="19"/>
      <c r="F1483" s="24"/>
      <c r="G1483" s="25"/>
      <c r="H1483" s="26"/>
      <c r="I1483" s="27"/>
      <c r="J1483" s="28"/>
      <c r="K1483" s="28"/>
      <c r="L1483" s="24"/>
      <c r="M1483" s="29"/>
      <c r="N1483" s="29"/>
      <c r="O1483" s="24"/>
      <c r="P1483" s="4"/>
      <c r="Q1483" s="16"/>
    </row>
    <row r="1484" customFormat="false" ht="12.8" hidden="false" customHeight="false" outlineLevel="0" collapsed="false">
      <c r="A1484" s="22"/>
      <c r="B1484" s="56" t="n">
        <v>302006000</v>
      </c>
      <c r="C1484" s="24"/>
      <c r="D1484" s="54" t="s">
        <v>1438</v>
      </c>
      <c r="E1484" s="19" t="s">
        <v>1439</v>
      </c>
      <c r="F1484" s="24" t="s">
        <v>647</v>
      </c>
      <c r="G1484" s="25" t="n">
        <v>0.001</v>
      </c>
      <c r="H1484" s="26"/>
      <c r="I1484" s="27" t="n">
        <v>25</v>
      </c>
      <c r="J1484" s="28" t="n">
        <v>1680</v>
      </c>
      <c r="K1484" s="28" t="n">
        <v>1</v>
      </c>
      <c r="L1484" s="24" t="s">
        <v>631</v>
      </c>
      <c r="M1484" s="57" t="n">
        <f aca="false">IF("non" = "oui",0.19*(1-disc),0.19)</f>
        <v>0.19</v>
      </c>
      <c r="N1484" s="57" t="n">
        <f aca="false">IF("non" = "oui",0.19*(1-disc)*1.2,0.19*1.2)</f>
        <v>0.228</v>
      </c>
      <c r="O1484" s="58" t="s">
        <v>26</v>
      </c>
      <c r="P1484" s="4" t="s">
        <v>25</v>
      </c>
      <c r="Q1484" s="16"/>
    </row>
    <row r="1485" customFormat="false" ht="12.8" hidden="false" customHeight="false" outlineLevel="0" collapsed="false">
      <c r="A1485" s="22"/>
      <c r="B1485" s="56" t="n">
        <v>302003000</v>
      </c>
      <c r="C1485" s="24"/>
      <c r="D1485" s="54" t="s">
        <v>1440</v>
      </c>
      <c r="E1485" s="19" t="s">
        <v>1441</v>
      </c>
      <c r="F1485" s="24" t="s">
        <v>630</v>
      </c>
      <c r="G1485" s="25" t="n">
        <v>0.001</v>
      </c>
      <c r="H1485" s="26"/>
      <c r="I1485" s="27" t="n">
        <v>8</v>
      </c>
      <c r="J1485" s="28" t="n">
        <v>4000</v>
      </c>
      <c r="K1485" s="28" t="n">
        <v>1</v>
      </c>
      <c r="L1485" s="24" t="s">
        <v>631</v>
      </c>
      <c r="M1485" s="57" t="n">
        <f aca="false">IF("non" = "oui",0.12*(1-disc),0.12)</f>
        <v>0.12</v>
      </c>
      <c r="N1485" s="57" t="n">
        <f aca="false">IF("non" = "oui",0.12*(1-disc)*1.2,0.12*1.2)</f>
        <v>0.144</v>
      </c>
      <c r="O1485" s="58" t="s">
        <v>26</v>
      </c>
      <c r="P1485" s="7" t="s">
        <v>26</v>
      </c>
      <c r="Q1485" s="16"/>
    </row>
    <row r="1486" customFormat="false" ht="12.8" hidden="false" customHeight="false" outlineLevel="0" collapsed="false">
      <c r="A1486" s="22"/>
      <c r="B1486" s="56" t="n">
        <v>302005000</v>
      </c>
      <c r="C1486" s="24"/>
      <c r="D1486" s="54" t="s">
        <v>1442</v>
      </c>
      <c r="E1486" s="19" t="s">
        <v>1443</v>
      </c>
      <c r="F1486" s="24" t="s">
        <v>647</v>
      </c>
      <c r="G1486" s="25" t="n">
        <v>0.001</v>
      </c>
      <c r="H1486" s="26"/>
      <c r="I1486" s="27" t="n">
        <v>25</v>
      </c>
      <c r="J1486" s="28" t="n">
        <v>1800</v>
      </c>
      <c r="K1486" s="28" t="n">
        <v>1</v>
      </c>
      <c r="L1486" s="24" t="s">
        <v>631</v>
      </c>
      <c r="M1486" s="57" t="n">
        <f aca="false">IF("non" = "oui",0.29*(1-disc),0.29)</f>
        <v>0.29</v>
      </c>
      <c r="N1486" s="57" t="n">
        <f aca="false">IF("non" = "oui",0.29*(1-disc)*1.2,0.29*1.2)</f>
        <v>0.348</v>
      </c>
      <c r="O1486" s="58" t="s">
        <v>26</v>
      </c>
      <c r="P1486" s="7" t="s">
        <v>26</v>
      </c>
      <c r="Q1486" s="59" t="s">
        <v>1444</v>
      </c>
    </row>
    <row r="1487" customFormat="false" ht="12.8" hidden="false" customHeight="false" outlineLevel="0" collapsed="false">
      <c r="A1487" s="22"/>
      <c r="B1487" s="56" t="n">
        <v>302007000</v>
      </c>
      <c r="C1487" s="24"/>
      <c r="D1487" s="54" t="s">
        <v>1445</v>
      </c>
      <c r="E1487" s="19" t="s">
        <v>1446</v>
      </c>
      <c r="F1487" s="24" t="s">
        <v>1447</v>
      </c>
      <c r="G1487" s="25" t="n">
        <v>0.001</v>
      </c>
      <c r="H1487" s="26"/>
      <c r="I1487" s="27" t="n">
        <v>25</v>
      </c>
      <c r="J1487" s="28" t="n">
        <v>1000</v>
      </c>
      <c r="K1487" s="28" t="n">
        <v>1</v>
      </c>
      <c r="L1487" s="24" t="s">
        <v>631</v>
      </c>
      <c r="M1487" s="57" t="n">
        <f aca="false">IF("non" = "oui",0.24*(1-disc),0.24)</f>
        <v>0.24</v>
      </c>
      <c r="N1487" s="57" t="n">
        <f aca="false">IF("non" = "oui",0.24*(1-disc)*1.2,0.24*1.2)</f>
        <v>0.288</v>
      </c>
      <c r="O1487" s="58" t="s">
        <v>26</v>
      </c>
      <c r="P1487" s="4" t="s">
        <v>25</v>
      </c>
      <c r="Q1487" s="16"/>
    </row>
    <row r="1488" customFormat="false" ht="12.8" hidden="false" customHeight="false" outlineLevel="0" collapsed="false">
      <c r="A1488" s="22"/>
      <c r="B1488" s="56" t="n">
        <v>302004000</v>
      </c>
      <c r="C1488" s="24"/>
      <c r="D1488" s="54" t="s">
        <v>1448</v>
      </c>
      <c r="E1488" s="19" t="s">
        <v>1443</v>
      </c>
      <c r="F1488" s="24" t="s">
        <v>647</v>
      </c>
      <c r="G1488" s="25" t="n">
        <v>0.001</v>
      </c>
      <c r="H1488" s="26"/>
      <c r="I1488" s="27" t="n">
        <v>25</v>
      </c>
      <c r="J1488" s="28" t="n">
        <v>3000</v>
      </c>
      <c r="K1488" s="28" t="n">
        <v>1</v>
      </c>
      <c r="L1488" s="24" t="s">
        <v>631</v>
      </c>
      <c r="M1488" s="57" t="n">
        <f aca="false">IF("non" = "oui",0.24*(1-disc),0.24)</f>
        <v>0.24</v>
      </c>
      <c r="N1488" s="57" t="n">
        <f aca="false">IF("non" = "oui",0.24*(1-disc)*1.2,0.24*1.2)</f>
        <v>0.288</v>
      </c>
      <c r="O1488" s="58" t="s">
        <v>26</v>
      </c>
      <c r="P1488" s="4" t="s">
        <v>25</v>
      </c>
      <c r="Q1488" s="16"/>
    </row>
    <row r="1489" customFormat="false" ht="12.8" hidden="false" customHeight="false" outlineLevel="0" collapsed="false">
      <c r="A1489" s="22"/>
      <c r="B1489" s="56" t="n">
        <v>302001000</v>
      </c>
      <c r="C1489" s="24" t="n">
        <v>20</v>
      </c>
      <c r="D1489" s="54" t="s">
        <v>1449</v>
      </c>
      <c r="E1489" s="19" t="s">
        <v>1450</v>
      </c>
      <c r="F1489" s="24" t="s">
        <v>630</v>
      </c>
      <c r="G1489" s="25" t="n">
        <v>0.001</v>
      </c>
      <c r="H1489" s="26"/>
      <c r="I1489" s="27" t="n">
        <v>8</v>
      </c>
      <c r="J1489" s="28" t="n">
        <v>300</v>
      </c>
      <c r="K1489" s="28" t="n">
        <v>1</v>
      </c>
      <c r="L1489" s="24" t="s">
        <v>631</v>
      </c>
      <c r="M1489" s="57" t="n">
        <f aca="false">IF("non" = "oui",1.62*(1-disc),1.62)</f>
        <v>1.62</v>
      </c>
      <c r="N1489" s="57" t="n">
        <f aca="false">IF("non" = "oui",1.62*(1-disc)*1.2,1.62*1.2)</f>
        <v>1.944</v>
      </c>
      <c r="O1489" s="58" t="s">
        <v>26</v>
      </c>
      <c r="P1489" s="7" t="s">
        <v>26</v>
      </c>
      <c r="Q1489" s="59" t="s">
        <v>1444</v>
      </c>
    </row>
    <row r="1490" customFormat="false" ht="12.8" hidden="false" customHeight="false" outlineLevel="0" collapsed="false">
      <c r="A1490" s="22"/>
      <c r="B1490" s="56" t="n">
        <v>302002000</v>
      </c>
      <c r="C1490" s="24"/>
      <c r="D1490" s="54" t="s">
        <v>1451</v>
      </c>
      <c r="E1490" s="19" t="s">
        <v>1452</v>
      </c>
      <c r="F1490" s="24" t="s">
        <v>647</v>
      </c>
      <c r="G1490" s="25" t="n">
        <v>0.025</v>
      </c>
      <c r="H1490" s="26"/>
      <c r="I1490" s="27" t="n">
        <v>25</v>
      </c>
      <c r="J1490" s="28" t="n">
        <v>96</v>
      </c>
      <c r="K1490" s="28" t="n">
        <v>1</v>
      </c>
      <c r="L1490" s="24" t="s">
        <v>631</v>
      </c>
      <c r="M1490" s="57" t="n">
        <f aca="false">IF("non" = "oui",3.26*(1-disc),3.26)</f>
        <v>3.26</v>
      </c>
      <c r="N1490" s="57" t="n">
        <f aca="false">IF("non" = "oui",3.26*(1-disc)*1.2,3.26*1.2)</f>
        <v>3.912</v>
      </c>
      <c r="O1490" s="58" t="s">
        <v>26</v>
      </c>
      <c r="P1490" s="4" t="s">
        <v>25</v>
      </c>
      <c r="Q1490" s="16"/>
    </row>
    <row r="1491" customFormat="false" ht="12.8" hidden="false" customHeight="false" outlineLevel="0" collapsed="false">
      <c r="A1491" s="22"/>
      <c r="B1491" s="56" t="n">
        <v>603031000</v>
      </c>
      <c r="C1491" s="24"/>
      <c r="D1491" s="54" t="s">
        <v>1453</v>
      </c>
      <c r="E1491" s="19" t="s">
        <v>1454</v>
      </c>
      <c r="F1491" s="24" t="s">
        <v>630</v>
      </c>
      <c r="G1491" s="25" t="n">
        <v>0.07</v>
      </c>
      <c r="H1491" s="26"/>
      <c r="I1491" s="27" t="n">
        <v>8</v>
      </c>
      <c r="J1491" s="28" t="n">
        <v>80</v>
      </c>
      <c r="K1491" s="28" t="n">
        <v>1</v>
      </c>
      <c r="L1491" s="24" t="s">
        <v>631</v>
      </c>
      <c r="M1491" s="57" t="n">
        <f aca="false">IF("non" = "oui",0.66*(1-disc),0.66)</f>
        <v>0.66</v>
      </c>
      <c r="N1491" s="57" t="n">
        <f aca="false">IF("non" = "oui",0.66*(1-disc)*1.2,0.66*1.2)</f>
        <v>0.792</v>
      </c>
      <c r="O1491" s="58" t="s">
        <v>26</v>
      </c>
      <c r="P1491" s="7" t="s">
        <v>26</v>
      </c>
      <c r="Q1491" s="16"/>
    </row>
    <row r="1492" customFormat="false" ht="12.8" hidden="false" customHeight="false" outlineLevel="0" collapsed="false">
      <c r="A1492" s="22"/>
      <c r="B1492" s="56" t="n">
        <v>603032000</v>
      </c>
      <c r="C1492" s="24"/>
      <c r="D1492" s="54" t="s">
        <v>1455</v>
      </c>
      <c r="E1492" s="19" t="s">
        <v>1454</v>
      </c>
      <c r="F1492" s="24" t="s">
        <v>630</v>
      </c>
      <c r="G1492" s="25" t="n">
        <v>0.04</v>
      </c>
      <c r="H1492" s="26"/>
      <c r="I1492" s="27" t="n">
        <v>8</v>
      </c>
      <c r="J1492" s="28" t="n">
        <v>20</v>
      </c>
      <c r="K1492" s="28" t="n">
        <v>1</v>
      </c>
      <c r="L1492" s="24" t="s">
        <v>631</v>
      </c>
      <c r="M1492" s="57" t="n">
        <f aca="false">IF("non" = "oui",2.72*(1-disc),2.72)</f>
        <v>2.72</v>
      </c>
      <c r="N1492" s="57" t="n">
        <f aca="false">IF("non" = "oui",2.72*(1-disc)*1.2,2.72*1.2)</f>
        <v>3.264</v>
      </c>
      <c r="O1492" s="58" t="s">
        <v>26</v>
      </c>
      <c r="P1492" s="4" t="s">
        <v>25</v>
      </c>
      <c r="Q1492" s="16"/>
    </row>
    <row r="1493" customFormat="false" ht="12.8" hidden="false" customHeight="false" outlineLevel="0" collapsed="false">
      <c r="A1493" s="22"/>
      <c r="B1493" s="56" t="n">
        <v>603033000</v>
      </c>
      <c r="C1493" s="24"/>
      <c r="D1493" s="54" t="s">
        <v>1456</v>
      </c>
      <c r="E1493" s="19" t="s">
        <v>1457</v>
      </c>
      <c r="F1493" s="24" t="s">
        <v>647</v>
      </c>
      <c r="G1493" s="25" t="n">
        <v>0.78</v>
      </c>
      <c r="H1493" s="26"/>
      <c r="I1493" s="27" t="n">
        <v>25</v>
      </c>
      <c r="J1493" s="28" t="n">
        <v>1</v>
      </c>
      <c r="K1493" s="28" t="n">
        <v>1</v>
      </c>
      <c r="L1493" s="24" t="s">
        <v>631</v>
      </c>
      <c r="M1493" s="57" t="n">
        <f aca="false">IF("non" = "oui",57.58*(1-disc),57.58)</f>
        <v>57.58</v>
      </c>
      <c r="N1493" s="57" t="n">
        <f aca="false">IF("non" = "oui",57.58*(1-disc)*1.2,57.58*1.2)</f>
        <v>69.096</v>
      </c>
      <c r="O1493" s="58" t="s">
        <v>26</v>
      </c>
      <c r="P1493" s="7" t="s">
        <v>26</v>
      </c>
      <c r="Q1493" s="16"/>
    </row>
    <row r="1494" customFormat="false" ht="12.8" hidden="false" customHeight="false" outlineLevel="0" collapsed="false">
      <c r="A1494" s="22"/>
      <c r="B1494" s="56"/>
      <c r="C1494" s="24"/>
      <c r="D1494" s="22"/>
      <c r="E1494" s="19"/>
      <c r="F1494" s="24"/>
      <c r="G1494" s="25"/>
      <c r="H1494" s="26"/>
      <c r="I1494" s="27"/>
      <c r="J1494" s="28"/>
      <c r="K1494" s="28"/>
      <c r="L1494" s="24"/>
      <c r="M1494" s="29"/>
      <c r="N1494" s="29"/>
      <c r="O1494" s="24"/>
      <c r="P1494" s="4"/>
      <c r="Q1494" s="16"/>
    </row>
    <row r="1495" customFormat="false" ht="12.8" hidden="false" customHeight="false" outlineLevel="0" collapsed="false">
      <c r="A1495" s="30" t="s">
        <v>1458</v>
      </c>
      <c r="B1495" s="31"/>
      <c r="C1495" s="32"/>
      <c r="D1495" s="33"/>
      <c r="E1495" s="34"/>
      <c r="F1495" s="32"/>
      <c r="G1495" s="35"/>
      <c r="H1495" s="36"/>
      <c r="I1495" s="37"/>
      <c r="J1495" s="38"/>
      <c r="K1495" s="38"/>
      <c r="L1495" s="32"/>
      <c r="M1495" s="39"/>
      <c r="N1495" s="39"/>
      <c r="O1495" s="32"/>
      <c r="P1495" s="40"/>
      <c r="Q1495" s="41"/>
    </row>
    <row r="1496" customFormat="false" ht="12.8" hidden="false" customHeight="false" outlineLevel="0" collapsed="false">
      <c r="A1496" s="22"/>
      <c r="B1496" s="23"/>
      <c r="C1496" s="24"/>
      <c r="D1496" s="22"/>
      <c r="E1496" s="19"/>
      <c r="F1496" s="24"/>
      <c r="G1496" s="25"/>
      <c r="H1496" s="26"/>
      <c r="I1496" s="27"/>
      <c r="J1496" s="28"/>
      <c r="K1496" s="28"/>
      <c r="L1496" s="24"/>
      <c r="M1496" s="29"/>
      <c r="N1496" s="29"/>
      <c r="O1496" s="24"/>
      <c r="P1496" s="4"/>
      <c r="Q1496" s="16"/>
    </row>
    <row r="1497" customFormat="false" ht="12.8" hidden="false" customHeight="false" outlineLevel="0" collapsed="false">
      <c r="A1497" s="42" t="s">
        <v>1459</v>
      </c>
      <c r="B1497" s="43"/>
      <c r="C1497" s="44"/>
      <c r="D1497" s="45"/>
      <c r="E1497" s="46"/>
      <c r="F1497" s="44"/>
      <c r="G1497" s="47"/>
      <c r="H1497" s="48"/>
      <c r="I1497" s="49"/>
      <c r="J1497" s="50"/>
      <c r="K1497" s="50"/>
      <c r="L1497" s="44"/>
      <c r="M1497" s="51"/>
      <c r="N1497" s="51"/>
      <c r="O1497" s="44"/>
      <c r="P1497" s="52"/>
      <c r="Q1497" s="53"/>
    </row>
    <row r="1498" customFormat="false" ht="12.8" hidden="false" customHeight="false" outlineLevel="0" collapsed="false">
      <c r="A1498" s="22"/>
      <c r="B1498" s="23"/>
      <c r="C1498" s="24"/>
      <c r="D1498" s="22"/>
      <c r="E1498" s="19"/>
      <c r="F1498" s="24"/>
      <c r="G1498" s="25"/>
      <c r="H1498" s="26"/>
      <c r="I1498" s="27"/>
      <c r="J1498" s="28"/>
      <c r="K1498" s="28"/>
      <c r="L1498" s="24"/>
      <c r="M1498" s="29"/>
      <c r="N1498" s="29"/>
      <c r="O1498" s="24"/>
      <c r="P1498" s="4"/>
      <c r="Q1498" s="16"/>
    </row>
    <row r="1499" customFormat="false" ht="12.8" hidden="false" customHeight="false" outlineLevel="0" collapsed="false">
      <c r="A1499" s="22"/>
      <c r="B1499" s="23" t="n">
        <v>507001000</v>
      </c>
      <c r="C1499" s="24"/>
      <c r="D1499" s="54" t="s">
        <v>1460</v>
      </c>
      <c r="E1499" s="19" t="s">
        <v>1461</v>
      </c>
      <c r="F1499" s="24" t="s">
        <v>1447</v>
      </c>
      <c r="G1499" s="25" t="n">
        <v>0.001</v>
      </c>
      <c r="H1499" s="26"/>
      <c r="I1499" s="27"/>
      <c r="J1499" s="28" t="n">
        <v>1250</v>
      </c>
      <c r="K1499" s="28" t="n">
        <v>1</v>
      </c>
      <c r="L1499" s="24" t="s">
        <v>1381</v>
      </c>
      <c r="M1499" s="29" t="n">
        <f aca="false">IF("oui" = "oui",1.2*(1-disc),1.2)</f>
        <v>1.2</v>
      </c>
      <c r="N1499" s="29" t="n">
        <f aca="false">IF("oui" = "oui",1.2*(1-disc)*1.2,1.2*1.2)</f>
        <v>1.44</v>
      </c>
      <c r="O1499" s="24" t="s">
        <v>25</v>
      </c>
      <c r="P1499" s="4" t="s">
        <v>25</v>
      </c>
      <c r="Q1499" s="16"/>
    </row>
    <row r="1500" customFormat="false" ht="12.8" hidden="false" customHeight="false" outlineLevel="0" collapsed="false">
      <c r="A1500" s="22"/>
      <c r="B1500" s="23" t="n">
        <v>507190000</v>
      </c>
      <c r="C1500" s="24"/>
      <c r="D1500" s="54" t="s">
        <v>1462</v>
      </c>
      <c r="E1500" s="19" t="s">
        <v>1461</v>
      </c>
      <c r="F1500" s="24" t="s">
        <v>1447</v>
      </c>
      <c r="G1500" s="25" t="n">
        <v>0.001</v>
      </c>
      <c r="H1500" s="26"/>
      <c r="I1500" s="27"/>
      <c r="J1500" s="28" t="n">
        <v>800</v>
      </c>
      <c r="K1500" s="28" t="n">
        <v>1</v>
      </c>
      <c r="L1500" s="24" t="s">
        <v>1381</v>
      </c>
      <c r="M1500" s="29" t="n">
        <f aca="false">IF("oui" = "oui",1.96*(1-disc),1.96)</f>
        <v>1.96</v>
      </c>
      <c r="N1500" s="29" t="n">
        <f aca="false">IF("oui" = "oui",1.96*(1-disc)*1.2,1.96*1.2)</f>
        <v>2.352</v>
      </c>
      <c r="O1500" s="24" t="s">
        <v>25</v>
      </c>
      <c r="P1500" s="4" t="s">
        <v>25</v>
      </c>
      <c r="Q1500" s="16"/>
    </row>
    <row r="1501" customFormat="false" ht="12.8" hidden="false" customHeight="false" outlineLevel="0" collapsed="false">
      <c r="A1501" s="22"/>
      <c r="B1501" s="23" t="n">
        <v>507002000</v>
      </c>
      <c r="C1501" s="24"/>
      <c r="D1501" s="54" t="s">
        <v>1463</v>
      </c>
      <c r="E1501" s="19" t="s">
        <v>1461</v>
      </c>
      <c r="F1501" s="24" t="s">
        <v>1447</v>
      </c>
      <c r="G1501" s="25" t="n">
        <v>0.001</v>
      </c>
      <c r="H1501" s="26"/>
      <c r="I1501" s="27"/>
      <c r="J1501" s="28" t="n">
        <v>460</v>
      </c>
      <c r="K1501" s="28" t="n">
        <v>1</v>
      </c>
      <c r="L1501" s="24" t="s">
        <v>1381</v>
      </c>
      <c r="M1501" s="29" t="n">
        <f aca="false">IF("oui" = "oui",2.17*(1-disc),2.17)</f>
        <v>2.17</v>
      </c>
      <c r="N1501" s="29" t="n">
        <f aca="false">IF("oui" = "oui",2.17*(1-disc)*1.2,2.17*1.2)</f>
        <v>2.604</v>
      </c>
      <c r="O1501" s="24" t="s">
        <v>25</v>
      </c>
      <c r="P1501" s="4" t="s">
        <v>25</v>
      </c>
      <c r="Q1501" s="16"/>
    </row>
    <row r="1502" customFormat="false" ht="12.8" hidden="false" customHeight="false" outlineLevel="0" collapsed="false">
      <c r="A1502" s="22"/>
      <c r="B1502" s="23"/>
      <c r="C1502" s="24"/>
      <c r="D1502" s="22"/>
      <c r="E1502" s="19"/>
      <c r="F1502" s="24"/>
      <c r="G1502" s="25"/>
      <c r="H1502" s="26"/>
      <c r="I1502" s="27"/>
      <c r="J1502" s="28"/>
      <c r="K1502" s="28"/>
      <c r="L1502" s="24"/>
      <c r="M1502" s="29"/>
      <c r="N1502" s="29"/>
      <c r="O1502" s="24"/>
      <c r="P1502" s="4"/>
      <c r="Q1502" s="16"/>
    </row>
    <row r="1503" customFormat="false" ht="12.8" hidden="false" customHeight="false" outlineLevel="0" collapsed="false">
      <c r="A1503" s="22"/>
      <c r="B1503" s="23" t="n">
        <v>507556000</v>
      </c>
      <c r="C1503" s="24"/>
      <c r="D1503" s="54" t="s">
        <v>1464</v>
      </c>
      <c r="E1503" s="19"/>
      <c r="F1503" s="24"/>
      <c r="G1503" s="25"/>
      <c r="H1503" s="26"/>
      <c r="I1503" s="27"/>
      <c r="J1503" s="28" t="n">
        <v>100</v>
      </c>
      <c r="K1503" s="28" t="n">
        <v>1</v>
      </c>
      <c r="L1503" s="24" t="s">
        <v>1465</v>
      </c>
      <c r="M1503" s="29" t="n">
        <f aca="false">IF("oui" = "oui",1.25*(1-disc),1.25)</f>
        <v>1.25</v>
      </c>
      <c r="N1503" s="29" t="n">
        <f aca="false">IF("oui" = "oui",1.25*(1-disc)*1.2,1.25*1.2)</f>
        <v>1.5</v>
      </c>
      <c r="O1503" s="24" t="s">
        <v>25</v>
      </c>
      <c r="P1503" s="4" t="s">
        <v>25</v>
      </c>
      <c r="Q1503" s="16"/>
    </row>
    <row r="1504" customFormat="false" ht="12.8" hidden="false" customHeight="false" outlineLevel="0" collapsed="false">
      <c r="A1504" s="22"/>
      <c r="B1504" s="23"/>
      <c r="C1504" s="24"/>
      <c r="D1504" s="22"/>
      <c r="E1504" s="19"/>
      <c r="F1504" s="24"/>
      <c r="G1504" s="25"/>
      <c r="H1504" s="26"/>
      <c r="I1504" s="27"/>
      <c r="J1504" s="28"/>
      <c r="K1504" s="28"/>
      <c r="L1504" s="24"/>
      <c r="M1504" s="29"/>
      <c r="N1504" s="29"/>
      <c r="O1504" s="24"/>
      <c r="P1504" s="4"/>
      <c r="Q1504" s="16"/>
    </row>
    <row r="1505" customFormat="false" ht="12.8" hidden="false" customHeight="false" outlineLevel="0" collapsed="false">
      <c r="A1505" s="22"/>
      <c r="B1505" s="23" t="n">
        <v>200194000</v>
      </c>
      <c r="C1505" s="24"/>
      <c r="D1505" s="22" t="s">
        <v>1466</v>
      </c>
      <c r="E1505" s="19" t="s">
        <v>1467</v>
      </c>
      <c r="F1505" s="24" t="s">
        <v>1468</v>
      </c>
      <c r="G1505" s="25" t="n">
        <v>0.003</v>
      </c>
      <c r="H1505" s="26"/>
      <c r="I1505" s="27"/>
      <c r="J1505" s="28" t="n">
        <v>250</v>
      </c>
      <c r="K1505" s="28" t="n">
        <v>1</v>
      </c>
      <c r="L1505" s="24" t="s">
        <v>1381</v>
      </c>
      <c r="M1505" s="29" t="n">
        <f aca="false">IF("oui" = "oui",1.25*(1-disc),1.25)</f>
        <v>1.25</v>
      </c>
      <c r="N1505" s="29" t="n">
        <f aca="false">IF("oui" = "oui",1.25*(1-disc)*1.2,1.25*1.2)</f>
        <v>1.5</v>
      </c>
      <c r="O1505" s="24" t="s">
        <v>25</v>
      </c>
      <c r="P1505" s="7" t="s">
        <v>26</v>
      </c>
      <c r="Q1505" s="16"/>
    </row>
    <row r="1506" customFormat="false" ht="12.8" hidden="false" customHeight="false" outlineLevel="0" collapsed="false">
      <c r="A1506" s="22"/>
      <c r="B1506" s="23"/>
      <c r="C1506" s="24"/>
      <c r="D1506" s="22"/>
      <c r="E1506" s="19"/>
      <c r="F1506" s="24"/>
      <c r="G1506" s="25"/>
      <c r="H1506" s="26"/>
      <c r="I1506" s="27"/>
      <c r="J1506" s="28"/>
      <c r="K1506" s="28"/>
      <c r="L1506" s="24"/>
      <c r="M1506" s="29"/>
      <c r="N1506" s="29"/>
      <c r="O1506" s="24"/>
      <c r="P1506" s="4"/>
      <c r="Q1506" s="16"/>
    </row>
    <row r="1507" customFormat="false" ht="12.8" hidden="false" customHeight="false" outlineLevel="0" collapsed="false">
      <c r="A1507" s="22"/>
      <c r="B1507" s="23" t="n">
        <v>507580000</v>
      </c>
      <c r="C1507" s="24"/>
      <c r="D1507" s="22" t="s">
        <v>1469</v>
      </c>
      <c r="E1507" s="19"/>
      <c r="F1507" s="24"/>
      <c r="G1507" s="25"/>
      <c r="H1507" s="26"/>
      <c r="I1507" s="27"/>
      <c r="J1507" s="28" t="n">
        <v>1</v>
      </c>
      <c r="K1507" s="28" t="n">
        <v>1</v>
      </c>
      <c r="L1507" s="24" t="s">
        <v>1465</v>
      </c>
      <c r="M1507" s="57" t="n">
        <f aca="false">IF("non" = "oui",27.38*(1-disc),27.38)</f>
        <v>27.38</v>
      </c>
      <c r="N1507" s="57" t="n">
        <f aca="false">IF("non" = "oui",27.38*(1-disc)*1.2,27.38*1.2)</f>
        <v>32.856</v>
      </c>
      <c r="O1507" s="58" t="s">
        <v>26</v>
      </c>
      <c r="P1507" s="4" t="s">
        <v>25</v>
      </c>
      <c r="Q1507" s="16"/>
    </row>
    <row r="1508" customFormat="false" ht="12.8" hidden="false" customHeight="false" outlineLevel="0" collapsed="false">
      <c r="A1508" s="22"/>
      <c r="B1508" s="23"/>
      <c r="C1508" s="24"/>
      <c r="D1508" s="22"/>
      <c r="E1508" s="19"/>
      <c r="F1508" s="24"/>
      <c r="G1508" s="25"/>
      <c r="H1508" s="26"/>
      <c r="I1508" s="27"/>
      <c r="J1508" s="28"/>
      <c r="K1508" s="28"/>
      <c r="L1508" s="24"/>
      <c r="M1508" s="29"/>
      <c r="N1508" s="29"/>
      <c r="O1508" s="24"/>
      <c r="P1508" s="4"/>
      <c r="Q1508" s="16"/>
    </row>
    <row r="1509" customFormat="false" ht="12.8" hidden="false" customHeight="false" outlineLevel="0" collapsed="false">
      <c r="A1509" s="22"/>
      <c r="B1509" s="23"/>
      <c r="C1509" s="24"/>
      <c r="D1509" s="22"/>
      <c r="E1509" s="19"/>
      <c r="F1509" s="24"/>
      <c r="G1509" s="25"/>
      <c r="H1509" s="26"/>
      <c r="I1509" s="27"/>
      <c r="J1509" s="28"/>
      <c r="K1509" s="28"/>
      <c r="L1509" s="24"/>
      <c r="M1509" s="29"/>
      <c r="N1509" s="29"/>
      <c r="O1509" s="24"/>
      <c r="P1509" s="4"/>
      <c r="Q1509" s="16"/>
    </row>
    <row r="1510" customFormat="false" ht="12.8" hidden="false" customHeight="false" outlineLevel="0" collapsed="false">
      <c r="A1510" s="42" t="s">
        <v>1470</v>
      </c>
      <c r="B1510" s="43"/>
      <c r="C1510" s="44"/>
      <c r="D1510" s="45"/>
      <c r="E1510" s="46"/>
      <c r="F1510" s="44"/>
      <c r="G1510" s="47"/>
      <c r="H1510" s="48"/>
      <c r="I1510" s="49"/>
      <c r="J1510" s="50"/>
      <c r="K1510" s="50"/>
      <c r="L1510" s="44"/>
      <c r="M1510" s="51"/>
      <c r="N1510" s="51"/>
      <c r="O1510" s="44"/>
      <c r="P1510" s="52"/>
      <c r="Q1510" s="53"/>
    </row>
    <row r="1511" customFormat="false" ht="12.8" hidden="false" customHeight="false" outlineLevel="0" collapsed="false">
      <c r="A1511" s="22"/>
      <c r="B1511" s="23"/>
      <c r="C1511" s="24"/>
      <c r="D1511" s="22"/>
      <c r="E1511" s="19"/>
      <c r="F1511" s="24"/>
      <c r="G1511" s="25"/>
      <c r="H1511" s="26"/>
      <c r="I1511" s="27"/>
      <c r="J1511" s="28"/>
      <c r="K1511" s="28"/>
      <c r="L1511" s="24"/>
      <c r="M1511" s="29"/>
      <c r="N1511" s="29"/>
      <c r="O1511" s="24"/>
      <c r="P1511" s="4"/>
      <c r="Q1511" s="16"/>
    </row>
    <row r="1512" customFormat="false" ht="12.8" hidden="false" customHeight="false" outlineLevel="0" collapsed="false">
      <c r="A1512" s="22"/>
      <c r="B1512" s="23" t="n">
        <v>507192000</v>
      </c>
      <c r="C1512" s="24"/>
      <c r="D1512" s="54" t="s">
        <v>1471</v>
      </c>
      <c r="E1512" s="19"/>
      <c r="F1512" s="24"/>
      <c r="G1512" s="25" t="n">
        <v>0.001</v>
      </c>
      <c r="H1512" s="26"/>
      <c r="I1512" s="27"/>
      <c r="J1512" s="28" t="n">
        <v>50</v>
      </c>
      <c r="K1512" s="28" t="n">
        <v>1</v>
      </c>
      <c r="L1512" s="24" t="s">
        <v>1381</v>
      </c>
      <c r="M1512" s="29" t="n">
        <f aca="false">IF("oui" = "oui",0.44*(1-disc),0.44)</f>
        <v>0.44</v>
      </c>
      <c r="N1512" s="29" t="n">
        <f aca="false">IF("oui" = "oui",0.44*(1-disc)*1.2,0.44*1.2)</f>
        <v>0.528</v>
      </c>
      <c r="O1512" s="24" t="s">
        <v>25</v>
      </c>
      <c r="P1512" s="4" t="s">
        <v>25</v>
      </c>
      <c r="Q1512" s="16"/>
    </row>
    <row r="1513" customFormat="false" ht="12.8" hidden="false" customHeight="false" outlineLevel="0" collapsed="false">
      <c r="A1513" s="22"/>
      <c r="B1513" s="23" t="n">
        <v>507046000</v>
      </c>
      <c r="C1513" s="24"/>
      <c r="D1513" s="54" t="s">
        <v>1472</v>
      </c>
      <c r="E1513" s="19"/>
      <c r="F1513" s="24"/>
      <c r="G1513" s="25" t="n">
        <v>0.001</v>
      </c>
      <c r="H1513" s="26"/>
      <c r="I1513" s="27"/>
      <c r="J1513" s="28" t="n">
        <v>20</v>
      </c>
      <c r="K1513" s="28" t="n">
        <v>1</v>
      </c>
      <c r="L1513" s="24" t="s">
        <v>1381</v>
      </c>
      <c r="M1513" s="29" t="n">
        <f aca="false">IF("oui" = "oui",1.23*(1-disc),1.23)</f>
        <v>1.23</v>
      </c>
      <c r="N1513" s="29" t="n">
        <f aca="false">IF("oui" = "oui",1.23*(1-disc)*1.2,1.23*1.2)</f>
        <v>1.476</v>
      </c>
      <c r="O1513" s="24" t="s">
        <v>25</v>
      </c>
      <c r="P1513" s="4" t="s">
        <v>25</v>
      </c>
      <c r="Q1513" s="16"/>
    </row>
    <row r="1514" customFormat="false" ht="12.8" hidden="false" customHeight="false" outlineLevel="0" collapsed="false">
      <c r="A1514" s="22"/>
      <c r="B1514" s="56" t="n">
        <v>600068000</v>
      </c>
      <c r="C1514" s="24"/>
      <c r="D1514" s="22" t="s">
        <v>1473</v>
      </c>
      <c r="E1514" s="19" t="s">
        <v>1474</v>
      </c>
      <c r="F1514" s="24"/>
      <c r="G1514" s="25" t="n">
        <v>0.03</v>
      </c>
      <c r="H1514" s="26"/>
      <c r="I1514" s="27"/>
      <c r="J1514" s="28" t="n">
        <v>100</v>
      </c>
      <c r="K1514" s="28" t="n">
        <v>1</v>
      </c>
      <c r="L1514" s="24" t="s">
        <v>631</v>
      </c>
      <c r="M1514" s="29" t="n">
        <f aca="false">IF("oui" = "oui",19.7*(1-disc),19.7)</f>
        <v>19.7</v>
      </c>
      <c r="N1514" s="29" t="n">
        <f aca="false">IF("oui" = "oui",19.7*(1-disc)*1.2,19.7*1.2)</f>
        <v>23.64</v>
      </c>
      <c r="O1514" s="24" t="s">
        <v>25</v>
      </c>
      <c r="P1514" s="4" t="s">
        <v>25</v>
      </c>
      <c r="Q1514" s="16"/>
    </row>
    <row r="1515" customFormat="false" ht="12.8" hidden="false" customHeight="false" outlineLevel="0" collapsed="false">
      <c r="A1515" s="22"/>
      <c r="B1515" s="23"/>
      <c r="C1515" s="24"/>
      <c r="D1515" s="22"/>
      <c r="E1515" s="19"/>
      <c r="F1515" s="24"/>
      <c r="G1515" s="25"/>
      <c r="H1515" s="26"/>
      <c r="I1515" s="27"/>
      <c r="J1515" s="28"/>
      <c r="K1515" s="28"/>
      <c r="L1515" s="24"/>
      <c r="M1515" s="29"/>
      <c r="N1515" s="29"/>
      <c r="O1515" s="24"/>
      <c r="P1515" s="4"/>
      <c r="Q1515" s="16"/>
    </row>
    <row r="1516" customFormat="false" ht="12.8" hidden="false" customHeight="false" outlineLevel="0" collapsed="false">
      <c r="A1516" s="42" t="s">
        <v>1475</v>
      </c>
      <c r="B1516" s="43"/>
      <c r="C1516" s="44"/>
      <c r="D1516" s="45"/>
      <c r="E1516" s="46"/>
      <c r="F1516" s="44"/>
      <c r="G1516" s="47"/>
      <c r="H1516" s="48"/>
      <c r="I1516" s="49"/>
      <c r="J1516" s="50"/>
      <c r="K1516" s="50"/>
      <c r="L1516" s="44"/>
      <c r="M1516" s="51"/>
      <c r="N1516" s="51"/>
      <c r="O1516" s="44"/>
      <c r="P1516" s="52"/>
      <c r="Q1516" s="53"/>
    </row>
    <row r="1517" customFormat="false" ht="12.8" hidden="false" customHeight="false" outlineLevel="0" collapsed="false">
      <c r="A1517" s="22"/>
      <c r="B1517" s="23"/>
      <c r="C1517" s="24"/>
      <c r="D1517" s="22"/>
      <c r="E1517" s="19"/>
      <c r="F1517" s="24"/>
      <c r="G1517" s="25"/>
      <c r="H1517" s="26"/>
      <c r="I1517" s="27"/>
      <c r="J1517" s="28"/>
      <c r="K1517" s="28"/>
      <c r="L1517" s="24"/>
      <c r="M1517" s="29"/>
      <c r="N1517" s="29"/>
      <c r="O1517" s="24"/>
      <c r="P1517" s="4"/>
      <c r="Q1517" s="16"/>
    </row>
    <row r="1518" customFormat="false" ht="12.8" hidden="false" customHeight="false" outlineLevel="0" collapsed="false">
      <c r="A1518" s="22"/>
      <c r="B1518" s="23" t="n">
        <v>507171000</v>
      </c>
      <c r="C1518" s="24"/>
      <c r="D1518" s="22" t="s">
        <v>1476</v>
      </c>
      <c r="E1518" s="19"/>
      <c r="F1518" s="24"/>
      <c r="G1518" s="25" t="n">
        <v>0.001</v>
      </c>
      <c r="H1518" s="26" t="n">
        <v>2</v>
      </c>
      <c r="I1518" s="27"/>
      <c r="J1518" s="28" t="n">
        <v>500</v>
      </c>
      <c r="K1518" s="28" t="n">
        <v>1</v>
      </c>
      <c r="L1518" s="24" t="s">
        <v>1381</v>
      </c>
      <c r="M1518" s="29" t="n">
        <f aca="false">IF("oui" = "oui",0.34*(1-disc),0.34)</f>
        <v>0.34</v>
      </c>
      <c r="N1518" s="29" t="n">
        <f aca="false">IF("oui" = "oui",0.34*(1-disc)*1.2,0.34*1.2)</f>
        <v>0.408</v>
      </c>
      <c r="O1518" s="24" t="s">
        <v>25</v>
      </c>
      <c r="P1518" s="7" t="s">
        <v>26</v>
      </c>
      <c r="Q1518" s="16"/>
    </row>
    <row r="1519" customFormat="false" ht="12.8" hidden="false" customHeight="false" outlineLevel="0" collapsed="false">
      <c r="A1519" s="22"/>
      <c r="B1519" s="23" t="n">
        <v>507172000</v>
      </c>
      <c r="C1519" s="24"/>
      <c r="D1519" s="22" t="s">
        <v>1477</v>
      </c>
      <c r="E1519" s="19"/>
      <c r="F1519" s="24"/>
      <c r="G1519" s="25" t="n">
        <v>0.001</v>
      </c>
      <c r="H1519" s="26" t="n">
        <v>3</v>
      </c>
      <c r="I1519" s="27"/>
      <c r="J1519" s="28" t="n">
        <v>500</v>
      </c>
      <c r="K1519" s="28" t="n">
        <v>1</v>
      </c>
      <c r="L1519" s="24" t="s">
        <v>1381</v>
      </c>
      <c r="M1519" s="29" t="n">
        <f aca="false">IF("oui" = "oui",0.34*(1-disc),0.34)</f>
        <v>0.34</v>
      </c>
      <c r="N1519" s="29" t="n">
        <f aca="false">IF("oui" = "oui",0.34*(1-disc)*1.2,0.34*1.2)</f>
        <v>0.408</v>
      </c>
      <c r="O1519" s="24" t="s">
        <v>25</v>
      </c>
      <c r="P1519" s="4" t="s">
        <v>25</v>
      </c>
      <c r="Q1519" s="16"/>
    </row>
    <row r="1520" customFormat="false" ht="12.8" hidden="false" customHeight="false" outlineLevel="0" collapsed="false">
      <c r="A1520" s="22"/>
      <c r="B1520" s="23" t="n">
        <v>507174000</v>
      </c>
      <c r="C1520" s="24"/>
      <c r="D1520" s="22" t="s">
        <v>1478</v>
      </c>
      <c r="E1520" s="19"/>
      <c r="F1520" s="24"/>
      <c r="G1520" s="25" t="n">
        <v>0.001</v>
      </c>
      <c r="H1520" s="26" t="n">
        <v>5</v>
      </c>
      <c r="I1520" s="27"/>
      <c r="J1520" s="28" t="n">
        <v>500</v>
      </c>
      <c r="K1520" s="28" t="n">
        <v>1</v>
      </c>
      <c r="L1520" s="24" t="s">
        <v>1381</v>
      </c>
      <c r="M1520" s="29" t="n">
        <f aca="false">IF("oui" = "oui",0.34*(1-disc),0.34)</f>
        <v>0.34</v>
      </c>
      <c r="N1520" s="29" t="n">
        <f aca="false">IF("oui" = "oui",0.34*(1-disc)*1.2,0.34*1.2)</f>
        <v>0.408</v>
      </c>
      <c r="O1520" s="24" t="s">
        <v>25</v>
      </c>
      <c r="P1520" s="7" t="s">
        <v>26</v>
      </c>
      <c r="Q1520" s="16"/>
    </row>
    <row r="1521" customFormat="false" ht="12.8" hidden="false" customHeight="false" outlineLevel="0" collapsed="false">
      <c r="A1521" s="22"/>
      <c r="B1521" s="23" t="n">
        <v>507175000</v>
      </c>
      <c r="C1521" s="24"/>
      <c r="D1521" s="22" t="s">
        <v>1479</v>
      </c>
      <c r="E1521" s="19"/>
      <c r="F1521" s="24"/>
      <c r="G1521" s="25" t="n">
        <v>0.001</v>
      </c>
      <c r="H1521" s="26" t="n">
        <v>6</v>
      </c>
      <c r="I1521" s="27"/>
      <c r="J1521" s="28" t="n">
        <v>500</v>
      </c>
      <c r="K1521" s="28" t="n">
        <v>1</v>
      </c>
      <c r="L1521" s="24" t="s">
        <v>1381</v>
      </c>
      <c r="M1521" s="29" t="n">
        <f aca="false">IF("oui" = "oui",0.34*(1-disc),0.34)</f>
        <v>0.34</v>
      </c>
      <c r="N1521" s="29" t="n">
        <f aca="false">IF("oui" = "oui",0.34*(1-disc)*1.2,0.34*1.2)</f>
        <v>0.408</v>
      </c>
      <c r="O1521" s="24" t="s">
        <v>25</v>
      </c>
      <c r="P1521" s="4" t="s">
        <v>25</v>
      </c>
      <c r="Q1521" s="16"/>
    </row>
    <row r="1522" customFormat="false" ht="12.8" hidden="false" customHeight="false" outlineLevel="0" collapsed="false">
      <c r="A1522" s="22"/>
      <c r="B1522" s="23" t="n">
        <v>507213000</v>
      </c>
      <c r="C1522" s="24"/>
      <c r="D1522" s="22" t="s">
        <v>1480</v>
      </c>
      <c r="E1522" s="19"/>
      <c r="F1522" s="24"/>
      <c r="G1522" s="25" t="n">
        <v>0.001</v>
      </c>
      <c r="H1522" s="26" t="n">
        <v>10</v>
      </c>
      <c r="I1522" s="27"/>
      <c r="J1522" s="28" t="n">
        <v>1000</v>
      </c>
      <c r="K1522" s="28" t="n">
        <v>1</v>
      </c>
      <c r="L1522" s="24" t="s">
        <v>1381</v>
      </c>
      <c r="M1522" s="29" t="n">
        <f aca="false">IF("oui" = "oui",1.23*(1-disc),1.23)</f>
        <v>1.23</v>
      </c>
      <c r="N1522" s="29" t="n">
        <f aca="false">IF("oui" = "oui",1.23*(1-disc)*1.2,1.23*1.2)</f>
        <v>1.476</v>
      </c>
      <c r="O1522" s="24" t="s">
        <v>25</v>
      </c>
      <c r="P1522" s="4" t="s">
        <v>25</v>
      </c>
      <c r="Q1522" s="16"/>
    </row>
    <row r="1523" customFormat="false" ht="12.8" hidden="false" customHeight="false" outlineLevel="0" collapsed="false">
      <c r="A1523" s="22"/>
      <c r="B1523" s="23" t="n">
        <v>507214000</v>
      </c>
      <c r="C1523" s="24"/>
      <c r="D1523" s="22" t="s">
        <v>1481</v>
      </c>
      <c r="E1523" s="19"/>
      <c r="F1523" s="24"/>
      <c r="G1523" s="25" t="n">
        <v>0.001</v>
      </c>
      <c r="H1523" s="26" t="n">
        <v>15</v>
      </c>
      <c r="I1523" s="27"/>
      <c r="J1523" s="28" t="n">
        <v>1000</v>
      </c>
      <c r="K1523" s="28" t="n">
        <v>1</v>
      </c>
      <c r="L1523" s="24" t="s">
        <v>1381</v>
      </c>
      <c r="M1523" s="29" t="n">
        <f aca="false">IF("oui" = "oui",1.23*(1-disc),1.23)</f>
        <v>1.23</v>
      </c>
      <c r="N1523" s="29" t="n">
        <f aca="false">IF("oui" = "oui",1.23*(1-disc)*1.2,1.23*1.2)</f>
        <v>1.476</v>
      </c>
      <c r="O1523" s="24" t="s">
        <v>25</v>
      </c>
      <c r="P1523" s="4" t="s">
        <v>25</v>
      </c>
      <c r="Q1523" s="16"/>
    </row>
    <row r="1524" customFormat="false" ht="12.8" hidden="false" customHeight="false" outlineLevel="0" collapsed="false">
      <c r="A1524" s="22"/>
      <c r="B1524" s="23" t="n">
        <v>507178000</v>
      </c>
      <c r="C1524" s="24"/>
      <c r="D1524" s="22" t="s">
        <v>1482</v>
      </c>
      <c r="E1524" s="19"/>
      <c r="F1524" s="24"/>
      <c r="G1524" s="25" t="n">
        <v>0.001</v>
      </c>
      <c r="H1524" s="26" t="n">
        <v>20</v>
      </c>
      <c r="I1524" s="27"/>
      <c r="J1524" s="28" t="n">
        <v>1000</v>
      </c>
      <c r="K1524" s="28" t="n">
        <v>1</v>
      </c>
      <c r="L1524" s="24" t="s">
        <v>1381</v>
      </c>
      <c r="M1524" s="29" t="n">
        <f aca="false">IF("oui" = "oui",1.23*(1-disc),1.23)</f>
        <v>1.23</v>
      </c>
      <c r="N1524" s="29" t="n">
        <f aca="false">IF("oui" = "oui",1.23*(1-disc)*1.2,1.23*1.2)</f>
        <v>1.476</v>
      </c>
      <c r="O1524" s="24" t="s">
        <v>25</v>
      </c>
      <c r="P1524" s="4" t="s">
        <v>25</v>
      </c>
      <c r="Q1524" s="16"/>
    </row>
    <row r="1525" customFormat="false" ht="12.8" hidden="false" customHeight="false" outlineLevel="0" collapsed="false">
      <c r="A1525" s="22"/>
      <c r="B1525" s="23" t="n">
        <v>507209000</v>
      </c>
      <c r="C1525" s="24"/>
      <c r="D1525" s="22" t="s">
        <v>1483</v>
      </c>
      <c r="E1525" s="19"/>
      <c r="F1525" s="24"/>
      <c r="G1525" s="25" t="n">
        <v>0.001</v>
      </c>
      <c r="H1525" s="26" t="n">
        <v>25</v>
      </c>
      <c r="I1525" s="27"/>
      <c r="J1525" s="28" t="n">
        <v>1000</v>
      </c>
      <c r="K1525" s="28" t="n">
        <v>1</v>
      </c>
      <c r="L1525" s="24" t="s">
        <v>1381</v>
      </c>
      <c r="M1525" s="29" t="n">
        <f aca="false">IF("oui" = "oui",1.23*(1-disc),1.23)</f>
        <v>1.23</v>
      </c>
      <c r="N1525" s="29" t="n">
        <f aca="false">IF("oui" = "oui",1.23*(1-disc)*1.2,1.23*1.2)</f>
        <v>1.476</v>
      </c>
      <c r="O1525" s="24" t="s">
        <v>25</v>
      </c>
      <c r="P1525" s="4" t="s">
        <v>25</v>
      </c>
      <c r="Q1525" s="16"/>
    </row>
    <row r="1526" customFormat="false" ht="12.8" hidden="false" customHeight="false" outlineLevel="0" collapsed="false">
      <c r="A1526" s="22"/>
      <c r="B1526" s="23"/>
      <c r="C1526" s="24"/>
      <c r="D1526" s="22"/>
      <c r="E1526" s="19"/>
      <c r="F1526" s="24"/>
      <c r="G1526" s="25"/>
      <c r="H1526" s="26"/>
      <c r="I1526" s="27"/>
      <c r="J1526" s="28"/>
      <c r="K1526" s="28"/>
      <c r="L1526" s="24"/>
      <c r="M1526" s="29"/>
      <c r="N1526" s="29"/>
      <c r="O1526" s="24"/>
      <c r="P1526" s="4"/>
      <c r="Q1526" s="16"/>
    </row>
    <row r="1527" customFormat="false" ht="12.8" hidden="false" customHeight="false" outlineLevel="0" collapsed="false">
      <c r="A1527" s="22"/>
      <c r="B1527" s="23" t="n">
        <v>507036000</v>
      </c>
      <c r="C1527" s="24"/>
      <c r="D1527" s="54" t="s">
        <v>1484</v>
      </c>
      <c r="E1527" s="19" t="s">
        <v>1485</v>
      </c>
      <c r="F1527" s="24" t="s">
        <v>1447</v>
      </c>
      <c r="G1527" s="25" t="n">
        <v>0.001</v>
      </c>
      <c r="H1527" s="26"/>
      <c r="I1527" s="27"/>
      <c r="J1527" s="28" t="n">
        <v>1000</v>
      </c>
      <c r="K1527" s="28" t="n">
        <v>1</v>
      </c>
      <c r="L1527" s="24" t="s">
        <v>1381</v>
      </c>
      <c r="M1527" s="29" t="n">
        <f aca="false">IF("oui" = "oui",1.01*(1-disc),1.01)</f>
        <v>1.01</v>
      </c>
      <c r="N1527" s="29" t="n">
        <f aca="false">IF("oui" = "oui",1.01*(1-disc)*1.2,1.01*1.2)</f>
        <v>1.212</v>
      </c>
      <c r="O1527" s="24" t="s">
        <v>25</v>
      </c>
      <c r="P1527" s="4" t="s">
        <v>25</v>
      </c>
      <c r="Q1527" s="16"/>
    </row>
    <row r="1528" customFormat="false" ht="12.8" hidden="false" customHeight="false" outlineLevel="0" collapsed="false">
      <c r="A1528" s="22"/>
      <c r="B1528" s="23" t="n">
        <v>507037000</v>
      </c>
      <c r="C1528" s="24"/>
      <c r="D1528" s="54" t="s">
        <v>1486</v>
      </c>
      <c r="E1528" s="19" t="s">
        <v>1485</v>
      </c>
      <c r="F1528" s="24" t="s">
        <v>1447</v>
      </c>
      <c r="G1528" s="25" t="n">
        <v>0.001</v>
      </c>
      <c r="H1528" s="26"/>
      <c r="I1528" s="27"/>
      <c r="J1528" s="28" t="n">
        <v>1000</v>
      </c>
      <c r="K1528" s="28" t="n">
        <v>1</v>
      </c>
      <c r="L1528" s="24" t="s">
        <v>1381</v>
      </c>
      <c r="M1528" s="29" t="n">
        <f aca="false">IF("oui" = "oui",1.01*(1-disc),1.01)</f>
        <v>1.01</v>
      </c>
      <c r="N1528" s="29" t="n">
        <f aca="false">IF("oui" = "oui",1.01*(1-disc)*1.2,1.01*1.2)</f>
        <v>1.212</v>
      </c>
      <c r="O1528" s="24" t="s">
        <v>25</v>
      </c>
      <c r="P1528" s="55" t="s">
        <v>381</v>
      </c>
      <c r="Q1528" s="16"/>
    </row>
    <row r="1529" customFormat="false" ht="12.8" hidden="false" customHeight="false" outlineLevel="0" collapsed="false">
      <c r="A1529" s="22"/>
      <c r="B1529" s="23" t="n">
        <v>507038000</v>
      </c>
      <c r="C1529" s="24"/>
      <c r="D1529" s="54" t="s">
        <v>1487</v>
      </c>
      <c r="E1529" s="19" t="s">
        <v>1485</v>
      </c>
      <c r="F1529" s="24" t="s">
        <v>1447</v>
      </c>
      <c r="G1529" s="25" t="n">
        <v>0.001</v>
      </c>
      <c r="H1529" s="26"/>
      <c r="I1529" s="27"/>
      <c r="J1529" s="28" t="n">
        <v>1000</v>
      </c>
      <c r="K1529" s="28" t="n">
        <v>1</v>
      </c>
      <c r="L1529" s="24" t="s">
        <v>1381</v>
      </c>
      <c r="M1529" s="29" t="n">
        <f aca="false">IF("oui" = "oui",1.01*(1-disc),1.01)</f>
        <v>1.01</v>
      </c>
      <c r="N1529" s="29" t="n">
        <f aca="false">IF("oui" = "oui",1.01*(1-disc)*1.2,1.01*1.2)</f>
        <v>1.212</v>
      </c>
      <c r="O1529" s="24" t="s">
        <v>25</v>
      </c>
      <c r="P1529" s="4" t="s">
        <v>25</v>
      </c>
      <c r="Q1529" s="16"/>
    </row>
    <row r="1530" customFormat="false" ht="12.8" hidden="false" customHeight="false" outlineLevel="0" collapsed="false">
      <c r="A1530" s="22"/>
      <c r="B1530" s="23" t="n">
        <v>507039000</v>
      </c>
      <c r="C1530" s="24"/>
      <c r="D1530" s="54" t="s">
        <v>1488</v>
      </c>
      <c r="E1530" s="19" t="s">
        <v>1485</v>
      </c>
      <c r="F1530" s="24" t="s">
        <v>1447</v>
      </c>
      <c r="G1530" s="25" t="n">
        <v>0.001</v>
      </c>
      <c r="H1530" s="26"/>
      <c r="I1530" s="27"/>
      <c r="J1530" s="28" t="n">
        <v>1000</v>
      </c>
      <c r="K1530" s="28" t="n">
        <v>1</v>
      </c>
      <c r="L1530" s="24" t="s">
        <v>1381</v>
      </c>
      <c r="M1530" s="29" t="n">
        <f aca="false">IF("oui" = "oui",1.01*(1-disc),1.01)</f>
        <v>1.01</v>
      </c>
      <c r="N1530" s="29" t="n">
        <f aca="false">IF("oui" = "oui",1.01*(1-disc)*1.2,1.01*1.2)</f>
        <v>1.212</v>
      </c>
      <c r="O1530" s="24" t="s">
        <v>25</v>
      </c>
      <c r="P1530" s="4" t="s">
        <v>25</v>
      </c>
      <c r="Q1530" s="16"/>
    </row>
    <row r="1531" customFormat="false" ht="12.8" hidden="false" customHeight="false" outlineLevel="0" collapsed="false">
      <c r="A1531" s="22"/>
      <c r="B1531" s="23" t="n">
        <v>507040000</v>
      </c>
      <c r="C1531" s="24"/>
      <c r="D1531" s="54" t="s">
        <v>1489</v>
      </c>
      <c r="E1531" s="19" t="s">
        <v>1485</v>
      </c>
      <c r="F1531" s="24" t="s">
        <v>1447</v>
      </c>
      <c r="G1531" s="25" t="n">
        <v>0.001</v>
      </c>
      <c r="H1531" s="26"/>
      <c r="I1531" s="27"/>
      <c r="J1531" s="28" t="n">
        <v>1000</v>
      </c>
      <c r="K1531" s="28" t="n">
        <v>1</v>
      </c>
      <c r="L1531" s="24" t="s">
        <v>1381</v>
      </c>
      <c r="M1531" s="29" t="n">
        <f aca="false">IF("oui" = "oui",1.01*(1-disc),1.01)</f>
        <v>1.01</v>
      </c>
      <c r="N1531" s="29" t="n">
        <f aca="false">IF("oui" = "oui",1.01*(1-disc)*1.2,1.01*1.2)</f>
        <v>1.212</v>
      </c>
      <c r="O1531" s="24" t="s">
        <v>25</v>
      </c>
      <c r="P1531" s="4" t="s">
        <v>25</v>
      </c>
      <c r="Q1531" s="16"/>
    </row>
    <row r="1532" customFormat="false" ht="12.8" hidden="false" customHeight="false" outlineLevel="0" collapsed="false">
      <c r="A1532" s="22"/>
      <c r="B1532" s="23" t="n">
        <v>507041000</v>
      </c>
      <c r="C1532" s="24"/>
      <c r="D1532" s="54" t="s">
        <v>1490</v>
      </c>
      <c r="E1532" s="19" t="s">
        <v>1485</v>
      </c>
      <c r="F1532" s="24" t="s">
        <v>1447</v>
      </c>
      <c r="G1532" s="25" t="n">
        <v>0.001</v>
      </c>
      <c r="H1532" s="26"/>
      <c r="I1532" s="27"/>
      <c r="J1532" s="28" t="n">
        <v>1000</v>
      </c>
      <c r="K1532" s="28" t="n">
        <v>1</v>
      </c>
      <c r="L1532" s="24" t="s">
        <v>1381</v>
      </c>
      <c r="M1532" s="29" t="n">
        <f aca="false">IF("oui" = "oui",1.01*(1-disc),1.01)</f>
        <v>1.01</v>
      </c>
      <c r="N1532" s="29" t="n">
        <f aca="false">IF("oui" = "oui",1.01*(1-disc)*1.2,1.01*1.2)</f>
        <v>1.212</v>
      </c>
      <c r="O1532" s="24" t="s">
        <v>25</v>
      </c>
      <c r="P1532" s="4" t="s">
        <v>25</v>
      </c>
      <c r="Q1532" s="16"/>
    </row>
    <row r="1533" customFormat="false" ht="12.8" hidden="false" customHeight="false" outlineLevel="0" collapsed="false">
      <c r="A1533" s="22"/>
      <c r="B1533" s="23" t="n">
        <v>507042000</v>
      </c>
      <c r="C1533" s="24"/>
      <c r="D1533" s="54" t="s">
        <v>1491</v>
      </c>
      <c r="E1533" s="19" t="s">
        <v>1485</v>
      </c>
      <c r="F1533" s="24" t="s">
        <v>1447</v>
      </c>
      <c r="G1533" s="25" t="n">
        <v>0.001</v>
      </c>
      <c r="H1533" s="26"/>
      <c r="I1533" s="27"/>
      <c r="J1533" s="28" t="n">
        <v>1000</v>
      </c>
      <c r="K1533" s="28" t="n">
        <v>1</v>
      </c>
      <c r="L1533" s="24" t="s">
        <v>1381</v>
      </c>
      <c r="M1533" s="29" t="n">
        <f aca="false">IF("oui" = "oui",1.01*(1-disc),1.01)</f>
        <v>1.01</v>
      </c>
      <c r="N1533" s="29" t="n">
        <f aca="false">IF("oui" = "oui",1.01*(1-disc)*1.2,1.01*1.2)</f>
        <v>1.212</v>
      </c>
      <c r="O1533" s="24" t="s">
        <v>25</v>
      </c>
      <c r="P1533" s="4" t="s">
        <v>25</v>
      </c>
      <c r="Q1533" s="16"/>
    </row>
    <row r="1534" customFormat="false" ht="12.8" hidden="false" customHeight="false" outlineLevel="0" collapsed="false">
      <c r="A1534" s="22"/>
      <c r="B1534" s="23" t="n">
        <v>507043000</v>
      </c>
      <c r="C1534" s="24"/>
      <c r="D1534" s="54" t="s">
        <v>1492</v>
      </c>
      <c r="E1534" s="19" t="s">
        <v>1485</v>
      </c>
      <c r="F1534" s="24" t="s">
        <v>1447</v>
      </c>
      <c r="G1534" s="25" t="n">
        <v>0.001</v>
      </c>
      <c r="H1534" s="26"/>
      <c r="I1534" s="27"/>
      <c r="J1534" s="28" t="n">
        <v>1000</v>
      </c>
      <c r="K1534" s="28" t="n">
        <v>1</v>
      </c>
      <c r="L1534" s="24" t="s">
        <v>1381</v>
      </c>
      <c r="M1534" s="29" t="n">
        <f aca="false">IF("oui" = "oui",1.01*(1-disc),1.01)</f>
        <v>1.01</v>
      </c>
      <c r="N1534" s="29" t="n">
        <f aca="false">IF("oui" = "oui",1.01*(1-disc)*1.2,1.01*1.2)</f>
        <v>1.212</v>
      </c>
      <c r="O1534" s="24" t="s">
        <v>25</v>
      </c>
      <c r="P1534" s="4" t="s">
        <v>25</v>
      </c>
      <c r="Q1534" s="16"/>
    </row>
    <row r="1535" customFormat="false" ht="12.8" hidden="false" customHeight="false" outlineLevel="0" collapsed="false">
      <c r="A1535" s="22"/>
      <c r="B1535" s="23"/>
      <c r="C1535" s="24"/>
      <c r="D1535" s="22"/>
      <c r="E1535" s="19"/>
      <c r="F1535" s="24"/>
      <c r="G1535" s="25"/>
      <c r="H1535" s="26"/>
      <c r="I1535" s="27"/>
      <c r="J1535" s="28"/>
      <c r="K1535" s="28"/>
      <c r="L1535" s="24"/>
      <c r="M1535" s="29"/>
      <c r="N1535" s="29"/>
      <c r="O1535" s="24"/>
      <c r="P1535" s="4"/>
      <c r="Q1535" s="16"/>
    </row>
    <row r="1536" customFormat="false" ht="12.8" hidden="false" customHeight="false" outlineLevel="0" collapsed="false">
      <c r="A1536" s="42" t="s">
        <v>1493</v>
      </c>
      <c r="B1536" s="43"/>
      <c r="C1536" s="44"/>
      <c r="D1536" s="45"/>
      <c r="E1536" s="46"/>
      <c r="F1536" s="44"/>
      <c r="G1536" s="47"/>
      <c r="H1536" s="48"/>
      <c r="I1536" s="49"/>
      <c r="J1536" s="50"/>
      <c r="K1536" s="50"/>
      <c r="L1536" s="44"/>
      <c r="M1536" s="51"/>
      <c r="N1536" s="51"/>
      <c r="O1536" s="44"/>
      <c r="P1536" s="52"/>
      <c r="Q1536" s="53"/>
    </row>
    <row r="1537" customFormat="false" ht="12.8" hidden="false" customHeight="false" outlineLevel="0" collapsed="false">
      <c r="A1537" s="22"/>
      <c r="B1537" s="23"/>
      <c r="C1537" s="24"/>
      <c r="D1537" s="22"/>
      <c r="E1537" s="19"/>
      <c r="F1537" s="24"/>
      <c r="G1537" s="25"/>
      <c r="H1537" s="26"/>
      <c r="I1537" s="27"/>
      <c r="J1537" s="28"/>
      <c r="K1537" s="28"/>
      <c r="L1537" s="24"/>
      <c r="M1537" s="29"/>
      <c r="N1537" s="29"/>
      <c r="O1537" s="24"/>
      <c r="P1537" s="4"/>
      <c r="Q1537" s="16"/>
    </row>
    <row r="1538" customFormat="false" ht="12.8" hidden="false" customHeight="false" outlineLevel="0" collapsed="false">
      <c r="A1538" s="22"/>
      <c r="B1538" s="23" t="n">
        <v>507176000</v>
      </c>
      <c r="C1538" s="24"/>
      <c r="D1538" s="22" t="s">
        <v>1494</v>
      </c>
      <c r="E1538" s="19" t="s">
        <v>1495</v>
      </c>
      <c r="F1538" s="24" t="s">
        <v>1496</v>
      </c>
      <c r="G1538" s="25" t="n">
        <v>0.01</v>
      </c>
      <c r="H1538" s="26"/>
      <c r="I1538" s="27"/>
      <c r="J1538" s="28" t="n">
        <v>100</v>
      </c>
      <c r="K1538" s="28" t="n">
        <v>1</v>
      </c>
      <c r="L1538" s="24" t="s">
        <v>631</v>
      </c>
      <c r="M1538" s="29" t="n">
        <f aca="false">IF("oui" = "oui",3.13*(1-disc),3.13)</f>
        <v>3.13</v>
      </c>
      <c r="N1538" s="29" t="n">
        <f aca="false">IF("oui" = "oui",3.13*(1-disc)*1.2,3.13*1.2)</f>
        <v>3.756</v>
      </c>
      <c r="O1538" s="24" t="s">
        <v>25</v>
      </c>
      <c r="P1538" s="4" t="s">
        <v>25</v>
      </c>
      <c r="Q1538" s="16"/>
    </row>
    <row r="1539" customFormat="false" ht="12.8" hidden="false" customHeight="false" outlineLevel="0" collapsed="false">
      <c r="A1539" s="22"/>
      <c r="B1539" s="23" t="n">
        <v>507021000</v>
      </c>
      <c r="C1539" s="24"/>
      <c r="D1539" s="22" t="s">
        <v>1497</v>
      </c>
      <c r="E1539" s="19" t="s">
        <v>1495</v>
      </c>
      <c r="F1539" s="24" t="s">
        <v>1496</v>
      </c>
      <c r="G1539" s="25" t="n">
        <v>0.012</v>
      </c>
      <c r="H1539" s="26"/>
      <c r="I1539" s="27"/>
      <c r="J1539" s="28" t="n">
        <v>100</v>
      </c>
      <c r="K1539" s="28" t="n">
        <v>1</v>
      </c>
      <c r="L1539" s="24" t="s">
        <v>631</v>
      </c>
      <c r="M1539" s="29" t="n">
        <f aca="false">IF("oui" = "oui",5.04*(1-disc),5.04)</f>
        <v>5.04</v>
      </c>
      <c r="N1539" s="29" t="n">
        <f aca="false">IF("oui" = "oui",5.04*(1-disc)*1.2,5.04*1.2)</f>
        <v>6.048</v>
      </c>
      <c r="O1539" s="24" t="s">
        <v>25</v>
      </c>
      <c r="P1539" s="4" t="s">
        <v>25</v>
      </c>
      <c r="Q1539" s="16"/>
    </row>
    <row r="1540" customFormat="false" ht="12.8" hidden="false" customHeight="false" outlineLevel="0" collapsed="false">
      <c r="A1540" s="22"/>
      <c r="B1540" s="23" t="n">
        <v>507022000</v>
      </c>
      <c r="C1540" s="24"/>
      <c r="D1540" s="22" t="s">
        <v>1498</v>
      </c>
      <c r="E1540" s="19" t="s">
        <v>1495</v>
      </c>
      <c r="F1540" s="24" t="s">
        <v>1496</v>
      </c>
      <c r="G1540" s="25" t="n">
        <v>0.013</v>
      </c>
      <c r="H1540" s="26"/>
      <c r="I1540" s="27"/>
      <c r="J1540" s="28" t="n">
        <v>100</v>
      </c>
      <c r="K1540" s="28" t="n">
        <v>1</v>
      </c>
      <c r="L1540" s="24" t="s">
        <v>631</v>
      </c>
      <c r="M1540" s="29" t="n">
        <f aca="false">IF("oui" = "oui",5.04*(1-disc),5.04)</f>
        <v>5.04</v>
      </c>
      <c r="N1540" s="29" t="n">
        <f aca="false">IF("oui" = "oui",5.04*(1-disc)*1.2,5.04*1.2)</f>
        <v>6.048</v>
      </c>
      <c r="O1540" s="24" t="s">
        <v>25</v>
      </c>
      <c r="P1540" s="4" t="s">
        <v>25</v>
      </c>
      <c r="Q1540" s="16"/>
    </row>
    <row r="1541" customFormat="false" ht="12.8" hidden="false" customHeight="false" outlineLevel="0" collapsed="false">
      <c r="A1541" s="22"/>
      <c r="B1541" s="23" t="n">
        <v>507024000</v>
      </c>
      <c r="C1541" s="24"/>
      <c r="D1541" s="22" t="s">
        <v>1499</v>
      </c>
      <c r="E1541" s="19" t="s">
        <v>1495</v>
      </c>
      <c r="F1541" s="24" t="s">
        <v>1496</v>
      </c>
      <c r="G1541" s="25" t="n">
        <v>0.016</v>
      </c>
      <c r="H1541" s="26"/>
      <c r="I1541" s="27"/>
      <c r="J1541" s="28" t="n">
        <v>100</v>
      </c>
      <c r="K1541" s="28" t="n">
        <v>1</v>
      </c>
      <c r="L1541" s="24" t="s">
        <v>631</v>
      </c>
      <c r="M1541" s="29" t="n">
        <f aca="false">IF("oui" = "oui",5.04*(1-disc),5.04)</f>
        <v>5.04</v>
      </c>
      <c r="N1541" s="29" t="n">
        <f aca="false">IF("oui" = "oui",5.04*(1-disc)*1.2,5.04*1.2)</f>
        <v>6.048</v>
      </c>
      <c r="O1541" s="24" t="s">
        <v>25</v>
      </c>
      <c r="P1541" s="4" t="s">
        <v>25</v>
      </c>
      <c r="Q1541" s="16"/>
    </row>
    <row r="1542" customFormat="false" ht="12.8" hidden="false" customHeight="false" outlineLevel="0" collapsed="false">
      <c r="A1542" s="22"/>
      <c r="B1542" s="23" t="n">
        <v>507025000</v>
      </c>
      <c r="C1542" s="24"/>
      <c r="D1542" s="22" t="s">
        <v>1500</v>
      </c>
      <c r="E1542" s="19" t="s">
        <v>1495</v>
      </c>
      <c r="F1542" s="24" t="s">
        <v>1496</v>
      </c>
      <c r="G1542" s="25" t="n">
        <v>0.017</v>
      </c>
      <c r="H1542" s="26"/>
      <c r="I1542" s="27"/>
      <c r="J1542" s="28" t="n">
        <v>100</v>
      </c>
      <c r="K1542" s="28" t="n">
        <v>1</v>
      </c>
      <c r="L1542" s="24" t="s">
        <v>631</v>
      </c>
      <c r="M1542" s="29" t="n">
        <f aca="false">IF("oui" = "oui",5.04*(1-disc),5.04)</f>
        <v>5.04</v>
      </c>
      <c r="N1542" s="29" t="n">
        <f aca="false">IF("oui" = "oui",5.04*(1-disc)*1.2,5.04*1.2)</f>
        <v>6.048</v>
      </c>
      <c r="O1542" s="24" t="s">
        <v>25</v>
      </c>
      <c r="P1542" s="4" t="s">
        <v>25</v>
      </c>
      <c r="Q1542" s="16"/>
    </row>
    <row r="1543" customFormat="false" ht="12.8" hidden="false" customHeight="false" outlineLevel="0" collapsed="false">
      <c r="A1543" s="22"/>
      <c r="B1543" s="23"/>
      <c r="C1543" s="24"/>
      <c r="D1543" s="22"/>
      <c r="E1543" s="19"/>
      <c r="F1543" s="24"/>
      <c r="G1543" s="25"/>
      <c r="H1543" s="26"/>
      <c r="I1543" s="27"/>
      <c r="J1543" s="28"/>
      <c r="K1543" s="28"/>
      <c r="L1543" s="24"/>
      <c r="M1543" s="29"/>
      <c r="N1543" s="29"/>
      <c r="O1543" s="24"/>
      <c r="P1543" s="4"/>
      <c r="Q1543" s="16"/>
    </row>
    <row r="1544" customFormat="false" ht="12.8" hidden="false" customHeight="false" outlineLevel="0" collapsed="false">
      <c r="A1544" s="22"/>
      <c r="B1544" s="23" t="n">
        <v>507212000</v>
      </c>
      <c r="C1544" s="24"/>
      <c r="D1544" s="22" t="s">
        <v>1501</v>
      </c>
      <c r="E1544" s="19"/>
      <c r="F1544" s="24"/>
      <c r="G1544" s="25" t="n">
        <v>0.01</v>
      </c>
      <c r="H1544" s="26"/>
      <c r="I1544" s="27"/>
      <c r="J1544" s="28" t="n">
        <v>50</v>
      </c>
      <c r="K1544" s="28" t="n">
        <v>1</v>
      </c>
      <c r="L1544" s="24" t="s">
        <v>631</v>
      </c>
      <c r="M1544" s="29" t="n">
        <f aca="false">IF("oui" = "oui",10.08*(1-disc),10.08)</f>
        <v>10.08</v>
      </c>
      <c r="N1544" s="29" t="n">
        <f aca="false">IF("oui" = "oui",10.08*(1-disc)*1.2,10.08*1.2)</f>
        <v>12.096</v>
      </c>
      <c r="O1544" s="24" t="s">
        <v>25</v>
      </c>
      <c r="P1544" s="4" t="s">
        <v>25</v>
      </c>
      <c r="Q1544" s="16"/>
    </row>
    <row r="1545" customFormat="false" ht="12.8" hidden="false" customHeight="false" outlineLevel="0" collapsed="false">
      <c r="A1545" s="22"/>
      <c r="B1545" s="23" t="n">
        <v>507027000</v>
      </c>
      <c r="C1545" s="24"/>
      <c r="D1545" s="22" t="s">
        <v>1502</v>
      </c>
      <c r="E1545" s="19" t="s">
        <v>1503</v>
      </c>
      <c r="F1545" s="24" t="s">
        <v>1496</v>
      </c>
      <c r="G1545" s="25" t="n">
        <v>0.026</v>
      </c>
      <c r="H1545" s="26"/>
      <c r="I1545" s="27"/>
      <c r="J1545" s="28" t="n">
        <v>50</v>
      </c>
      <c r="K1545" s="28" t="n">
        <v>1</v>
      </c>
      <c r="L1545" s="24" t="s">
        <v>631</v>
      </c>
      <c r="M1545" s="29" t="n">
        <f aca="false">IF("oui" = "oui",10.08*(1-disc),10.08)</f>
        <v>10.08</v>
      </c>
      <c r="N1545" s="29" t="n">
        <f aca="false">IF("oui" = "oui",10.08*(1-disc)*1.2,10.08*1.2)</f>
        <v>12.096</v>
      </c>
      <c r="O1545" s="24" t="s">
        <v>25</v>
      </c>
      <c r="P1545" s="4" t="s">
        <v>25</v>
      </c>
      <c r="Q1545" s="16"/>
    </row>
    <row r="1546" customFormat="false" ht="12.8" hidden="false" customHeight="false" outlineLevel="0" collapsed="false">
      <c r="A1546" s="22"/>
      <c r="B1546" s="23" t="n">
        <v>507028000</v>
      </c>
      <c r="C1546" s="24"/>
      <c r="D1546" s="22" t="s">
        <v>1504</v>
      </c>
      <c r="E1546" s="19" t="s">
        <v>1503</v>
      </c>
      <c r="F1546" s="24" t="s">
        <v>1496</v>
      </c>
      <c r="G1546" s="25" t="n">
        <v>0.032</v>
      </c>
      <c r="H1546" s="26"/>
      <c r="I1546" s="27"/>
      <c r="J1546" s="28" t="n">
        <v>50</v>
      </c>
      <c r="K1546" s="28" t="n">
        <v>1</v>
      </c>
      <c r="L1546" s="24" t="s">
        <v>631</v>
      </c>
      <c r="M1546" s="29" t="n">
        <f aca="false">IF("oui" = "oui",10.08*(1-disc),10.08)</f>
        <v>10.08</v>
      </c>
      <c r="N1546" s="29" t="n">
        <f aca="false">IF("oui" = "oui",10.08*(1-disc)*1.2,10.08*1.2)</f>
        <v>12.096</v>
      </c>
      <c r="O1546" s="24" t="s">
        <v>25</v>
      </c>
      <c r="P1546" s="4" t="s">
        <v>25</v>
      </c>
      <c r="Q1546" s="16"/>
    </row>
    <row r="1547" customFormat="false" ht="12.8" hidden="false" customHeight="false" outlineLevel="0" collapsed="false">
      <c r="A1547" s="22"/>
      <c r="B1547" s="23" t="n">
        <v>507029000</v>
      </c>
      <c r="C1547" s="24"/>
      <c r="D1547" s="22" t="s">
        <v>1505</v>
      </c>
      <c r="E1547" s="19" t="s">
        <v>1503</v>
      </c>
      <c r="F1547" s="24" t="s">
        <v>1496</v>
      </c>
      <c r="G1547" s="25" t="n">
        <v>0.038</v>
      </c>
      <c r="H1547" s="26"/>
      <c r="I1547" s="27"/>
      <c r="J1547" s="28" t="n">
        <v>50</v>
      </c>
      <c r="K1547" s="28" t="n">
        <v>1</v>
      </c>
      <c r="L1547" s="24" t="s">
        <v>631</v>
      </c>
      <c r="M1547" s="29" t="n">
        <f aca="false">IF("oui" = "oui",10.08*(1-disc),10.08)</f>
        <v>10.08</v>
      </c>
      <c r="N1547" s="29" t="n">
        <f aca="false">IF("oui" = "oui",10.08*(1-disc)*1.2,10.08*1.2)</f>
        <v>12.096</v>
      </c>
      <c r="O1547" s="24" t="s">
        <v>25</v>
      </c>
      <c r="P1547" s="4" t="s">
        <v>25</v>
      </c>
      <c r="Q1547" s="16"/>
    </row>
    <row r="1548" customFormat="false" ht="12.8" hidden="false" customHeight="false" outlineLevel="0" collapsed="false">
      <c r="A1548" s="22"/>
      <c r="B1548" s="23" t="n">
        <v>507030000</v>
      </c>
      <c r="C1548" s="24"/>
      <c r="D1548" s="22" t="s">
        <v>1506</v>
      </c>
      <c r="E1548" s="19" t="s">
        <v>1503</v>
      </c>
      <c r="F1548" s="24" t="s">
        <v>1496</v>
      </c>
      <c r="G1548" s="25" t="n">
        <v>0.043</v>
      </c>
      <c r="H1548" s="26"/>
      <c r="I1548" s="27"/>
      <c r="J1548" s="28" t="n">
        <v>50</v>
      </c>
      <c r="K1548" s="28" t="n">
        <v>1</v>
      </c>
      <c r="L1548" s="24" t="s">
        <v>631</v>
      </c>
      <c r="M1548" s="29" t="n">
        <f aca="false">IF("oui" = "oui",10.08*(1-disc),10.08)</f>
        <v>10.08</v>
      </c>
      <c r="N1548" s="29" t="n">
        <f aca="false">IF("oui" = "oui",10.08*(1-disc)*1.2,10.08*1.2)</f>
        <v>12.096</v>
      </c>
      <c r="O1548" s="24" t="s">
        <v>25</v>
      </c>
      <c r="P1548" s="4" t="s">
        <v>25</v>
      </c>
      <c r="Q1548" s="16"/>
    </row>
    <row r="1549" customFormat="false" ht="12.8" hidden="false" customHeight="false" outlineLevel="0" collapsed="false">
      <c r="A1549" s="22"/>
      <c r="B1549" s="23" t="n">
        <v>507031000</v>
      </c>
      <c r="C1549" s="24"/>
      <c r="D1549" s="22" t="s">
        <v>1507</v>
      </c>
      <c r="E1549" s="19" t="s">
        <v>1503</v>
      </c>
      <c r="F1549" s="24" t="s">
        <v>1496</v>
      </c>
      <c r="G1549" s="25" t="n">
        <v>0.049</v>
      </c>
      <c r="H1549" s="26"/>
      <c r="I1549" s="27"/>
      <c r="J1549" s="28" t="n">
        <v>50</v>
      </c>
      <c r="K1549" s="28" t="n">
        <v>1</v>
      </c>
      <c r="L1549" s="24" t="s">
        <v>631</v>
      </c>
      <c r="M1549" s="29" t="n">
        <f aca="false">IF("oui" = "oui",10.08*(1-disc),10.08)</f>
        <v>10.08</v>
      </c>
      <c r="N1549" s="29" t="n">
        <f aca="false">IF("oui" = "oui",10.08*(1-disc)*1.2,10.08*1.2)</f>
        <v>12.096</v>
      </c>
      <c r="O1549" s="24" t="s">
        <v>25</v>
      </c>
      <c r="P1549" s="4" t="s">
        <v>25</v>
      </c>
      <c r="Q1549" s="16"/>
    </row>
    <row r="1550" customFormat="false" ht="12.8" hidden="false" customHeight="false" outlineLevel="0" collapsed="false">
      <c r="A1550" s="22"/>
      <c r="B1550" s="23"/>
      <c r="C1550" s="24"/>
      <c r="D1550" s="22"/>
      <c r="E1550" s="19"/>
      <c r="F1550" s="24"/>
      <c r="G1550" s="25"/>
      <c r="H1550" s="26"/>
      <c r="I1550" s="27"/>
      <c r="J1550" s="28"/>
      <c r="K1550" s="28"/>
      <c r="L1550" s="24"/>
      <c r="M1550" s="29"/>
      <c r="N1550" s="29"/>
      <c r="O1550" s="24"/>
      <c r="P1550" s="4"/>
      <c r="Q1550" s="16"/>
    </row>
    <row r="1551" customFormat="false" ht="12.8" hidden="false" customHeight="false" outlineLevel="0" collapsed="false">
      <c r="A1551" s="42" t="s">
        <v>1508</v>
      </c>
      <c r="B1551" s="43"/>
      <c r="C1551" s="44"/>
      <c r="D1551" s="45"/>
      <c r="E1551" s="46"/>
      <c r="F1551" s="44"/>
      <c r="G1551" s="47"/>
      <c r="H1551" s="48"/>
      <c r="I1551" s="49"/>
      <c r="J1551" s="50"/>
      <c r="K1551" s="50"/>
      <c r="L1551" s="44"/>
      <c r="M1551" s="51"/>
      <c r="N1551" s="51"/>
      <c r="O1551" s="44"/>
      <c r="P1551" s="52"/>
      <c r="Q1551" s="53"/>
    </row>
    <row r="1552" customFormat="false" ht="12.8" hidden="false" customHeight="false" outlineLevel="0" collapsed="false">
      <c r="A1552" s="22"/>
      <c r="B1552" s="23"/>
      <c r="C1552" s="24"/>
      <c r="D1552" s="22"/>
      <c r="E1552" s="19"/>
      <c r="F1552" s="24"/>
      <c r="G1552" s="25"/>
      <c r="H1552" s="26"/>
      <c r="I1552" s="27"/>
      <c r="J1552" s="28"/>
      <c r="K1552" s="28"/>
      <c r="L1552" s="24"/>
      <c r="M1552" s="29"/>
      <c r="N1552" s="29"/>
      <c r="O1552" s="24"/>
      <c r="P1552" s="4"/>
      <c r="Q1552" s="16"/>
    </row>
    <row r="1553" customFormat="false" ht="12.8" hidden="false" customHeight="false" outlineLevel="0" collapsed="false">
      <c r="A1553" s="22"/>
      <c r="B1553" s="23" t="n">
        <v>507465000</v>
      </c>
      <c r="C1553" s="24"/>
      <c r="D1553" s="22" t="s">
        <v>1509</v>
      </c>
      <c r="E1553" s="19"/>
      <c r="F1553" s="24"/>
      <c r="G1553" s="25"/>
      <c r="H1553" s="26"/>
      <c r="I1553" s="27"/>
      <c r="J1553" s="28" t="n">
        <v>50</v>
      </c>
      <c r="K1553" s="28" t="n">
        <v>1</v>
      </c>
      <c r="L1553" s="24" t="s">
        <v>1465</v>
      </c>
      <c r="M1553" s="29" t="n">
        <f aca="false">IF("oui" = "oui",8.69*(1-disc),8.69)</f>
        <v>8.69</v>
      </c>
      <c r="N1553" s="29" t="n">
        <f aca="false">IF("oui" = "oui",8.69*(1-disc)*1.2,8.69*1.2)</f>
        <v>10.428</v>
      </c>
      <c r="O1553" s="24" t="s">
        <v>25</v>
      </c>
      <c r="P1553" s="4" t="s">
        <v>25</v>
      </c>
      <c r="Q1553" s="16"/>
    </row>
    <row r="1554" customFormat="false" ht="12.8" hidden="false" customHeight="false" outlineLevel="0" collapsed="false">
      <c r="A1554" s="22"/>
      <c r="B1554" s="23" t="n">
        <v>507466000</v>
      </c>
      <c r="C1554" s="24"/>
      <c r="D1554" s="22" t="s">
        <v>1510</v>
      </c>
      <c r="E1554" s="19"/>
      <c r="F1554" s="24"/>
      <c r="G1554" s="25"/>
      <c r="H1554" s="26"/>
      <c r="I1554" s="27"/>
      <c r="J1554" s="28" t="n">
        <v>12</v>
      </c>
      <c r="K1554" s="28" t="n">
        <v>1</v>
      </c>
      <c r="L1554" s="24" t="s">
        <v>1465</v>
      </c>
      <c r="M1554" s="29" t="n">
        <f aca="false">IF("oui" = "oui",15.8*(1-disc),15.8)</f>
        <v>15.8</v>
      </c>
      <c r="N1554" s="29" t="n">
        <f aca="false">IF("oui" = "oui",15.8*(1-disc)*1.2,15.8*1.2)</f>
        <v>18.96</v>
      </c>
      <c r="O1554" s="24" t="s">
        <v>25</v>
      </c>
      <c r="P1554" s="4" t="s">
        <v>25</v>
      </c>
      <c r="Q1554" s="16"/>
    </row>
    <row r="1555" customFormat="false" ht="12.8" hidden="false" customHeight="false" outlineLevel="0" collapsed="false">
      <c r="A1555" s="22"/>
      <c r="B1555" s="23" t="n">
        <v>507467000</v>
      </c>
      <c r="C1555" s="24"/>
      <c r="D1555" s="22" t="s">
        <v>1511</v>
      </c>
      <c r="E1555" s="19"/>
      <c r="F1555" s="24"/>
      <c r="G1555" s="25"/>
      <c r="H1555" s="26"/>
      <c r="I1555" s="27"/>
      <c r="J1555" s="28" t="n">
        <v>8</v>
      </c>
      <c r="K1555" s="28" t="n">
        <v>1</v>
      </c>
      <c r="L1555" s="24" t="s">
        <v>1465</v>
      </c>
      <c r="M1555" s="29" t="n">
        <f aca="false">IF("oui" = "oui",32.68*(1-disc),32.68)</f>
        <v>32.68</v>
      </c>
      <c r="N1555" s="29" t="n">
        <f aca="false">IF("oui" = "oui",32.68*(1-disc)*1.2,32.68*1.2)</f>
        <v>39.216</v>
      </c>
      <c r="O1555" s="24" t="s">
        <v>25</v>
      </c>
      <c r="P1555" s="4" t="s">
        <v>25</v>
      </c>
      <c r="Q1555" s="16"/>
    </row>
    <row r="1556" customFormat="false" ht="12.8" hidden="false" customHeight="false" outlineLevel="0" collapsed="false">
      <c r="A1556" s="22"/>
      <c r="B1556" s="23"/>
      <c r="C1556" s="24"/>
      <c r="D1556" s="22"/>
      <c r="E1556" s="19"/>
      <c r="F1556" s="24"/>
      <c r="G1556" s="25"/>
      <c r="H1556" s="26"/>
      <c r="I1556" s="27"/>
      <c r="J1556" s="28"/>
      <c r="K1556" s="28"/>
      <c r="L1556" s="24"/>
      <c r="M1556" s="29"/>
      <c r="N1556" s="29"/>
      <c r="O1556" s="24"/>
      <c r="P1556" s="4"/>
      <c r="Q1556" s="16"/>
    </row>
    <row r="1557" customFormat="false" ht="12.8" hidden="false" customHeight="false" outlineLevel="0" collapsed="false">
      <c r="A1557" s="42" t="s">
        <v>1512</v>
      </c>
      <c r="B1557" s="43"/>
      <c r="C1557" s="44"/>
      <c r="D1557" s="45"/>
      <c r="E1557" s="46"/>
      <c r="F1557" s="44"/>
      <c r="G1557" s="47"/>
      <c r="H1557" s="48"/>
      <c r="I1557" s="49"/>
      <c r="J1557" s="50"/>
      <c r="K1557" s="50"/>
      <c r="L1557" s="44"/>
      <c r="M1557" s="51"/>
      <c r="N1557" s="51"/>
      <c r="O1557" s="44"/>
      <c r="P1557" s="52"/>
      <c r="Q1557" s="53"/>
    </row>
    <row r="1558" customFormat="false" ht="12.8" hidden="false" customHeight="false" outlineLevel="0" collapsed="false">
      <c r="A1558" s="22"/>
      <c r="B1558" s="23"/>
      <c r="C1558" s="24"/>
      <c r="D1558" s="22"/>
      <c r="E1558" s="19"/>
      <c r="F1558" s="24"/>
      <c r="G1558" s="25"/>
      <c r="H1558" s="26"/>
      <c r="I1558" s="27"/>
      <c r="J1558" s="28"/>
      <c r="K1558" s="28"/>
      <c r="L1558" s="24"/>
      <c r="M1558" s="29"/>
      <c r="N1558" s="29"/>
      <c r="O1558" s="24"/>
      <c r="P1558" s="4"/>
      <c r="Q1558" s="16"/>
    </row>
    <row r="1559" customFormat="false" ht="12.8" hidden="false" customHeight="false" outlineLevel="0" collapsed="false">
      <c r="A1559" s="22"/>
      <c r="B1559" s="23" t="n">
        <v>507003000</v>
      </c>
      <c r="C1559" s="24"/>
      <c r="D1559" s="22" t="s">
        <v>1513</v>
      </c>
      <c r="E1559" s="19"/>
      <c r="F1559" s="24"/>
      <c r="G1559" s="25"/>
      <c r="H1559" s="26"/>
      <c r="I1559" s="27"/>
      <c r="J1559" s="28" t="n">
        <v>1</v>
      </c>
      <c r="K1559" s="28" t="n">
        <v>1</v>
      </c>
      <c r="L1559" s="24" t="s">
        <v>1465</v>
      </c>
      <c r="M1559" s="57" t="n">
        <f aca="false">IF("non" = "oui",10.87*(1-disc),10.87)</f>
        <v>10.87</v>
      </c>
      <c r="N1559" s="57" t="n">
        <f aca="false">IF("non" = "oui",10.87*(1-disc)*1.2,10.87*1.2)</f>
        <v>13.044</v>
      </c>
      <c r="O1559" s="58" t="s">
        <v>26</v>
      </c>
      <c r="P1559" s="55" t="s">
        <v>1514</v>
      </c>
      <c r="Q1559" s="16"/>
    </row>
    <row r="1560" customFormat="false" ht="12.8" hidden="false" customHeight="false" outlineLevel="0" collapsed="false">
      <c r="A1560" s="22"/>
      <c r="B1560" s="23" t="n">
        <v>507004000</v>
      </c>
      <c r="C1560" s="24"/>
      <c r="D1560" s="22" t="s">
        <v>1515</v>
      </c>
      <c r="E1560" s="19"/>
      <c r="F1560" s="24"/>
      <c r="G1560" s="25"/>
      <c r="H1560" s="26"/>
      <c r="I1560" s="27"/>
      <c r="J1560" s="28" t="n">
        <v>1</v>
      </c>
      <c r="K1560" s="28" t="n">
        <v>1</v>
      </c>
      <c r="L1560" s="24" t="s">
        <v>1465</v>
      </c>
      <c r="M1560" s="57" t="n">
        <f aca="false">IF("non" = "oui",28.25*(1-disc),28.25)</f>
        <v>28.25</v>
      </c>
      <c r="N1560" s="57" t="n">
        <f aca="false">IF("non" = "oui",28.25*(1-disc)*1.2,28.25*1.2)</f>
        <v>33.9</v>
      </c>
      <c r="O1560" s="58" t="s">
        <v>26</v>
      </c>
      <c r="P1560" s="55" t="s">
        <v>605</v>
      </c>
      <c r="Q1560" s="16"/>
    </row>
    <row r="1561" customFormat="false" ht="12.8" hidden="false" customHeight="false" outlineLevel="0" collapsed="false">
      <c r="A1561" s="22"/>
      <c r="B1561" s="23"/>
      <c r="C1561" s="24"/>
      <c r="D1561" s="22"/>
      <c r="E1561" s="19"/>
      <c r="F1561" s="24"/>
      <c r="G1561" s="25"/>
      <c r="H1561" s="26"/>
      <c r="I1561" s="27"/>
      <c r="J1561" s="28"/>
      <c r="K1561" s="28"/>
      <c r="L1561" s="24"/>
      <c r="M1561" s="29"/>
      <c r="N1561" s="29"/>
      <c r="O1561" s="24"/>
      <c r="P1561" s="4"/>
      <c r="Q1561" s="16"/>
    </row>
    <row r="1562" customFormat="false" ht="12.8" hidden="false" customHeight="false" outlineLevel="0" collapsed="false">
      <c r="A1562" s="42" t="s">
        <v>1516</v>
      </c>
      <c r="B1562" s="43"/>
      <c r="C1562" s="44"/>
      <c r="D1562" s="45"/>
      <c r="E1562" s="46"/>
      <c r="F1562" s="44"/>
      <c r="G1562" s="47"/>
      <c r="H1562" s="48"/>
      <c r="I1562" s="49"/>
      <c r="J1562" s="50"/>
      <c r="K1562" s="50"/>
      <c r="L1562" s="44"/>
      <c r="M1562" s="51"/>
      <c r="N1562" s="51"/>
      <c r="O1562" s="44"/>
      <c r="P1562" s="52"/>
      <c r="Q1562" s="53"/>
    </row>
    <row r="1563" customFormat="false" ht="12.8" hidden="false" customHeight="false" outlineLevel="0" collapsed="false">
      <c r="A1563" s="22"/>
      <c r="B1563" s="23"/>
      <c r="C1563" s="24"/>
      <c r="D1563" s="22"/>
      <c r="E1563" s="19"/>
      <c r="F1563" s="24"/>
      <c r="G1563" s="25"/>
      <c r="H1563" s="26"/>
      <c r="I1563" s="27"/>
      <c r="J1563" s="28"/>
      <c r="K1563" s="28"/>
      <c r="L1563" s="24"/>
      <c r="M1563" s="29"/>
      <c r="N1563" s="29"/>
      <c r="O1563" s="24"/>
      <c r="P1563" s="4"/>
      <c r="Q1563" s="16"/>
    </row>
    <row r="1564" customFormat="false" ht="12.8" hidden="false" customHeight="false" outlineLevel="0" collapsed="false">
      <c r="A1564" s="22"/>
      <c r="B1564" s="23" t="n">
        <v>507142000</v>
      </c>
      <c r="C1564" s="24"/>
      <c r="D1564" s="22" t="s">
        <v>1517</v>
      </c>
      <c r="E1564" s="19"/>
      <c r="F1564" s="24"/>
      <c r="G1564" s="25"/>
      <c r="H1564" s="26"/>
      <c r="I1564" s="27"/>
      <c r="J1564" s="28" t="n">
        <v>25</v>
      </c>
      <c r="K1564" s="28" t="n">
        <v>1</v>
      </c>
      <c r="L1564" s="24" t="s">
        <v>1465</v>
      </c>
      <c r="M1564" s="29" t="n">
        <f aca="false">IF("oui" = "oui",1.6*(1-disc),1.6)</f>
        <v>1.6</v>
      </c>
      <c r="N1564" s="29" t="n">
        <f aca="false">IF("oui" = "oui",1.6*(1-disc)*1.2,1.6*1.2)</f>
        <v>1.92</v>
      </c>
      <c r="O1564" s="24" t="s">
        <v>25</v>
      </c>
      <c r="P1564" s="4" t="s">
        <v>25</v>
      </c>
      <c r="Q1564" s="16"/>
    </row>
    <row r="1565" customFormat="false" ht="12.8" hidden="false" customHeight="false" outlineLevel="0" collapsed="false">
      <c r="A1565" s="22"/>
      <c r="B1565" s="23" t="n">
        <v>507143000</v>
      </c>
      <c r="C1565" s="24"/>
      <c r="D1565" s="22" t="s">
        <v>1518</v>
      </c>
      <c r="E1565" s="19"/>
      <c r="F1565" s="24"/>
      <c r="G1565" s="25"/>
      <c r="H1565" s="26"/>
      <c r="I1565" s="27"/>
      <c r="J1565" s="28" t="n">
        <v>25</v>
      </c>
      <c r="K1565" s="28" t="n">
        <v>1</v>
      </c>
      <c r="L1565" s="24" t="s">
        <v>1465</v>
      </c>
      <c r="M1565" s="29" t="n">
        <f aca="false">IF("oui" = "oui",2.43*(1-disc),2.43)</f>
        <v>2.43</v>
      </c>
      <c r="N1565" s="29" t="n">
        <f aca="false">IF("oui" = "oui",2.43*(1-disc)*1.2,2.43*1.2)</f>
        <v>2.916</v>
      </c>
      <c r="O1565" s="24" t="s">
        <v>25</v>
      </c>
      <c r="P1565" s="7" t="s">
        <v>26</v>
      </c>
      <c r="Q1565" s="16"/>
    </row>
    <row r="1566" customFormat="false" ht="12.8" hidden="false" customHeight="false" outlineLevel="0" collapsed="false">
      <c r="A1566" s="22"/>
      <c r="B1566" s="23" t="n">
        <v>507568000</v>
      </c>
      <c r="C1566" s="24"/>
      <c r="D1566" s="22" t="s">
        <v>1519</v>
      </c>
      <c r="E1566" s="19"/>
      <c r="F1566" s="24"/>
      <c r="G1566" s="25"/>
      <c r="H1566" s="26"/>
      <c r="I1566" s="27"/>
      <c r="J1566" s="28" t="n">
        <v>9</v>
      </c>
      <c r="K1566" s="28" t="n">
        <v>1</v>
      </c>
      <c r="L1566" s="24" t="s">
        <v>1465</v>
      </c>
      <c r="M1566" s="29" t="n">
        <f aca="false">IF("oui" = "oui",7.61*(1-disc),7.61)</f>
        <v>7.61</v>
      </c>
      <c r="N1566" s="29" t="n">
        <f aca="false">IF("oui" = "oui",7.61*(1-disc)*1.2,7.61*1.2)</f>
        <v>9.132</v>
      </c>
      <c r="O1566" s="24" t="s">
        <v>25</v>
      </c>
      <c r="P1566" s="55" t="s">
        <v>600</v>
      </c>
      <c r="Q1566" s="16"/>
    </row>
    <row r="1567" customFormat="false" ht="12.8" hidden="false" customHeight="false" outlineLevel="0" collapsed="false">
      <c r="A1567" s="22"/>
      <c r="B1567" s="23" t="n">
        <v>507569000</v>
      </c>
      <c r="C1567" s="24"/>
      <c r="D1567" s="22" t="s">
        <v>1520</v>
      </c>
      <c r="E1567" s="19"/>
      <c r="F1567" s="24"/>
      <c r="G1567" s="25"/>
      <c r="H1567" s="26"/>
      <c r="I1567" s="27"/>
      <c r="J1567" s="28" t="n">
        <v>9</v>
      </c>
      <c r="K1567" s="28" t="n">
        <v>1</v>
      </c>
      <c r="L1567" s="24" t="s">
        <v>1465</v>
      </c>
      <c r="M1567" s="29" t="n">
        <f aca="false">IF("oui" = "oui",9.78*(1-disc),9.78)</f>
        <v>9.78</v>
      </c>
      <c r="N1567" s="29" t="n">
        <f aca="false">IF("oui" = "oui",9.78*(1-disc)*1.2,9.78*1.2)</f>
        <v>11.736</v>
      </c>
      <c r="O1567" s="24" t="s">
        <v>25</v>
      </c>
      <c r="P1567" s="55" t="s">
        <v>381</v>
      </c>
      <c r="Q1567" s="16"/>
    </row>
    <row r="1568" customFormat="false" ht="12.8" hidden="false" customHeight="false" outlineLevel="0" collapsed="false">
      <c r="A1568" s="22"/>
      <c r="B1568" s="23" t="n">
        <v>507006000</v>
      </c>
      <c r="C1568" s="24"/>
      <c r="D1568" s="22" t="s">
        <v>1521</v>
      </c>
      <c r="E1568" s="19"/>
      <c r="F1568" s="24"/>
      <c r="G1568" s="25"/>
      <c r="H1568" s="26"/>
      <c r="I1568" s="27"/>
      <c r="J1568" s="28" t="n">
        <v>1</v>
      </c>
      <c r="K1568" s="28" t="n">
        <v>1</v>
      </c>
      <c r="L1568" s="24" t="s">
        <v>1465</v>
      </c>
      <c r="M1568" s="29" t="n">
        <f aca="false">IF("oui" = "oui",2.93*(1-disc),2.93)</f>
        <v>2.93</v>
      </c>
      <c r="N1568" s="29" t="n">
        <f aca="false">IF("oui" = "oui",2.93*(1-disc)*1.2,2.93*1.2)</f>
        <v>3.516</v>
      </c>
      <c r="O1568" s="24" t="s">
        <v>25</v>
      </c>
      <c r="P1568" s="4" t="s">
        <v>25</v>
      </c>
      <c r="Q1568" s="16"/>
    </row>
    <row r="1569" customFormat="false" ht="12.8" hidden="false" customHeight="false" outlineLevel="0" collapsed="false">
      <c r="A1569" s="22"/>
      <c r="B1569" s="23" t="n">
        <v>507007000</v>
      </c>
      <c r="C1569" s="24"/>
      <c r="D1569" s="22" t="s">
        <v>1522</v>
      </c>
      <c r="E1569" s="19"/>
      <c r="F1569" s="24"/>
      <c r="G1569" s="25"/>
      <c r="H1569" s="26"/>
      <c r="I1569" s="27"/>
      <c r="J1569" s="28" t="n">
        <v>1</v>
      </c>
      <c r="K1569" s="28" t="n">
        <v>1</v>
      </c>
      <c r="L1569" s="24" t="s">
        <v>1465</v>
      </c>
      <c r="M1569" s="29" t="n">
        <f aca="false">IF("oui" = "oui",6.85*(1-disc),6.85)</f>
        <v>6.85</v>
      </c>
      <c r="N1569" s="29" t="n">
        <f aca="false">IF("oui" = "oui",6.85*(1-disc)*1.2,6.85*1.2)</f>
        <v>8.22</v>
      </c>
      <c r="O1569" s="24" t="s">
        <v>25</v>
      </c>
      <c r="P1569" s="4" t="s">
        <v>25</v>
      </c>
      <c r="Q1569" s="16"/>
    </row>
    <row r="1570" customFormat="false" ht="12.8" hidden="false" customHeight="false" outlineLevel="0" collapsed="false">
      <c r="A1570" s="22"/>
      <c r="B1570" s="23" t="n">
        <v>507008000</v>
      </c>
      <c r="C1570" s="24"/>
      <c r="D1570" s="22" t="s">
        <v>1523</v>
      </c>
      <c r="E1570" s="19"/>
      <c r="F1570" s="24"/>
      <c r="G1570" s="25"/>
      <c r="H1570" s="26"/>
      <c r="I1570" s="27"/>
      <c r="J1570" s="28" t="n">
        <v>1</v>
      </c>
      <c r="K1570" s="28" t="n">
        <v>1</v>
      </c>
      <c r="L1570" s="24" t="s">
        <v>1465</v>
      </c>
      <c r="M1570" s="29" t="n">
        <f aca="false">IF("oui" = "oui",12.17*(1-disc),12.17)</f>
        <v>12.17</v>
      </c>
      <c r="N1570" s="29" t="n">
        <f aca="false">IF("oui" = "oui",12.17*(1-disc)*1.2,12.17*1.2)</f>
        <v>14.604</v>
      </c>
      <c r="O1570" s="24" t="s">
        <v>25</v>
      </c>
      <c r="P1570" s="4" t="s">
        <v>25</v>
      </c>
      <c r="Q1570" s="16"/>
    </row>
    <row r="1571" customFormat="false" ht="12.8" hidden="false" customHeight="false" outlineLevel="0" collapsed="false">
      <c r="A1571" s="22"/>
      <c r="B1571" s="23" t="n">
        <v>507009000</v>
      </c>
      <c r="C1571" s="24"/>
      <c r="D1571" s="22" t="s">
        <v>1524</v>
      </c>
      <c r="E1571" s="19"/>
      <c r="F1571" s="24"/>
      <c r="G1571" s="25"/>
      <c r="H1571" s="26"/>
      <c r="I1571" s="27"/>
      <c r="J1571" s="28" t="n">
        <v>1</v>
      </c>
      <c r="K1571" s="28" t="n">
        <v>1</v>
      </c>
      <c r="L1571" s="24" t="s">
        <v>1465</v>
      </c>
      <c r="M1571" s="29" t="n">
        <f aca="false">IF("oui" = "oui",19.01*(1-disc),19.01)</f>
        <v>19.01</v>
      </c>
      <c r="N1571" s="29" t="n">
        <f aca="false">IF("oui" = "oui",19.01*(1-disc)*1.2,19.01*1.2)</f>
        <v>22.812</v>
      </c>
      <c r="O1571" s="24" t="s">
        <v>25</v>
      </c>
      <c r="P1571" s="4" t="s">
        <v>25</v>
      </c>
      <c r="Q1571" s="16"/>
    </row>
    <row r="1572" customFormat="false" ht="12.8" hidden="false" customHeight="false" outlineLevel="0" collapsed="false">
      <c r="A1572" s="22"/>
      <c r="B1572" s="23" t="n">
        <v>507010000</v>
      </c>
      <c r="C1572" s="24"/>
      <c r="D1572" s="22" t="s">
        <v>1525</v>
      </c>
      <c r="E1572" s="19"/>
      <c r="F1572" s="24"/>
      <c r="G1572" s="25"/>
      <c r="H1572" s="26"/>
      <c r="I1572" s="27"/>
      <c r="J1572" s="28" t="n">
        <v>1</v>
      </c>
      <c r="K1572" s="28" t="n">
        <v>1</v>
      </c>
      <c r="L1572" s="24" t="s">
        <v>1465</v>
      </c>
      <c r="M1572" s="29" t="n">
        <f aca="false">IF("oui" = "oui",29.55*(1-disc),29.55)</f>
        <v>29.55</v>
      </c>
      <c r="N1572" s="29" t="n">
        <f aca="false">IF("oui" = "oui",29.55*(1-disc)*1.2,29.55*1.2)</f>
        <v>35.46</v>
      </c>
      <c r="O1572" s="24" t="s">
        <v>25</v>
      </c>
      <c r="P1572" s="4" t="s">
        <v>25</v>
      </c>
      <c r="Q1572" s="16"/>
    </row>
    <row r="1573" customFormat="false" ht="12.8" hidden="false" customHeight="false" outlineLevel="0" collapsed="false">
      <c r="A1573" s="22"/>
      <c r="B1573" s="23" t="n">
        <v>507011000</v>
      </c>
      <c r="C1573" s="24"/>
      <c r="D1573" s="22" t="s">
        <v>1526</v>
      </c>
      <c r="E1573" s="19"/>
      <c r="F1573" s="24"/>
      <c r="G1573" s="25"/>
      <c r="H1573" s="26"/>
      <c r="I1573" s="27"/>
      <c r="J1573" s="28" t="n">
        <v>1</v>
      </c>
      <c r="K1573" s="28" t="n">
        <v>1</v>
      </c>
      <c r="L1573" s="24" t="s">
        <v>1465</v>
      </c>
      <c r="M1573" s="29" t="n">
        <f aca="false">IF("oui" = "oui",48.89*(1-disc),48.89)</f>
        <v>48.89</v>
      </c>
      <c r="N1573" s="29" t="n">
        <f aca="false">IF("oui" = "oui",48.89*(1-disc)*1.2,48.89*1.2)</f>
        <v>58.668</v>
      </c>
      <c r="O1573" s="24" t="s">
        <v>25</v>
      </c>
      <c r="P1573" s="55" t="s">
        <v>141</v>
      </c>
      <c r="Q1573" s="16"/>
    </row>
    <row r="1574" customFormat="false" ht="12.8" hidden="false" customHeight="false" outlineLevel="0" collapsed="false">
      <c r="A1574" s="22"/>
      <c r="B1574" s="23"/>
      <c r="C1574" s="24"/>
      <c r="D1574" s="22"/>
      <c r="E1574" s="19"/>
      <c r="F1574" s="24"/>
      <c r="G1574" s="25"/>
      <c r="H1574" s="26"/>
      <c r="I1574" s="27"/>
      <c r="J1574" s="28"/>
      <c r="K1574" s="28"/>
      <c r="L1574" s="24"/>
      <c r="M1574" s="29"/>
      <c r="N1574" s="29"/>
      <c r="O1574" s="24"/>
      <c r="P1574" s="4"/>
      <c r="Q1574" s="16"/>
    </row>
    <row r="1575" customFormat="false" ht="12.8" hidden="false" customHeight="false" outlineLevel="0" collapsed="false">
      <c r="A1575" s="22"/>
      <c r="B1575" s="56" t="n">
        <v>507431000</v>
      </c>
      <c r="C1575" s="24"/>
      <c r="D1575" s="22" t="s">
        <v>1527</v>
      </c>
      <c r="E1575" s="19"/>
      <c r="F1575" s="24"/>
      <c r="G1575" s="25"/>
      <c r="H1575" s="26"/>
      <c r="I1575" s="27"/>
      <c r="J1575" s="28" t="n">
        <v>1</v>
      </c>
      <c r="K1575" s="28" t="n">
        <v>1</v>
      </c>
      <c r="L1575" s="24" t="s">
        <v>1465</v>
      </c>
      <c r="M1575" s="29" t="n">
        <f aca="false">IF("oui" = "oui",16.3*(1-disc),16.3)</f>
        <v>16.3</v>
      </c>
      <c r="N1575" s="29" t="n">
        <f aca="false">IF("oui" = "oui",16.3*(1-disc)*1.2,16.3*1.2)</f>
        <v>19.56</v>
      </c>
      <c r="O1575" s="24" t="s">
        <v>25</v>
      </c>
      <c r="P1575" s="4" t="s">
        <v>25</v>
      </c>
      <c r="Q1575" s="16"/>
    </row>
    <row r="1576" customFormat="false" ht="12.8" hidden="false" customHeight="false" outlineLevel="0" collapsed="false">
      <c r="A1576" s="22"/>
      <c r="B1576" s="56" t="n">
        <v>507432000</v>
      </c>
      <c r="C1576" s="24"/>
      <c r="D1576" s="22" t="s">
        <v>1528</v>
      </c>
      <c r="E1576" s="19"/>
      <c r="F1576" s="24"/>
      <c r="G1576" s="25"/>
      <c r="H1576" s="26"/>
      <c r="I1576" s="27"/>
      <c r="J1576" s="28" t="n">
        <v>1</v>
      </c>
      <c r="K1576" s="28" t="n">
        <v>1</v>
      </c>
      <c r="L1576" s="24" t="s">
        <v>1465</v>
      </c>
      <c r="M1576" s="29" t="n">
        <f aca="false">IF("oui" = "oui",27.16*(1-disc),27.16)</f>
        <v>27.16</v>
      </c>
      <c r="N1576" s="29" t="n">
        <f aca="false">IF("oui" = "oui",27.16*(1-disc)*1.2,27.16*1.2)</f>
        <v>32.592</v>
      </c>
      <c r="O1576" s="24" t="s">
        <v>25</v>
      </c>
      <c r="P1576" s="4" t="s">
        <v>25</v>
      </c>
      <c r="Q1576" s="16"/>
    </row>
    <row r="1577" customFormat="false" ht="12.8" hidden="false" customHeight="false" outlineLevel="0" collapsed="false">
      <c r="A1577" s="22"/>
      <c r="B1577" s="56" t="n">
        <v>507433000</v>
      </c>
      <c r="C1577" s="24"/>
      <c r="D1577" s="22" t="s">
        <v>1529</v>
      </c>
      <c r="E1577" s="19"/>
      <c r="F1577" s="24"/>
      <c r="G1577" s="25"/>
      <c r="H1577" s="26"/>
      <c r="I1577" s="27"/>
      <c r="J1577" s="28" t="n">
        <v>1</v>
      </c>
      <c r="K1577" s="28" t="n">
        <v>1</v>
      </c>
      <c r="L1577" s="24" t="s">
        <v>1465</v>
      </c>
      <c r="M1577" s="29" t="n">
        <f aca="false">IF("oui" = "oui",43.46*(1-disc),43.46)</f>
        <v>43.46</v>
      </c>
      <c r="N1577" s="29" t="n">
        <f aca="false">IF("oui" = "oui",43.46*(1-disc)*1.2,43.46*1.2)</f>
        <v>52.152</v>
      </c>
      <c r="O1577" s="24" t="s">
        <v>25</v>
      </c>
      <c r="P1577" s="55" t="s">
        <v>106</v>
      </c>
      <c r="Q1577" s="16"/>
    </row>
    <row r="1578" customFormat="false" ht="12.8" hidden="false" customHeight="false" outlineLevel="0" collapsed="false">
      <c r="A1578" s="22"/>
      <c r="B1578" s="23"/>
      <c r="C1578" s="24"/>
      <c r="D1578" s="22"/>
      <c r="E1578" s="19"/>
      <c r="F1578" s="24"/>
      <c r="G1578" s="25"/>
      <c r="H1578" s="26"/>
      <c r="I1578" s="27"/>
      <c r="J1578" s="28"/>
      <c r="K1578" s="28"/>
      <c r="L1578" s="24"/>
      <c r="M1578" s="29"/>
      <c r="N1578" s="29"/>
      <c r="O1578" s="24"/>
      <c r="P1578" s="4"/>
      <c r="Q1578" s="16"/>
    </row>
    <row r="1579" customFormat="false" ht="12.8" hidden="false" customHeight="false" outlineLevel="0" collapsed="false">
      <c r="A1579" s="42" t="s">
        <v>1530</v>
      </c>
      <c r="B1579" s="43"/>
      <c r="C1579" s="44"/>
      <c r="D1579" s="45"/>
      <c r="E1579" s="46"/>
      <c r="F1579" s="44"/>
      <c r="G1579" s="47"/>
      <c r="H1579" s="48"/>
      <c r="I1579" s="49"/>
      <c r="J1579" s="50"/>
      <c r="K1579" s="50"/>
      <c r="L1579" s="44"/>
      <c r="M1579" s="51"/>
      <c r="N1579" s="51"/>
      <c r="O1579" s="44"/>
      <c r="P1579" s="52"/>
      <c r="Q1579" s="53"/>
    </row>
    <row r="1580" customFormat="false" ht="12.8" hidden="false" customHeight="false" outlineLevel="0" collapsed="false">
      <c r="A1580" s="22"/>
      <c r="B1580" s="23"/>
      <c r="C1580" s="24"/>
      <c r="D1580" s="22"/>
      <c r="E1580" s="19"/>
      <c r="F1580" s="24"/>
      <c r="G1580" s="25"/>
      <c r="H1580" s="26"/>
      <c r="I1580" s="27"/>
      <c r="J1580" s="28"/>
      <c r="K1580" s="28"/>
      <c r="L1580" s="24"/>
      <c r="M1580" s="29"/>
      <c r="N1580" s="29"/>
      <c r="O1580" s="24"/>
      <c r="P1580" s="4"/>
      <c r="Q1580" s="16"/>
    </row>
    <row r="1581" customFormat="false" ht="12.8" hidden="false" customHeight="false" outlineLevel="0" collapsed="false">
      <c r="A1581" s="22"/>
      <c r="B1581" s="23" t="n">
        <v>507346000</v>
      </c>
      <c r="C1581" s="24"/>
      <c r="D1581" s="22" t="s">
        <v>1531</v>
      </c>
      <c r="E1581" s="19"/>
      <c r="F1581" s="24"/>
      <c r="G1581" s="25"/>
      <c r="H1581" s="26"/>
      <c r="I1581" s="27"/>
      <c r="J1581" s="28" t="n">
        <v>1</v>
      </c>
      <c r="K1581" s="28" t="n">
        <v>1</v>
      </c>
      <c r="L1581" s="24" t="s">
        <v>1465</v>
      </c>
      <c r="M1581" s="29" t="n">
        <f aca="false">IF("oui" = "oui",18*(1-disc),18)</f>
        <v>18</v>
      </c>
      <c r="N1581" s="29" t="n">
        <f aca="false">IF("oui" = "oui",18*(1-disc)*1.2,18*1.2)</f>
        <v>21.6</v>
      </c>
      <c r="O1581" s="24" t="s">
        <v>25</v>
      </c>
      <c r="P1581" s="4" t="s">
        <v>25</v>
      </c>
      <c r="Q1581" s="16"/>
    </row>
    <row r="1582" customFormat="false" ht="12.8" hidden="false" customHeight="false" outlineLevel="0" collapsed="false">
      <c r="A1582" s="22"/>
      <c r="B1582" s="23" t="n">
        <v>507348000</v>
      </c>
      <c r="C1582" s="24"/>
      <c r="D1582" s="22" t="s">
        <v>1532</v>
      </c>
      <c r="E1582" s="19"/>
      <c r="F1582" s="24"/>
      <c r="G1582" s="25"/>
      <c r="H1582" s="26"/>
      <c r="I1582" s="27"/>
      <c r="J1582" s="28" t="n">
        <v>1</v>
      </c>
      <c r="K1582" s="28" t="n">
        <v>1</v>
      </c>
      <c r="L1582" s="24" t="s">
        <v>1465</v>
      </c>
      <c r="M1582" s="29" t="n">
        <f aca="false">IF("oui" = "oui",14.78*(1-disc),14.78)</f>
        <v>14.78</v>
      </c>
      <c r="N1582" s="29" t="n">
        <f aca="false">IF("oui" = "oui",14.78*(1-disc)*1.2,14.78*1.2)</f>
        <v>17.736</v>
      </c>
      <c r="O1582" s="24" t="s">
        <v>25</v>
      </c>
      <c r="P1582" s="4" t="s">
        <v>25</v>
      </c>
      <c r="Q1582" s="16"/>
    </row>
    <row r="1583" customFormat="false" ht="12.8" hidden="false" customHeight="false" outlineLevel="0" collapsed="false">
      <c r="A1583" s="72"/>
      <c r="B1583" s="23" t="n">
        <v>507347000</v>
      </c>
      <c r="C1583" s="24"/>
      <c r="D1583" s="22" t="s">
        <v>1533</v>
      </c>
      <c r="E1583" s="19"/>
      <c r="F1583" s="24"/>
      <c r="G1583" s="25"/>
      <c r="H1583" s="26"/>
      <c r="I1583" s="27"/>
      <c r="J1583" s="28" t="n">
        <v>1</v>
      </c>
      <c r="K1583" s="28" t="n">
        <v>1</v>
      </c>
      <c r="L1583" s="24" t="s">
        <v>1465</v>
      </c>
      <c r="M1583" s="29" t="n">
        <f aca="false">IF("oui" = "oui",27.5*(1-disc),27.5)</f>
        <v>27.5</v>
      </c>
      <c r="N1583" s="29" t="n">
        <f aca="false">IF("oui" = "oui",27.5*(1-disc)*1.2,27.5*1.2)</f>
        <v>33</v>
      </c>
      <c r="O1583" s="24" t="s">
        <v>25</v>
      </c>
      <c r="P1583" s="4" t="s">
        <v>25</v>
      </c>
      <c r="Q1583" s="16"/>
    </row>
    <row r="1584" customFormat="false" ht="12.8" hidden="false" customHeight="false" outlineLevel="0" collapsed="false">
      <c r="A1584" s="22"/>
      <c r="B1584" s="23" t="n">
        <v>507349000</v>
      </c>
      <c r="C1584" s="24"/>
      <c r="D1584" s="22" t="s">
        <v>1534</v>
      </c>
      <c r="E1584" s="19"/>
      <c r="F1584" s="24"/>
      <c r="G1584" s="25"/>
      <c r="H1584" s="26"/>
      <c r="I1584" s="27"/>
      <c r="J1584" s="28" t="n">
        <v>1</v>
      </c>
      <c r="K1584" s="28" t="n">
        <v>1</v>
      </c>
      <c r="L1584" s="24" t="s">
        <v>1465</v>
      </c>
      <c r="M1584" s="29" t="n">
        <f aca="false">IF("oui" = "oui",26.5*(1-disc),26.5)</f>
        <v>26.5</v>
      </c>
      <c r="N1584" s="29" t="n">
        <f aca="false">IF("oui" = "oui",26.5*(1-disc)*1.2,26.5*1.2)</f>
        <v>31.8</v>
      </c>
      <c r="O1584" s="24" t="s">
        <v>25</v>
      </c>
      <c r="P1584" s="4" t="s">
        <v>25</v>
      </c>
      <c r="Q1584" s="16"/>
    </row>
    <row r="1585" customFormat="false" ht="12.8" hidden="false" customHeight="false" outlineLevel="0" collapsed="false">
      <c r="A1585" s="22"/>
      <c r="B1585" s="23" t="n">
        <v>507351000</v>
      </c>
      <c r="C1585" s="24"/>
      <c r="D1585" s="22" t="s">
        <v>1535</v>
      </c>
      <c r="E1585" s="19"/>
      <c r="F1585" s="24"/>
      <c r="G1585" s="25"/>
      <c r="H1585" s="26"/>
      <c r="I1585" s="27"/>
      <c r="J1585" s="28" t="n">
        <v>1</v>
      </c>
      <c r="K1585" s="28" t="n">
        <v>1</v>
      </c>
      <c r="L1585" s="24" t="s">
        <v>1465</v>
      </c>
      <c r="M1585" s="29" t="n">
        <f aca="false">IF("oui" = "oui",43*(1-disc),43)</f>
        <v>43</v>
      </c>
      <c r="N1585" s="29" t="n">
        <f aca="false">IF("oui" = "oui",43*(1-disc)*1.2,43*1.2)</f>
        <v>51.6</v>
      </c>
      <c r="O1585" s="24" t="s">
        <v>25</v>
      </c>
      <c r="P1585" s="4" t="s">
        <v>25</v>
      </c>
      <c r="Q1585" s="16"/>
    </row>
    <row r="1586" customFormat="false" ht="12.8" hidden="false" customHeight="false" outlineLevel="0" collapsed="false">
      <c r="A1586" s="22"/>
      <c r="B1586" s="23" t="n">
        <v>507352000</v>
      </c>
      <c r="C1586" s="24"/>
      <c r="D1586" s="22" t="s">
        <v>1536</v>
      </c>
      <c r="E1586" s="19"/>
      <c r="F1586" s="24"/>
      <c r="G1586" s="25"/>
      <c r="H1586" s="26"/>
      <c r="I1586" s="27"/>
      <c r="J1586" s="28" t="n">
        <v>1</v>
      </c>
      <c r="K1586" s="28" t="n">
        <v>1</v>
      </c>
      <c r="L1586" s="24" t="s">
        <v>1465</v>
      </c>
      <c r="M1586" s="29" t="n">
        <f aca="false">IF("oui" = "oui",59*(1-disc),59)</f>
        <v>59</v>
      </c>
      <c r="N1586" s="29" t="n">
        <f aca="false">IF("oui" = "oui",59*(1-disc)*1.2,59*1.2)</f>
        <v>70.8</v>
      </c>
      <c r="O1586" s="24" t="s">
        <v>25</v>
      </c>
      <c r="P1586" s="55" t="s">
        <v>1537</v>
      </c>
      <c r="Q1586" s="16"/>
    </row>
    <row r="1587" customFormat="false" ht="12.8" hidden="false" customHeight="false" outlineLevel="0" collapsed="false">
      <c r="A1587" s="22"/>
      <c r="B1587" s="23" t="n">
        <v>507361000</v>
      </c>
      <c r="C1587" s="24"/>
      <c r="D1587" s="22" t="s">
        <v>1538</v>
      </c>
      <c r="E1587" s="19"/>
      <c r="F1587" s="24"/>
      <c r="G1587" s="25"/>
      <c r="H1587" s="26"/>
      <c r="I1587" s="27"/>
      <c r="J1587" s="28" t="n">
        <v>1</v>
      </c>
      <c r="K1587" s="28" t="n">
        <v>1</v>
      </c>
      <c r="L1587" s="24" t="s">
        <v>1465</v>
      </c>
      <c r="M1587" s="29" t="n">
        <f aca="false">IF("oui" = "oui",13.58*(1-disc),13.58)</f>
        <v>13.58</v>
      </c>
      <c r="N1587" s="29" t="n">
        <f aca="false">IF("oui" = "oui",13.58*(1-disc)*1.2,13.58*1.2)</f>
        <v>16.296</v>
      </c>
      <c r="O1587" s="24" t="s">
        <v>25</v>
      </c>
      <c r="P1587" s="55" t="s">
        <v>602</v>
      </c>
      <c r="Q1587" s="16"/>
    </row>
    <row r="1588" customFormat="false" ht="12.8" hidden="false" customHeight="false" outlineLevel="0" collapsed="false">
      <c r="A1588" s="72"/>
      <c r="B1588" s="23"/>
      <c r="C1588" s="24"/>
      <c r="D1588" s="22"/>
      <c r="E1588" s="19"/>
      <c r="F1588" s="24"/>
      <c r="G1588" s="25"/>
      <c r="H1588" s="26"/>
      <c r="I1588" s="27"/>
      <c r="J1588" s="28"/>
      <c r="K1588" s="28"/>
      <c r="L1588" s="24"/>
      <c r="M1588" s="29"/>
      <c r="N1588" s="29"/>
      <c r="O1588" s="24"/>
      <c r="P1588" s="4"/>
      <c r="Q1588" s="16"/>
    </row>
    <row r="1589" customFormat="false" ht="12.8" hidden="false" customHeight="false" outlineLevel="0" collapsed="false">
      <c r="A1589" s="22"/>
      <c r="B1589" s="23" t="n">
        <v>507012000</v>
      </c>
      <c r="C1589" s="24"/>
      <c r="D1589" s="22" t="s">
        <v>1539</v>
      </c>
      <c r="E1589" s="19"/>
      <c r="F1589" s="24"/>
      <c r="G1589" s="25"/>
      <c r="H1589" s="26"/>
      <c r="I1589" s="27"/>
      <c r="J1589" s="28" t="n">
        <v>1</v>
      </c>
      <c r="K1589" s="28" t="n">
        <v>1</v>
      </c>
      <c r="L1589" s="24" t="s">
        <v>1465</v>
      </c>
      <c r="M1589" s="29" t="n">
        <f aca="false">IF("oui" = "oui",54*(1-disc),54)</f>
        <v>54</v>
      </c>
      <c r="N1589" s="29" t="n">
        <f aca="false">IF("oui" = "oui",54*(1-disc)*1.2,54*1.2)</f>
        <v>64.8</v>
      </c>
      <c r="O1589" s="24" t="s">
        <v>25</v>
      </c>
      <c r="P1589" s="4" t="s">
        <v>25</v>
      </c>
      <c r="Q1589" s="16"/>
    </row>
    <row r="1590" customFormat="false" ht="12.8" hidden="false" customHeight="false" outlineLevel="0" collapsed="false">
      <c r="A1590" s="22"/>
      <c r="B1590" s="23" t="n">
        <v>507337000</v>
      </c>
      <c r="C1590" s="24"/>
      <c r="D1590" s="22" t="s">
        <v>1540</v>
      </c>
      <c r="E1590" s="19"/>
      <c r="F1590" s="24"/>
      <c r="G1590" s="25"/>
      <c r="H1590" s="26"/>
      <c r="I1590" s="27"/>
      <c r="J1590" s="28" t="n">
        <v>1</v>
      </c>
      <c r="K1590" s="28" t="n">
        <v>1</v>
      </c>
      <c r="L1590" s="24" t="s">
        <v>1465</v>
      </c>
      <c r="M1590" s="29" t="n">
        <f aca="false">IF("oui" = "oui",48.34*(1-disc),48.34)</f>
        <v>48.34</v>
      </c>
      <c r="N1590" s="29" t="n">
        <f aca="false">IF("oui" = "oui",48.34*(1-disc)*1.2,48.34*1.2)</f>
        <v>58.008</v>
      </c>
      <c r="O1590" s="24" t="s">
        <v>25</v>
      </c>
      <c r="P1590" s="4" t="s">
        <v>25</v>
      </c>
      <c r="Q1590" s="16"/>
    </row>
    <row r="1591" customFormat="false" ht="12.8" hidden="false" customHeight="false" outlineLevel="0" collapsed="false">
      <c r="A1591" s="22"/>
      <c r="B1591" s="23" t="n">
        <v>507013000</v>
      </c>
      <c r="C1591" s="24"/>
      <c r="D1591" s="22" t="s">
        <v>1541</v>
      </c>
      <c r="E1591" s="19"/>
      <c r="F1591" s="24"/>
      <c r="G1591" s="25"/>
      <c r="H1591" s="26"/>
      <c r="I1591" s="27"/>
      <c r="J1591" s="28" t="n">
        <v>1</v>
      </c>
      <c r="K1591" s="28" t="n">
        <v>1</v>
      </c>
      <c r="L1591" s="24" t="s">
        <v>1465</v>
      </c>
      <c r="M1591" s="29" t="n">
        <f aca="false">IF("oui" = "oui",83.33*(1-disc),83.33)</f>
        <v>83.33</v>
      </c>
      <c r="N1591" s="29" t="n">
        <f aca="false">IF("oui" = "oui",83.33*(1-disc)*1.2,83.33*1.2)</f>
        <v>99.996</v>
      </c>
      <c r="O1591" s="24" t="s">
        <v>25</v>
      </c>
      <c r="P1591" s="4" t="s">
        <v>25</v>
      </c>
      <c r="Q1591" s="16"/>
    </row>
    <row r="1592" customFormat="false" ht="12.8" hidden="false" customHeight="false" outlineLevel="0" collapsed="false">
      <c r="A1592" s="22"/>
      <c r="B1592" s="23" t="n">
        <v>507015000</v>
      </c>
      <c r="C1592" s="24"/>
      <c r="D1592" s="22" t="s">
        <v>1542</v>
      </c>
      <c r="E1592" s="19"/>
      <c r="F1592" s="24"/>
      <c r="G1592" s="25"/>
      <c r="H1592" s="26"/>
      <c r="I1592" s="27"/>
      <c r="J1592" s="28" t="n">
        <v>1</v>
      </c>
      <c r="K1592" s="28" t="n">
        <v>1</v>
      </c>
      <c r="L1592" s="24" t="s">
        <v>1465</v>
      </c>
      <c r="M1592" s="29" t="n">
        <f aca="false">IF("oui" = "oui",85.62*(1-disc),85.62)</f>
        <v>85.62</v>
      </c>
      <c r="N1592" s="29" t="n">
        <f aca="false">IF("oui" = "oui",85.62*(1-disc)*1.2,85.62*1.2)</f>
        <v>102.744</v>
      </c>
      <c r="O1592" s="24" t="s">
        <v>25</v>
      </c>
      <c r="P1592" s="4" t="s">
        <v>25</v>
      </c>
      <c r="Q1592" s="16"/>
    </row>
    <row r="1593" customFormat="false" ht="12.8" hidden="false" customHeight="false" outlineLevel="0" collapsed="false">
      <c r="A1593" s="22"/>
      <c r="B1593" s="23" t="n">
        <v>507016000</v>
      </c>
      <c r="C1593" s="24"/>
      <c r="D1593" s="22" t="s">
        <v>1543</v>
      </c>
      <c r="E1593" s="19"/>
      <c r="F1593" s="24"/>
      <c r="G1593" s="25"/>
      <c r="H1593" s="26"/>
      <c r="I1593" s="27"/>
      <c r="J1593" s="28" t="n">
        <v>1</v>
      </c>
      <c r="K1593" s="28" t="n">
        <v>1</v>
      </c>
      <c r="L1593" s="24" t="s">
        <v>1465</v>
      </c>
      <c r="M1593" s="29" t="n">
        <f aca="false">IF("oui" = "oui",123.01*(1-disc),123.01)</f>
        <v>123.01</v>
      </c>
      <c r="N1593" s="29" t="n">
        <f aca="false">IF("oui" = "oui",123.01*(1-disc)*1.2,123.01*1.2)</f>
        <v>147.612</v>
      </c>
      <c r="O1593" s="24" t="s">
        <v>25</v>
      </c>
      <c r="P1593" s="4" t="s">
        <v>25</v>
      </c>
      <c r="Q1593" s="16"/>
    </row>
    <row r="1594" customFormat="false" ht="12.8" hidden="false" customHeight="false" outlineLevel="0" collapsed="false">
      <c r="A1594" s="22"/>
      <c r="B1594" s="23" t="n">
        <v>507263000</v>
      </c>
      <c r="C1594" s="24"/>
      <c r="D1594" s="22" t="s">
        <v>1544</v>
      </c>
      <c r="E1594" s="19"/>
      <c r="F1594" s="24"/>
      <c r="G1594" s="25"/>
      <c r="H1594" s="26"/>
      <c r="I1594" s="27"/>
      <c r="J1594" s="28" t="n">
        <v>1</v>
      </c>
      <c r="K1594" s="28" t="n">
        <v>1</v>
      </c>
      <c r="L1594" s="24" t="s">
        <v>1465</v>
      </c>
      <c r="M1594" s="29" t="n">
        <f aca="false">IF("oui" = "oui",162.98*(1-disc),162.98)</f>
        <v>162.98</v>
      </c>
      <c r="N1594" s="29" t="n">
        <f aca="false">IF("oui" = "oui",162.98*(1-disc)*1.2,162.98*1.2)</f>
        <v>195.576</v>
      </c>
      <c r="O1594" s="24" t="s">
        <v>25</v>
      </c>
      <c r="P1594" s="4" t="s">
        <v>25</v>
      </c>
      <c r="Q1594" s="16"/>
    </row>
    <row r="1595" customFormat="false" ht="12.8" hidden="false" customHeight="false" outlineLevel="0" collapsed="false">
      <c r="A1595" s="22"/>
      <c r="B1595" s="23"/>
      <c r="C1595" s="24"/>
      <c r="D1595" s="22"/>
      <c r="E1595" s="19"/>
      <c r="F1595" s="24"/>
      <c r="G1595" s="25"/>
      <c r="H1595" s="26"/>
      <c r="I1595" s="27"/>
      <c r="J1595" s="28"/>
      <c r="K1595" s="28"/>
      <c r="L1595" s="24"/>
      <c r="M1595" s="29"/>
      <c r="N1595" s="29"/>
      <c r="O1595" s="24"/>
      <c r="P1595" s="4"/>
      <c r="Q1595" s="16"/>
    </row>
    <row r="1596" customFormat="false" ht="12.8" hidden="false" customHeight="false" outlineLevel="0" collapsed="false">
      <c r="A1596" s="42" t="s">
        <v>1545</v>
      </c>
      <c r="B1596" s="43"/>
      <c r="C1596" s="44"/>
      <c r="D1596" s="45"/>
      <c r="E1596" s="46"/>
      <c r="F1596" s="44"/>
      <c r="G1596" s="47"/>
      <c r="H1596" s="48"/>
      <c r="I1596" s="49"/>
      <c r="J1596" s="50"/>
      <c r="K1596" s="50"/>
      <c r="L1596" s="44"/>
      <c r="M1596" s="51"/>
      <c r="N1596" s="51"/>
      <c r="O1596" s="44"/>
      <c r="P1596" s="52"/>
      <c r="Q1596" s="53"/>
    </row>
    <row r="1597" customFormat="false" ht="12.8" hidden="false" customHeight="false" outlineLevel="0" collapsed="false">
      <c r="A1597" s="22"/>
      <c r="B1597" s="23"/>
      <c r="C1597" s="24"/>
      <c r="D1597" s="22"/>
      <c r="E1597" s="19"/>
      <c r="F1597" s="24"/>
      <c r="G1597" s="25"/>
      <c r="H1597" s="26"/>
      <c r="I1597" s="27"/>
      <c r="J1597" s="28"/>
      <c r="K1597" s="28"/>
      <c r="L1597" s="24"/>
      <c r="M1597" s="29"/>
      <c r="N1597" s="29"/>
      <c r="O1597" s="24"/>
      <c r="P1597" s="4"/>
      <c r="Q1597" s="16"/>
    </row>
    <row r="1598" customFormat="false" ht="12.8" hidden="false" customHeight="false" outlineLevel="0" collapsed="false">
      <c r="A1598" s="22"/>
      <c r="B1598" s="23" t="n">
        <v>507457000</v>
      </c>
      <c r="C1598" s="24"/>
      <c r="D1598" s="22" t="s">
        <v>1546</v>
      </c>
      <c r="E1598" s="19"/>
      <c r="F1598" s="24"/>
      <c r="G1598" s="25"/>
      <c r="H1598" s="26"/>
      <c r="I1598" s="27"/>
      <c r="J1598" s="28" t="n">
        <v>1</v>
      </c>
      <c r="K1598" s="28" t="n">
        <v>1</v>
      </c>
      <c r="L1598" s="24" t="s">
        <v>1465</v>
      </c>
      <c r="M1598" s="57" t="n">
        <f aca="false">IF("non" = "oui",117.88*(1-disc),117.88)</f>
        <v>117.88</v>
      </c>
      <c r="N1598" s="57" t="n">
        <f aca="false">IF("non" = "oui",117.88*(1-disc)*1.2,117.88*1.2)</f>
        <v>141.456</v>
      </c>
      <c r="O1598" s="58" t="s">
        <v>26</v>
      </c>
      <c r="P1598" s="55" t="s">
        <v>600</v>
      </c>
      <c r="Q1598" s="16"/>
    </row>
    <row r="1599" customFormat="false" ht="12.8" hidden="false" customHeight="false" outlineLevel="0" collapsed="false">
      <c r="A1599" s="22"/>
      <c r="B1599" s="23" t="n">
        <v>507345000</v>
      </c>
      <c r="C1599" s="24"/>
      <c r="D1599" s="22" t="s">
        <v>1547</v>
      </c>
      <c r="E1599" s="19"/>
      <c r="F1599" s="24"/>
      <c r="G1599" s="25"/>
      <c r="H1599" s="26"/>
      <c r="I1599" s="27"/>
      <c r="J1599" s="28" t="n">
        <v>1</v>
      </c>
      <c r="K1599" s="28" t="n">
        <v>1</v>
      </c>
      <c r="L1599" s="24" t="s">
        <v>1465</v>
      </c>
      <c r="M1599" s="29" t="n">
        <f aca="false">IF("oui" = "oui",8.69*(1-disc),8.69)</f>
        <v>8.69</v>
      </c>
      <c r="N1599" s="29" t="n">
        <f aca="false">IF("oui" = "oui",8.69*(1-disc)*1.2,8.69*1.2)</f>
        <v>10.428</v>
      </c>
      <c r="O1599" s="24" t="s">
        <v>25</v>
      </c>
      <c r="P1599" s="7" t="s">
        <v>26</v>
      </c>
      <c r="Q1599" s="59" t="s">
        <v>87</v>
      </c>
    </row>
    <row r="1600" customFormat="false" ht="12.8" hidden="false" customHeight="false" outlineLevel="0" collapsed="false">
      <c r="A1600" s="22"/>
      <c r="B1600" s="23" t="n">
        <v>507386000</v>
      </c>
      <c r="C1600" s="24"/>
      <c r="D1600" s="22" t="s">
        <v>1548</v>
      </c>
      <c r="E1600" s="19"/>
      <c r="F1600" s="24"/>
      <c r="G1600" s="25"/>
      <c r="H1600" s="26"/>
      <c r="I1600" s="27"/>
      <c r="J1600" s="28" t="n">
        <v>25</v>
      </c>
      <c r="K1600" s="28" t="n">
        <v>1</v>
      </c>
      <c r="L1600" s="24" t="s">
        <v>1465</v>
      </c>
      <c r="M1600" s="29" t="n">
        <f aca="false">IF("oui" = "oui",2.37*(1-disc),2.37)</f>
        <v>2.37</v>
      </c>
      <c r="N1600" s="29" t="n">
        <f aca="false">IF("oui" = "oui",2.37*(1-disc)*1.2,2.37*1.2)</f>
        <v>2.844</v>
      </c>
      <c r="O1600" s="24" t="s">
        <v>25</v>
      </c>
      <c r="P1600" s="4" t="s">
        <v>25</v>
      </c>
      <c r="Q1600" s="16"/>
    </row>
    <row r="1601" customFormat="false" ht="12.8" hidden="false" customHeight="false" outlineLevel="0" collapsed="false">
      <c r="A1601" s="22"/>
      <c r="B1601" s="23" t="n">
        <v>507387000</v>
      </c>
      <c r="C1601" s="24"/>
      <c r="D1601" s="22" t="s">
        <v>1549</v>
      </c>
      <c r="E1601" s="19"/>
      <c r="F1601" s="24"/>
      <c r="G1601" s="25"/>
      <c r="H1601" s="26"/>
      <c r="I1601" s="27"/>
      <c r="J1601" s="28" t="n">
        <v>10</v>
      </c>
      <c r="K1601" s="28" t="n">
        <v>1</v>
      </c>
      <c r="L1601" s="24" t="s">
        <v>1465</v>
      </c>
      <c r="M1601" s="29" t="n">
        <f aca="false">IF("oui" = "oui",2.72*(1-disc),2.72)</f>
        <v>2.72</v>
      </c>
      <c r="N1601" s="29" t="n">
        <f aca="false">IF("oui" = "oui",2.72*(1-disc)*1.2,2.72*1.2)</f>
        <v>3.264</v>
      </c>
      <c r="O1601" s="24" t="s">
        <v>25</v>
      </c>
      <c r="P1601" s="4" t="s">
        <v>25</v>
      </c>
      <c r="Q1601" s="16"/>
    </row>
    <row r="1602" customFormat="false" ht="12.8" hidden="false" customHeight="false" outlineLevel="0" collapsed="false">
      <c r="A1602" s="22"/>
      <c r="B1602" s="23" t="n">
        <v>507385000</v>
      </c>
      <c r="C1602" s="24"/>
      <c r="D1602" s="22" t="s">
        <v>1550</v>
      </c>
      <c r="E1602" s="19"/>
      <c r="F1602" s="24"/>
      <c r="G1602" s="25"/>
      <c r="H1602" s="26"/>
      <c r="I1602" s="27"/>
      <c r="J1602" s="28" t="n">
        <v>1</v>
      </c>
      <c r="K1602" s="28" t="n">
        <v>1</v>
      </c>
      <c r="L1602" s="24" t="s">
        <v>1465</v>
      </c>
      <c r="M1602" s="29" t="n">
        <f aca="false">IF("oui" = "oui",185.58*(1-disc),185.58)</f>
        <v>185.58</v>
      </c>
      <c r="N1602" s="29" t="n">
        <f aca="false">IF("oui" = "oui",185.58*(1-disc)*1.2,185.58*1.2)</f>
        <v>222.696</v>
      </c>
      <c r="O1602" s="24" t="s">
        <v>25</v>
      </c>
      <c r="P1602" s="55" t="s">
        <v>713</v>
      </c>
      <c r="Q1602" s="16"/>
    </row>
    <row r="1603" customFormat="false" ht="12.8" hidden="false" customHeight="false" outlineLevel="0" collapsed="false">
      <c r="A1603" s="22" t="s">
        <v>69</v>
      </c>
      <c r="B1603" s="23" t="n">
        <v>507406000</v>
      </c>
      <c r="C1603" s="24"/>
      <c r="D1603" s="22" t="s">
        <v>1551</v>
      </c>
      <c r="E1603" s="19"/>
      <c r="F1603" s="24"/>
      <c r="G1603" s="25"/>
      <c r="H1603" s="26"/>
      <c r="I1603" s="27"/>
      <c r="J1603" s="28"/>
      <c r="K1603" s="28" t="n">
        <v>1</v>
      </c>
      <c r="L1603" s="24" t="s">
        <v>1465</v>
      </c>
      <c r="M1603" s="57" t="n">
        <f aca="false">IF("non" = "oui",3.26*(1-disc),3.26)</f>
        <v>3.26</v>
      </c>
      <c r="N1603" s="57" t="n">
        <f aca="false">IF("non" = "oui",3.26*(1-disc)*1.2,3.26*1.2)</f>
        <v>3.912</v>
      </c>
      <c r="O1603" s="58" t="s">
        <v>26</v>
      </c>
      <c r="P1603" s="4" t="s">
        <v>25</v>
      </c>
      <c r="Q1603" s="16"/>
    </row>
    <row r="1604" customFormat="false" ht="12.8" hidden="false" customHeight="false" outlineLevel="0" collapsed="false">
      <c r="A1604" s="22" t="s">
        <v>69</v>
      </c>
      <c r="B1604" s="23" t="n">
        <v>507405000</v>
      </c>
      <c r="C1604" s="24"/>
      <c r="D1604" s="22" t="s">
        <v>1552</v>
      </c>
      <c r="E1604" s="19"/>
      <c r="F1604" s="24"/>
      <c r="G1604" s="25"/>
      <c r="H1604" s="26"/>
      <c r="I1604" s="27"/>
      <c r="J1604" s="28"/>
      <c r="K1604" s="28" t="n">
        <v>1</v>
      </c>
      <c r="L1604" s="24" t="s">
        <v>1465</v>
      </c>
      <c r="M1604" s="57" t="n">
        <f aca="false">IF("non" = "oui",2.17*(1-disc),2.17)</f>
        <v>2.17</v>
      </c>
      <c r="N1604" s="57" t="n">
        <f aca="false">IF("non" = "oui",2.17*(1-disc)*1.2,2.17*1.2)</f>
        <v>2.604</v>
      </c>
      <c r="O1604" s="58" t="s">
        <v>26</v>
      </c>
      <c r="P1604" s="7" t="s">
        <v>26</v>
      </c>
      <c r="Q1604" s="16"/>
    </row>
    <row r="1605" customFormat="false" ht="12.8" hidden="false" customHeight="false" outlineLevel="0" collapsed="false">
      <c r="A1605" s="22" t="s">
        <v>69</v>
      </c>
      <c r="B1605" s="23" t="n">
        <v>507435000</v>
      </c>
      <c r="C1605" s="24"/>
      <c r="D1605" s="72" t="s">
        <v>1553</v>
      </c>
      <c r="E1605" s="19"/>
      <c r="F1605" s="24"/>
      <c r="G1605" s="25"/>
      <c r="H1605" s="26"/>
      <c r="I1605" s="27"/>
      <c r="J1605" s="28"/>
      <c r="K1605" s="28" t="n">
        <v>1</v>
      </c>
      <c r="L1605" s="24" t="s">
        <v>1465</v>
      </c>
      <c r="M1605" s="57" t="n">
        <f aca="false">IF("non" = "oui",1.12*(1-disc),1.12)</f>
        <v>1.12</v>
      </c>
      <c r="N1605" s="57" t="n">
        <f aca="false">IF("non" = "oui",1.12*(1-disc)*1.2,1.12*1.2)</f>
        <v>1.344</v>
      </c>
      <c r="O1605" s="58" t="s">
        <v>26</v>
      </c>
      <c r="P1605" s="4" t="s">
        <v>25</v>
      </c>
      <c r="Q1605" s="16"/>
    </row>
    <row r="1606" customFormat="false" ht="12.8" hidden="false" customHeight="false" outlineLevel="0" collapsed="false">
      <c r="A1606" s="22" t="s">
        <v>69</v>
      </c>
      <c r="B1606" s="23" t="n">
        <v>507563000</v>
      </c>
      <c r="C1606" s="24"/>
      <c r="D1606" s="22" t="s">
        <v>1554</v>
      </c>
      <c r="E1606" s="19"/>
      <c r="F1606" s="24"/>
      <c r="G1606" s="25"/>
      <c r="H1606" s="26"/>
      <c r="I1606" s="27"/>
      <c r="J1606" s="28" t="n">
        <v>1</v>
      </c>
      <c r="K1606" s="28" t="n">
        <v>1</v>
      </c>
      <c r="L1606" s="24" t="s">
        <v>1465</v>
      </c>
      <c r="M1606" s="57" t="n">
        <f aca="false">IF("non" = "oui",21.91*(1-disc),21.91)</f>
        <v>21.91</v>
      </c>
      <c r="N1606" s="57" t="n">
        <f aca="false">IF("non" = "oui",21.91*(1-disc)*1.2,21.91*1.2)</f>
        <v>26.292</v>
      </c>
      <c r="O1606" s="58" t="s">
        <v>26</v>
      </c>
      <c r="P1606" s="4" t="s">
        <v>25</v>
      </c>
      <c r="Q1606" s="16"/>
    </row>
    <row r="1607" customFormat="false" ht="12.8" hidden="false" customHeight="false" outlineLevel="0" collapsed="false">
      <c r="A1607" s="22" t="s">
        <v>69</v>
      </c>
      <c r="B1607" s="23" t="n">
        <v>507564000</v>
      </c>
      <c r="C1607" s="24"/>
      <c r="D1607" s="22" t="s">
        <v>1555</v>
      </c>
      <c r="E1607" s="19"/>
      <c r="F1607" s="24"/>
      <c r="G1607" s="25"/>
      <c r="H1607" s="26"/>
      <c r="I1607" s="27"/>
      <c r="J1607" s="28" t="n">
        <v>1</v>
      </c>
      <c r="K1607" s="28" t="n">
        <v>1</v>
      </c>
      <c r="L1607" s="24" t="s">
        <v>1465</v>
      </c>
      <c r="M1607" s="57" t="n">
        <f aca="false">IF("non" = "oui",3.63*(1-disc),3.63)</f>
        <v>3.63</v>
      </c>
      <c r="N1607" s="57" t="n">
        <f aca="false">IF("non" = "oui",3.63*(1-disc)*1.2,3.63*1.2)</f>
        <v>4.356</v>
      </c>
      <c r="O1607" s="58" t="s">
        <v>26</v>
      </c>
      <c r="P1607" s="4" t="s">
        <v>25</v>
      </c>
      <c r="Q1607" s="16"/>
    </row>
    <row r="1608" customFormat="false" ht="12.8" hidden="false" customHeight="false" outlineLevel="0" collapsed="false">
      <c r="A1608" s="22" t="s">
        <v>69</v>
      </c>
      <c r="B1608" s="23" t="n">
        <v>507488000</v>
      </c>
      <c r="C1608" s="24"/>
      <c r="D1608" s="22" t="s">
        <v>1556</v>
      </c>
      <c r="E1608" s="19"/>
      <c r="F1608" s="24"/>
      <c r="G1608" s="25"/>
      <c r="H1608" s="26"/>
      <c r="I1608" s="27"/>
      <c r="J1608" s="28" t="n">
        <v>1</v>
      </c>
      <c r="K1608" s="28" t="n">
        <v>1</v>
      </c>
      <c r="L1608" s="24" t="s">
        <v>1465</v>
      </c>
      <c r="M1608" s="29" t="n">
        <f aca="false">IF("oui" = "oui",5.43*(1-disc),5.43)</f>
        <v>5.43</v>
      </c>
      <c r="N1608" s="29" t="n">
        <f aca="false">IF("oui" = "oui",5.43*(1-disc)*1.2,5.43*1.2)</f>
        <v>6.516</v>
      </c>
      <c r="O1608" s="24" t="s">
        <v>25</v>
      </c>
      <c r="P1608" s="4" t="s">
        <v>25</v>
      </c>
      <c r="Q1608" s="16"/>
    </row>
    <row r="1609" customFormat="false" ht="12.8" hidden="false" customHeight="false" outlineLevel="0" collapsed="false">
      <c r="A1609" s="22"/>
      <c r="B1609" s="23"/>
      <c r="C1609" s="24"/>
      <c r="D1609" s="22"/>
      <c r="E1609" s="19"/>
      <c r="F1609" s="24"/>
      <c r="G1609" s="25"/>
      <c r="H1609" s="26"/>
      <c r="I1609" s="27"/>
      <c r="J1609" s="28"/>
      <c r="K1609" s="28"/>
      <c r="L1609" s="24"/>
      <c r="M1609" s="29"/>
      <c r="N1609" s="29"/>
      <c r="O1609" s="24"/>
      <c r="P1609" s="4"/>
      <c r="Q1609" s="16"/>
    </row>
    <row r="1610" customFormat="false" ht="12.8" hidden="false" customHeight="false" outlineLevel="0" collapsed="false">
      <c r="A1610" s="22"/>
      <c r="B1610" s="23" t="n">
        <v>507156000</v>
      </c>
      <c r="C1610" s="24"/>
      <c r="D1610" s="22" t="s">
        <v>1557</v>
      </c>
      <c r="E1610" s="19"/>
      <c r="F1610" s="24"/>
      <c r="G1610" s="25"/>
      <c r="H1610" s="26"/>
      <c r="I1610" s="27"/>
      <c r="J1610" s="28" t="n">
        <v>100</v>
      </c>
      <c r="K1610" s="28" t="n">
        <v>1</v>
      </c>
      <c r="L1610" s="24" t="s">
        <v>1465</v>
      </c>
      <c r="M1610" s="29" t="n">
        <f aca="false">IF("oui" = "oui",0.03*(1-disc),0.03)</f>
        <v>0.03</v>
      </c>
      <c r="N1610" s="29" t="n">
        <f aca="false">IF("oui" = "oui",0.03*(1-disc)*1.2,0.03*1.2)</f>
        <v>0.036</v>
      </c>
      <c r="O1610" s="24" t="s">
        <v>25</v>
      </c>
      <c r="P1610" s="4" t="s">
        <v>25</v>
      </c>
      <c r="Q1610" s="16"/>
    </row>
    <row r="1611" customFormat="false" ht="12.8" hidden="false" customHeight="false" outlineLevel="0" collapsed="false">
      <c r="A1611" s="22"/>
      <c r="B1611" s="23" t="n">
        <v>507144000</v>
      </c>
      <c r="C1611" s="24"/>
      <c r="D1611" s="22" t="s">
        <v>1558</v>
      </c>
      <c r="E1611" s="19"/>
      <c r="F1611" s="24"/>
      <c r="G1611" s="25"/>
      <c r="H1611" s="26"/>
      <c r="I1611" s="27"/>
      <c r="J1611" s="28" t="n">
        <v>100</v>
      </c>
      <c r="K1611" s="28" t="n">
        <v>1</v>
      </c>
      <c r="L1611" s="24" t="s">
        <v>1465</v>
      </c>
      <c r="M1611" s="29" t="n">
        <f aca="false">IF("oui" = "oui",0.08*(1-disc),0.08)</f>
        <v>0.08</v>
      </c>
      <c r="N1611" s="29" t="n">
        <f aca="false">IF("oui" = "oui",0.08*(1-disc)*1.2,0.08*1.2)</f>
        <v>0.096</v>
      </c>
      <c r="O1611" s="24" t="s">
        <v>25</v>
      </c>
      <c r="P1611" s="4" t="s">
        <v>25</v>
      </c>
      <c r="Q1611" s="16"/>
    </row>
    <row r="1612" customFormat="false" ht="12.8" hidden="false" customHeight="false" outlineLevel="0" collapsed="false">
      <c r="A1612" s="22"/>
      <c r="B1612" s="23" t="n">
        <v>507145000</v>
      </c>
      <c r="C1612" s="24"/>
      <c r="D1612" s="22" t="s">
        <v>1559</v>
      </c>
      <c r="E1612" s="19"/>
      <c r="F1612" s="24"/>
      <c r="G1612" s="25"/>
      <c r="H1612" s="26"/>
      <c r="I1612" s="27"/>
      <c r="J1612" s="28" t="n">
        <v>100</v>
      </c>
      <c r="K1612" s="28" t="n">
        <v>1</v>
      </c>
      <c r="L1612" s="24" t="s">
        <v>1465</v>
      </c>
      <c r="M1612" s="29" t="n">
        <f aca="false">IF("oui" = "oui",0.15*(1-disc),0.15)</f>
        <v>0.15</v>
      </c>
      <c r="N1612" s="29" t="n">
        <f aca="false">IF("oui" = "oui",0.15*(1-disc)*1.2,0.15*1.2)</f>
        <v>0.18</v>
      </c>
      <c r="O1612" s="24" t="s">
        <v>25</v>
      </c>
      <c r="P1612" s="4" t="s">
        <v>25</v>
      </c>
      <c r="Q1612" s="16"/>
    </row>
    <row r="1613" customFormat="false" ht="12.8" hidden="false" customHeight="false" outlineLevel="0" collapsed="false">
      <c r="A1613" s="22"/>
      <c r="B1613" s="23" t="n">
        <v>507146000</v>
      </c>
      <c r="C1613" s="24"/>
      <c r="D1613" s="22" t="s">
        <v>1560</v>
      </c>
      <c r="E1613" s="19"/>
      <c r="F1613" s="24"/>
      <c r="G1613" s="25"/>
      <c r="H1613" s="26"/>
      <c r="I1613" s="27"/>
      <c r="J1613" s="28" t="n">
        <v>270</v>
      </c>
      <c r="K1613" s="28" t="n">
        <v>1</v>
      </c>
      <c r="L1613" s="24" t="s">
        <v>1465</v>
      </c>
      <c r="M1613" s="29" t="n">
        <f aca="false">IF("oui" = "oui",0.02*(1-disc),0.02)</f>
        <v>0.02</v>
      </c>
      <c r="N1613" s="29" t="n">
        <f aca="false">IF("oui" = "oui",0.02*(1-disc)*1.2,0.02*1.2)</f>
        <v>0.024</v>
      </c>
      <c r="O1613" s="24" t="s">
        <v>25</v>
      </c>
      <c r="P1613" s="55" t="s">
        <v>45</v>
      </c>
      <c r="Q1613" s="16"/>
    </row>
    <row r="1614" customFormat="false" ht="12.8" hidden="false" customHeight="false" outlineLevel="0" collapsed="false">
      <c r="A1614" s="22"/>
      <c r="B1614" s="23" t="n">
        <v>507255000</v>
      </c>
      <c r="C1614" s="24"/>
      <c r="D1614" s="22" t="s">
        <v>1561</v>
      </c>
      <c r="E1614" s="19"/>
      <c r="F1614" s="24"/>
      <c r="G1614" s="25"/>
      <c r="H1614" s="26"/>
      <c r="I1614" s="27"/>
      <c r="J1614" s="28" t="n">
        <v>33</v>
      </c>
      <c r="K1614" s="28" t="n">
        <v>1</v>
      </c>
      <c r="L1614" s="24" t="s">
        <v>1465</v>
      </c>
      <c r="M1614" s="57" t="n">
        <f aca="false">IF("non" = "oui",4.67*(1-disc),4.67)</f>
        <v>4.67</v>
      </c>
      <c r="N1614" s="57" t="n">
        <f aca="false">IF("non" = "oui",4.67*(1-disc)*1.2,4.67*1.2)</f>
        <v>5.604</v>
      </c>
      <c r="O1614" s="58" t="s">
        <v>26</v>
      </c>
      <c r="P1614" s="4" t="s">
        <v>25</v>
      </c>
      <c r="Q1614" s="16"/>
    </row>
    <row r="1615" customFormat="false" ht="12.8" hidden="false" customHeight="false" outlineLevel="0" collapsed="false">
      <c r="A1615" s="22"/>
      <c r="B1615" s="23" t="n">
        <v>507180000</v>
      </c>
      <c r="C1615" s="24"/>
      <c r="D1615" s="22" t="s">
        <v>1562</v>
      </c>
      <c r="E1615" s="19"/>
      <c r="F1615" s="24"/>
      <c r="G1615" s="25"/>
      <c r="H1615" s="26"/>
      <c r="I1615" s="27"/>
      <c r="J1615" s="28" t="n">
        <v>80</v>
      </c>
      <c r="K1615" s="28" t="n">
        <v>1</v>
      </c>
      <c r="L1615" s="24" t="s">
        <v>1465</v>
      </c>
      <c r="M1615" s="57" t="n">
        <f aca="false">IF("non" = "oui",3.8*(1-disc),3.8)</f>
        <v>3.8</v>
      </c>
      <c r="N1615" s="57" t="n">
        <f aca="false">IF("non" = "oui",3.8*(1-disc)*1.2,3.8*1.2)</f>
        <v>4.56</v>
      </c>
      <c r="O1615" s="58" t="s">
        <v>26</v>
      </c>
      <c r="P1615" s="55" t="s">
        <v>1102</v>
      </c>
      <c r="Q1615" s="16"/>
    </row>
    <row r="1616" customFormat="false" ht="12.8" hidden="false" customHeight="false" outlineLevel="0" collapsed="false">
      <c r="A1616" s="22"/>
      <c r="B1616" s="23" t="n">
        <v>507256000</v>
      </c>
      <c r="C1616" s="24"/>
      <c r="D1616" s="22" t="s">
        <v>1563</v>
      </c>
      <c r="E1616" s="19"/>
      <c r="F1616" s="24"/>
      <c r="G1616" s="25"/>
      <c r="H1616" s="26"/>
      <c r="I1616" s="27"/>
      <c r="J1616" s="28" t="n">
        <v>33</v>
      </c>
      <c r="K1616" s="28" t="n">
        <v>1</v>
      </c>
      <c r="L1616" s="24" t="s">
        <v>1465</v>
      </c>
      <c r="M1616" s="57" t="n">
        <f aca="false">IF("non" = "oui",0.33*(1-disc),0.33)</f>
        <v>0.33</v>
      </c>
      <c r="N1616" s="57" t="n">
        <f aca="false">IF("non" = "oui",0.33*(1-disc)*1.2,0.33*1.2)</f>
        <v>0.396</v>
      </c>
      <c r="O1616" s="58" t="s">
        <v>26</v>
      </c>
      <c r="P1616" s="4" t="s">
        <v>25</v>
      </c>
      <c r="Q1616" s="16"/>
    </row>
    <row r="1617" customFormat="false" ht="12.8" hidden="false" customHeight="false" outlineLevel="0" collapsed="false">
      <c r="A1617" s="22"/>
      <c r="B1617" s="23" t="n">
        <v>507184000</v>
      </c>
      <c r="C1617" s="24"/>
      <c r="D1617" s="22" t="s">
        <v>1564</v>
      </c>
      <c r="E1617" s="19"/>
      <c r="F1617" s="24"/>
      <c r="G1617" s="25"/>
      <c r="H1617" s="26"/>
      <c r="I1617" s="27"/>
      <c r="J1617" s="28" t="n">
        <v>42</v>
      </c>
      <c r="K1617" s="28" t="n">
        <v>1</v>
      </c>
      <c r="L1617" s="24" t="s">
        <v>1465</v>
      </c>
      <c r="M1617" s="57" t="n">
        <f aca="false">IF("non" = "oui",5.33*(1-disc),5.33)</f>
        <v>5.33</v>
      </c>
      <c r="N1617" s="57" t="n">
        <f aca="false">IF("non" = "oui",5.33*(1-disc)*1.2,5.33*1.2)</f>
        <v>6.396</v>
      </c>
      <c r="O1617" s="58" t="s">
        <v>26</v>
      </c>
      <c r="P1617" s="7" t="s">
        <v>26</v>
      </c>
      <c r="Q1617" s="16"/>
    </row>
    <row r="1618" customFormat="false" ht="12.8" hidden="false" customHeight="false" outlineLevel="0" collapsed="false">
      <c r="A1618" s="22"/>
      <c r="B1618" s="23" t="n">
        <v>507344000</v>
      </c>
      <c r="C1618" s="24"/>
      <c r="D1618" s="22" t="s">
        <v>1565</v>
      </c>
      <c r="E1618" s="19"/>
      <c r="F1618" s="24"/>
      <c r="G1618" s="25"/>
      <c r="H1618" s="26"/>
      <c r="I1618" s="27"/>
      <c r="J1618" s="28" t="n">
        <v>60</v>
      </c>
      <c r="K1618" s="28" t="n">
        <v>1</v>
      </c>
      <c r="L1618" s="24" t="s">
        <v>1465</v>
      </c>
      <c r="M1618" s="57" t="n">
        <f aca="false">IF("non" = "oui",3.44*(1-disc),3.44)</f>
        <v>3.44</v>
      </c>
      <c r="N1618" s="57" t="n">
        <f aca="false">IF("non" = "oui",3.44*(1-disc)*1.2,3.44*1.2)</f>
        <v>4.128</v>
      </c>
      <c r="O1618" s="58" t="s">
        <v>26</v>
      </c>
      <c r="P1618" s="4" t="s">
        <v>25</v>
      </c>
      <c r="Q1618" s="16"/>
    </row>
    <row r="1619" customFormat="false" ht="12.8" hidden="false" customHeight="false" outlineLevel="0" collapsed="false">
      <c r="A1619" s="22"/>
      <c r="B1619" s="23" t="n">
        <v>507381000</v>
      </c>
      <c r="C1619" s="24"/>
      <c r="D1619" s="22" t="s">
        <v>1566</v>
      </c>
      <c r="E1619" s="19"/>
      <c r="F1619" s="24"/>
      <c r="G1619" s="25"/>
      <c r="H1619" s="26"/>
      <c r="I1619" s="27"/>
      <c r="J1619" s="28" t="n">
        <v>20</v>
      </c>
      <c r="K1619" s="28" t="n">
        <v>1</v>
      </c>
      <c r="L1619" s="24" t="s">
        <v>1465</v>
      </c>
      <c r="M1619" s="57" t="n">
        <f aca="false">IF("non" = "oui",8.95*(1-disc),8.95)</f>
        <v>8.95</v>
      </c>
      <c r="N1619" s="57" t="n">
        <f aca="false">IF("non" = "oui",8.95*(1-disc)*1.2,8.95*1.2)</f>
        <v>10.74</v>
      </c>
      <c r="O1619" s="58" t="s">
        <v>26</v>
      </c>
      <c r="P1619" s="4" t="s">
        <v>25</v>
      </c>
      <c r="Q1619" s="16"/>
    </row>
    <row r="1620" customFormat="false" ht="12.8" hidden="false" customHeight="false" outlineLevel="0" collapsed="false">
      <c r="A1620" s="22"/>
      <c r="B1620" s="23" t="n">
        <v>507435000</v>
      </c>
      <c r="C1620" s="24"/>
      <c r="D1620" s="22" t="s">
        <v>1553</v>
      </c>
      <c r="E1620" s="19"/>
      <c r="F1620" s="24"/>
      <c r="G1620" s="25"/>
      <c r="H1620" s="26"/>
      <c r="I1620" s="27"/>
      <c r="J1620" s="28"/>
      <c r="K1620" s="28" t="n">
        <v>1</v>
      </c>
      <c r="L1620" s="24" t="s">
        <v>1465</v>
      </c>
      <c r="M1620" s="57" t="n">
        <f aca="false">IF("non" = "oui",1.12*(1-disc),1.12)</f>
        <v>1.12</v>
      </c>
      <c r="N1620" s="57" t="n">
        <f aca="false">IF("non" = "oui",1.12*(1-disc)*1.2,1.12*1.2)</f>
        <v>1.344</v>
      </c>
      <c r="O1620" s="58" t="s">
        <v>26</v>
      </c>
      <c r="P1620" s="4" t="s">
        <v>25</v>
      </c>
      <c r="Q1620" s="16"/>
    </row>
    <row r="1621" customFormat="false" ht="12.8" hidden="false" customHeight="false" outlineLevel="0" collapsed="false">
      <c r="A1621" s="22"/>
      <c r="B1621" s="23" t="n">
        <v>507434000</v>
      </c>
      <c r="C1621" s="24"/>
      <c r="D1621" s="22" t="s">
        <v>1567</v>
      </c>
      <c r="E1621" s="19"/>
      <c r="F1621" s="24"/>
      <c r="G1621" s="25"/>
      <c r="H1621" s="26"/>
      <c r="I1621" s="27"/>
      <c r="J1621" s="28" t="n">
        <v>330</v>
      </c>
      <c r="K1621" s="28" t="n">
        <v>1</v>
      </c>
      <c r="L1621" s="24" t="s">
        <v>1465</v>
      </c>
      <c r="M1621" s="57" t="n">
        <f aca="false">IF("non" = "oui",0.02*(1-disc),0.02)</f>
        <v>0.02</v>
      </c>
      <c r="N1621" s="57" t="n">
        <f aca="false">IF("non" = "oui",0.02*(1-disc)*1.2,0.02*1.2)</f>
        <v>0.024</v>
      </c>
      <c r="O1621" s="58" t="s">
        <v>26</v>
      </c>
      <c r="P1621" s="7" t="s">
        <v>26</v>
      </c>
      <c r="Q1621" s="16"/>
    </row>
    <row r="1622" customFormat="false" ht="12.8" hidden="false" customHeight="false" outlineLevel="0" collapsed="false">
      <c r="A1622" s="22"/>
      <c r="B1622" s="23" t="n">
        <v>507441000</v>
      </c>
      <c r="C1622" s="24"/>
      <c r="D1622" s="22" t="s">
        <v>1568</v>
      </c>
      <c r="E1622" s="19"/>
      <c r="F1622" s="24"/>
      <c r="G1622" s="25"/>
      <c r="H1622" s="26"/>
      <c r="I1622" s="27"/>
      <c r="J1622" s="28" t="n">
        <v>1</v>
      </c>
      <c r="K1622" s="28" t="n">
        <v>1</v>
      </c>
      <c r="L1622" s="24" t="s">
        <v>1465</v>
      </c>
      <c r="M1622" s="29" t="n">
        <f aca="false">IF("oui" = "oui",2.86*(1-disc),2.86)</f>
        <v>2.86</v>
      </c>
      <c r="N1622" s="29" t="n">
        <f aca="false">IF("oui" = "oui",2.86*(1-disc)*1.2,2.86*1.2)</f>
        <v>3.432</v>
      </c>
      <c r="O1622" s="24" t="s">
        <v>25</v>
      </c>
      <c r="P1622" s="4" t="s">
        <v>25</v>
      </c>
      <c r="Q1622" s="16"/>
    </row>
    <row r="1623" customFormat="false" ht="12.8" hidden="false" customHeight="false" outlineLevel="0" collapsed="false">
      <c r="A1623" s="22"/>
      <c r="B1623" s="23"/>
      <c r="C1623" s="24"/>
      <c r="D1623" s="22"/>
      <c r="E1623" s="19"/>
      <c r="F1623" s="24"/>
      <c r="G1623" s="25"/>
      <c r="H1623" s="26"/>
      <c r="I1623" s="27"/>
      <c r="J1623" s="28"/>
      <c r="K1623" s="28"/>
      <c r="L1623" s="24"/>
      <c r="M1623" s="29"/>
      <c r="N1623" s="29"/>
      <c r="O1623" s="24"/>
      <c r="P1623" s="4"/>
      <c r="Q1623" s="16"/>
    </row>
    <row r="1624" customFormat="false" ht="12.8" hidden="false" customHeight="false" outlineLevel="0" collapsed="false">
      <c r="A1624" s="42" t="s">
        <v>1569</v>
      </c>
      <c r="B1624" s="43"/>
      <c r="C1624" s="44"/>
      <c r="D1624" s="45"/>
      <c r="E1624" s="46"/>
      <c r="F1624" s="44"/>
      <c r="G1624" s="47"/>
      <c r="H1624" s="48"/>
      <c r="I1624" s="49"/>
      <c r="J1624" s="50"/>
      <c r="K1624" s="50"/>
      <c r="L1624" s="44"/>
      <c r="M1624" s="51"/>
      <c r="N1624" s="51"/>
      <c r="O1624" s="44"/>
      <c r="P1624" s="52"/>
      <c r="Q1624" s="53"/>
    </row>
    <row r="1625" customFormat="false" ht="12.8" hidden="false" customHeight="false" outlineLevel="0" collapsed="false">
      <c r="A1625" s="22"/>
      <c r="B1625" s="23"/>
      <c r="C1625" s="24"/>
      <c r="D1625" s="22"/>
      <c r="E1625" s="19"/>
      <c r="F1625" s="24"/>
      <c r="G1625" s="25"/>
      <c r="H1625" s="26"/>
      <c r="I1625" s="27"/>
      <c r="J1625" s="28"/>
      <c r="K1625" s="28"/>
      <c r="L1625" s="24"/>
      <c r="M1625" s="29"/>
      <c r="N1625" s="29"/>
      <c r="O1625" s="24"/>
      <c r="P1625" s="4"/>
      <c r="Q1625" s="16"/>
    </row>
    <row r="1626" customFormat="false" ht="12.8" hidden="false" customHeight="false" outlineLevel="0" collapsed="false">
      <c r="A1626" s="22"/>
      <c r="B1626" s="23" t="n">
        <v>507566000</v>
      </c>
      <c r="C1626" s="24"/>
      <c r="D1626" s="22" t="s">
        <v>1570</v>
      </c>
      <c r="E1626" s="19"/>
      <c r="F1626" s="24"/>
      <c r="G1626" s="25"/>
      <c r="H1626" s="26"/>
      <c r="I1626" s="27"/>
      <c r="J1626" s="28" t="n">
        <v>100</v>
      </c>
      <c r="K1626" s="28" t="n">
        <v>1</v>
      </c>
      <c r="L1626" s="24" t="s">
        <v>1465</v>
      </c>
      <c r="M1626" s="29" t="n">
        <f aca="false">IF("oui" = "oui",0.07*(1-disc),0.07)</f>
        <v>0.07</v>
      </c>
      <c r="N1626" s="29" t="n">
        <f aca="false">IF("oui" = "oui",0.07*(1-disc)*1.2,0.07*1.2)</f>
        <v>0.084</v>
      </c>
      <c r="O1626" s="24" t="s">
        <v>25</v>
      </c>
      <c r="P1626" s="7" t="s">
        <v>26</v>
      </c>
      <c r="Q1626" s="16"/>
    </row>
    <row r="1627" customFormat="false" ht="12.8" hidden="false" customHeight="false" outlineLevel="0" collapsed="false">
      <c r="A1627" s="22"/>
      <c r="B1627" s="23" t="n">
        <v>507148000</v>
      </c>
      <c r="C1627" s="24"/>
      <c r="D1627" s="22" t="s">
        <v>1571</v>
      </c>
      <c r="E1627" s="19"/>
      <c r="F1627" s="24"/>
      <c r="G1627" s="25"/>
      <c r="H1627" s="26"/>
      <c r="I1627" s="27"/>
      <c r="J1627" s="28" t="n">
        <v>100</v>
      </c>
      <c r="K1627" s="28" t="n">
        <v>1</v>
      </c>
      <c r="L1627" s="24" t="s">
        <v>1465</v>
      </c>
      <c r="M1627" s="29" t="n">
        <f aca="false">IF("oui" = "oui",0.16*(1-disc),0.16)</f>
        <v>0.16</v>
      </c>
      <c r="N1627" s="29" t="n">
        <f aca="false">IF("oui" = "oui",0.16*(1-disc)*1.2,0.16*1.2)</f>
        <v>0.192</v>
      </c>
      <c r="O1627" s="24" t="s">
        <v>25</v>
      </c>
      <c r="P1627" s="4" t="s">
        <v>25</v>
      </c>
      <c r="Q1627" s="16"/>
    </row>
    <row r="1628" customFormat="false" ht="12.8" hidden="false" customHeight="false" outlineLevel="0" collapsed="false">
      <c r="A1628" s="22"/>
      <c r="B1628" s="23" t="n">
        <v>507149000</v>
      </c>
      <c r="C1628" s="24"/>
      <c r="D1628" s="22" t="s">
        <v>1572</v>
      </c>
      <c r="E1628" s="19"/>
      <c r="F1628" s="24"/>
      <c r="G1628" s="25"/>
      <c r="H1628" s="26"/>
      <c r="I1628" s="27"/>
      <c r="J1628" s="28" t="n">
        <v>100</v>
      </c>
      <c r="K1628" s="28" t="n">
        <v>1</v>
      </c>
      <c r="L1628" s="24" t="s">
        <v>1465</v>
      </c>
      <c r="M1628" s="29" t="n">
        <f aca="false">IF("oui" = "oui",0.39*(1-disc),0.39)</f>
        <v>0.39</v>
      </c>
      <c r="N1628" s="29" t="n">
        <f aca="false">IF("oui" = "oui",0.39*(1-disc)*1.2,0.39*1.2)</f>
        <v>0.468</v>
      </c>
      <c r="O1628" s="24" t="s">
        <v>25</v>
      </c>
      <c r="P1628" s="4" t="s">
        <v>25</v>
      </c>
      <c r="Q1628" s="16"/>
    </row>
    <row r="1629" customFormat="false" ht="12.8" hidden="false" customHeight="false" outlineLevel="0" collapsed="false">
      <c r="A1629" s="22"/>
      <c r="B1629" s="23" t="n">
        <v>507150000</v>
      </c>
      <c r="C1629" s="24"/>
      <c r="D1629" s="22" t="s">
        <v>1573</v>
      </c>
      <c r="E1629" s="19"/>
      <c r="F1629" s="24"/>
      <c r="G1629" s="25"/>
      <c r="H1629" s="26"/>
      <c r="I1629" s="27"/>
      <c r="J1629" s="28" t="n">
        <v>100</v>
      </c>
      <c r="K1629" s="28" t="n">
        <v>1</v>
      </c>
      <c r="L1629" s="24" t="s">
        <v>1465</v>
      </c>
      <c r="M1629" s="29" t="n">
        <f aca="false">IF("oui" = "oui",0.13*(1-disc),0.13)</f>
        <v>0.13</v>
      </c>
      <c r="N1629" s="29" t="n">
        <f aca="false">IF("oui" = "oui",0.13*(1-disc)*1.2,0.13*1.2)</f>
        <v>0.156</v>
      </c>
      <c r="O1629" s="24" t="s">
        <v>25</v>
      </c>
      <c r="P1629" s="4" t="s">
        <v>25</v>
      </c>
      <c r="Q1629" s="16"/>
    </row>
    <row r="1630" customFormat="false" ht="12.8" hidden="false" customHeight="false" outlineLevel="0" collapsed="false">
      <c r="A1630" s="22"/>
      <c r="B1630" s="23" t="n">
        <v>507487000</v>
      </c>
      <c r="C1630" s="24"/>
      <c r="D1630" s="22" t="s">
        <v>1574</v>
      </c>
      <c r="E1630" s="19"/>
      <c r="F1630" s="24"/>
      <c r="G1630" s="25"/>
      <c r="H1630" s="26"/>
      <c r="I1630" s="27"/>
      <c r="J1630" s="28" t="n">
        <v>500</v>
      </c>
      <c r="K1630" s="28" t="n">
        <v>1</v>
      </c>
      <c r="L1630" s="24" t="s">
        <v>1465</v>
      </c>
      <c r="M1630" s="29" t="n">
        <f aca="false">IF("oui" = "oui",0.33*(1-disc),0.33)</f>
        <v>0.33</v>
      </c>
      <c r="N1630" s="29" t="n">
        <f aca="false">IF("oui" = "oui",0.33*(1-disc)*1.2,0.33*1.2)</f>
        <v>0.396</v>
      </c>
      <c r="O1630" s="24" t="s">
        <v>25</v>
      </c>
      <c r="P1630" s="7" t="s">
        <v>26</v>
      </c>
      <c r="Q1630" s="16"/>
    </row>
    <row r="1631" customFormat="false" ht="12.8" hidden="false" customHeight="false" outlineLevel="0" collapsed="false">
      <c r="A1631" s="22"/>
      <c r="B1631" s="56" t="n">
        <v>507481000</v>
      </c>
      <c r="C1631" s="24"/>
      <c r="D1631" s="72" t="s">
        <v>1575</v>
      </c>
      <c r="E1631" s="75"/>
      <c r="F1631" s="24"/>
      <c r="G1631" s="25"/>
      <c r="H1631" s="26"/>
      <c r="I1631" s="27"/>
      <c r="J1631" s="28" t="n">
        <v>300</v>
      </c>
      <c r="K1631" s="28" t="n">
        <v>1</v>
      </c>
      <c r="L1631" s="24" t="s">
        <v>1465</v>
      </c>
      <c r="M1631" s="29" t="n">
        <f aca="false">IF("oui" = "oui",0.82*(1-disc),0.82)</f>
        <v>0.82</v>
      </c>
      <c r="N1631" s="29" t="n">
        <f aca="false">IF("oui" = "oui",0.82*(1-disc)*1.2,0.82*1.2)</f>
        <v>0.984</v>
      </c>
      <c r="O1631" s="24" t="s">
        <v>25</v>
      </c>
      <c r="P1631" s="7" t="s">
        <v>26</v>
      </c>
      <c r="Q1631" s="16"/>
    </row>
    <row r="1632" customFormat="false" ht="12.8" hidden="false" customHeight="false" outlineLevel="0" collapsed="false">
      <c r="A1632" s="22"/>
      <c r="B1632" s="23" t="n">
        <v>507482000</v>
      </c>
      <c r="C1632" s="24"/>
      <c r="D1632" s="72" t="s">
        <v>1576</v>
      </c>
      <c r="E1632" s="75"/>
      <c r="F1632" s="24"/>
      <c r="G1632" s="25"/>
      <c r="H1632" s="26"/>
      <c r="I1632" s="27"/>
      <c r="J1632" s="28" t="n">
        <v>300</v>
      </c>
      <c r="K1632" s="28" t="n">
        <v>1</v>
      </c>
      <c r="L1632" s="24" t="s">
        <v>1465</v>
      </c>
      <c r="M1632" s="29" t="n">
        <f aca="false">IF("oui" = "oui",0.82*(1-disc),0.82)</f>
        <v>0.82</v>
      </c>
      <c r="N1632" s="29" t="n">
        <f aca="false">IF("oui" = "oui",0.82*(1-disc)*1.2,0.82*1.2)</f>
        <v>0.984</v>
      </c>
      <c r="O1632" s="24" t="s">
        <v>25</v>
      </c>
      <c r="P1632" s="7" t="s">
        <v>26</v>
      </c>
      <c r="Q1632" s="16"/>
    </row>
    <row r="1633" customFormat="false" ht="12.8" hidden="false" customHeight="false" outlineLevel="0" collapsed="false">
      <c r="A1633" s="22"/>
      <c r="B1633" s="23" t="n">
        <v>507483000</v>
      </c>
      <c r="C1633" s="24"/>
      <c r="D1633" s="72" t="s">
        <v>1577</v>
      </c>
      <c r="E1633" s="75"/>
      <c r="F1633" s="24"/>
      <c r="G1633" s="25"/>
      <c r="H1633" s="26"/>
      <c r="I1633" s="27"/>
      <c r="J1633" s="28" t="n">
        <v>230</v>
      </c>
      <c r="K1633" s="28" t="n">
        <v>1</v>
      </c>
      <c r="L1633" s="24" t="s">
        <v>1465</v>
      </c>
      <c r="M1633" s="29" t="n">
        <f aca="false">IF("oui" = "oui",0.82*(1-disc),0.82)</f>
        <v>0.82</v>
      </c>
      <c r="N1633" s="29" t="n">
        <f aca="false">IF("oui" = "oui",0.82*(1-disc)*1.2,0.82*1.2)</f>
        <v>0.984</v>
      </c>
      <c r="O1633" s="24" t="s">
        <v>25</v>
      </c>
      <c r="P1633" s="7" t="s">
        <v>26</v>
      </c>
      <c r="Q1633" s="16"/>
    </row>
    <row r="1634" customFormat="false" ht="12.8" hidden="false" customHeight="false" outlineLevel="0" collapsed="false">
      <c r="A1634" s="22"/>
      <c r="B1634" s="23" t="n">
        <v>507484000</v>
      </c>
      <c r="C1634" s="24"/>
      <c r="D1634" s="72" t="s">
        <v>1578</v>
      </c>
      <c r="E1634" s="75"/>
      <c r="F1634" s="24"/>
      <c r="G1634" s="25"/>
      <c r="H1634" s="26"/>
      <c r="I1634" s="27"/>
      <c r="J1634" s="28" t="n">
        <v>300</v>
      </c>
      <c r="K1634" s="28" t="n">
        <v>1</v>
      </c>
      <c r="L1634" s="24" t="s">
        <v>1465</v>
      </c>
      <c r="M1634" s="29" t="n">
        <f aca="false">IF("oui" = "oui",0.82*(1-disc),0.82)</f>
        <v>0.82</v>
      </c>
      <c r="N1634" s="29" t="n">
        <f aca="false">IF("oui" = "oui",0.82*(1-disc)*1.2,0.82*1.2)</f>
        <v>0.984</v>
      </c>
      <c r="O1634" s="24" t="s">
        <v>25</v>
      </c>
      <c r="P1634" s="7" t="s">
        <v>26</v>
      </c>
      <c r="Q1634" s="16"/>
    </row>
    <row r="1635" customFormat="false" ht="12.8" hidden="false" customHeight="false" outlineLevel="0" collapsed="false">
      <c r="A1635" s="22"/>
      <c r="B1635" s="23" t="n">
        <v>507485000</v>
      </c>
      <c r="C1635" s="24"/>
      <c r="D1635" s="72" t="s">
        <v>1579</v>
      </c>
      <c r="E1635" s="75"/>
      <c r="F1635" s="24"/>
      <c r="G1635" s="25"/>
      <c r="H1635" s="26"/>
      <c r="I1635" s="27"/>
      <c r="J1635" s="28" t="n">
        <v>230</v>
      </c>
      <c r="K1635" s="28" t="n">
        <v>1</v>
      </c>
      <c r="L1635" s="24" t="s">
        <v>1465</v>
      </c>
      <c r="M1635" s="29" t="n">
        <f aca="false">IF("oui" = "oui",0.82*(1-disc),0.82)</f>
        <v>0.82</v>
      </c>
      <c r="N1635" s="29" t="n">
        <f aca="false">IF("oui" = "oui",0.82*(1-disc)*1.2,0.82*1.2)</f>
        <v>0.984</v>
      </c>
      <c r="O1635" s="24" t="s">
        <v>25</v>
      </c>
      <c r="P1635" s="7" t="s">
        <v>26</v>
      </c>
      <c r="Q1635" s="16"/>
    </row>
    <row r="1636" customFormat="false" ht="12.8" hidden="false" customHeight="false" outlineLevel="0" collapsed="false">
      <c r="A1636" s="22"/>
      <c r="B1636" s="23" t="n">
        <v>507486000</v>
      </c>
      <c r="C1636" s="24"/>
      <c r="D1636" s="72" t="s">
        <v>1580</v>
      </c>
      <c r="E1636" s="75"/>
      <c r="F1636" s="24"/>
      <c r="G1636" s="25"/>
      <c r="H1636" s="26"/>
      <c r="I1636" s="27"/>
      <c r="J1636" s="28" t="n">
        <v>230</v>
      </c>
      <c r="K1636" s="28" t="n">
        <v>1</v>
      </c>
      <c r="L1636" s="24" t="s">
        <v>1465</v>
      </c>
      <c r="M1636" s="29" t="n">
        <f aca="false">IF("oui" = "oui",0.82*(1-disc),0.82)</f>
        <v>0.82</v>
      </c>
      <c r="N1636" s="29" t="n">
        <f aca="false">IF("oui" = "oui",0.82*(1-disc)*1.2,0.82*1.2)</f>
        <v>0.984</v>
      </c>
      <c r="O1636" s="24" t="s">
        <v>25</v>
      </c>
      <c r="P1636" s="7" t="s">
        <v>26</v>
      </c>
      <c r="Q1636" s="16"/>
    </row>
    <row r="1637" customFormat="false" ht="12.8" hidden="false" customHeight="false" outlineLevel="0" collapsed="false">
      <c r="A1637" s="22" t="s">
        <v>69</v>
      </c>
      <c r="B1637" s="23" t="n">
        <v>507583000</v>
      </c>
      <c r="C1637" s="24"/>
      <c r="D1637" s="72" t="s">
        <v>1581</v>
      </c>
      <c r="E1637" s="75"/>
      <c r="F1637" s="24"/>
      <c r="G1637" s="25"/>
      <c r="H1637" s="26"/>
      <c r="I1637" s="27"/>
      <c r="J1637" s="28" t="n">
        <v>200</v>
      </c>
      <c r="K1637" s="28" t="n">
        <v>1</v>
      </c>
      <c r="L1637" s="24" t="s">
        <v>1465</v>
      </c>
      <c r="M1637" s="29" t="n">
        <f aca="false">IF("oui" = "oui",0.75*(1-disc),0.75)</f>
        <v>0.75</v>
      </c>
      <c r="N1637" s="29" t="n">
        <f aca="false">IF("oui" = "oui",0.75*(1-disc)*1.2,0.75*1.2)</f>
        <v>0.9</v>
      </c>
      <c r="O1637" s="24" t="s">
        <v>25</v>
      </c>
      <c r="P1637" s="4" t="s">
        <v>25</v>
      </c>
      <c r="Q1637" s="16"/>
    </row>
    <row r="1638" customFormat="false" ht="12.8" hidden="false" customHeight="false" outlineLevel="0" collapsed="false">
      <c r="A1638" s="22"/>
      <c r="B1638" s="23"/>
      <c r="C1638" s="24"/>
      <c r="D1638" s="72"/>
      <c r="E1638" s="75"/>
      <c r="F1638" s="24"/>
      <c r="G1638" s="25"/>
      <c r="H1638" s="26"/>
      <c r="I1638" s="27"/>
      <c r="J1638" s="28"/>
      <c r="K1638" s="28"/>
      <c r="L1638" s="24"/>
      <c r="M1638" s="29"/>
      <c r="N1638" s="29"/>
      <c r="O1638" s="24"/>
      <c r="P1638" s="4"/>
      <c r="Q1638" s="16"/>
    </row>
    <row r="1639" customFormat="false" ht="12.8" hidden="false" customHeight="false" outlineLevel="0" collapsed="false">
      <c r="A1639" s="22"/>
      <c r="B1639" s="23" t="n">
        <v>507531000</v>
      </c>
      <c r="C1639" s="24"/>
      <c r="D1639" s="72" t="s">
        <v>1582</v>
      </c>
      <c r="E1639" s="75"/>
      <c r="F1639" s="24"/>
      <c r="G1639" s="25"/>
      <c r="H1639" s="26"/>
      <c r="I1639" s="27"/>
      <c r="J1639" s="28" t="n">
        <v>1</v>
      </c>
      <c r="K1639" s="28" t="n">
        <v>1</v>
      </c>
      <c r="L1639" s="24" t="s">
        <v>1465</v>
      </c>
      <c r="M1639" s="29" t="n">
        <f aca="false">IF("oui" = "oui",8.73*(1-disc),8.73)</f>
        <v>8.73</v>
      </c>
      <c r="N1639" s="29" t="n">
        <f aca="false">IF("oui" = "oui",8.73*(1-disc)*1.2,8.73*1.2)</f>
        <v>10.476</v>
      </c>
      <c r="O1639" s="24" t="s">
        <v>25</v>
      </c>
      <c r="P1639" s="4" t="s">
        <v>25</v>
      </c>
      <c r="Q1639" s="16"/>
    </row>
    <row r="1640" customFormat="false" ht="12.8" hidden="false" customHeight="false" outlineLevel="0" collapsed="false">
      <c r="A1640" s="22"/>
      <c r="B1640" s="23" t="n">
        <v>507532000</v>
      </c>
      <c r="C1640" s="24"/>
      <c r="D1640" s="72" t="s">
        <v>1583</v>
      </c>
      <c r="E1640" s="75"/>
      <c r="F1640" s="24"/>
      <c r="G1640" s="25"/>
      <c r="H1640" s="26"/>
      <c r="I1640" s="27"/>
      <c r="J1640" s="28" t="n">
        <v>1</v>
      </c>
      <c r="K1640" s="28" t="n">
        <v>1</v>
      </c>
      <c r="L1640" s="24" t="s">
        <v>1465</v>
      </c>
      <c r="M1640" s="29" t="n">
        <f aca="false">IF("oui" = "oui",9.29*(1-disc),9.29)</f>
        <v>9.29</v>
      </c>
      <c r="N1640" s="29" t="n">
        <f aca="false">IF("oui" = "oui",9.29*(1-disc)*1.2,9.29*1.2)</f>
        <v>11.148</v>
      </c>
      <c r="O1640" s="24" t="s">
        <v>25</v>
      </c>
      <c r="P1640" s="7" t="s">
        <v>26</v>
      </c>
      <c r="Q1640" s="16"/>
    </row>
    <row r="1641" customFormat="false" ht="12.8" hidden="false" customHeight="false" outlineLevel="0" collapsed="false">
      <c r="A1641" s="22"/>
      <c r="B1641" s="23" t="n">
        <v>507533000</v>
      </c>
      <c r="C1641" s="24"/>
      <c r="D1641" s="72" t="s">
        <v>1584</v>
      </c>
      <c r="E1641" s="75"/>
      <c r="F1641" s="24"/>
      <c r="G1641" s="25"/>
      <c r="H1641" s="26"/>
      <c r="I1641" s="27"/>
      <c r="J1641" s="28" t="n">
        <v>1</v>
      </c>
      <c r="K1641" s="28" t="n">
        <v>1</v>
      </c>
      <c r="L1641" s="24" t="s">
        <v>1465</v>
      </c>
      <c r="M1641" s="29" t="n">
        <f aca="false">IF("oui" = "oui",7.39*(1-disc),7.39)</f>
        <v>7.39</v>
      </c>
      <c r="N1641" s="29" t="n">
        <f aca="false">IF("oui" = "oui",7.39*(1-disc)*1.2,7.39*1.2)</f>
        <v>8.868</v>
      </c>
      <c r="O1641" s="24" t="s">
        <v>25</v>
      </c>
      <c r="P1641" s="4" t="s">
        <v>25</v>
      </c>
      <c r="Q1641" s="16"/>
    </row>
    <row r="1642" customFormat="false" ht="12.8" hidden="false" customHeight="false" outlineLevel="0" collapsed="false">
      <c r="A1642" s="22"/>
      <c r="B1642" s="23" t="n">
        <v>507530000</v>
      </c>
      <c r="C1642" s="24"/>
      <c r="D1642" s="72" t="s">
        <v>1585</v>
      </c>
      <c r="E1642" s="75"/>
      <c r="F1642" s="24"/>
      <c r="G1642" s="25"/>
      <c r="H1642" s="26"/>
      <c r="I1642" s="27"/>
      <c r="J1642" s="28" t="n">
        <v>1</v>
      </c>
      <c r="K1642" s="28" t="n">
        <v>1</v>
      </c>
      <c r="L1642" s="24" t="s">
        <v>1465</v>
      </c>
      <c r="M1642" s="29" t="n">
        <f aca="false">IF("oui" = "oui",10.44*(1-disc),10.44)</f>
        <v>10.44</v>
      </c>
      <c r="N1642" s="29" t="n">
        <f aca="false">IF("oui" = "oui",10.44*(1-disc)*1.2,10.44*1.2)</f>
        <v>12.528</v>
      </c>
      <c r="O1642" s="24" t="s">
        <v>25</v>
      </c>
      <c r="P1642" s="4" t="s">
        <v>25</v>
      </c>
      <c r="Q1642" s="16"/>
    </row>
    <row r="1643" customFormat="false" ht="12.8" hidden="false" customHeight="false" outlineLevel="0" collapsed="false">
      <c r="A1643" s="22"/>
      <c r="B1643" s="23"/>
      <c r="C1643" s="24"/>
      <c r="D1643" s="72"/>
      <c r="E1643" s="75"/>
      <c r="F1643" s="24"/>
      <c r="G1643" s="25"/>
      <c r="H1643" s="26"/>
      <c r="I1643" s="27"/>
      <c r="J1643" s="28"/>
      <c r="K1643" s="28"/>
      <c r="L1643" s="24"/>
      <c r="M1643" s="29"/>
      <c r="N1643" s="29"/>
      <c r="O1643" s="24"/>
      <c r="P1643" s="4"/>
      <c r="Q1643" s="16"/>
    </row>
    <row r="1644" customFormat="false" ht="12.8" hidden="false" customHeight="false" outlineLevel="0" collapsed="false">
      <c r="A1644" s="22"/>
      <c r="B1644" s="23" t="n">
        <v>507364000</v>
      </c>
      <c r="C1644" s="24"/>
      <c r="D1644" s="72" t="s">
        <v>1586</v>
      </c>
      <c r="E1644" s="75"/>
      <c r="F1644" s="24"/>
      <c r="G1644" s="25"/>
      <c r="H1644" s="26"/>
      <c r="I1644" s="27"/>
      <c r="J1644" s="28" t="n">
        <v>10000</v>
      </c>
      <c r="K1644" s="28" t="n">
        <v>1</v>
      </c>
      <c r="L1644" s="24" t="s">
        <v>1465</v>
      </c>
      <c r="M1644" s="29" t="n">
        <f aca="false">IF("oui" = "oui",0.15*(1-disc),0.15)</f>
        <v>0.15</v>
      </c>
      <c r="N1644" s="29" t="n">
        <f aca="false">IF("oui" = "oui",0.15*(1-disc)*1.2,0.15*1.2)</f>
        <v>0.18</v>
      </c>
      <c r="O1644" s="24" t="s">
        <v>25</v>
      </c>
      <c r="P1644" s="4" t="s">
        <v>25</v>
      </c>
      <c r="Q1644" s="16"/>
    </row>
    <row r="1645" customFormat="false" ht="12.8" hidden="false" customHeight="false" outlineLevel="0" collapsed="false">
      <c r="A1645" s="22"/>
      <c r="B1645" s="23" t="n">
        <v>507235000</v>
      </c>
      <c r="C1645" s="24"/>
      <c r="D1645" s="72" t="s">
        <v>1587</v>
      </c>
      <c r="E1645" s="75"/>
      <c r="F1645" s="24"/>
      <c r="G1645" s="25"/>
      <c r="H1645" s="26"/>
      <c r="I1645" s="27"/>
      <c r="J1645" s="28" t="n">
        <v>10000</v>
      </c>
      <c r="K1645" s="28" t="n">
        <v>1</v>
      </c>
      <c r="L1645" s="24" t="s">
        <v>1465</v>
      </c>
      <c r="M1645" s="29" t="n">
        <f aca="false">IF("oui" = "oui",0.15*(1-disc),0.15)</f>
        <v>0.15</v>
      </c>
      <c r="N1645" s="29" t="n">
        <f aca="false">IF("oui" = "oui",0.15*(1-disc)*1.2,0.15*1.2)</f>
        <v>0.18</v>
      </c>
      <c r="O1645" s="24" t="s">
        <v>25</v>
      </c>
      <c r="P1645" s="4" t="s">
        <v>25</v>
      </c>
      <c r="Q1645" s="16"/>
    </row>
    <row r="1646" customFormat="false" ht="12.8" hidden="false" customHeight="false" outlineLevel="0" collapsed="false">
      <c r="A1646" s="22"/>
      <c r="B1646" s="23" t="n">
        <v>507511000</v>
      </c>
      <c r="C1646" s="24"/>
      <c r="D1646" s="72" t="s">
        <v>1588</v>
      </c>
      <c r="E1646" s="75"/>
      <c r="F1646" s="24"/>
      <c r="G1646" s="25"/>
      <c r="H1646" s="26"/>
      <c r="I1646" s="27"/>
      <c r="J1646" s="28" t="n">
        <v>10000</v>
      </c>
      <c r="K1646" s="28" t="n">
        <v>1</v>
      </c>
      <c r="L1646" s="24" t="s">
        <v>1465</v>
      </c>
      <c r="M1646" s="29" t="n">
        <f aca="false">IF("oui" = "oui",0.15*(1-disc),0.15)</f>
        <v>0.15</v>
      </c>
      <c r="N1646" s="29" t="n">
        <f aca="false">IF("oui" = "oui",0.15*(1-disc)*1.2,0.15*1.2)</f>
        <v>0.18</v>
      </c>
      <c r="O1646" s="24" t="s">
        <v>25</v>
      </c>
      <c r="P1646" s="4" t="s">
        <v>25</v>
      </c>
      <c r="Q1646" s="16"/>
    </row>
    <row r="1647" customFormat="false" ht="12.8" hidden="false" customHeight="false" outlineLevel="0" collapsed="false">
      <c r="A1647" s="22"/>
      <c r="B1647" s="23"/>
      <c r="C1647" s="24"/>
      <c r="D1647" s="72"/>
      <c r="E1647" s="75"/>
      <c r="F1647" s="24"/>
      <c r="G1647" s="25"/>
      <c r="H1647" s="26"/>
      <c r="I1647" s="27"/>
      <c r="J1647" s="28"/>
      <c r="K1647" s="28"/>
      <c r="L1647" s="24"/>
      <c r="M1647" s="29"/>
      <c r="N1647" s="29"/>
      <c r="O1647" s="24"/>
      <c r="P1647" s="4"/>
      <c r="Q1647" s="16"/>
    </row>
    <row r="1648" customFormat="false" ht="12.8" hidden="false" customHeight="false" outlineLevel="0" collapsed="false">
      <c r="A1648" s="42" t="s">
        <v>1589</v>
      </c>
      <c r="B1648" s="43"/>
      <c r="C1648" s="44"/>
      <c r="D1648" s="45"/>
      <c r="E1648" s="46"/>
      <c r="F1648" s="44"/>
      <c r="G1648" s="47"/>
      <c r="H1648" s="48"/>
      <c r="I1648" s="49"/>
      <c r="J1648" s="50"/>
      <c r="K1648" s="50"/>
      <c r="L1648" s="44"/>
      <c r="M1648" s="51"/>
      <c r="N1648" s="51"/>
      <c r="O1648" s="44"/>
      <c r="P1648" s="52"/>
      <c r="Q1648" s="53"/>
    </row>
    <row r="1649" customFormat="false" ht="12.8" hidden="false" customHeight="false" outlineLevel="0" collapsed="false">
      <c r="A1649" s="22"/>
      <c r="B1649" s="23"/>
      <c r="C1649" s="24"/>
      <c r="D1649" s="22"/>
      <c r="E1649" s="19"/>
      <c r="F1649" s="24"/>
      <c r="G1649" s="25"/>
      <c r="H1649" s="26"/>
      <c r="I1649" s="27"/>
      <c r="J1649" s="28"/>
      <c r="K1649" s="28"/>
      <c r="L1649" s="24"/>
      <c r="M1649" s="29"/>
      <c r="N1649" s="29"/>
      <c r="O1649" s="24"/>
      <c r="P1649" s="4"/>
      <c r="Q1649" s="16"/>
    </row>
    <row r="1650" customFormat="false" ht="12.8" hidden="false" customHeight="false" outlineLevel="0" collapsed="false">
      <c r="A1650" s="22"/>
      <c r="B1650" s="23" t="n">
        <v>507151000</v>
      </c>
      <c r="C1650" s="24"/>
      <c r="D1650" s="22" t="s">
        <v>1590</v>
      </c>
      <c r="E1650" s="19"/>
      <c r="F1650" s="24"/>
      <c r="G1650" s="25"/>
      <c r="H1650" s="26"/>
      <c r="I1650" s="27"/>
      <c r="J1650" s="28" t="n">
        <v>100</v>
      </c>
      <c r="K1650" s="28" t="n">
        <v>100</v>
      </c>
      <c r="L1650" s="24" t="s">
        <v>1465</v>
      </c>
      <c r="M1650" s="29" t="n">
        <f aca="false">IF("oui" = "oui",9.24*(1-disc),9.24)</f>
        <v>9.24</v>
      </c>
      <c r="N1650" s="29" t="n">
        <f aca="false">IF("oui" = "oui",9.24*(1-disc)*1.2,9.24*1.2)</f>
        <v>11.088</v>
      </c>
      <c r="O1650" s="24" t="s">
        <v>25</v>
      </c>
      <c r="P1650" s="4" t="s">
        <v>25</v>
      </c>
      <c r="Q1650" s="16"/>
    </row>
    <row r="1651" customFormat="false" ht="12.8" hidden="false" customHeight="false" outlineLevel="0" collapsed="false">
      <c r="A1651" s="22"/>
      <c r="B1651" s="23" t="n">
        <v>507152000</v>
      </c>
      <c r="C1651" s="24"/>
      <c r="D1651" s="22" t="s">
        <v>1591</v>
      </c>
      <c r="E1651" s="19"/>
      <c r="F1651" s="24"/>
      <c r="G1651" s="25"/>
      <c r="H1651" s="26"/>
      <c r="I1651" s="27"/>
      <c r="J1651" s="28" t="n">
        <v>1</v>
      </c>
      <c r="K1651" s="28" t="n">
        <v>1</v>
      </c>
      <c r="L1651" s="24" t="s">
        <v>1465</v>
      </c>
      <c r="M1651" s="29" t="n">
        <f aca="false">IF("oui" = "oui",7.39*(1-disc),7.39)</f>
        <v>7.39</v>
      </c>
      <c r="N1651" s="29" t="n">
        <f aca="false">IF("oui" = "oui",7.39*(1-disc)*1.2,7.39*1.2)</f>
        <v>8.868</v>
      </c>
      <c r="O1651" s="24" t="s">
        <v>25</v>
      </c>
      <c r="P1651" s="55" t="s">
        <v>276</v>
      </c>
      <c r="Q1651" s="16"/>
    </row>
    <row r="1652" customFormat="false" ht="12.8" hidden="false" customHeight="false" outlineLevel="0" collapsed="false">
      <c r="A1652" s="22"/>
      <c r="B1652" s="23" t="n">
        <v>507247000</v>
      </c>
      <c r="C1652" s="24"/>
      <c r="D1652" s="22" t="s">
        <v>1592</v>
      </c>
      <c r="E1652" s="19"/>
      <c r="F1652" s="24"/>
      <c r="G1652" s="25"/>
      <c r="H1652" s="26"/>
      <c r="I1652" s="27"/>
      <c r="J1652" s="28" t="n">
        <v>1</v>
      </c>
      <c r="K1652" s="28" t="n">
        <v>1</v>
      </c>
      <c r="L1652" s="24" t="s">
        <v>1465</v>
      </c>
      <c r="M1652" s="57" t="n">
        <f aca="false">IF("non" = "oui",2.35*(1-disc),2.35)</f>
        <v>2.35</v>
      </c>
      <c r="N1652" s="57" t="n">
        <f aca="false">IF("non" = "oui",2.35*(1-disc)*1.2,2.35*1.2)</f>
        <v>2.82</v>
      </c>
      <c r="O1652" s="58" t="s">
        <v>26</v>
      </c>
      <c r="P1652" s="55" t="s">
        <v>127</v>
      </c>
      <c r="Q1652" s="16"/>
    </row>
    <row r="1653" customFormat="false" ht="12.8" hidden="false" customHeight="false" outlineLevel="0" collapsed="false">
      <c r="A1653" s="22"/>
      <c r="B1653" s="23"/>
      <c r="C1653" s="24"/>
      <c r="D1653" s="22"/>
      <c r="E1653" s="19"/>
      <c r="F1653" s="24"/>
      <c r="G1653" s="25"/>
      <c r="H1653" s="26"/>
      <c r="I1653" s="27"/>
      <c r="J1653" s="28"/>
      <c r="K1653" s="28"/>
      <c r="L1653" s="24"/>
      <c r="M1653" s="29"/>
      <c r="N1653" s="29"/>
      <c r="O1653" s="24"/>
      <c r="P1653" s="4"/>
      <c r="Q1653" s="16"/>
    </row>
    <row r="1654" customFormat="false" ht="12.8" hidden="false" customHeight="false" outlineLevel="0" collapsed="false">
      <c r="A1654" s="42" t="s">
        <v>1593</v>
      </c>
      <c r="B1654" s="43"/>
      <c r="C1654" s="44"/>
      <c r="D1654" s="45"/>
      <c r="E1654" s="46"/>
      <c r="F1654" s="44"/>
      <c r="G1654" s="47"/>
      <c r="H1654" s="48"/>
      <c r="I1654" s="49"/>
      <c r="J1654" s="50"/>
      <c r="K1654" s="50"/>
      <c r="L1654" s="44"/>
      <c r="M1654" s="51"/>
      <c r="N1654" s="51"/>
      <c r="O1654" s="44"/>
      <c r="P1654" s="52"/>
      <c r="Q1654" s="53"/>
    </row>
    <row r="1655" customFormat="false" ht="12.8" hidden="false" customHeight="false" outlineLevel="0" collapsed="false">
      <c r="A1655" s="22"/>
      <c r="B1655" s="23"/>
      <c r="C1655" s="24"/>
      <c r="D1655" s="22"/>
      <c r="E1655" s="19"/>
      <c r="F1655" s="24"/>
      <c r="G1655" s="25"/>
      <c r="H1655" s="26"/>
      <c r="I1655" s="27"/>
      <c r="J1655" s="28"/>
      <c r="K1655" s="28"/>
      <c r="L1655" s="24"/>
      <c r="M1655" s="29"/>
      <c r="N1655" s="29"/>
      <c r="O1655" s="24"/>
      <c r="P1655" s="4"/>
      <c r="Q1655" s="16"/>
    </row>
    <row r="1656" customFormat="false" ht="12.8" hidden="false" customHeight="false" outlineLevel="0" collapsed="false">
      <c r="A1656" s="22"/>
      <c r="B1656" s="23" t="n">
        <v>507208000</v>
      </c>
      <c r="C1656" s="24"/>
      <c r="D1656" s="54" t="s">
        <v>1594</v>
      </c>
      <c r="E1656" s="19"/>
      <c r="F1656" s="24"/>
      <c r="G1656" s="25"/>
      <c r="H1656" s="26"/>
      <c r="I1656" s="27"/>
      <c r="J1656" s="28" t="n">
        <v>100</v>
      </c>
      <c r="K1656" s="28" t="n">
        <v>1</v>
      </c>
      <c r="L1656" s="24" t="s">
        <v>1465</v>
      </c>
      <c r="M1656" s="29" t="n">
        <f aca="false">IF("oui" = "oui",27.16*(1-disc),27.16)</f>
        <v>27.16</v>
      </c>
      <c r="N1656" s="29" t="n">
        <f aca="false">IF("oui" = "oui",27.16*(1-disc)*1.2,27.16*1.2)</f>
        <v>32.592</v>
      </c>
      <c r="O1656" s="24" t="s">
        <v>25</v>
      </c>
      <c r="P1656" s="55" t="s">
        <v>311</v>
      </c>
      <c r="Q1656" s="16"/>
    </row>
    <row r="1657" customFormat="false" ht="12.8" hidden="false" customHeight="false" outlineLevel="0" collapsed="false">
      <c r="A1657" s="22"/>
      <c r="B1657" s="23" t="n">
        <v>507257000</v>
      </c>
      <c r="C1657" s="24"/>
      <c r="D1657" s="54" t="s">
        <v>1595</v>
      </c>
      <c r="E1657" s="19"/>
      <c r="F1657" s="24"/>
      <c r="G1657" s="25"/>
      <c r="H1657" s="26"/>
      <c r="I1657" s="27"/>
      <c r="J1657" s="28" t="n">
        <v>50</v>
      </c>
      <c r="K1657" s="28" t="n">
        <v>1</v>
      </c>
      <c r="L1657" s="24" t="s">
        <v>1465</v>
      </c>
      <c r="M1657" s="29" t="n">
        <f aca="false">IF("oui" = "oui",67.91*(1-disc),67.91)</f>
        <v>67.91</v>
      </c>
      <c r="N1657" s="29" t="n">
        <f aca="false">IF("oui" = "oui",67.91*(1-disc)*1.2,67.91*1.2)</f>
        <v>81.492</v>
      </c>
      <c r="O1657" s="24" t="s">
        <v>25</v>
      </c>
      <c r="P1657" s="7" t="s">
        <v>26</v>
      </c>
      <c r="Q1657" s="16"/>
    </row>
    <row r="1658" customFormat="false" ht="12.8" hidden="false" customHeight="false" outlineLevel="0" collapsed="false">
      <c r="A1658" s="22"/>
      <c r="B1658" s="23"/>
      <c r="C1658" s="24"/>
      <c r="D1658" s="22"/>
      <c r="E1658" s="19"/>
      <c r="F1658" s="24"/>
      <c r="G1658" s="25"/>
      <c r="H1658" s="26"/>
      <c r="I1658" s="27"/>
      <c r="J1658" s="28"/>
      <c r="K1658" s="28"/>
      <c r="L1658" s="24"/>
      <c r="M1658" s="29"/>
      <c r="N1658" s="29"/>
      <c r="O1658" s="24"/>
      <c r="P1658" s="4"/>
      <c r="Q1658" s="16"/>
    </row>
    <row r="1659" customFormat="false" ht="12.8" hidden="false" customHeight="false" outlineLevel="0" collapsed="false">
      <c r="A1659" s="22"/>
      <c r="B1659" s="23" t="n">
        <v>507480000</v>
      </c>
      <c r="C1659" s="24"/>
      <c r="D1659" s="22" t="s">
        <v>1596</v>
      </c>
      <c r="E1659" s="19"/>
      <c r="F1659" s="24"/>
      <c r="G1659" s="25"/>
      <c r="H1659" s="26"/>
      <c r="I1659" s="27"/>
      <c r="J1659" s="28" t="n">
        <v>1</v>
      </c>
      <c r="K1659" s="28" t="n">
        <v>1</v>
      </c>
      <c r="L1659" s="24" t="s">
        <v>1465</v>
      </c>
      <c r="M1659" s="57" t="n">
        <f aca="false">IF("non" = "oui",531.3*(1-disc),531.3)</f>
        <v>531.3</v>
      </c>
      <c r="N1659" s="57" t="n">
        <f aca="false">IF("non" = "oui",531.3*(1-disc)*1.2,531.3*1.2)</f>
        <v>637.56</v>
      </c>
      <c r="O1659" s="58" t="s">
        <v>26</v>
      </c>
      <c r="P1659" s="7" t="s">
        <v>26</v>
      </c>
      <c r="Q1659" s="16"/>
    </row>
    <row r="1660" customFormat="false" ht="12.8" hidden="false" customHeight="false" outlineLevel="0" collapsed="false">
      <c r="A1660" s="22"/>
      <c r="B1660" s="23" t="n">
        <v>507460000</v>
      </c>
      <c r="C1660" s="24"/>
      <c r="D1660" s="22" t="s">
        <v>1597</v>
      </c>
      <c r="E1660" s="19"/>
      <c r="F1660" s="24"/>
      <c r="G1660" s="25"/>
      <c r="H1660" s="26"/>
      <c r="I1660" s="27"/>
      <c r="J1660" s="28" t="n">
        <v>1</v>
      </c>
      <c r="K1660" s="28" t="n">
        <v>1</v>
      </c>
      <c r="L1660" s="24" t="s">
        <v>1465</v>
      </c>
      <c r="M1660" s="57" t="n">
        <f aca="false">IF("non" = "oui",531.3*(1-disc),531.3)</f>
        <v>531.3</v>
      </c>
      <c r="N1660" s="57" t="n">
        <f aca="false">IF("non" = "oui",531.3*(1-disc)*1.2,531.3*1.2)</f>
        <v>637.56</v>
      </c>
      <c r="O1660" s="58" t="s">
        <v>26</v>
      </c>
      <c r="P1660" s="55" t="s">
        <v>1029</v>
      </c>
      <c r="Q1660" s="16"/>
    </row>
    <row r="1661" customFormat="false" ht="12.8" hidden="false" customHeight="false" outlineLevel="0" collapsed="false">
      <c r="A1661" s="22"/>
      <c r="B1661" s="23" t="n">
        <v>507462000</v>
      </c>
      <c r="C1661" s="24"/>
      <c r="D1661" s="22" t="s">
        <v>1598</v>
      </c>
      <c r="E1661" s="19"/>
      <c r="F1661" s="24"/>
      <c r="G1661" s="25"/>
      <c r="H1661" s="26"/>
      <c r="I1661" s="27"/>
      <c r="J1661" s="28" t="n">
        <v>1</v>
      </c>
      <c r="K1661" s="28" t="n">
        <v>1</v>
      </c>
      <c r="L1661" s="24" t="s">
        <v>1465</v>
      </c>
      <c r="M1661" s="57" t="n">
        <f aca="false">IF("non" = "oui",412.87*(1-disc),412.87)</f>
        <v>412.87</v>
      </c>
      <c r="N1661" s="57" t="n">
        <f aca="false">IF("non" = "oui",412.87*(1-disc)*1.2,412.87*1.2)</f>
        <v>495.444</v>
      </c>
      <c r="O1661" s="58" t="s">
        <v>26</v>
      </c>
      <c r="P1661" s="55" t="s">
        <v>1029</v>
      </c>
      <c r="Q1661" s="16"/>
    </row>
    <row r="1662" customFormat="false" ht="12.8" hidden="false" customHeight="false" outlineLevel="0" collapsed="false">
      <c r="A1662" s="22"/>
      <c r="B1662" s="23" t="n">
        <v>507463000</v>
      </c>
      <c r="C1662" s="24"/>
      <c r="D1662" s="22" t="s">
        <v>1599</v>
      </c>
      <c r="E1662" s="19"/>
      <c r="F1662" s="24"/>
      <c r="G1662" s="25"/>
      <c r="H1662" s="26"/>
      <c r="I1662" s="27"/>
      <c r="J1662" s="28" t="n">
        <v>1</v>
      </c>
      <c r="K1662" s="28" t="n">
        <v>1</v>
      </c>
      <c r="L1662" s="24" t="s">
        <v>1465</v>
      </c>
      <c r="M1662" s="57" t="n">
        <f aca="false">IF("non" = "oui",12.67*(1-disc),12.67)</f>
        <v>12.67</v>
      </c>
      <c r="N1662" s="57" t="n">
        <f aca="false">IF("non" = "oui",12.67*(1-disc)*1.2,12.67*1.2)</f>
        <v>15.204</v>
      </c>
      <c r="O1662" s="58" t="s">
        <v>26</v>
      </c>
      <c r="P1662" s="55" t="s">
        <v>357</v>
      </c>
      <c r="Q1662" s="16"/>
    </row>
    <row r="1663" customFormat="false" ht="12.8" hidden="false" customHeight="false" outlineLevel="0" collapsed="false">
      <c r="A1663" s="22"/>
      <c r="B1663" s="23" t="n">
        <v>507491000</v>
      </c>
      <c r="C1663" s="24"/>
      <c r="D1663" s="22" t="s">
        <v>1600</v>
      </c>
      <c r="E1663" s="19"/>
      <c r="F1663" s="24"/>
      <c r="G1663" s="25"/>
      <c r="H1663" s="26"/>
      <c r="I1663" s="27"/>
      <c r="J1663" s="28" t="n">
        <v>1</v>
      </c>
      <c r="K1663" s="28" t="n">
        <v>1</v>
      </c>
      <c r="L1663" s="24" t="s">
        <v>1465</v>
      </c>
      <c r="M1663" s="57" t="n">
        <f aca="false">IF("non" = "oui",62.47*(1-disc),62.47)</f>
        <v>62.47</v>
      </c>
      <c r="N1663" s="57" t="n">
        <f aca="false">IF("non" = "oui",62.47*(1-disc)*1.2,62.47*1.2)</f>
        <v>74.964</v>
      </c>
      <c r="O1663" s="58" t="s">
        <v>26</v>
      </c>
      <c r="P1663" s="55" t="s">
        <v>141</v>
      </c>
      <c r="Q1663" s="16"/>
    </row>
    <row r="1664" customFormat="false" ht="12.8" hidden="false" customHeight="false" outlineLevel="0" collapsed="false">
      <c r="A1664" s="22"/>
      <c r="B1664" s="23"/>
      <c r="C1664" s="24"/>
      <c r="D1664" s="22"/>
      <c r="E1664" s="19"/>
      <c r="F1664" s="24"/>
      <c r="G1664" s="25"/>
      <c r="H1664" s="26"/>
      <c r="I1664" s="27"/>
      <c r="J1664" s="28"/>
      <c r="K1664" s="28"/>
      <c r="L1664" s="24"/>
      <c r="M1664" s="29"/>
      <c r="N1664" s="29"/>
      <c r="O1664" s="24"/>
      <c r="P1664" s="4"/>
      <c r="Q1664" s="16"/>
    </row>
    <row r="1665" customFormat="false" ht="12.8" hidden="false" customHeight="false" outlineLevel="0" collapsed="false">
      <c r="A1665" s="22" t="s">
        <v>69</v>
      </c>
      <c r="B1665" s="23" t="n">
        <v>507562000</v>
      </c>
      <c r="C1665" s="24"/>
      <c r="D1665" s="54" t="s">
        <v>1601</v>
      </c>
      <c r="E1665" s="19"/>
      <c r="F1665" s="24"/>
      <c r="G1665" s="25"/>
      <c r="H1665" s="26"/>
      <c r="I1665" s="27"/>
      <c r="J1665" s="28" t="n">
        <v>1</v>
      </c>
      <c r="K1665" s="28" t="n">
        <v>1</v>
      </c>
      <c r="L1665" s="24" t="s">
        <v>1465</v>
      </c>
      <c r="M1665" s="57" t="n">
        <f aca="false">IF("non" = "oui",57.04*(1-disc),57.04)</f>
        <v>57.04</v>
      </c>
      <c r="N1665" s="57" t="n">
        <f aca="false">IF("non" = "oui",57.04*(1-disc)*1.2,57.04*1.2)</f>
        <v>68.448</v>
      </c>
      <c r="O1665" s="58" t="s">
        <v>26</v>
      </c>
      <c r="P1665" s="55" t="s">
        <v>1286</v>
      </c>
      <c r="Q1665" s="16"/>
    </row>
    <row r="1666" customFormat="false" ht="12.8" hidden="false" customHeight="false" outlineLevel="0" collapsed="false">
      <c r="A1666" s="22"/>
      <c r="B1666" s="23"/>
      <c r="C1666" s="24"/>
      <c r="D1666" s="22"/>
      <c r="E1666" s="19"/>
      <c r="F1666" s="24"/>
      <c r="G1666" s="25"/>
      <c r="H1666" s="26"/>
      <c r="I1666" s="27"/>
      <c r="J1666" s="28"/>
      <c r="K1666" s="28"/>
      <c r="L1666" s="24"/>
      <c r="M1666" s="29"/>
      <c r="N1666" s="29"/>
      <c r="O1666" s="24"/>
      <c r="P1666" s="4"/>
      <c r="Q1666" s="16"/>
    </row>
    <row r="1667" customFormat="false" ht="12.8" hidden="false" customHeight="false" outlineLevel="0" collapsed="false">
      <c r="A1667" s="42" t="s">
        <v>1602</v>
      </c>
      <c r="B1667" s="43"/>
      <c r="C1667" s="44"/>
      <c r="D1667" s="45"/>
      <c r="E1667" s="46"/>
      <c r="F1667" s="44"/>
      <c r="G1667" s="47"/>
      <c r="H1667" s="48"/>
      <c r="I1667" s="49"/>
      <c r="J1667" s="50"/>
      <c r="K1667" s="50"/>
      <c r="L1667" s="44"/>
      <c r="M1667" s="51"/>
      <c r="N1667" s="51"/>
      <c r="O1667" s="44"/>
      <c r="P1667" s="52"/>
      <c r="Q1667" s="53"/>
    </row>
    <row r="1668" customFormat="false" ht="12.8" hidden="false" customHeight="false" outlineLevel="0" collapsed="false">
      <c r="A1668" s="22"/>
      <c r="B1668" s="23"/>
      <c r="C1668" s="24"/>
      <c r="D1668" s="22"/>
      <c r="E1668" s="19"/>
      <c r="F1668" s="24"/>
      <c r="G1668" s="25"/>
      <c r="H1668" s="26"/>
      <c r="I1668" s="27"/>
      <c r="J1668" s="28"/>
      <c r="K1668" s="28"/>
      <c r="L1668" s="24"/>
      <c r="M1668" s="29"/>
      <c r="N1668" s="29"/>
      <c r="O1668" s="24"/>
      <c r="P1668" s="4"/>
      <c r="Q1668" s="16"/>
    </row>
    <row r="1669" customFormat="false" ht="12.8" hidden="false" customHeight="false" outlineLevel="0" collapsed="false">
      <c r="A1669" s="22"/>
      <c r="B1669" s="23" t="n">
        <v>507234000</v>
      </c>
      <c r="C1669" s="24"/>
      <c r="D1669" s="22" t="s">
        <v>1603</v>
      </c>
      <c r="E1669" s="19"/>
      <c r="F1669" s="24"/>
      <c r="G1669" s="25"/>
      <c r="H1669" s="26"/>
      <c r="I1669" s="27"/>
      <c r="J1669" s="28" t="n">
        <v>1</v>
      </c>
      <c r="K1669" s="28" t="n">
        <v>1</v>
      </c>
      <c r="L1669" s="24" t="s">
        <v>1465</v>
      </c>
      <c r="M1669" s="57" t="n">
        <f aca="false">IF("non" = "oui",2.17*(1-disc),2.17)</f>
        <v>2.17</v>
      </c>
      <c r="N1669" s="57" t="n">
        <f aca="false">IF("non" = "oui",2.17*(1-disc)*1.2,2.17*1.2)</f>
        <v>2.604</v>
      </c>
      <c r="O1669" s="58" t="s">
        <v>26</v>
      </c>
      <c r="P1669" s="55" t="s">
        <v>381</v>
      </c>
      <c r="Q1669" s="16"/>
    </row>
    <row r="1670" customFormat="false" ht="12.8" hidden="false" customHeight="false" outlineLevel="0" collapsed="false">
      <c r="A1670" s="22"/>
      <c r="B1670" s="23" t="n">
        <v>507232000</v>
      </c>
      <c r="C1670" s="24"/>
      <c r="D1670" s="22" t="s">
        <v>1604</v>
      </c>
      <c r="E1670" s="19"/>
      <c r="F1670" s="24"/>
      <c r="G1670" s="25"/>
      <c r="H1670" s="26"/>
      <c r="I1670" s="27"/>
      <c r="J1670" s="28"/>
      <c r="K1670" s="28" t="n">
        <v>1</v>
      </c>
      <c r="L1670" s="24" t="s">
        <v>1465</v>
      </c>
      <c r="M1670" s="29" t="n">
        <f aca="false">IF("oui" = "oui",2.72*(1-disc),2.72)</f>
        <v>2.72</v>
      </c>
      <c r="N1670" s="29" t="n">
        <f aca="false">IF("oui" = "oui",2.72*(1-disc)*1.2,2.72*1.2)</f>
        <v>3.264</v>
      </c>
      <c r="O1670" s="24" t="s">
        <v>25</v>
      </c>
      <c r="P1670" s="4" t="s">
        <v>25</v>
      </c>
      <c r="Q1670" s="16"/>
    </row>
    <row r="1671" customFormat="false" ht="12.8" hidden="false" customHeight="false" outlineLevel="0" collapsed="false">
      <c r="A1671" s="22"/>
      <c r="B1671" s="23" t="n">
        <v>507205000</v>
      </c>
      <c r="C1671" s="24"/>
      <c r="D1671" s="22" t="s">
        <v>1605</v>
      </c>
      <c r="E1671" s="19"/>
      <c r="F1671" s="24"/>
      <c r="G1671" s="25"/>
      <c r="H1671" s="26"/>
      <c r="I1671" s="27"/>
      <c r="J1671" s="28" t="n">
        <v>1</v>
      </c>
      <c r="K1671" s="28" t="n">
        <v>1</v>
      </c>
      <c r="L1671" s="24" t="s">
        <v>1465</v>
      </c>
      <c r="M1671" s="57" t="n">
        <f aca="false">IF("non" = "oui",651.88*(1-disc),651.88)</f>
        <v>651.88</v>
      </c>
      <c r="N1671" s="57" t="n">
        <f aca="false">IF("non" = "oui",651.88*(1-disc)*1.2,651.88*1.2)</f>
        <v>782.256</v>
      </c>
      <c r="O1671" s="58" t="s">
        <v>26</v>
      </c>
      <c r="P1671" s="55" t="s">
        <v>1102</v>
      </c>
      <c r="Q1671" s="16"/>
    </row>
    <row r="1672" customFormat="false" ht="12.8" hidden="false" customHeight="false" outlineLevel="0" collapsed="false">
      <c r="A1672" s="22"/>
      <c r="B1672" s="23"/>
      <c r="C1672" s="24"/>
      <c r="D1672" s="22"/>
      <c r="E1672" s="19"/>
      <c r="F1672" s="24"/>
      <c r="G1672" s="25"/>
      <c r="H1672" s="26"/>
      <c r="I1672" s="27"/>
      <c r="J1672" s="28"/>
      <c r="K1672" s="28"/>
      <c r="L1672" s="24"/>
      <c r="M1672" s="29"/>
      <c r="N1672" s="29"/>
      <c r="O1672" s="24"/>
      <c r="P1672" s="4"/>
      <c r="Q1672" s="16"/>
    </row>
    <row r="1673" customFormat="false" ht="12.8" hidden="false" customHeight="false" outlineLevel="0" collapsed="false">
      <c r="A1673" s="42" t="s">
        <v>1606</v>
      </c>
      <c r="B1673" s="43"/>
      <c r="C1673" s="44"/>
      <c r="D1673" s="45"/>
      <c r="E1673" s="46"/>
      <c r="F1673" s="44"/>
      <c r="G1673" s="47"/>
      <c r="H1673" s="48"/>
      <c r="I1673" s="49"/>
      <c r="J1673" s="50"/>
      <c r="K1673" s="50"/>
      <c r="L1673" s="44"/>
      <c r="M1673" s="51"/>
      <c r="N1673" s="51"/>
      <c r="O1673" s="44"/>
      <c r="P1673" s="52"/>
      <c r="Q1673" s="53"/>
    </row>
    <row r="1674" customFormat="false" ht="12.8" hidden="false" customHeight="false" outlineLevel="0" collapsed="false">
      <c r="A1674" s="22"/>
      <c r="B1674" s="23"/>
      <c r="C1674" s="24"/>
      <c r="D1674" s="22"/>
      <c r="E1674" s="19"/>
      <c r="F1674" s="24"/>
      <c r="G1674" s="25"/>
      <c r="H1674" s="26"/>
      <c r="I1674" s="27"/>
      <c r="J1674" s="28"/>
      <c r="K1674" s="28"/>
      <c r="L1674" s="24"/>
      <c r="M1674" s="29"/>
      <c r="N1674" s="29"/>
      <c r="O1674" s="24"/>
      <c r="P1674" s="4"/>
      <c r="Q1674" s="16"/>
    </row>
    <row r="1675" customFormat="false" ht="12.8" hidden="false" customHeight="false" outlineLevel="0" collapsed="false">
      <c r="A1675" s="22"/>
      <c r="B1675" s="23" t="n">
        <v>509001000</v>
      </c>
      <c r="C1675" s="24"/>
      <c r="D1675" s="22" t="s">
        <v>1607</v>
      </c>
      <c r="E1675" s="19"/>
      <c r="F1675" s="24"/>
      <c r="G1675" s="25"/>
      <c r="H1675" s="26"/>
      <c r="I1675" s="27"/>
      <c r="J1675" s="28"/>
      <c r="K1675" s="28" t="n">
        <v>1</v>
      </c>
      <c r="L1675" s="24" t="s">
        <v>1465</v>
      </c>
      <c r="M1675" s="57" t="n">
        <f aca="false">IF("non" = "oui",0.76*(1-disc),0.76)</f>
        <v>0.76</v>
      </c>
      <c r="N1675" s="57" t="n">
        <f aca="false">IF("non" = "oui",0.76*(1-disc)*1.2,0.76*1.2)</f>
        <v>0.912</v>
      </c>
      <c r="O1675" s="58" t="s">
        <v>26</v>
      </c>
      <c r="P1675" s="4" t="s">
        <v>25</v>
      </c>
      <c r="Q1675" s="16"/>
    </row>
    <row r="1676" customFormat="false" ht="12.8" hidden="false" customHeight="false" outlineLevel="0" collapsed="false">
      <c r="A1676" s="22"/>
      <c r="B1676" s="23" t="n">
        <v>509002000</v>
      </c>
      <c r="C1676" s="24"/>
      <c r="D1676" s="22" t="s">
        <v>1608</v>
      </c>
      <c r="E1676" s="19"/>
      <c r="F1676" s="24"/>
      <c r="G1676" s="25"/>
      <c r="H1676" s="26"/>
      <c r="I1676" s="27"/>
      <c r="J1676" s="28"/>
      <c r="K1676" s="28" t="n">
        <v>1</v>
      </c>
      <c r="L1676" s="24" t="s">
        <v>1465</v>
      </c>
      <c r="M1676" s="57" t="n">
        <f aca="false">IF("non" = "oui",1.09*(1-disc),1.09)</f>
        <v>1.09</v>
      </c>
      <c r="N1676" s="57" t="n">
        <f aca="false">IF("non" = "oui",1.09*(1-disc)*1.2,1.09*1.2)</f>
        <v>1.308</v>
      </c>
      <c r="O1676" s="58" t="s">
        <v>26</v>
      </c>
      <c r="P1676" s="4" t="s">
        <v>25</v>
      </c>
      <c r="Q1676" s="16"/>
    </row>
    <row r="1677" customFormat="false" ht="12.8" hidden="false" customHeight="false" outlineLevel="0" collapsed="false">
      <c r="A1677" s="22"/>
      <c r="B1677" s="23" t="n">
        <v>509003000</v>
      </c>
      <c r="C1677" s="24"/>
      <c r="D1677" s="22" t="s">
        <v>1609</v>
      </c>
      <c r="E1677" s="19"/>
      <c r="F1677" s="24"/>
      <c r="G1677" s="25"/>
      <c r="H1677" s="26"/>
      <c r="I1677" s="27"/>
      <c r="J1677" s="28"/>
      <c r="K1677" s="28" t="n">
        <v>1</v>
      </c>
      <c r="L1677" s="24" t="s">
        <v>1465</v>
      </c>
      <c r="M1677" s="57" t="n">
        <f aca="false">IF("non" = "oui",1.63*(1-disc),1.63)</f>
        <v>1.63</v>
      </c>
      <c r="N1677" s="57" t="n">
        <f aca="false">IF("non" = "oui",1.63*(1-disc)*1.2,1.63*1.2)</f>
        <v>1.956</v>
      </c>
      <c r="O1677" s="58" t="s">
        <v>26</v>
      </c>
      <c r="P1677" s="4" t="s">
        <v>25</v>
      </c>
      <c r="Q1677" s="16"/>
    </row>
    <row r="1678" customFormat="false" ht="12.8" hidden="false" customHeight="false" outlineLevel="0" collapsed="false">
      <c r="A1678" s="22"/>
      <c r="B1678" s="23"/>
      <c r="C1678" s="24"/>
      <c r="D1678" s="22"/>
      <c r="E1678" s="19"/>
      <c r="F1678" s="24"/>
      <c r="G1678" s="25"/>
      <c r="H1678" s="26"/>
      <c r="I1678" s="27"/>
      <c r="J1678" s="28"/>
      <c r="K1678" s="28"/>
      <c r="L1678" s="24"/>
      <c r="M1678" s="29"/>
      <c r="N1678" s="29"/>
      <c r="O1678" s="24"/>
      <c r="P1678" s="4"/>
      <c r="Q1678" s="16"/>
    </row>
    <row r="1679" customFormat="false" ht="12.8" hidden="false" customHeight="false" outlineLevel="0" collapsed="false">
      <c r="A1679" s="42" t="s">
        <v>1610</v>
      </c>
      <c r="B1679" s="43"/>
      <c r="C1679" s="44"/>
      <c r="D1679" s="45"/>
      <c r="E1679" s="46"/>
      <c r="F1679" s="44"/>
      <c r="G1679" s="47"/>
      <c r="H1679" s="48"/>
      <c r="I1679" s="49"/>
      <c r="J1679" s="50"/>
      <c r="K1679" s="50"/>
      <c r="L1679" s="44"/>
      <c r="M1679" s="51"/>
      <c r="N1679" s="51"/>
      <c r="O1679" s="44"/>
      <c r="P1679" s="52"/>
      <c r="Q1679" s="53"/>
    </row>
    <row r="1680" customFormat="false" ht="12.8" hidden="false" customHeight="false" outlineLevel="0" collapsed="false">
      <c r="A1680" s="22"/>
      <c r="B1680" s="23"/>
      <c r="C1680" s="24"/>
      <c r="D1680" s="22"/>
      <c r="E1680" s="19"/>
      <c r="F1680" s="24"/>
      <c r="G1680" s="25"/>
      <c r="H1680" s="26"/>
      <c r="I1680" s="27"/>
      <c r="J1680" s="28"/>
      <c r="K1680" s="28"/>
      <c r="L1680" s="24"/>
      <c r="M1680" s="29"/>
      <c r="N1680" s="29"/>
      <c r="O1680" s="24"/>
      <c r="P1680" s="4"/>
      <c r="Q1680" s="16"/>
    </row>
    <row r="1681" customFormat="false" ht="12.8" hidden="false" customHeight="false" outlineLevel="0" collapsed="false">
      <c r="A1681" s="22"/>
      <c r="B1681" s="23" t="n">
        <v>507452000</v>
      </c>
      <c r="C1681" s="24"/>
      <c r="D1681" s="22" t="s">
        <v>1611</v>
      </c>
      <c r="E1681" s="19"/>
      <c r="F1681" s="24"/>
      <c r="G1681" s="25"/>
      <c r="H1681" s="26"/>
      <c r="I1681" s="27"/>
      <c r="J1681" s="28" t="n">
        <v>1</v>
      </c>
      <c r="K1681" s="28" t="n">
        <v>1</v>
      </c>
      <c r="L1681" s="24" t="s">
        <v>1465</v>
      </c>
      <c r="M1681" s="57" t="n">
        <f aca="false">IF("non" = "oui",260.41*(1-disc),260.41)</f>
        <v>260.41</v>
      </c>
      <c r="N1681" s="57" t="n">
        <f aca="false">IF("non" = "oui",260.41*(1-disc)*1.2,260.41*1.2)</f>
        <v>312.492</v>
      </c>
      <c r="O1681" s="58" t="s">
        <v>26</v>
      </c>
      <c r="P1681" s="55" t="s">
        <v>1269</v>
      </c>
      <c r="Q1681" s="16"/>
    </row>
    <row r="1682" customFormat="false" ht="12.8" hidden="false" customHeight="false" outlineLevel="0" collapsed="false">
      <c r="A1682" s="22"/>
      <c r="B1682" s="23" t="n">
        <v>507264000</v>
      </c>
      <c r="C1682" s="24"/>
      <c r="D1682" s="22" t="s">
        <v>1612</v>
      </c>
      <c r="E1682" s="19"/>
      <c r="F1682" s="24"/>
      <c r="G1682" s="25"/>
      <c r="H1682" s="26"/>
      <c r="I1682" s="27"/>
      <c r="J1682" s="28" t="n">
        <v>1</v>
      </c>
      <c r="K1682" s="28" t="n">
        <v>1</v>
      </c>
      <c r="L1682" s="24" t="s">
        <v>1465</v>
      </c>
      <c r="M1682" s="57" t="n">
        <f aca="false">IF("non" = "oui",54.33*(1-disc),54.33)</f>
        <v>54.33</v>
      </c>
      <c r="N1682" s="57" t="n">
        <f aca="false">IF("non" = "oui",54.33*(1-disc)*1.2,54.33*1.2)</f>
        <v>65.196</v>
      </c>
      <c r="O1682" s="58" t="s">
        <v>26</v>
      </c>
      <c r="P1682" s="4" t="s">
        <v>25</v>
      </c>
      <c r="Q1682" s="16"/>
    </row>
    <row r="1683" customFormat="false" ht="12.8" hidden="false" customHeight="false" outlineLevel="0" collapsed="false">
      <c r="A1683" s="22"/>
      <c r="B1683" s="23"/>
      <c r="C1683" s="24"/>
      <c r="D1683" s="22"/>
      <c r="E1683" s="19"/>
      <c r="F1683" s="24"/>
      <c r="G1683" s="25"/>
      <c r="H1683" s="26"/>
      <c r="I1683" s="27"/>
      <c r="J1683" s="28"/>
      <c r="K1683" s="28"/>
      <c r="L1683" s="24"/>
      <c r="M1683" s="29"/>
      <c r="N1683" s="29"/>
      <c r="O1683" s="24"/>
      <c r="P1683" s="4"/>
      <c r="Q1683" s="16"/>
    </row>
    <row r="1684" customFormat="false" ht="12.8" hidden="false" customHeight="false" outlineLevel="0" collapsed="false">
      <c r="A1684" s="30" t="s">
        <v>1613</v>
      </c>
      <c r="B1684" s="31"/>
      <c r="C1684" s="32"/>
      <c r="D1684" s="33"/>
      <c r="E1684" s="34"/>
      <c r="F1684" s="32"/>
      <c r="G1684" s="35"/>
      <c r="H1684" s="36"/>
      <c r="I1684" s="37"/>
      <c r="J1684" s="38"/>
      <c r="K1684" s="38"/>
      <c r="L1684" s="32"/>
      <c r="M1684" s="39"/>
      <c r="N1684" s="39"/>
      <c r="O1684" s="32"/>
      <c r="P1684" s="40"/>
      <c r="Q1684" s="41"/>
    </row>
    <row r="1685" customFormat="false" ht="12.8" hidden="false" customHeight="false" outlineLevel="0" collapsed="false">
      <c r="A1685" s="22"/>
      <c r="B1685" s="23"/>
      <c r="C1685" s="24"/>
      <c r="D1685" s="22"/>
      <c r="E1685" s="19"/>
      <c r="F1685" s="24"/>
      <c r="G1685" s="25"/>
      <c r="H1685" s="26"/>
      <c r="I1685" s="27"/>
      <c r="J1685" s="28"/>
      <c r="K1685" s="28"/>
      <c r="L1685" s="24"/>
      <c r="M1685" s="29"/>
      <c r="N1685" s="29"/>
      <c r="O1685" s="24"/>
      <c r="P1685" s="4"/>
      <c r="Q1685" s="16"/>
    </row>
    <row r="1686" customFormat="false" ht="12.8" hidden="false" customHeight="false" outlineLevel="0" collapsed="false">
      <c r="A1686" s="42" t="s">
        <v>1614</v>
      </c>
      <c r="B1686" s="43"/>
      <c r="C1686" s="44"/>
      <c r="D1686" s="45"/>
      <c r="E1686" s="46"/>
      <c r="F1686" s="44"/>
      <c r="G1686" s="47"/>
      <c r="H1686" s="48"/>
      <c r="I1686" s="49"/>
      <c r="J1686" s="50"/>
      <c r="K1686" s="50"/>
      <c r="L1686" s="44"/>
      <c r="M1686" s="51"/>
      <c r="N1686" s="51"/>
      <c r="O1686" s="44"/>
      <c r="P1686" s="52"/>
      <c r="Q1686" s="53"/>
    </row>
    <row r="1687" customFormat="false" ht="12.8" hidden="false" customHeight="false" outlineLevel="0" collapsed="false">
      <c r="A1687" s="22"/>
      <c r="B1687" s="23"/>
      <c r="C1687" s="24"/>
      <c r="D1687" s="22"/>
      <c r="E1687" s="19"/>
      <c r="F1687" s="24"/>
      <c r="G1687" s="25"/>
      <c r="H1687" s="26"/>
      <c r="I1687" s="27"/>
      <c r="J1687" s="28"/>
      <c r="K1687" s="28"/>
      <c r="L1687" s="24"/>
      <c r="M1687" s="29"/>
      <c r="N1687" s="29"/>
      <c r="O1687" s="24"/>
      <c r="P1687" s="4"/>
      <c r="Q1687" s="16"/>
    </row>
    <row r="1688" customFormat="false" ht="12.8" hidden="false" customHeight="false" outlineLevel="0" collapsed="false">
      <c r="A1688" s="22"/>
      <c r="B1688" s="23" t="n">
        <v>507139000</v>
      </c>
      <c r="C1688" s="24"/>
      <c r="D1688" s="22" t="s">
        <v>1615</v>
      </c>
      <c r="E1688" s="19"/>
      <c r="F1688" s="24"/>
      <c r="G1688" s="25"/>
      <c r="H1688" s="26"/>
      <c r="I1688" s="27"/>
      <c r="J1688" s="28"/>
      <c r="K1688" s="28" t="n">
        <v>12</v>
      </c>
      <c r="L1688" s="24" t="s">
        <v>1465</v>
      </c>
      <c r="M1688" s="57" t="n">
        <f aca="false">IF("non" = "oui",1.91*(1-disc),1.91)</f>
        <v>1.91</v>
      </c>
      <c r="N1688" s="57" t="n">
        <f aca="false">IF("non" = "oui",1.91*(1-disc)*1.2,1.91*1.2)</f>
        <v>2.292</v>
      </c>
      <c r="O1688" s="58" t="s">
        <v>26</v>
      </c>
      <c r="P1688" s="4" t="s">
        <v>25</v>
      </c>
      <c r="Q1688" s="16"/>
    </row>
    <row r="1689" customFormat="false" ht="12.8" hidden="false" customHeight="false" outlineLevel="0" collapsed="false">
      <c r="A1689" s="22"/>
      <c r="B1689" s="23" t="n">
        <v>507140000</v>
      </c>
      <c r="C1689" s="24"/>
      <c r="D1689" s="22" t="s">
        <v>1616</v>
      </c>
      <c r="E1689" s="19"/>
      <c r="F1689" s="24"/>
      <c r="G1689" s="25"/>
      <c r="H1689" s="26"/>
      <c r="I1689" s="27"/>
      <c r="J1689" s="28" t="n">
        <v>80</v>
      </c>
      <c r="K1689" s="28" t="n">
        <v>12</v>
      </c>
      <c r="L1689" s="24" t="s">
        <v>1465</v>
      </c>
      <c r="M1689" s="57" t="n">
        <f aca="false">IF("non" = "oui",0.93*(1-disc),0.93)</f>
        <v>0.93</v>
      </c>
      <c r="N1689" s="57" t="n">
        <f aca="false">IF("non" = "oui",0.93*(1-disc)*1.2,0.93*1.2)</f>
        <v>1.116</v>
      </c>
      <c r="O1689" s="58" t="s">
        <v>26</v>
      </c>
      <c r="P1689" s="4" t="s">
        <v>25</v>
      </c>
      <c r="Q1689" s="16"/>
    </row>
    <row r="1690" customFormat="false" ht="12.8" hidden="false" customHeight="false" outlineLevel="0" collapsed="false">
      <c r="A1690" s="22"/>
      <c r="B1690" s="23" t="n">
        <v>507261000</v>
      </c>
      <c r="C1690" s="24"/>
      <c r="D1690" s="22" t="s">
        <v>1617</v>
      </c>
      <c r="E1690" s="19"/>
      <c r="F1690" s="24"/>
      <c r="G1690" s="25"/>
      <c r="H1690" s="26"/>
      <c r="I1690" s="27"/>
      <c r="J1690" s="28"/>
      <c r="K1690" s="28" t="n">
        <v>12</v>
      </c>
      <c r="L1690" s="24" t="s">
        <v>1465</v>
      </c>
      <c r="M1690" s="57" t="n">
        <f aca="false">IF("non" = "oui",23.9*(1-disc),23.9)</f>
        <v>23.9</v>
      </c>
      <c r="N1690" s="57" t="n">
        <f aca="false">IF("non" = "oui",23.9*(1-disc)*1.2,23.9*1.2)</f>
        <v>28.68</v>
      </c>
      <c r="O1690" s="58" t="s">
        <v>26</v>
      </c>
      <c r="P1690" s="4" t="s">
        <v>25</v>
      </c>
      <c r="Q1690" s="16"/>
    </row>
    <row r="1691" customFormat="false" ht="12.8" hidden="false" customHeight="false" outlineLevel="0" collapsed="false">
      <c r="A1691" s="22"/>
      <c r="B1691" s="23"/>
      <c r="C1691" s="24"/>
      <c r="D1691" s="22"/>
      <c r="E1691" s="19"/>
      <c r="F1691" s="24"/>
      <c r="G1691" s="25"/>
      <c r="H1691" s="26"/>
      <c r="I1691" s="27"/>
      <c r="J1691" s="28"/>
      <c r="K1691" s="28"/>
      <c r="L1691" s="24"/>
      <c r="M1691" s="29"/>
      <c r="N1691" s="29"/>
      <c r="O1691" s="24"/>
      <c r="P1691" s="4"/>
      <c r="Q1691" s="16"/>
    </row>
    <row r="1692" customFormat="false" ht="12.8" hidden="false" customHeight="false" outlineLevel="0" collapsed="false">
      <c r="A1692" s="42" t="s">
        <v>1618</v>
      </c>
      <c r="B1692" s="43"/>
      <c r="C1692" s="44"/>
      <c r="D1692" s="45"/>
      <c r="E1692" s="46"/>
      <c r="F1692" s="44"/>
      <c r="G1692" s="47"/>
      <c r="H1692" s="48"/>
      <c r="I1692" s="49"/>
      <c r="J1692" s="50"/>
      <c r="K1692" s="50"/>
      <c r="L1692" s="44"/>
      <c r="M1692" s="51"/>
      <c r="N1692" s="51"/>
      <c r="O1692" s="44"/>
      <c r="P1692" s="52"/>
      <c r="Q1692" s="53"/>
    </row>
    <row r="1693" customFormat="false" ht="12.8" hidden="false" customHeight="false" outlineLevel="0" collapsed="false">
      <c r="A1693" s="22"/>
      <c r="B1693" s="23"/>
      <c r="C1693" s="24"/>
      <c r="D1693" s="22"/>
      <c r="E1693" s="19"/>
      <c r="F1693" s="24"/>
      <c r="G1693" s="25"/>
      <c r="H1693" s="26"/>
      <c r="I1693" s="27"/>
      <c r="J1693" s="28"/>
      <c r="K1693" s="28"/>
      <c r="L1693" s="24"/>
      <c r="M1693" s="29"/>
      <c r="N1693" s="29"/>
      <c r="O1693" s="24"/>
      <c r="P1693" s="4"/>
      <c r="Q1693" s="16"/>
    </row>
    <row r="1694" customFormat="false" ht="12.8" hidden="false" customHeight="false" outlineLevel="0" collapsed="false">
      <c r="A1694" s="22"/>
      <c r="B1694" s="23" t="n">
        <v>507119000</v>
      </c>
      <c r="C1694" s="24"/>
      <c r="D1694" s="22" t="s">
        <v>1619</v>
      </c>
      <c r="E1694" s="19"/>
      <c r="F1694" s="24"/>
      <c r="G1694" s="25"/>
      <c r="H1694" s="26"/>
      <c r="I1694" s="27"/>
      <c r="J1694" s="28" t="n">
        <v>20</v>
      </c>
      <c r="K1694" s="28" t="n">
        <v>12</v>
      </c>
      <c r="L1694" s="24" t="s">
        <v>1465</v>
      </c>
      <c r="M1694" s="57" t="n">
        <f aca="false">IF("non" = "oui",3.13*(1-disc),3.13)</f>
        <v>3.13</v>
      </c>
      <c r="N1694" s="57" t="n">
        <f aca="false">IF("non" = "oui",3.13*(1-disc)*1.2,3.13*1.2)</f>
        <v>3.756</v>
      </c>
      <c r="O1694" s="58" t="s">
        <v>26</v>
      </c>
      <c r="P1694" s="4" t="s">
        <v>25</v>
      </c>
      <c r="Q1694" s="16"/>
    </row>
    <row r="1695" customFormat="false" ht="12.8" hidden="false" customHeight="false" outlineLevel="0" collapsed="false">
      <c r="A1695" s="22"/>
      <c r="B1695" s="23" t="n">
        <v>507108000</v>
      </c>
      <c r="C1695" s="24"/>
      <c r="D1695" s="22" t="s">
        <v>1620</v>
      </c>
      <c r="E1695" s="19"/>
      <c r="F1695" s="24"/>
      <c r="G1695" s="25"/>
      <c r="H1695" s="26"/>
      <c r="I1695" s="27"/>
      <c r="J1695" s="28" t="n">
        <v>20</v>
      </c>
      <c r="K1695" s="28" t="n">
        <v>12</v>
      </c>
      <c r="L1695" s="24" t="s">
        <v>1465</v>
      </c>
      <c r="M1695" s="57" t="n">
        <f aca="false">IF("non" = "oui",3.13*(1-disc),3.13)</f>
        <v>3.13</v>
      </c>
      <c r="N1695" s="57" t="n">
        <f aca="false">IF("non" = "oui",3.13*(1-disc)*1.2,3.13*1.2)</f>
        <v>3.756</v>
      </c>
      <c r="O1695" s="58" t="s">
        <v>26</v>
      </c>
      <c r="P1695" s="7" t="s">
        <v>26</v>
      </c>
      <c r="Q1695" s="16"/>
    </row>
    <row r="1696" customFormat="false" ht="12.8" hidden="false" customHeight="false" outlineLevel="0" collapsed="false">
      <c r="A1696" s="22"/>
      <c r="B1696" s="23" t="n">
        <v>507113000</v>
      </c>
      <c r="C1696" s="24"/>
      <c r="D1696" s="22" t="s">
        <v>1621</v>
      </c>
      <c r="E1696" s="19"/>
      <c r="F1696" s="24"/>
      <c r="G1696" s="25"/>
      <c r="H1696" s="26"/>
      <c r="I1696" s="27"/>
      <c r="J1696" s="28" t="n">
        <v>20</v>
      </c>
      <c r="K1696" s="28" t="n">
        <v>12</v>
      </c>
      <c r="L1696" s="24" t="s">
        <v>1465</v>
      </c>
      <c r="M1696" s="57" t="n">
        <f aca="false">IF("non" = "oui",3.13*(1-disc),3.13)</f>
        <v>3.13</v>
      </c>
      <c r="N1696" s="57" t="n">
        <f aca="false">IF("non" = "oui",3.13*(1-disc)*1.2,3.13*1.2)</f>
        <v>3.756</v>
      </c>
      <c r="O1696" s="58" t="s">
        <v>26</v>
      </c>
      <c r="P1696" s="55" t="s">
        <v>113</v>
      </c>
      <c r="Q1696" s="16"/>
    </row>
    <row r="1697" customFormat="false" ht="12.8" hidden="false" customHeight="false" outlineLevel="0" collapsed="false">
      <c r="A1697" s="22"/>
      <c r="B1697" s="23" t="n">
        <v>507118000</v>
      </c>
      <c r="C1697" s="24"/>
      <c r="D1697" s="22" t="s">
        <v>1622</v>
      </c>
      <c r="E1697" s="19"/>
      <c r="F1697" s="24"/>
      <c r="G1697" s="25"/>
      <c r="H1697" s="26"/>
      <c r="I1697" s="27"/>
      <c r="J1697" s="28" t="n">
        <v>20</v>
      </c>
      <c r="K1697" s="28" t="n">
        <v>12</v>
      </c>
      <c r="L1697" s="24" t="s">
        <v>1465</v>
      </c>
      <c r="M1697" s="57" t="n">
        <f aca="false">IF("non" = "oui",3.13*(1-disc),3.13)</f>
        <v>3.13</v>
      </c>
      <c r="N1697" s="57" t="n">
        <f aca="false">IF("non" = "oui",3.13*(1-disc)*1.2,3.13*1.2)</f>
        <v>3.756</v>
      </c>
      <c r="O1697" s="58" t="s">
        <v>26</v>
      </c>
      <c r="P1697" s="55" t="s">
        <v>45</v>
      </c>
      <c r="Q1697" s="16"/>
    </row>
    <row r="1698" customFormat="false" ht="12.8" hidden="false" customHeight="false" outlineLevel="0" collapsed="false">
      <c r="A1698" s="22"/>
      <c r="B1698" s="23" t="n">
        <v>507120000</v>
      </c>
      <c r="C1698" s="24"/>
      <c r="D1698" s="22" t="s">
        <v>1623</v>
      </c>
      <c r="E1698" s="19"/>
      <c r="F1698" s="24"/>
      <c r="G1698" s="25"/>
      <c r="H1698" s="26"/>
      <c r="I1698" s="27"/>
      <c r="J1698" s="28" t="n">
        <v>20</v>
      </c>
      <c r="K1698" s="28" t="n">
        <v>12</v>
      </c>
      <c r="L1698" s="24" t="s">
        <v>1465</v>
      </c>
      <c r="M1698" s="57" t="n">
        <f aca="false">IF("non" = "oui",3.13*(1-disc),3.13)</f>
        <v>3.13</v>
      </c>
      <c r="N1698" s="57" t="n">
        <f aca="false">IF("non" = "oui",3.13*(1-disc)*1.2,3.13*1.2)</f>
        <v>3.756</v>
      </c>
      <c r="O1698" s="58" t="s">
        <v>26</v>
      </c>
      <c r="P1698" s="4" t="s">
        <v>25</v>
      </c>
      <c r="Q1698" s="16"/>
    </row>
    <row r="1699" customFormat="false" ht="12.8" hidden="false" customHeight="false" outlineLevel="0" collapsed="false">
      <c r="A1699" s="22"/>
      <c r="B1699" s="23" t="n">
        <v>507121000</v>
      </c>
      <c r="C1699" s="24"/>
      <c r="D1699" s="22" t="s">
        <v>1624</v>
      </c>
      <c r="E1699" s="19"/>
      <c r="F1699" s="24"/>
      <c r="G1699" s="25"/>
      <c r="H1699" s="26"/>
      <c r="I1699" s="27"/>
      <c r="J1699" s="28" t="n">
        <v>20</v>
      </c>
      <c r="K1699" s="28" t="n">
        <v>12</v>
      </c>
      <c r="L1699" s="24" t="s">
        <v>1465</v>
      </c>
      <c r="M1699" s="57" t="n">
        <f aca="false">IF("non" = "oui",3.13*(1-disc),3.13)</f>
        <v>3.13</v>
      </c>
      <c r="N1699" s="57" t="n">
        <f aca="false">IF("non" = "oui",3.13*(1-disc)*1.2,3.13*1.2)</f>
        <v>3.756</v>
      </c>
      <c r="O1699" s="58" t="s">
        <v>26</v>
      </c>
      <c r="P1699" s="4" t="s">
        <v>25</v>
      </c>
      <c r="Q1699" s="16"/>
    </row>
    <row r="1700" customFormat="false" ht="12.8" hidden="false" customHeight="false" outlineLevel="0" collapsed="false">
      <c r="A1700" s="22"/>
      <c r="B1700" s="23" t="n">
        <v>507123000</v>
      </c>
      <c r="C1700" s="24"/>
      <c r="D1700" s="22" t="s">
        <v>1625</v>
      </c>
      <c r="E1700" s="19"/>
      <c r="F1700" s="24"/>
      <c r="G1700" s="25"/>
      <c r="H1700" s="26"/>
      <c r="I1700" s="27"/>
      <c r="J1700" s="28" t="n">
        <v>20</v>
      </c>
      <c r="K1700" s="28" t="n">
        <v>12</v>
      </c>
      <c r="L1700" s="24" t="s">
        <v>1465</v>
      </c>
      <c r="M1700" s="57" t="n">
        <f aca="false">IF("non" = "oui",3.13*(1-disc),3.13)</f>
        <v>3.13</v>
      </c>
      <c r="N1700" s="57" t="n">
        <f aca="false">IF("non" = "oui",3.13*(1-disc)*1.2,3.13*1.2)</f>
        <v>3.756</v>
      </c>
      <c r="O1700" s="58" t="s">
        <v>26</v>
      </c>
      <c r="P1700" s="4" t="s">
        <v>25</v>
      </c>
      <c r="Q1700" s="16"/>
    </row>
    <row r="1701" customFormat="false" ht="12.8" hidden="false" customHeight="false" outlineLevel="0" collapsed="false">
      <c r="A1701" s="22"/>
      <c r="B1701" s="23"/>
      <c r="C1701" s="24"/>
      <c r="D1701" s="22"/>
      <c r="E1701" s="19"/>
      <c r="F1701" s="24"/>
      <c r="G1701" s="25"/>
      <c r="H1701" s="26"/>
      <c r="I1701" s="27"/>
      <c r="J1701" s="28"/>
      <c r="K1701" s="28"/>
      <c r="L1701" s="24"/>
      <c r="M1701" s="29"/>
      <c r="N1701" s="29"/>
      <c r="O1701" s="24"/>
      <c r="P1701" s="4"/>
      <c r="Q1701" s="16"/>
    </row>
    <row r="1702" customFormat="false" ht="12.8" hidden="false" customHeight="false" outlineLevel="0" collapsed="false">
      <c r="A1702" s="42" t="s">
        <v>1626</v>
      </c>
      <c r="B1702" s="43"/>
      <c r="C1702" s="44"/>
      <c r="D1702" s="45"/>
      <c r="E1702" s="46"/>
      <c r="F1702" s="44"/>
      <c r="G1702" s="47"/>
      <c r="H1702" s="48"/>
      <c r="I1702" s="49"/>
      <c r="J1702" s="50"/>
      <c r="K1702" s="50"/>
      <c r="L1702" s="44"/>
      <c r="M1702" s="51"/>
      <c r="N1702" s="51"/>
      <c r="O1702" s="44"/>
      <c r="P1702" s="52"/>
      <c r="Q1702" s="53"/>
    </row>
    <row r="1703" customFormat="false" ht="12.8" hidden="false" customHeight="false" outlineLevel="0" collapsed="false">
      <c r="A1703" s="22"/>
      <c r="B1703" s="23"/>
      <c r="C1703" s="24"/>
      <c r="D1703" s="22"/>
      <c r="E1703" s="19"/>
      <c r="F1703" s="24"/>
      <c r="G1703" s="25"/>
      <c r="H1703" s="26"/>
      <c r="I1703" s="27"/>
      <c r="J1703" s="28"/>
      <c r="K1703" s="28"/>
      <c r="L1703" s="24"/>
      <c r="M1703" s="29"/>
      <c r="N1703" s="29"/>
      <c r="O1703" s="24"/>
      <c r="P1703" s="4"/>
      <c r="Q1703" s="16"/>
    </row>
    <row r="1704" customFormat="false" ht="12.8" hidden="false" customHeight="false" outlineLevel="0" collapsed="false">
      <c r="A1704" s="22"/>
      <c r="B1704" s="23" t="n">
        <v>507087000</v>
      </c>
      <c r="C1704" s="24"/>
      <c r="D1704" s="22" t="s">
        <v>1627</v>
      </c>
      <c r="E1704" s="19"/>
      <c r="F1704" s="24"/>
      <c r="G1704" s="25"/>
      <c r="H1704" s="26"/>
      <c r="I1704" s="27"/>
      <c r="J1704" s="28" t="n">
        <v>20</v>
      </c>
      <c r="K1704" s="28" t="n">
        <v>12</v>
      </c>
      <c r="L1704" s="24" t="s">
        <v>1465</v>
      </c>
      <c r="M1704" s="57" t="n">
        <f aca="false">IF("non" = "oui",3.82*(1-disc),3.82)</f>
        <v>3.82</v>
      </c>
      <c r="N1704" s="57" t="n">
        <f aca="false">IF("non" = "oui",3.82*(1-disc)*1.2,3.82*1.2)</f>
        <v>4.584</v>
      </c>
      <c r="O1704" s="58" t="s">
        <v>26</v>
      </c>
      <c r="P1704" s="4" t="s">
        <v>25</v>
      </c>
      <c r="Q1704" s="16"/>
    </row>
    <row r="1705" customFormat="false" ht="12.8" hidden="false" customHeight="false" outlineLevel="0" collapsed="false">
      <c r="A1705" s="22"/>
      <c r="B1705" s="23" t="n">
        <v>507089000</v>
      </c>
      <c r="C1705" s="24"/>
      <c r="D1705" s="22" t="s">
        <v>1628</v>
      </c>
      <c r="E1705" s="19"/>
      <c r="F1705" s="24"/>
      <c r="G1705" s="25"/>
      <c r="H1705" s="26"/>
      <c r="I1705" s="27"/>
      <c r="J1705" s="28" t="n">
        <v>20</v>
      </c>
      <c r="K1705" s="28" t="n">
        <v>12</v>
      </c>
      <c r="L1705" s="24" t="s">
        <v>1465</v>
      </c>
      <c r="M1705" s="57" t="n">
        <f aca="false">IF("non" = "oui",3.82*(1-disc),3.82)</f>
        <v>3.82</v>
      </c>
      <c r="N1705" s="57" t="n">
        <f aca="false">IF("non" = "oui",3.82*(1-disc)*1.2,3.82*1.2)</f>
        <v>4.584</v>
      </c>
      <c r="O1705" s="58" t="s">
        <v>26</v>
      </c>
      <c r="P1705" s="55" t="s">
        <v>381</v>
      </c>
      <c r="Q1705" s="16"/>
    </row>
    <row r="1706" customFormat="false" ht="12.8" hidden="false" customHeight="false" outlineLevel="0" collapsed="false">
      <c r="A1706" s="22"/>
      <c r="B1706" s="23" t="n">
        <v>507094000</v>
      </c>
      <c r="C1706" s="24"/>
      <c r="D1706" s="22" t="s">
        <v>1629</v>
      </c>
      <c r="E1706" s="19"/>
      <c r="F1706" s="24"/>
      <c r="G1706" s="25"/>
      <c r="H1706" s="26"/>
      <c r="I1706" s="27"/>
      <c r="J1706" s="28" t="n">
        <v>20</v>
      </c>
      <c r="K1706" s="28" t="n">
        <v>12</v>
      </c>
      <c r="L1706" s="24" t="s">
        <v>1465</v>
      </c>
      <c r="M1706" s="57" t="n">
        <f aca="false">IF("non" = "oui",3.82*(1-disc),3.82)</f>
        <v>3.82</v>
      </c>
      <c r="N1706" s="57" t="n">
        <f aca="false">IF("non" = "oui",3.82*(1-disc)*1.2,3.82*1.2)</f>
        <v>4.584</v>
      </c>
      <c r="O1706" s="58" t="s">
        <v>26</v>
      </c>
      <c r="P1706" s="4" t="s">
        <v>25</v>
      </c>
      <c r="Q1706" s="16"/>
    </row>
    <row r="1707" customFormat="false" ht="12.8" hidden="false" customHeight="false" outlineLevel="0" collapsed="false">
      <c r="A1707" s="22"/>
      <c r="B1707" s="23" t="n">
        <v>507095000</v>
      </c>
      <c r="C1707" s="24"/>
      <c r="D1707" s="22" t="s">
        <v>1630</v>
      </c>
      <c r="E1707" s="19"/>
      <c r="F1707" s="24"/>
      <c r="G1707" s="25"/>
      <c r="H1707" s="26"/>
      <c r="I1707" s="27"/>
      <c r="J1707" s="28" t="n">
        <v>20</v>
      </c>
      <c r="K1707" s="28" t="n">
        <v>12</v>
      </c>
      <c r="L1707" s="24" t="s">
        <v>1465</v>
      </c>
      <c r="M1707" s="57" t="n">
        <f aca="false">IF("non" = "oui",3.82*(1-disc),3.82)</f>
        <v>3.82</v>
      </c>
      <c r="N1707" s="57" t="n">
        <f aca="false">IF("non" = "oui",3.82*(1-disc)*1.2,3.82*1.2)</f>
        <v>4.584</v>
      </c>
      <c r="O1707" s="58" t="s">
        <v>26</v>
      </c>
      <c r="P1707" s="4" t="s">
        <v>25</v>
      </c>
      <c r="Q1707" s="16"/>
    </row>
    <row r="1708" customFormat="false" ht="12.8" hidden="false" customHeight="false" outlineLevel="0" collapsed="false">
      <c r="A1708" s="22"/>
      <c r="B1708" s="23" t="n">
        <v>507096000</v>
      </c>
      <c r="C1708" s="24"/>
      <c r="D1708" s="22" t="s">
        <v>1631</v>
      </c>
      <c r="E1708" s="19"/>
      <c r="F1708" s="24"/>
      <c r="G1708" s="25"/>
      <c r="H1708" s="26"/>
      <c r="I1708" s="27"/>
      <c r="J1708" s="28" t="n">
        <v>20</v>
      </c>
      <c r="K1708" s="28" t="n">
        <v>12</v>
      </c>
      <c r="L1708" s="24" t="s">
        <v>1465</v>
      </c>
      <c r="M1708" s="57" t="n">
        <f aca="false">IF("non" = "oui",3.82*(1-disc),3.82)</f>
        <v>3.82</v>
      </c>
      <c r="N1708" s="57" t="n">
        <f aca="false">IF("non" = "oui",3.82*(1-disc)*1.2,3.82*1.2)</f>
        <v>4.584</v>
      </c>
      <c r="O1708" s="58" t="s">
        <v>26</v>
      </c>
      <c r="P1708" s="4" t="s">
        <v>25</v>
      </c>
      <c r="Q1708" s="16"/>
    </row>
    <row r="1709" customFormat="false" ht="12.8" hidden="false" customHeight="false" outlineLevel="0" collapsed="false">
      <c r="A1709" s="22"/>
      <c r="B1709" s="23" t="n">
        <v>507097000</v>
      </c>
      <c r="C1709" s="24"/>
      <c r="D1709" s="22" t="s">
        <v>1632</v>
      </c>
      <c r="E1709" s="19"/>
      <c r="F1709" s="24"/>
      <c r="G1709" s="25"/>
      <c r="H1709" s="26"/>
      <c r="I1709" s="27"/>
      <c r="J1709" s="28" t="n">
        <v>20</v>
      </c>
      <c r="K1709" s="28" t="n">
        <v>12</v>
      </c>
      <c r="L1709" s="24" t="s">
        <v>1465</v>
      </c>
      <c r="M1709" s="57" t="n">
        <f aca="false">IF("non" = "oui",3.82*(1-disc),3.82)</f>
        <v>3.82</v>
      </c>
      <c r="N1709" s="57" t="n">
        <f aca="false">IF("non" = "oui",3.82*(1-disc)*1.2,3.82*1.2)</f>
        <v>4.584</v>
      </c>
      <c r="O1709" s="58" t="s">
        <v>26</v>
      </c>
      <c r="P1709" s="4" t="s">
        <v>25</v>
      </c>
      <c r="Q1709" s="16"/>
    </row>
    <row r="1710" customFormat="false" ht="12.8" hidden="false" customHeight="false" outlineLevel="0" collapsed="false">
      <c r="A1710" s="22"/>
      <c r="B1710" s="23" t="n">
        <v>507098000</v>
      </c>
      <c r="C1710" s="24"/>
      <c r="D1710" s="22" t="s">
        <v>1633</v>
      </c>
      <c r="E1710" s="19"/>
      <c r="F1710" s="24"/>
      <c r="G1710" s="25"/>
      <c r="H1710" s="26"/>
      <c r="I1710" s="27"/>
      <c r="J1710" s="28" t="n">
        <v>20</v>
      </c>
      <c r="K1710" s="28" t="n">
        <v>12</v>
      </c>
      <c r="L1710" s="24" t="s">
        <v>1465</v>
      </c>
      <c r="M1710" s="57" t="n">
        <f aca="false">IF("non" = "oui",3.82*(1-disc),3.82)</f>
        <v>3.82</v>
      </c>
      <c r="N1710" s="57" t="n">
        <f aca="false">IF("non" = "oui",3.82*(1-disc)*1.2,3.82*1.2)</f>
        <v>4.584</v>
      </c>
      <c r="O1710" s="58" t="s">
        <v>26</v>
      </c>
      <c r="P1710" s="4" t="s">
        <v>25</v>
      </c>
      <c r="Q1710" s="16"/>
    </row>
    <row r="1711" customFormat="false" ht="12.8" hidden="false" customHeight="false" outlineLevel="0" collapsed="false">
      <c r="A1711" s="22"/>
      <c r="B1711" s="23" t="n">
        <v>507099000</v>
      </c>
      <c r="C1711" s="24"/>
      <c r="D1711" s="22" t="s">
        <v>1634</v>
      </c>
      <c r="E1711" s="19"/>
      <c r="F1711" s="24"/>
      <c r="G1711" s="25"/>
      <c r="H1711" s="26"/>
      <c r="I1711" s="27"/>
      <c r="J1711" s="28" t="n">
        <v>20</v>
      </c>
      <c r="K1711" s="28" t="n">
        <v>12</v>
      </c>
      <c r="L1711" s="24" t="s">
        <v>1465</v>
      </c>
      <c r="M1711" s="57" t="n">
        <f aca="false">IF("non" = "oui",3.82*(1-disc),3.82)</f>
        <v>3.82</v>
      </c>
      <c r="N1711" s="57" t="n">
        <f aca="false">IF("non" = "oui",3.82*(1-disc)*1.2,3.82*1.2)</f>
        <v>4.584</v>
      </c>
      <c r="O1711" s="58" t="s">
        <v>26</v>
      </c>
      <c r="P1711" s="55" t="s">
        <v>381</v>
      </c>
      <c r="Q1711" s="16"/>
    </row>
    <row r="1712" customFormat="false" ht="12.8" hidden="false" customHeight="false" outlineLevel="0" collapsed="false">
      <c r="A1712" s="22"/>
      <c r="B1712" s="23" t="n">
        <v>507100000</v>
      </c>
      <c r="C1712" s="24"/>
      <c r="D1712" s="22" t="s">
        <v>1635</v>
      </c>
      <c r="E1712" s="19"/>
      <c r="F1712" s="24"/>
      <c r="G1712" s="25"/>
      <c r="H1712" s="26"/>
      <c r="I1712" s="27"/>
      <c r="J1712" s="28" t="n">
        <v>20</v>
      </c>
      <c r="K1712" s="28" t="n">
        <v>12</v>
      </c>
      <c r="L1712" s="24" t="s">
        <v>1465</v>
      </c>
      <c r="M1712" s="57" t="n">
        <f aca="false">IF("non" = "oui",3.82*(1-disc),3.82)</f>
        <v>3.82</v>
      </c>
      <c r="N1712" s="57" t="n">
        <f aca="false">IF("non" = "oui",3.82*(1-disc)*1.2,3.82*1.2)</f>
        <v>4.584</v>
      </c>
      <c r="O1712" s="58" t="s">
        <v>26</v>
      </c>
      <c r="P1712" s="4" t="s">
        <v>25</v>
      </c>
      <c r="Q1712" s="16"/>
    </row>
    <row r="1713" customFormat="false" ht="12.8" hidden="false" customHeight="false" outlineLevel="0" collapsed="false">
      <c r="A1713" s="22"/>
      <c r="B1713" s="23" t="n">
        <v>507101000</v>
      </c>
      <c r="C1713" s="24"/>
      <c r="D1713" s="22" t="s">
        <v>1636</v>
      </c>
      <c r="E1713" s="19"/>
      <c r="F1713" s="24"/>
      <c r="G1713" s="25"/>
      <c r="H1713" s="26"/>
      <c r="I1713" s="27"/>
      <c r="J1713" s="28" t="n">
        <v>20</v>
      </c>
      <c r="K1713" s="28" t="n">
        <v>12</v>
      </c>
      <c r="L1713" s="24" t="s">
        <v>1465</v>
      </c>
      <c r="M1713" s="57" t="n">
        <f aca="false">IF("non" = "oui",3.82*(1-disc),3.82)</f>
        <v>3.82</v>
      </c>
      <c r="N1713" s="57" t="n">
        <f aca="false">IF("non" = "oui",3.82*(1-disc)*1.2,3.82*1.2)</f>
        <v>4.584</v>
      </c>
      <c r="O1713" s="58" t="s">
        <v>26</v>
      </c>
      <c r="P1713" s="4" t="s">
        <v>25</v>
      </c>
      <c r="Q1713" s="16"/>
    </row>
    <row r="1714" customFormat="false" ht="12.8" hidden="false" customHeight="false" outlineLevel="0" collapsed="false">
      <c r="A1714" s="22"/>
      <c r="B1714" s="23" t="n">
        <v>507102000</v>
      </c>
      <c r="C1714" s="24"/>
      <c r="D1714" s="22" t="s">
        <v>1637</v>
      </c>
      <c r="E1714" s="19"/>
      <c r="F1714" s="24"/>
      <c r="G1714" s="25"/>
      <c r="H1714" s="26"/>
      <c r="I1714" s="27"/>
      <c r="J1714" s="28" t="n">
        <v>20</v>
      </c>
      <c r="K1714" s="28" t="n">
        <v>12</v>
      </c>
      <c r="L1714" s="24" t="s">
        <v>1465</v>
      </c>
      <c r="M1714" s="57" t="n">
        <f aca="false">IF("non" = "oui",3.82*(1-disc),3.82)</f>
        <v>3.82</v>
      </c>
      <c r="N1714" s="57" t="n">
        <f aca="false">IF("non" = "oui",3.82*(1-disc)*1.2,3.82*1.2)</f>
        <v>4.584</v>
      </c>
      <c r="O1714" s="58" t="s">
        <v>26</v>
      </c>
      <c r="P1714" s="4" t="s">
        <v>25</v>
      </c>
      <c r="Q1714" s="16"/>
    </row>
    <row r="1715" customFormat="false" ht="12.8" hidden="false" customHeight="false" outlineLevel="0" collapsed="false">
      <c r="A1715" s="22"/>
      <c r="B1715" s="23" t="n">
        <v>507103000</v>
      </c>
      <c r="C1715" s="24"/>
      <c r="D1715" s="22" t="s">
        <v>1638</v>
      </c>
      <c r="E1715" s="19"/>
      <c r="F1715" s="24"/>
      <c r="G1715" s="25"/>
      <c r="H1715" s="26"/>
      <c r="I1715" s="27"/>
      <c r="J1715" s="28" t="n">
        <v>20</v>
      </c>
      <c r="K1715" s="28" t="n">
        <v>12</v>
      </c>
      <c r="L1715" s="24" t="s">
        <v>1465</v>
      </c>
      <c r="M1715" s="57" t="n">
        <f aca="false">IF("non" = "oui",3.82*(1-disc),3.82)</f>
        <v>3.82</v>
      </c>
      <c r="N1715" s="57" t="n">
        <f aca="false">IF("non" = "oui",3.82*(1-disc)*1.2,3.82*1.2)</f>
        <v>4.584</v>
      </c>
      <c r="O1715" s="58" t="s">
        <v>26</v>
      </c>
      <c r="P1715" s="4" t="s">
        <v>25</v>
      </c>
      <c r="Q1715" s="16"/>
    </row>
    <row r="1716" customFormat="false" ht="12.8" hidden="false" customHeight="false" outlineLevel="0" collapsed="false">
      <c r="A1716" s="22"/>
      <c r="B1716" s="23" t="n">
        <v>507104000</v>
      </c>
      <c r="C1716" s="24"/>
      <c r="D1716" s="22" t="s">
        <v>1639</v>
      </c>
      <c r="E1716" s="19"/>
      <c r="F1716" s="24"/>
      <c r="G1716" s="25"/>
      <c r="H1716" s="26"/>
      <c r="I1716" s="27"/>
      <c r="J1716" s="28" t="n">
        <v>20</v>
      </c>
      <c r="K1716" s="28" t="n">
        <v>12</v>
      </c>
      <c r="L1716" s="24" t="s">
        <v>1465</v>
      </c>
      <c r="M1716" s="57" t="n">
        <f aca="false">IF("non" = "oui",3.82*(1-disc),3.82)</f>
        <v>3.82</v>
      </c>
      <c r="N1716" s="57" t="n">
        <f aca="false">IF("non" = "oui",3.82*(1-disc)*1.2,3.82*1.2)</f>
        <v>4.584</v>
      </c>
      <c r="O1716" s="58" t="s">
        <v>26</v>
      </c>
      <c r="P1716" s="7" t="s">
        <v>26</v>
      </c>
      <c r="Q1716" s="16"/>
    </row>
    <row r="1717" customFormat="false" ht="12.8" hidden="false" customHeight="false" outlineLevel="0" collapsed="false">
      <c r="A1717" s="22"/>
      <c r="B1717" s="23"/>
      <c r="C1717" s="24"/>
      <c r="D1717" s="22"/>
      <c r="E1717" s="19"/>
      <c r="F1717" s="24"/>
      <c r="G1717" s="25"/>
      <c r="H1717" s="26"/>
      <c r="I1717" s="27"/>
      <c r="J1717" s="28"/>
      <c r="K1717" s="28"/>
      <c r="L1717" s="24"/>
      <c r="M1717" s="29"/>
      <c r="N1717" s="29"/>
      <c r="O1717" s="24"/>
      <c r="P1717" s="4"/>
      <c r="Q1717" s="16"/>
    </row>
    <row r="1718" customFormat="false" ht="12.8" hidden="false" customHeight="false" outlineLevel="0" collapsed="false">
      <c r="A1718" s="22" t="s">
        <v>1640</v>
      </c>
      <c r="B1718" s="23"/>
      <c r="C1718" s="24"/>
      <c r="D1718" s="22"/>
      <c r="E1718" s="19"/>
      <c r="F1718" s="24"/>
      <c r="G1718" s="25"/>
      <c r="H1718" s="26"/>
      <c r="I1718" s="27"/>
      <c r="J1718" s="28"/>
      <c r="K1718" s="28"/>
      <c r="L1718" s="24"/>
      <c r="M1718" s="29"/>
      <c r="N1718" s="29"/>
      <c r="O1718" s="24"/>
      <c r="P1718" s="4"/>
      <c r="Q1718" s="16"/>
    </row>
    <row r="1719" customFormat="false" ht="12.8" hidden="false" customHeight="false" outlineLevel="0" collapsed="false">
      <c r="A1719" s="22"/>
      <c r="B1719" s="23"/>
      <c r="C1719" s="24"/>
      <c r="D1719" s="22"/>
      <c r="E1719" s="19"/>
      <c r="F1719" s="24"/>
      <c r="G1719" s="25"/>
      <c r="H1719" s="26"/>
      <c r="I1719" s="27"/>
      <c r="J1719" s="28"/>
      <c r="K1719" s="28"/>
      <c r="L1719" s="24"/>
      <c r="M1719" s="29"/>
      <c r="N1719" s="29"/>
      <c r="O1719" s="24"/>
      <c r="P1719" s="4"/>
      <c r="Q1719" s="16"/>
    </row>
    <row r="1720" customFormat="false" ht="12.8" hidden="false" customHeight="false" outlineLevel="0" collapsed="false">
      <c r="A1720" s="22"/>
      <c r="B1720" s="23" t="n">
        <v>507068000</v>
      </c>
      <c r="C1720" s="24"/>
      <c r="D1720" s="22" t="s">
        <v>1641</v>
      </c>
      <c r="E1720" s="19"/>
      <c r="F1720" s="24"/>
      <c r="G1720" s="25"/>
      <c r="H1720" s="26"/>
      <c r="I1720" s="27"/>
      <c r="J1720" s="28" t="n">
        <v>20</v>
      </c>
      <c r="K1720" s="28" t="n">
        <v>12</v>
      </c>
      <c r="L1720" s="24" t="s">
        <v>1465</v>
      </c>
      <c r="M1720" s="57" t="n">
        <f aca="false">IF("non" = "oui",4.03*(1-disc),4.03)</f>
        <v>4.03</v>
      </c>
      <c r="N1720" s="57" t="n">
        <f aca="false">IF("non" = "oui",4.03*(1-disc)*1.2,4.03*1.2)</f>
        <v>4.836</v>
      </c>
      <c r="O1720" s="58" t="s">
        <v>26</v>
      </c>
      <c r="P1720" s="4" t="s">
        <v>25</v>
      </c>
      <c r="Q1720" s="16"/>
    </row>
    <row r="1721" customFormat="false" ht="12.8" hidden="false" customHeight="false" outlineLevel="0" collapsed="false">
      <c r="A1721" s="22"/>
      <c r="B1721" s="23" t="n">
        <v>507070000</v>
      </c>
      <c r="C1721" s="24"/>
      <c r="D1721" s="22" t="s">
        <v>1642</v>
      </c>
      <c r="E1721" s="19"/>
      <c r="F1721" s="24"/>
      <c r="G1721" s="25"/>
      <c r="H1721" s="26"/>
      <c r="I1721" s="27"/>
      <c r="J1721" s="28" t="n">
        <v>20</v>
      </c>
      <c r="K1721" s="28" t="n">
        <v>12</v>
      </c>
      <c r="L1721" s="24" t="s">
        <v>1465</v>
      </c>
      <c r="M1721" s="57" t="n">
        <f aca="false">IF("non" = "oui",4.03*(1-disc),4.03)</f>
        <v>4.03</v>
      </c>
      <c r="N1721" s="57" t="n">
        <f aca="false">IF("non" = "oui",4.03*(1-disc)*1.2,4.03*1.2)</f>
        <v>4.836</v>
      </c>
      <c r="O1721" s="58" t="s">
        <v>26</v>
      </c>
      <c r="P1721" s="4" t="s">
        <v>25</v>
      </c>
      <c r="Q1721" s="16"/>
    </row>
    <row r="1722" customFormat="false" ht="12.8" hidden="false" customHeight="false" outlineLevel="0" collapsed="false">
      <c r="A1722" s="22"/>
      <c r="B1722" s="23" t="n">
        <v>507075000</v>
      </c>
      <c r="C1722" s="24"/>
      <c r="D1722" s="22" t="s">
        <v>1643</v>
      </c>
      <c r="E1722" s="19"/>
      <c r="F1722" s="24"/>
      <c r="G1722" s="25"/>
      <c r="H1722" s="26"/>
      <c r="I1722" s="27"/>
      <c r="J1722" s="28" t="n">
        <v>20</v>
      </c>
      <c r="K1722" s="28" t="n">
        <v>12</v>
      </c>
      <c r="L1722" s="24" t="s">
        <v>1465</v>
      </c>
      <c r="M1722" s="57" t="n">
        <f aca="false">IF("non" = "oui",4.03*(1-disc),4.03)</f>
        <v>4.03</v>
      </c>
      <c r="N1722" s="57" t="n">
        <f aca="false">IF("non" = "oui",4.03*(1-disc)*1.2,4.03*1.2)</f>
        <v>4.836</v>
      </c>
      <c r="O1722" s="58" t="s">
        <v>26</v>
      </c>
      <c r="P1722" s="4" t="s">
        <v>25</v>
      </c>
      <c r="Q1722" s="16"/>
    </row>
    <row r="1723" customFormat="false" ht="12.8" hidden="false" customHeight="false" outlineLevel="0" collapsed="false">
      <c r="A1723" s="22"/>
      <c r="B1723" s="23" t="n">
        <v>507078000</v>
      </c>
      <c r="C1723" s="24"/>
      <c r="D1723" s="22" t="s">
        <v>1644</v>
      </c>
      <c r="E1723" s="19"/>
      <c r="F1723" s="24"/>
      <c r="G1723" s="25"/>
      <c r="H1723" s="26"/>
      <c r="I1723" s="27"/>
      <c r="J1723" s="28" t="n">
        <v>20</v>
      </c>
      <c r="K1723" s="28" t="n">
        <v>12</v>
      </c>
      <c r="L1723" s="24" t="s">
        <v>1465</v>
      </c>
      <c r="M1723" s="57" t="n">
        <f aca="false">IF("non" = "oui",4.03*(1-disc),4.03)</f>
        <v>4.03</v>
      </c>
      <c r="N1723" s="57" t="n">
        <f aca="false">IF("non" = "oui",4.03*(1-disc)*1.2,4.03*1.2)</f>
        <v>4.836</v>
      </c>
      <c r="O1723" s="58" t="s">
        <v>26</v>
      </c>
      <c r="P1723" s="4" t="s">
        <v>25</v>
      </c>
      <c r="Q1723" s="16"/>
    </row>
    <row r="1724" customFormat="false" ht="12.8" hidden="false" customHeight="false" outlineLevel="0" collapsed="false">
      <c r="A1724" s="22"/>
      <c r="B1724" s="23" t="n">
        <v>507080000</v>
      </c>
      <c r="C1724" s="24"/>
      <c r="D1724" s="22" t="s">
        <v>1645</v>
      </c>
      <c r="E1724" s="19"/>
      <c r="F1724" s="24"/>
      <c r="G1724" s="25"/>
      <c r="H1724" s="26"/>
      <c r="I1724" s="27"/>
      <c r="J1724" s="28" t="n">
        <v>20</v>
      </c>
      <c r="K1724" s="28" t="n">
        <v>12</v>
      </c>
      <c r="L1724" s="24" t="s">
        <v>1465</v>
      </c>
      <c r="M1724" s="57" t="n">
        <f aca="false">IF("non" = "oui",4.03*(1-disc),4.03)</f>
        <v>4.03</v>
      </c>
      <c r="N1724" s="57" t="n">
        <f aca="false">IF("non" = "oui",4.03*(1-disc)*1.2,4.03*1.2)</f>
        <v>4.836</v>
      </c>
      <c r="O1724" s="58" t="s">
        <v>26</v>
      </c>
      <c r="P1724" s="4" t="s">
        <v>25</v>
      </c>
      <c r="Q1724" s="16"/>
    </row>
    <row r="1725" customFormat="false" ht="12.8" hidden="false" customHeight="false" outlineLevel="0" collapsed="false">
      <c r="A1725" s="22"/>
      <c r="B1725" s="23"/>
      <c r="C1725" s="24"/>
      <c r="D1725" s="22"/>
      <c r="E1725" s="19"/>
      <c r="F1725" s="24"/>
      <c r="G1725" s="25"/>
      <c r="H1725" s="26"/>
      <c r="I1725" s="27"/>
      <c r="J1725" s="28"/>
      <c r="K1725" s="28"/>
      <c r="L1725" s="24"/>
      <c r="M1725" s="29"/>
      <c r="N1725" s="29"/>
      <c r="O1725" s="24"/>
      <c r="P1725" s="4"/>
      <c r="Q1725" s="16"/>
    </row>
    <row r="1726" customFormat="false" ht="12.8" hidden="false" customHeight="false" outlineLevel="0" collapsed="false">
      <c r="A1726" s="42" t="s">
        <v>1646</v>
      </c>
      <c r="B1726" s="43"/>
      <c r="C1726" s="44"/>
      <c r="D1726" s="45"/>
      <c r="E1726" s="46"/>
      <c r="F1726" s="44"/>
      <c r="G1726" s="47"/>
      <c r="H1726" s="48"/>
      <c r="I1726" s="49"/>
      <c r="J1726" s="50"/>
      <c r="K1726" s="50"/>
      <c r="L1726" s="44"/>
      <c r="M1726" s="51"/>
      <c r="N1726" s="51"/>
      <c r="O1726" s="44"/>
      <c r="P1726" s="52"/>
      <c r="Q1726" s="53"/>
    </row>
    <row r="1727" customFormat="false" ht="12.8" hidden="false" customHeight="false" outlineLevel="0" collapsed="false">
      <c r="A1727" s="22"/>
      <c r="B1727" s="23"/>
      <c r="C1727" s="24"/>
      <c r="D1727" s="22"/>
      <c r="E1727" s="19"/>
      <c r="F1727" s="24"/>
      <c r="G1727" s="25"/>
      <c r="H1727" s="26"/>
      <c r="I1727" s="27"/>
      <c r="J1727" s="28"/>
      <c r="K1727" s="28"/>
      <c r="L1727" s="24"/>
      <c r="M1727" s="29"/>
      <c r="N1727" s="29"/>
      <c r="O1727" s="24"/>
      <c r="P1727" s="4"/>
      <c r="Q1727" s="16"/>
    </row>
    <row r="1728" customFormat="false" ht="12.8" hidden="false" customHeight="false" outlineLevel="0" collapsed="false">
      <c r="A1728" s="22"/>
      <c r="B1728" s="23" t="n">
        <v>507049000</v>
      </c>
      <c r="C1728" s="24"/>
      <c r="D1728" s="54" t="s">
        <v>1647</v>
      </c>
      <c r="E1728" s="19"/>
      <c r="F1728" s="24"/>
      <c r="G1728" s="25"/>
      <c r="H1728" s="26" t="n">
        <v>2700</v>
      </c>
      <c r="I1728" s="27"/>
      <c r="J1728" s="28" t="n">
        <v>50</v>
      </c>
      <c r="K1728" s="28" t="n">
        <v>1</v>
      </c>
      <c r="L1728" s="24" t="s">
        <v>1465</v>
      </c>
      <c r="M1728" s="57" t="n">
        <f aca="false">IF("non" = "oui",0.82*(1-disc),0.82)</f>
        <v>0.82</v>
      </c>
      <c r="N1728" s="57" t="n">
        <f aca="false">IF("non" = "oui",0.82*(1-disc)*1.2,0.82*1.2)</f>
        <v>0.984</v>
      </c>
      <c r="O1728" s="58" t="s">
        <v>26</v>
      </c>
      <c r="P1728" s="4" t="s">
        <v>25</v>
      </c>
      <c r="Q1728" s="16"/>
    </row>
    <row r="1729" customFormat="false" ht="12.8" hidden="false" customHeight="false" outlineLevel="0" collapsed="false">
      <c r="A1729" s="22"/>
      <c r="B1729" s="23" t="n">
        <v>507050000</v>
      </c>
      <c r="C1729" s="24"/>
      <c r="D1729" s="54" t="s">
        <v>1648</v>
      </c>
      <c r="E1729" s="19"/>
      <c r="F1729" s="24"/>
      <c r="G1729" s="25"/>
      <c r="H1729" s="26" t="n">
        <v>5400</v>
      </c>
      <c r="I1729" s="27"/>
      <c r="J1729" s="28" t="n">
        <v>50</v>
      </c>
      <c r="K1729" s="28" t="n">
        <v>1</v>
      </c>
      <c r="L1729" s="24" t="s">
        <v>1465</v>
      </c>
      <c r="M1729" s="57" t="n">
        <f aca="false">IF("non" = "oui",1.14*(1-disc),1.14)</f>
        <v>1.14</v>
      </c>
      <c r="N1729" s="57" t="n">
        <f aca="false">IF("non" = "oui",1.14*(1-disc)*1.2,1.14*1.2)</f>
        <v>1.368</v>
      </c>
      <c r="O1729" s="58" t="s">
        <v>26</v>
      </c>
      <c r="P1729" s="7" t="s">
        <v>26</v>
      </c>
      <c r="Q1729" s="16" t="s">
        <v>1649</v>
      </c>
    </row>
    <row r="1730" customFormat="false" ht="12.8" hidden="false" customHeight="false" outlineLevel="0" collapsed="false">
      <c r="A1730" s="22"/>
      <c r="B1730" s="56"/>
      <c r="C1730" s="24"/>
      <c r="D1730" s="22"/>
      <c r="E1730" s="19"/>
      <c r="F1730" s="24"/>
      <c r="G1730" s="25"/>
      <c r="H1730" s="26"/>
      <c r="I1730" s="27"/>
      <c r="J1730" s="28"/>
      <c r="K1730" s="28"/>
      <c r="L1730" s="24"/>
      <c r="M1730" s="29"/>
      <c r="N1730" s="29"/>
      <c r="O1730" s="24"/>
      <c r="P1730" s="4"/>
      <c r="Q1730" s="16"/>
    </row>
    <row r="1731" customFormat="false" ht="12.8" hidden="false" customHeight="false" outlineLevel="0" collapsed="false">
      <c r="A1731" s="84" t="s">
        <v>1650</v>
      </c>
      <c r="B1731" s="85"/>
      <c r="C1731" s="86"/>
      <c r="D1731" s="87"/>
      <c r="E1731" s="88"/>
      <c r="F1731" s="86"/>
      <c r="G1731" s="89"/>
      <c r="H1731" s="90"/>
      <c r="I1731" s="91"/>
      <c r="J1731" s="92"/>
      <c r="K1731" s="92"/>
      <c r="L1731" s="86"/>
      <c r="M1731" s="93"/>
      <c r="N1731" s="93"/>
      <c r="O1731" s="86"/>
      <c r="P1731" s="94"/>
      <c r="Q1731" s="95"/>
    </row>
    <row r="1732" customFormat="false" ht="12.8" hidden="false" customHeight="false" outlineLevel="0" collapsed="false">
      <c r="A1732" s="22"/>
      <c r="B1732" s="23"/>
      <c r="C1732" s="24"/>
      <c r="D1732" s="22"/>
      <c r="E1732" s="19"/>
      <c r="F1732" s="24"/>
      <c r="G1732" s="25"/>
      <c r="H1732" s="26"/>
      <c r="I1732" s="27"/>
      <c r="J1732" s="28"/>
      <c r="K1732" s="28"/>
      <c r="L1732" s="24"/>
      <c r="M1732" s="29"/>
      <c r="N1732" s="29"/>
      <c r="O1732" s="24"/>
      <c r="P1732" s="4"/>
      <c r="Q1732" s="16"/>
    </row>
    <row r="1733" customFormat="false" ht="12.8" hidden="false" customHeight="false" outlineLevel="0" collapsed="false">
      <c r="A1733" s="42" t="s">
        <v>1651</v>
      </c>
      <c r="B1733" s="43"/>
      <c r="C1733" s="44"/>
      <c r="D1733" s="45"/>
      <c r="E1733" s="46"/>
      <c r="F1733" s="44"/>
      <c r="G1733" s="47"/>
      <c r="H1733" s="48"/>
      <c r="I1733" s="49"/>
      <c r="J1733" s="50"/>
      <c r="K1733" s="50"/>
      <c r="L1733" s="44"/>
      <c r="M1733" s="51"/>
      <c r="N1733" s="51"/>
      <c r="O1733" s="44"/>
      <c r="P1733" s="52"/>
      <c r="Q1733" s="53"/>
    </row>
    <row r="1734" customFormat="false" ht="12.8" hidden="false" customHeight="false" outlineLevel="0" collapsed="false">
      <c r="A1734" s="22"/>
      <c r="B1734" s="56"/>
      <c r="C1734" s="24"/>
      <c r="D1734" s="22"/>
      <c r="E1734" s="19"/>
      <c r="F1734" s="24"/>
      <c r="G1734" s="25"/>
      <c r="H1734" s="26"/>
      <c r="I1734" s="27"/>
      <c r="J1734" s="28"/>
      <c r="K1734" s="28"/>
      <c r="L1734" s="24"/>
      <c r="M1734" s="29"/>
      <c r="N1734" s="29"/>
      <c r="O1734" s="24"/>
      <c r="P1734" s="4"/>
      <c r="Q1734" s="16"/>
    </row>
    <row r="1735" customFormat="false" ht="12.8" hidden="false" customHeight="false" outlineLevel="0" collapsed="false">
      <c r="A1735" s="22"/>
      <c r="B1735" s="23" t="n">
        <v>502046000</v>
      </c>
      <c r="C1735" s="24"/>
      <c r="D1735" s="54" t="s">
        <v>1652</v>
      </c>
      <c r="E1735" s="19" t="s">
        <v>1653</v>
      </c>
      <c r="F1735" s="24" t="s">
        <v>647</v>
      </c>
      <c r="G1735" s="25" t="n">
        <v>2.693</v>
      </c>
      <c r="H1735" s="26" t="n">
        <v>300</v>
      </c>
      <c r="I1735" s="27" t="n">
        <v>25</v>
      </c>
      <c r="J1735" s="28" t="n">
        <v>1</v>
      </c>
      <c r="K1735" s="28" t="n">
        <v>1</v>
      </c>
      <c r="L1735" s="24" t="s">
        <v>631</v>
      </c>
      <c r="M1735" s="29" t="n">
        <f aca="false">IF("oui" = "oui",316.9*(1-disc),316.9)</f>
        <v>316.9</v>
      </c>
      <c r="N1735" s="29" t="n">
        <f aca="false">IF("oui" = "oui",316.9*(1-disc)*1.2,316.9*1.2)</f>
        <v>380.28</v>
      </c>
      <c r="O1735" s="24" t="s">
        <v>25</v>
      </c>
      <c r="P1735" s="4" t="s">
        <v>25</v>
      </c>
      <c r="Q1735" s="16"/>
    </row>
    <row r="1736" customFormat="false" ht="12.8" hidden="false" customHeight="false" outlineLevel="0" collapsed="false">
      <c r="A1736" s="22"/>
      <c r="B1736" s="23" t="n">
        <v>502047000</v>
      </c>
      <c r="C1736" s="24"/>
      <c r="D1736" s="54" t="s">
        <v>1654</v>
      </c>
      <c r="E1736" s="19" t="s">
        <v>1655</v>
      </c>
      <c r="F1736" s="24" t="s">
        <v>647</v>
      </c>
      <c r="G1736" s="25" t="n">
        <v>1.54</v>
      </c>
      <c r="H1736" s="26" t="n">
        <v>180</v>
      </c>
      <c r="I1736" s="27" t="n">
        <v>25</v>
      </c>
      <c r="J1736" s="28" t="n">
        <v>1</v>
      </c>
      <c r="K1736" s="28" t="n">
        <v>1</v>
      </c>
      <c r="L1736" s="24" t="s">
        <v>631</v>
      </c>
      <c r="M1736" s="29" t="n">
        <f aca="false">IF("oui" = "oui",180.17*(1-disc),180.17)</f>
        <v>180.17</v>
      </c>
      <c r="N1736" s="29" t="n">
        <f aca="false">IF("oui" = "oui",180.17*(1-disc)*1.2,180.17*1.2)</f>
        <v>216.204</v>
      </c>
      <c r="O1736" s="24" t="s">
        <v>25</v>
      </c>
      <c r="P1736" s="4" t="s">
        <v>25</v>
      </c>
      <c r="Q1736" s="16"/>
    </row>
    <row r="1737" customFormat="false" ht="12.8" hidden="false" customHeight="false" outlineLevel="0" collapsed="false">
      <c r="A1737" s="22"/>
      <c r="B1737" s="23" t="n">
        <v>502048000</v>
      </c>
      <c r="C1737" s="24"/>
      <c r="D1737" s="54" t="s">
        <v>1656</v>
      </c>
      <c r="E1737" s="19" t="s">
        <v>1657</v>
      </c>
      <c r="F1737" s="24" t="s">
        <v>647</v>
      </c>
      <c r="G1737" s="25" t="n">
        <v>3.689</v>
      </c>
      <c r="H1737" s="26" t="n">
        <v>360</v>
      </c>
      <c r="I1737" s="27" t="n">
        <v>25</v>
      </c>
      <c r="J1737" s="28" t="n">
        <v>1</v>
      </c>
      <c r="K1737" s="28" t="n">
        <v>1</v>
      </c>
      <c r="L1737" s="24" t="s">
        <v>631</v>
      </c>
      <c r="M1737" s="29" t="n">
        <f aca="false">IF("oui" = "oui",446.9*(1-disc),446.9)</f>
        <v>446.9</v>
      </c>
      <c r="N1737" s="29" t="n">
        <f aca="false">IF("oui" = "oui",446.9*(1-disc)*1.2,446.9*1.2)</f>
        <v>536.28</v>
      </c>
      <c r="O1737" s="24" t="s">
        <v>25</v>
      </c>
      <c r="P1737" s="4" t="s">
        <v>25</v>
      </c>
      <c r="Q1737" s="16"/>
    </row>
    <row r="1738" customFormat="false" ht="12.8" hidden="false" customHeight="false" outlineLevel="0" collapsed="false">
      <c r="A1738" s="22"/>
      <c r="B1738" s="23"/>
      <c r="C1738" s="24"/>
      <c r="D1738" s="22"/>
      <c r="E1738" s="19"/>
      <c r="F1738" s="24"/>
      <c r="G1738" s="25"/>
      <c r="H1738" s="26"/>
      <c r="I1738" s="27"/>
      <c r="J1738" s="28"/>
      <c r="K1738" s="28"/>
      <c r="L1738" s="24"/>
      <c r="M1738" s="29"/>
      <c r="N1738" s="29"/>
      <c r="O1738" s="24"/>
      <c r="P1738" s="4"/>
      <c r="Q1738" s="16"/>
    </row>
    <row r="1739" customFormat="false" ht="12.8" hidden="false" customHeight="false" outlineLevel="0" collapsed="false">
      <c r="A1739" s="22"/>
      <c r="B1739" s="23" t="n">
        <v>200215000</v>
      </c>
      <c r="C1739" s="24" t="n">
        <v>18</v>
      </c>
      <c r="D1739" s="54" t="s">
        <v>1658</v>
      </c>
      <c r="E1739" s="19" t="s">
        <v>1659</v>
      </c>
      <c r="F1739" s="24" t="s">
        <v>630</v>
      </c>
      <c r="G1739" s="25" t="n">
        <v>1.526</v>
      </c>
      <c r="H1739" s="26" t="n">
        <v>120</v>
      </c>
      <c r="I1739" s="27" t="n">
        <v>8</v>
      </c>
      <c r="J1739" s="28" t="n">
        <v>1</v>
      </c>
      <c r="K1739" s="28" t="n">
        <v>1</v>
      </c>
      <c r="L1739" s="24" t="s">
        <v>631</v>
      </c>
      <c r="M1739" s="57" t="n">
        <f aca="false">IF("non" = "oui",270.72*(1-disc),270.72)</f>
        <v>270.72</v>
      </c>
      <c r="N1739" s="57" t="n">
        <f aca="false">IF("non" = "oui",270.72*(1-disc)*1.2,270.72*1.2)</f>
        <v>324.864</v>
      </c>
      <c r="O1739" s="58" t="s">
        <v>26</v>
      </c>
      <c r="P1739" s="7" t="s">
        <v>26</v>
      </c>
      <c r="Q1739" s="16" t="s">
        <v>1660</v>
      </c>
    </row>
    <row r="1740" customFormat="false" ht="12.8" hidden="false" customHeight="false" outlineLevel="0" collapsed="false">
      <c r="A1740" s="22"/>
      <c r="B1740" s="23" t="n">
        <v>600079000</v>
      </c>
      <c r="C1740" s="24" t="n">
        <v>29</v>
      </c>
      <c r="D1740" s="54" t="s">
        <v>1661</v>
      </c>
      <c r="E1740" s="19" t="s">
        <v>1662</v>
      </c>
      <c r="F1740" s="24" t="s">
        <v>647</v>
      </c>
      <c r="G1740" s="25" t="n">
        <v>3.959</v>
      </c>
      <c r="H1740" s="26" t="n">
        <v>300</v>
      </c>
      <c r="I1740" s="27" t="n">
        <v>25</v>
      </c>
      <c r="J1740" s="28" t="n">
        <v>1</v>
      </c>
      <c r="K1740" s="28" t="n">
        <v>1</v>
      </c>
      <c r="L1740" s="24" t="s">
        <v>631</v>
      </c>
      <c r="M1740" s="57" t="n">
        <f aca="false">IF("non" = "oui",425.55*(1-disc),425.55)</f>
        <v>425.55</v>
      </c>
      <c r="N1740" s="57" t="n">
        <f aca="false">IF("non" = "oui",425.55*(1-disc)*1.2,425.55*1.2)</f>
        <v>510.66</v>
      </c>
      <c r="O1740" s="58" t="s">
        <v>26</v>
      </c>
      <c r="P1740" s="7" t="s">
        <v>26</v>
      </c>
      <c r="Q1740" s="16"/>
    </row>
    <row r="1741" customFormat="false" ht="12.8" hidden="false" customHeight="false" outlineLevel="0" collapsed="false">
      <c r="A1741" s="22"/>
      <c r="B1741" s="23" t="n">
        <v>605001000</v>
      </c>
      <c r="C1741" s="24" t="n">
        <v>25</v>
      </c>
      <c r="D1741" s="54" t="s">
        <v>1663</v>
      </c>
      <c r="E1741" s="19" t="s">
        <v>1664</v>
      </c>
      <c r="F1741" s="24" t="s">
        <v>630</v>
      </c>
      <c r="G1741" s="25" t="n">
        <v>1.866</v>
      </c>
      <c r="H1741" s="26" t="n">
        <v>65</v>
      </c>
      <c r="I1741" s="27" t="n">
        <v>8</v>
      </c>
      <c r="J1741" s="28" t="n">
        <v>1</v>
      </c>
      <c r="K1741" s="28" t="n">
        <v>1</v>
      </c>
      <c r="L1741" s="24" t="s">
        <v>631</v>
      </c>
      <c r="M1741" s="29" t="n">
        <f aca="false">IF("oui" = "oui",229.76*(1-disc),229.76)</f>
        <v>229.76</v>
      </c>
      <c r="N1741" s="29" t="n">
        <f aca="false">IF("oui" = "oui",229.76*(1-disc)*1.2,229.76*1.2)</f>
        <v>275.712</v>
      </c>
      <c r="O1741" s="24" t="s">
        <v>25</v>
      </c>
      <c r="P1741" s="7" t="s">
        <v>26</v>
      </c>
      <c r="Q1741" s="16"/>
    </row>
    <row r="1742" customFormat="false" ht="12.8" hidden="false" customHeight="false" outlineLevel="0" collapsed="false">
      <c r="A1742" s="22"/>
      <c r="B1742" s="23" t="n">
        <v>605002000</v>
      </c>
      <c r="C1742" s="24" t="n">
        <v>25</v>
      </c>
      <c r="D1742" s="54" t="s">
        <v>1665</v>
      </c>
      <c r="E1742" s="19" t="s">
        <v>1666</v>
      </c>
      <c r="F1742" s="24" t="s">
        <v>630</v>
      </c>
      <c r="G1742" s="25" t="n">
        <v>1.942</v>
      </c>
      <c r="H1742" s="26" t="n">
        <v>65</v>
      </c>
      <c r="I1742" s="27" t="n">
        <v>8</v>
      </c>
      <c r="J1742" s="28" t="n">
        <v>1</v>
      </c>
      <c r="K1742" s="28" t="n">
        <v>1</v>
      </c>
      <c r="L1742" s="24" t="s">
        <v>631</v>
      </c>
      <c r="M1742" s="29" t="n">
        <f aca="false">IF("oui" = "oui",229.76*(1-disc),229.76)</f>
        <v>229.76</v>
      </c>
      <c r="N1742" s="29" t="n">
        <f aca="false">IF("oui" = "oui",229.76*(1-disc)*1.2,229.76*1.2)</f>
        <v>275.712</v>
      </c>
      <c r="O1742" s="24" t="s">
        <v>25</v>
      </c>
      <c r="P1742" s="7" t="s">
        <v>26</v>
      </c>
      <c r="Q1742" s="59" t="s">
        <v>87</v>
      </c>
    </row>
    <row r="1743" customFormat="false" ht="12.8" hidden="false" customHeight="false" outlineLevel="0" collapsed="false">
      <c r="A1743" s="22"/>
      <c r="B1743" s="23" t="n">
        <v>605003000</v>
      </c>
      <c r="C1743" s="24" t="n">
        <v>25</v>
      </c>
      <c r="D1743" s="54" t="s">
        <v>1667</v>
      </c>
      <c r="E1743" s="19" t="s">
        <v>1668</v>
      </c>
      <c r="F1743" s="24" t="s">
        <v>630</v>
      </c>
      <c r="G1743" s="25" t="n">
        <v>1.972</v>
      </c>
      <c r="H1743" s="26" t="n">
        <v>65</v>
      </c>
      <c r="I1743" s="27" t="n">
        <v>8</v>
      </c>
      <c r="J1743" s="28" t="n">
        <v>1</v>
      </c>
      <c r="K1743" s="28" t="n">
        <v>1</v>
      </c>
      <c r="L1743" s="24" t="s">
        <v>631</v>
      </c>
      <c r="M1743" s="29" t="n">
        <f aca="false">IF("oui" = "oui",229.76*(1-disc),229.76)</f>
        <v>229.76</v>
      </c>
      <c r="N1743" s="29" t="n">
        <f aca="false">IF("oui" = "oui",229.76*(1-disc)*1.2,229.76*1.2)</f>
        <v>275.712</v>
      </c>
      <c r="O1743" s="24" t="s">
        <v>25</v>
      </c>
      <c r="P1743" s="7" t="s">
        <v>26</v>
      </c>
      <c r="Q1743" s="16"/>
    </row>
    <row r="1744" customFormat="false" ht="12.8" hidden="false" customHeight="false" outlineLevel="0" collapsed="false">
      <c r="A1744" s="22"/>
      <c r="B1744" s="23"/>
      <c r="C1744" s="24"/>
      <c r="D1744" s="22"/>
      <c r="E1744" s="19"/>
      <c r="F1744" s="24"/>
      <c r="G1744" s="25"/>
      <c r="H1744" s="26"/>
      <c r="I1744" s="27"/>
      <c r="J1744" s="28"/>
      <c r="K1744" s="28"/>
      <c r="L1744" s="24"/>
      <c r="M1744" s="29"/>
      <c r="N1744" s="29"/>
      <c r="O1744" s="24"/>
      <c r="P1744" s="4"/>
      <c r="Q1744" s="16"/>
    </row>
    <row r="1745" customFormat="false" ht="12.8" hidden="false" customHeight="false" outlineLevel="0" collapsed="false">
      <c r="A1745" s="42" t="s">
        <v>1669</v>
      </c>
      <c r="B1745" s="23"/>
      <c r="C1745" s="24"/>
      <c r="D1745" s="22"/>
      <c r="E1745" s="19"/>
      <c r="F1745" s="24"/>
      <c r="G1745" s="25"/>
      <c r="H1745" s="26"/>
      <c r="I1745" s="27"/>
      <c r="J1745" s="28"/>
      <c r="K1745" s="28"/>
      <c r="L1745" s="24"/>
      <c r="M1745" s="29"/>
      <c r="N1745" s="29"/>
      <c r="O1745" s="24"/>
      <c r="P1745" s="4"/>
      <c r="Q1745" s="16"/>
    </row>
    <row r="1746" customFormat="false" ht="12.8" hidden="false" customHeight="false" outlineLevel="0" collapsed="false">
      <c r="A1746" s="22"/>
      <c r="B1746" s="23"/>
      <c r="C1746" s="24"/>
      <c r="D1746" s="22"/>
      <c r="E1746" s="19"/>
      <c r="F1746" s="24"/>
      <c r="G1746" s="25"/>
      <c r="H1746" s="26"/>
      <c r="I1746" s="27"/>
      <c r="J1746" s="28"/>
      <c r="K1746" s="28"/>
      <c r="L1746" s="24"/>
      <c r="M1746" s="29"/>
      <c r="N1746" s="29"/>
      <c r="O1746" s="24"/>
      <c r="P1746" s="4"/>
      <c r="Q1746" s="16"/>
    </row>
    <row r="1747" customFormat="false" ht="12.8" hidden="false" customHeight="false" outlineLevel="0" collapsed="false">
      <c r="A1747" s="22" t="s">
        <v>69</v>
      </c>
      <c r="B1747" s="23" t="n">
        <v>502064000</v>
      </c>
      <c r="C1747" s="24" t="n">
        <v>20</v>
      </c>
      <c r="D1747" s="54" t="s">
        <v>1670</v>
      </c>
      <c r="E1747" s="19" t="s">
        <v>1655</v>
      </c>
      <c r="F1747" s="24" t="s">
        <v>647</v>
      </c>
      <c r="G1747" s="25" t="n">
        <v>3.785</v>
      </c>
      <c r="H1747" s="26" t="n">
        <v>300</v>
      </c>
      <c r="I1747" s="27" t="n">
        <v>30</v>
      </c>
      <c r="J1747" s="28" t="n">
        <v>1</v>
      </c>
      <c r="K1747" s="28" t="n">
        <v>1</v>
      </c>
      <c r="L1747" s="24" t="s">
        <v>631</v>
      </c>
      <c r="M1747" s="29" t="n">
        <f aca="false">IF("oui" = "oui",430.08*(1-disc),430.08)</f>
        <v>430.08</v>
      </c>
      <c r="N1747" s="29" t="n">
        <f aca="false">IF("oui" = "oui",430.08*(1-disc)*1.2,430.08*1.2)</f>
        <v>516.096</v>
      </c>
      <c r="O1747" s="24" t="s">
        <v>25</v>
      </c>
      <c r="P1747" s="4" t="s">
        <v>25</v>
      </c>
      <c r="Q1747" s="16"/>
    </row>
    <row r="1748" customFormat="false" ht="12.8" hidden="false" customHeight="false" outlineLevel="0" collapsed="false">
      <c r="A1748" s="22" t="s">
        <v>69</v>
      </c>
      <c r="B1748" s="23" t="n">
        <v>502066000</v>
      </c>
      <c r="C1748" s="24" t="n">
        <v>20</v>
      </c>
      <c r="D1748" s="54" t="s">
        <v>1671</v>
      </c>
      <c r="E1748" s="19" t="s">
        <v>1655</v>
      </c>
      <c r="F1748" s="24" t="s">
        <v>647</v>
      </c>
      <c r="G1748" s="25" t="n">
        <v>4.726</v>
      </c>
      <c r="H1748" s="26" t="n">
        <v>360</v>
      </c>
      <c r="I1748" s="27" t="n">
        <v>30</v>
      </c>
      <c r="J1748" s="28" t="n">
        <v>1</v>
      </c>
      <c r="K1748" s="28" t="n">
        <v>1</v>
      </c>
      <c r="L1748" s="24" t="s">
        <v>631</v>
      </c>
      <c r="M1748" s="29" t="n">
        <f aca="false">IF("oui" = "oui",516.09*(1-disc),516.09)</f>
        <v>516.09</v>
      </c>
      <c r="N1748" s="29" t="n">
        <f aca="false">IF("oui" = "oui",516.09*(1-disc)*1.2,516.09*1.2)</f>
        <v>619.308</v>
      </c>
      <c r="O1748" s="24" t="s">
        <v>25</v>
      </c>
      <c r="P1748" s="4" t="s">
        <v>25</v>
      </c>
      <c r="Q1748" s="16"/>
    </row>
    <row r="1749" customFormat="false" ht="12.8" hidden="false" customHeight="false" outlineLevel="0" collapsed="false">
      <c r="A1749" s="22" t="s">
        <v>69</v>
      </c>
      <c r="B1749" s="23" t="n">
        <v>502067000</v>
      </c>
      <c r="C1749" s="24" t="n">
        <v>20</v>
      </c>
      <c r="D1749" s="54" t="s">
        <v>1672</v>
      </c>
      <c r="E1749" s="19" t="s">
        <v>1655</v>
      </c>
      <c r="F1749" s="24" t="s">
        <v>647</v>
      </c>
      <c r="G1749" s="25" t="n">
        <v>5.601</v>
      </c>
      <c r="H1749" s="26" t="n">
        <v>420</v>
      </c>
      <c r="I1749" s="27" t="n">
        <v>30</v>
      </c>
      <c r="J1749" s="28" t="n">
        <v>1</v>
      </c>
      <c r="K1749" s="28" t="n">
        <v>1</v>
      </c>
      <c r="L1749" s="24" t="s">
        <v>631</v>
      </c>
      <c r="M1749" s="29" t="n">
        <f aca="false">IF("oui" = "oui",602.1*(1-disc),602.1)</f>
        <v>602.1</v>
      </c>
      <c r="N1749" s="29" t="n">
        <f aca="false">IF("oui" = "oui",602.1*(1-disc)*1.2,602.1*1.2)</f>
        <v>722.52</v>
      </c>
      <c r="O1749" s="24" t="s">
        <v>25</v>
      </c>
      <c r="P1749" s="4" t="s">
        <v>25</v>
      </c>
      <c r="Q1749" s="16"/>
    </row>
    <row r="1750" customFormat="false" ht="12.8" hidden="false" customHeight="false" outlineLevel="0" collapsed="false">
      <c r="A1750" s="22" t="s">
        <v>69</v>
      </c>
      <c r="B1750" s="23" t="n">
        <v>502060000</v>
      </c>
      <c r="C1750" s="24" t="n">
        <v>20</v>
      </c>
      <c r="D1750" s="54" t="s">
        <v>1673</v>
      </c>
      <c r="E1750" s="19" t="s">
        <v>1655</v>
      </c>
      <c r="F1750" s="24" t="s">
        <v>647</v>
      </c>
      <c r="G1750" s="25" t="n">
        <v>6.748</v>
      </c>
      <c r="H1750" s="26" t="n">
        <v>480</v>
      </c>
      <c r="I1750" s="27" t="n">
        <v>30</v>
      </c>
      <c r="J1750" s="28" t="n">
        <v>1</v>
      </c>
      <c r="K1750" s="28" t="n">
        <v>1</v>
      </c>
      <c r="L1750" s="24" t="s">
        <v>631</v>
      </c>
      <c r="M1750" s="29" t="n">
        <f aca="false">IF("oui" = "oui",688.12*(1-disc),688.12)</f>
        <v>688.12</v>
      </c>
      <c r="N1750" s="29" t="n">
        <f aca="false">IF("oui" = "oui",688.12*(1-disc)*1.2,688.12*1.2)</f>
        <v>825.744</v>
      </c>
      <c r="O1750" s="24" t="s">
        <v>25</v>
      </c>
      <c r="P1750" s="4" t="s">
        <v>25</v>
      </c>
      <c r="Q1750" s="16"/>
    </row>
    <row r="1751" customFormat="false" ht="12.8" hidden="false" customHeight="false" outlineLevel="0" collapsed="false">
      <c r="A1751" s="22" t="s">
        <v>69</v>
      </c>
      <c r="B1751" s="23" t="n">
        <v>502069000</v>
      </c>
      <c r="C1751" s="24" t="n">
        <v>20</v>
      </c>
      <c r="D1751" s="54" t="s">
        <v>1674</v>
      </c>
      <c r="E1751" s="19" t="s">
        <v>1655</v>
      </c>
      <c r="F1751" s="24" t="s">
        <v>647</v>
      </c>
      <c r="G1751" s="25" t="n">
        <v>9.33</v>
      </c>
      <c r="H1751" s="26" t="n">
        <v>540</v>
      </c>
      <c r="I1751" s="27" t="n">
        <v>30</v>
      </c>
      <c r="J1751" s="28" t="n">
        <v>1</v>
      </c>
      <c r="K1751" s="28" t="n">
        <v>1</v>
      </c>
      <c r="L1751" s="24" t="s">
        <v>631</v>
      </c>
      <c r="M1751" s="29" t="n">
        <f aca="false">IF("oui" = "oui",774.13*(1-disc),774.13)</f>
        <v>774.13</v>
      </c>
      <c r="N1751" s="29" t="n">
        <f aca="false">IF("oui" = "oui",774.13*(1-disc)*1.2,774.13*1.2)</f>
        <v>928.956</v>
      </c>
      <c r="O1751" s="24" t="s">
        <v>25</v>
      </c>
      <c r="P1751" s="4" t="s">
        <v>25</v>
      </c>
      <c r="Q1751" s="16"/>
    </row>
    <row r="1752" customFormat="false" ht="12.8" hidden="false" customHeight="false" outlineLevel="0" collapsed="false">
      <c r="A1752" s="22" t="s">
        <v>69</v>
      </c>
      <c r="B1752" s="23" t="n">
        <v>502062000</v>
      </c>
      <c r="C1752" s="24" t="n">
        <v>20</v>
      </c>
      <c r="D1752" s="54" t="s">
        <v>1675</v>
      </c>
      <c r="E1752" s="19" t="s">
        <v>1655</v>
      </c>
      <c r="F1752" s="24" t="s">
        <v>647</v>
      </c>
      <c r="G1752" s="25" t="n">
        <v>7.852</v>
      </c>
      <c r="H1752" s="26" t="n">
        <v>600</v>
      </c>
      <c r="I1752" s="27" t="n">
        <v>30</v>
      </c>
      <c r="J1752" s="28" t="n">
        <v>1</v>
      </c>
      <c r="K1752" s="28" t="n">
        <v>1</v>
      </c>
      <c r="L1752" s="24" t="s">
        <v>631</v>
      </c>
      <c r="M1752" s="29" t="n">
        <f aca="false">IF("oui" = "oui",860.14*(1-disc),860.14)</f>
        <v>860.14</v>
      </c>
      <c r="N1752" s="29" t="n">
        <f aca="false">IF("oui" = "oui",860.14*(1-disc)*1.2,860.14*1.2)</f>
        <v>1032.168</v>
      </c>
      <c r="O1752" s="24" t="s">
        <v>25</v>
      </c>
      <c r="P1752" s="4" t="s">
        <v>25</v>
      </c>
      <c r="Q1752" s="16"/>
    </row>
    <row r="1753" customFormat="false" ht="12.8" hidden="false" customHeight="false" outlineLevel="0" collapsed="false">
      <c r="A1753" s="22" t="s">
        <v>69</v>
      </c>
      <c r="B1753" s="23" t="n">
        <v>502071000</v>
      </c>
      <c r="C1753" s="24" t="n">
        <v>20</v>
      </c>
      <c r="D1753" s="22" t="s">
        <v>1676</v>
      </c>
      <c r="E1753" s="19" t="s">
        <v>1655</v>
      </c>
      <c r="F1753" s="24" t="s">
        <v>647</v>
      </c>
      <c r="G1753" s="25" t="n">
        <v>7.897</v>
      </c>
      <c r="H1753" s="26" t="n">
        <v>660</v>
      </c>
      <c r="I1753" s="27" t="n">
        <v>30</v>
      </c>
      <c r="J1753" s="28" t="n">
        <v>1</v>
      </c>
      <c r="K1753" s="28" t="n">
        <v>1</v>
      </c>
      <c r="L1753" s="24" t="s">
        <v>631</v>
      </c>
      <c r="M1753" s="29" t="n">
        <f aca="false">IF("oui" = "oui",946.17*(1-disc),946.17)</f>
        <v>946.17</v>
      </c>
      <c r="N1753" s="29" t="n">
        <f aca="false">IF("oui" = "oui",946.17*(1-disc)*1.2,946.17*1.2)</f>
        <v>1135.404</v>
      </c>
      <c r="O1753" s="24" t="s">
        <v>25</v>
      </c>
      <c r="P1753" s="4" t="s">
        <v>25</v>
      </c>
      <c r="Q1753" s="16"/>
    </row>
  </sheetData>
  <autoFilter ref="A3:Q1753"/>
  <mergeCells count="2">
    <mergeCell ref="A1:C1"/>
    <mergeCell ref="A2:C2"/>
  </mergeCells>
  <dataValidations count="1">
    <dataValidation allowBlank="true" errorStyle="stop" operator="equal" showDropDown="false" showErrorMessage="true" showInputMessage="false" sqref="Q1" type="list">
      <formula1>listedisc</formula1>
      <formula2>0</formula2>
    </dataValidation>
  </dataValidations>
  <hyperlinks>
    <hyperlink ref="A2" r:id="rId1" display="commandepro@jacques-prevot.fr"/>
    <hyperlink ref="D9" r:id="rId2" display="bombe 50 mm chrysanthème bleu"/>
    <hyperlink ref="D10" r:id="rId3" display="bombe 50 mm chrysanthème citron"/>
    <hyperlink ref="D11" r:id="rId4" display="bombe 50 mm chrysanthème multicolore"/>
    <hyperlink ref="D12" r:id="rId5" display="bombe 50 mm chrysanthème rose"/>
    <hyperlink ref="D13" r:id="rId6" display="bombe 50 mm chrysanthème violette"/>
    <hyperlink ref="D14" r:id="rId7" display="bombe 50 mm chrysanthème rouge"/>
    <hyperlink ref="D15" r:id="rId8" display="bombe 50 mm chrysanthème blanche"/>
    <hyperlink ref="D21" r:id="rId9" display="bombe 50 mm crackling kamuro"/>
    <hyperlink ref="D22" r:id="rId10" display="bombe 50 mm crackling argent"/>
    <hyperlink ref="D23" r:id="rId11" display="bombe 50 mm crackling rouge"/>
    <hyperlink ref="D24" r:id="rId12" display="bombe 50 mm crackling vert"/>
    <hyperlink ref="D25" r:id="rId13" display="bombe 50 mm crackling violet"/>
    <hyperlink ref="D26" r:id="rId14" display="bombe 50 mm crackling bleu"/>
    <hyperlink ref="D27" r:id="rId15" display="bombe 50 mm crackling rose"/>
    <hyperlink ref="D28" r:id="rId16" display="bombe 50 mm crackling multicolore"/>
    <hyperlink ref="D34" r:id="rId17" display="bombe 50 mm palme scintillant rouge et tronc"/>
    <hyperlink ref="D35" r:id="rId18" display="bombe 50 mm palme argent"/>
    <hyperlink ref="D36" r:id="rId19" display="bombe 50 mm palme scintillant argent"/>
    <hyperlink ref="D37" r:id="rId20" display="bombe 50 mm palme scintillant multicolore"/>
    <hyperlink ref="D41" r:id="rId21" display="bombe 50 mm à effet cli. blanc"/>
    <hyperlink ref="D42" r:id="rId22" display="bombe 50 mm kamuro longue durée"/>
    <hyperlink ref="D43" r:id="rId23" display="bombe 50 mm kamuro à pointes multicolore"/>
    <hyperlink ref="D44" r:id="rId24" display="bombe 50 mm à effet oeuf de dragon"/>
    <hyperlink ref="D45" r:id="rId25" display="bombe 50 mm à effet cascade or"/>
    <hyperlink ref="D46" r:id="rId26" display="bombe 50 mm à effet cli. rouge"/>
    <hyperlink ref="D47" r:id="rId27" display="bombe 50 mm pivoine rose aqua citron"/>
    <hyperlink ref="D51" r:id="rId28" display="bombe 50 mm espagnole marron d'air"/>
    <hyperlink ref="D57" r:id="rId29" display="bombe 75 mm pluie bleu (71298)"/>
    <hyperlink ref="D58" r:id="rId30" display="bombe 75 mm palmier bleu (71300)"/>
    <hyperlink ref="D59" r:id="rId31" display="bombe 75 mm pluie argent (71302)"/>
    <hyperlink ref="D60" r:id="rId32" display="bombe 75 mm chrys or à argent (71305)"/>
    <hyperlink ref="D61" r:id="rId33" display="bombe 75 mm chrys or à bleu (71306)"/>
    <hyperlink ref="D62" r:id="rId34" display="bombe 75 mm pluie jaune (71313)"/>
    <hyperlink ref="D63" r:id="rId35" display="bombe 75 mm comète violette (71640)"/>
    <hyperlink ref="D65" r:id="rId36" display="bombe 75 mm palme dorée traçante à pointes bleues (174T3/3)"/>
    <hyperlink ref="D66" r:id="rId37" display="bombe 75 mm palme dorée traçante à pointes rouges (172T3/3)"/>
    <hyperlink ref="D67" r:id="rId38" display="bombe 75 mm chrysantheme bleu centre doré (090/3)"/>
    <hyperlink ref="D69" r:id="rId39" display="bombe 75 mm pyroprodukt 3-0966 super titan crackling willow w/crackling"/>
    <hyperlink ref="D70" r:id="rId40" display="bombe 75 mm pyroprodukt 3-0309 cylindrique red glitter pistil w/sound ring"/>
    <hyperlink ref="D71" r:id="rId41" display="bombe 75 mm palme dorée scintillante traçante (178T7/3)"/>
    <hyperlink ref="D75" r:id="rId42" display="bombe 75 mm nautique française multicolore (atpm)"/>
    <hyperlink ref="D79" r:id="rId43" display="bombe 75 mm pivoine rose"/>
    <hyperlink ref="D80" r:id="rId44" display="bombe 75 mm pivoine verte"/>
    <hyperlink ref="D81" r:id="rId45" display="bombe 75 mm pivoine rouge"/>
    <hyperlink ref="D82" r:id="rId46" display="bombe 75 mm pivoine violette"/>
    <hyperlink ref="D83" r:id="rId47" display="bombe 75 mm pivoine citron"/>
    <hyperlink ref="D84" r:id="rId48" display="bombe 75 mm pivoine orange"/>
    <hyperlink ref="D85" r:id="rId49" display="bombe 75 mm pivoine bleue"/>
    <hyperlink ref="D86" r:id="rId50" display="bombe 75 mm pivoine argent"/>
    <hyperlink ref="D87" r:id="rId51" display="bombe 75 mm pivoine or"/>
    <hyperlink ref="D88" r:id="rId52" display="bombe 75 mm pivoine multicolore pastel"/>
    <hyperlink ref="D89" r:id="rId53" display="bombe 75 mm pivoine aqua"/>
    <hyperlink ref="D91" r:id="rId54" display="5 bombes 75 mm pivoine assorties"/>
    <hyperlink ref="D95" r:id="rId55" display="bombe 75 mm traçante multicolore"/>
    <hyperlink ref="D96" r:id="rId56" display="bombe 75 mm traçante aqua"/>
    <hyperlink ref="D97" r:id="rId57" display="bombe 75 mm traçante or"/>
    <hyperlink ref="D98" r:id="rId58" display="bombe 75 mm traçante blanc"/>
    <hyperlink ref="D99" r:id="rId59" display="bombe 75 mm traçante bleue"/>
    <hyperlink ref="D100" r:id="rId60" display="bombe 75 mm traçante orange"/>
    <hyperlink ref="D101" r:id="rId61" display="bombe 75 mm traçante citron"/>
    <hyperlink ref="D102" r:id="rId62" display="bombe 75 mm traçante violette"/>
    <hyperlink ref="D103" r:id="rId63" display="bombe 75 mm traçante rouge"/>
    <hyperlink ref="D104" r:id="rId64" display="bombe 75 mm traçante vert"/>
    <hyperlink ref="D105" r:id="rId65" display="bombe 75 mm traçante rose"/>
    <hyperlink ref="D111" r:id="rId66" display="bombe 75 mm palmes blanc"/>
    <hyperlink ref="D112" r:id="rId67" display="bombe 75 mm palmes rouge"/>
    <hyperlink ref="D113" r:id="rId68" display="bombe 75 mm palmes violettes"/>
    <hyperlink ref="D114" r:id="rId69" display="bombe 75 mm palmes bleu"/>
    <hyperlink ref="D115" r:id="rId70" display="bombe 75 mm palmes rose"/>
    <hyperlink ref="D116" r:id="rId71" display="bombe 75 mm palmes vert"/>
    <hyperlink ref="D117" r:id="rId72" display="bombe 75 mm palmes or"/>
    <hyperlink ref="D118" r:id="rId73" display="bombe 75 mm palmes multicolore"/>
    <hyperlink ref="D120" r:id="rId74" display="5 bombes 75 mm palmes assorties"/>
    <hyperlink ref="D124" r:id="rId75" display="bombe 75 mm à tronc pivoine bleue"/>
    <hyperlink ref="D125" r:id="rId76" display="bombe 75 mm à tronc pivoine citron"/>
    <hyperlink ref="D126" r:id="rId77" display="bombe 75 mm à tronc pivoine violette"/>
    <hyperlink ref="D127" r:id="rId78" display="bombe 75 mm à tronc pivoine multicolore"/>
    <hyperlink ref="D128" r:id="rId79" display="bombe 75 mm à tronc pivoine rose"/>
    <hyperlink ref="D129" r:id="rId80" display="bombe 75 mm à tronc pivoine argent"/>
    <hyperlink ref="D130" r:id="rId81" display="bombe 75 mm à tronc pivoine rouge"/>
    <hyperlink ref="D131" r:id="rId82" display="bombe 75 mm à tronc saule kamuro"/>
    <hyperlink ref="D137" r:id="rId83" display="bombe 75 mm crackling rose"/>
    <hyperlink ref="D138" r:id="rId84" display="bombe 75 mm crackling bleu"/>
    <hyperlink ref="D139" r:id="rId85" display="bombe 75 mm crackling citron"/>
    <hyperlink ref="D140" r:id="rId86" display="bombe 75 mm crackling orange"/>
    <hyperlink ref="D141" r:id="rId87" display="bombe 75 mm crackling verte"/>
    <hyperlink ref="D142" r:id="rId88" display="bombe 75 mm crackling argent"/>
    <hyperlink ref="D143" r:id="rId89" display="bombe 75 mm crackling or"/>
    <hyperlink ref="D144" r:id="rId90" display="bombe 75 mm crackling violette"/>
    <hyperlink ref="D145" r:id="rId91" display="bombe 75 mm crackling multicolore"/>
    <hyperlink ref="D146" r:id="rId92" display="bombe 75 mm crackling rouge"/>
    <hyperlink ref="D147" r:id="rId93" display="bombe 75 mm crackling kamuro"/>
    <hyperlink ref="D149" r:id="rId94" display="5 bombes 75 mm crackling assorties"/>
    <hyperlink ref="D153" r:id="rId95" display="bombe 75 mm cercle multicolore"/>
    <hyperlink ref="D154" r:id="rId96" display="bombe 75 mm cercle rouge"/>
    <hyperlink ref="D155" r:id="rId97" display="bombe 75 mm cercle blanc"/>
    <hyperlink ref="D156" r:id="rId98" display="bombe 75 mm cercle violet"/>
    <hyperlink ref="D157" r:id="rId99" display="bombe 75 mm cercle rose"/>
    <hyperlink ref="D158" r:id="rId100" display="bombe 75 mm cercle or"/>
    <hyperlink ref="D160" r:id="rId101" display="5 bombes 75 mm cercle assorties"/>
    <hyperlink ref="D164" r:id="rId102" display="bombe 75 mm moitié bleu moitié citron"/>
    <hyperlink ref="D165" r:id="rId103" display="bombe 75 mm moitié rouge moitié bleu"/>
    <hyperlink ref="D166" r:id="rId104" display="bombe 75 mm moitié rose moitié jaune"/>
    <hyperlink ref="D167" r:id="rId105" display="bombe 75 mm moitié or moitié vert"/>
    <hyperlink ref="D168" r:id="rId106" display="bombe 75 mm moitié citron moitié violet"/>
    <hyperlink ref="D170" r:id="rId107" display="5 bombes 75 mm moitié moitié assorties"/>
    <hyperlink ref="D174" r:id="rId108" display="bombe 75 mm à effet saule kamuro"/>
    <hyperlink ref="D175" r:id="rId109" display="bombe 75 mm à effet cascade"/>
    <hyperlink ref="D176" r:id="rId110" display="bombe 75 mm à effet cli. rouge"/>
    <hyperlink ref="D177" r:id="rId111" display="bombe 75 mm à effet cli. blanc"/>
    <hyperlink ref="D178" r:id="rId112" display="bombe 75 mm à effet saule kamuro pointes multicolores"/>
    <hyperlink ref="D179" r:id="rId113" display="bombe 75 mm à effet corolle or pointes rouge"/>
    <hyperlink ref="D180" r:id="rId114" display="bombe 75 mm à effet papillon"/>
    <hyperlink ref="D181" r:id="rId115" display="bombe 75 mm à effet oeuf de dragon"/>
    <hyperlink ref="D182" r:id="rId116" display="bombe 75 mm à effet pivoine bleu et palme or"/>
    <hyperlink ref="D183" r:id="rId117" display="bombe 75 mm à effet blanc traçant (pluie argent)"/>
    <hyperlink ref="D184" r:id="rId118" display="bombe 75 mm à effet sourire"/>
    <hyperlink ref="D185" r:id="rId119" display="bombe 75 mm à effet centre cascade cercle multicolore"/>
    <hyperlink ref="D186" r:id="rId120" display="bombe 75 mm pivoine rose aqua citron"/>
    <hyperlink ref="D190" r:id="rId121" display="bombe 75 mm saule or pointes argent"/>
    <hyperlink ref="D191" r:id="rId122" display="bombe 75 mm saule or pointes roses"/>
    <hyperlink ref="D192" r:id="rId123" display="bombe 75 mm saule or pointes violettes"/>
    <hyperlink ref="D193" r:id="rId124" display="bombe 75 mm saule or pointes rouge"/>
    <hyperlink ref="D194" r:id="rId125" display="bombe 75 mm saule or pointes bleues"/>
    <hyperlink ref="D195" r:id="rId126" display="bombe 75 mm saule or pointes or"/>
    <hyperlink ref="D196" r:id="rId127" display="bombe 75 mm saule or pointes vertes"/>
    <hyperlink ref="D197" r:id="rId128" display="bombe 75 mm saule or pointes multicolore"/>
    <hyperlink ref="D198" r:id="rId129" display="bombe 75 mm saule or pointes scintillant rouge"/>
    <hyperlink ref="D199" r:id="rId130" display="bombe 75 mm saule or pointes scintillant vert"/>
    <hyperlink ref="D200" r:id="rId131" display="bombe 75 mm saule or pointes cli. blanc"/>
    <hyperlink ref="D201" r:id="rId132" display="bombe 75 mm palme or scintillant blanc"/>
    <hyperlink ref="D202" r:id="rId133" display="bombe 75 mm palme or scintillant or"/>
    <hyperlink ref="D204" r:id="rId134" display="5 bombes 75 mm saule or à pointes assorties"/>
    <hyperlink ref="D208" r:id="rId135" display="bombe 75 mm mosaïque rouge"/>
    <hyperlink ref="D209" r:id="rId136" display="bombe 75 mm mosaïque verte"/>
    <hyperlink ref="D210" r:id="rId137" display="bombe 75 mm mosaïque argent"/>
    <hyperlink ref="D211" r:id="rId138" display="bombe 75 mm mosaïque violettes"/>
    <hyperlink ref="D212" r:id="rId139" display="bombe 75 mm mosaïque bleu"/>
    <hyperlink ref="D213" r:id="rId140" display="bombe 75 mm mosaïque assortis"/>
    <hyperlink ref="D214" r:id="rId141" display="bombe 75 mm mosaïque aqua"/>
    <hyperlink ref="D215" r:id="rId142" display="bombe 75 mm mosaïque citron"/>
    <hyperlink ref="D216" r:id="rId143" display="bombe 75 mm mosaïque kamuro"/>
    <hyperlink ref="D219" r:id="rId144" display="5 bombes 75 mm mosaïque assortis"/>
    <hyperlink ref="D223" r:id="rId145" display="bombe 75 mm extérieur kamuro centre vert"/>
    <hyperlink ref="D224" r:id="rId146" display="bombe 75 mm extérieur kamuro centre violet"/>
    <hyperlink ref="D228" r:id="rId147" display="bombe 75 mm à final cli. blanc rose"/>
    <hyperlink ref="D229" r:id="rId148" display="bombe 75 mm à final cli. blanc citron"/>
    <hyperlink ref="D230" r:id="rId149" display="bombe 75 mm à final cli. blanc rouge"/>
    <hyperlink ref="D231" r:id="rId150" display="bombe 75 mm à final cli. blanc verte"/>
    <hyperlink ref="D232" r:id="rId151" display="bombe 75 mm à final cli. blanc bleue"/>
    <hyperlink ref="D233" r:id="rId152" display="bombe 75 mm à final cli. blanc violette"/>
    <hyperlink ref="D235" r:id="rId153" display="5 bombes 75 mm à final cli. blanc assorties"/>
    <hyperlink ref="D239" r:id="rId154" display="bombe 75 mm feuille morte rouge"/>
    <hyperlink ref="D240" r:id="rId155" display="bombe 75 mm feuille morte citron"/>
    <hyperlink ref="D241" r:id="rId156" display="bombe 75 mm feuille morte vert"/>
    <hyperlink ref="D242" r:id="rId157" display="bombe 75 mm feuille morte bleu"/>
    <hyperlink ref="D243" r:id="rId158" display="bombe 75 mm feuille morte argent"/>
    <hyperlink ref="D244" r:id="rId159" display="bombe 75 mm feuille morte multicolore"/>
    <hyperlink ref="D245" r:id="rId160" display="bombe 75 mm feuille morte rouge - blanc"/>
    <hyperlink ref="D246" r:id="rId161" display="bombe 75 mm feuille morte aqua - orange"/>
    <hyperlink ref="D252" r:id="rId162" display="bombe 75 mm centre oeuf de dragon palme kamuro"/>
    <hyperlink ref="D253" r:id="rId163" display="bombe 75 mm centre oeuf de dragon palme argent"/>
    <hyperlink ref="D254" r:id="rId164" display="bombe 75 mm centre oeuf de dragon palme rouge"/>
    <hyperlink ref="D255" r:id="rId165" display="bombe 75 mm centre oeuf de dragon palme violet"/>
    <hyperlink ref="D256" r:id="rId166" display="bombe 75 mm centre oeuf de dragon palme bleu"/>
    <hyperlink ref="D257" r:id="rId167" display="bombe 75 mm centre oeuf de dragon palme rose"/>
    <hyperlink ref="D258" r:id="rId168" display="bombe 75 mm centre oeuf de dragon palme multicolore"/>
    <hyperlink ref="D264" r:id="rId169" display="bombe 75 mm à final kamuro rouge"/>
    <hyperlink ref="D265" r:id="rId170" display="bombe 75 mm à final kamuro vert"/>
    <hyperlink ref="D266" r:id="rId171" display="bombe 75 mm à final kamuro bleu"/>
    <hyperlink ref="D267" r:id="rId172" display="bombe 75 mm à final kamuro violet"/>
    <hyperlink ref="D268" r:id="rId173" display="bombe 75 mm à final kamuro rose"/>
    <hyperlink ref="D269" r:id="rId174" display="bombe 75 mm à final kamuro multicolore"/>
    <hyperlink ref="D275" r:id="rId175" display="bombe 75 mm pot à feu rouge"/>
    <hyperlink ref="D276" r:id="rId176" display="bombe 75 mm pot à feu kamuro"/>
    <hyperlink ref="D277" r:id="rId177" display="bombe 75 mm pot à feu citron"/>
    <hyperlink ref="D278" r:id="rId178" display="bombe 75 mm pot à feu vert"/>
    <hyperlink ref="D279" r:id="rId179" display="bombe 75 mm pot à feu bleu"/>
    <hyperlink ref="D280" r:id="rId180" display="bombe 75 mm pot à feu crackling argent"/>
    <hyperlink ref="D281" r:id="rId181" display="bombe 75 mm pot à feu crackling or"/>
    <hyperlink ref="D282" r:id="rId182" display="bombe 75 mm pot à feu cli. blanc"/>
    <hyperlink ref="D283" r:id="rId183" display="bombe 75 mm pot à feu cli. rouge"/>
    <hyperlink ref="D285" r:id="rId184" display="bombe 75 mm pot à feu multicolore"/>
    <hyperlink ref="D291" r:id="rId185" display="bombe 75 mm espagnole marron d'air"/>
    <hyperlink ref="D293" r:id="rId186" display="bombe 75 mm espagnole flash rouge"/>
    <hyperlink ref="D295" r:id="rId187" display="bombe 75 mm espagnole tourbillon et déto rouge"/>
    <hyperlink ref="D296" r:id="rId188" display="bombe 75 mm espagnole tourbillon et déto kamuro"/>
    <hyperlink ref="D297" r:id="rId189" display="bombe 75 mm espagnole tourbillon et déto fuschia"/>
    <hyperlink ref="D298" r:id="rId190" display="bombe 75 mm espagnole tourbillon et déto vert"/>
    <hyperlink ref="D299" r:id="rId191" display="bombe 75 mm espagnole tourbillon et déto bleu"/>
    <hyperlink ref="D300" r:id="rId192" display="bombe 75 mm espagnole tourbillon et déto blanc"/>
    <hyperlink ref="D304" r:id="rId193" display="bombe 75 mm espagnole pot à feu tronc saule kamuro"/>
    <hyperlink ref="D305" r:id="rId194" display="bombe 75 mm espagnole pot à feu tronc saule kamuro pointes blanches"/>
    <hyperlink ref="D306" r:id="rId195" display="bombe 75 mm espagnole pot à feu tronc saule kamuro pointes rouges"/>
    <hyperlink ref="D307" r:id="rId196" display="bombe 75 mm espagnole pot à feu tronc saule kamuro pointes vertes"/>
    <hyperlink ref="D308" r:id="rId197" display="bombe 75 mm espagnole pot à feu tronc saule kamuro pointes bleues"/>
    <hyperlink ref="D317" r:id="rId198" display="bombe 100 mm pivoine rose"/>
    <hyperlink ref="D318" r:id="rId199" display="bombe 100 mm pivoine aqua"/>
    <hyperlink ref="D319" r:id="rId200" display="bombe 100 mm pivoine rouge"/>
    <hyperlink ref="D320" r:id="rId201" display="bombe 100 mm pivoine violette"/>
    <hyperlink ref="D321" r:id="rId202" display="bombe 100 mm pivoine citron"/>
    <hyperlink ref="D322" r:id="rId203" display="bombe 100 mm pivoine orange"/>
    <hyperlink ref="D323" r:id="rId204" display="bombe 100 mm pivoine bleu"/>
    <hyperlink ref="D324" r:id="rId205" display="bombe 100 mm pivoine argent"/>
    <hyperlink ref="D325" r:id="rId206" display="bombe 100 mm pivoine or"/>
    <hyperlink ref="D326" r:id="rId207" display="bombe 100 mm pivoine multicolore"/>
    <hyperlink ref="D327" r:id="rId208" display="bombe 100 mm pivoine verte"/>
    <hyperlink ref="D333" r:id="rId209" display="bombe 100 mm traçante aqua"/>
    <hyperlink ref="D334" r:id="rId210" display="bombe 100 mm traçante multicolore"/>
    <hyperlink ref="D335" r:id="rId211" display="bombe 100 mm traçante or"/>
    <hyperlink ref="D336" r:id="rId212" display="bombe 100 mm traçante blanc"/>
    <hyperlink ref="D337" r:id="rId213" display="bombe 100 mm traçante bleue"/>
    <hyperlink ref="D338" r:id="rId214" display="bombe 100 mm traçante orange"/>
    <hyperlink ref="D339" r:id="rId215" display="bombe 100 mm traçante citron"/>
    <hyperlink ref="D340" r:id="rId216" display="bombe 100 mm traçante violette"/>
    <hyperlink ref="D341" r:id="rId217" display="bombe 100 mm traçante rouge"/>
    <hyperlink ref="D342" r:id="rId218" display="bombe 100 mm traçante verte"/>
    <hyperlink ref="D343" r:id="rId219" display="bombe 100 mm traçante rose"/>
    <hyperlink ref="D349" r:id="rId220" display="bombe 100 mm à effet saule kamuro"/>
    <hyperlink ref="D350" r:id="rId221" display="bombe 100 mm à effet cli. rouge"/>
    <hyperlink ref="D351" r:id="rId222" display="bombe 100 mm à effet cli. argent"/>
    <hyperlink ref="D352" r:id="rId223" display="bombe 100 mm à effet cascade cli. blanc"/>
    <hyperlink ref="D353" r:id="rId224" display="bombe 100 mm saule kamuro pointes multicolores"/>
    <hyperlink ref="D354" r:id="rId225" display="bombe 100 mm à effet coeur rose"/>
    <hyperlink ref="D355" r:id="rId226" display="bombe 100 mm à effet coeur rouge"/>
    <hyperlink ref="D356" r:id="rId227" display="bombe 100 mm à effet papillon"/>
    <hyperlink ref="D357" r:id="rId228" display="bombe 100 mm à effet fantôme argent pointes rouge"/>
    <hyperlink ref="D358" r:id="rId229" display="bombe 100 mm à effet oeuf de dragon"/>
    <hyperlink ref="D359" r:id="rId230" display="bombe 100 mm à effet sourire"/>
    <hyperlink ref="D360" r:id="rId231" display="bombe 100 mm à effet blanc traçant (pluie argent)"/>
    <hyperlink ref="D361" r:id="rId232" display="bombe 100 mm pivoine rose aqua citron"/>
    <hyperlink ref="D366" r:id="rId233" display="bombe 100 mm corolle à pointes rouge"/>
    <hyperlink ref="D367" r:id="rId234" display="bombe 100 mm corolle à pointes multicolore"/>
    <hyperlink ref="D371" r:id="rId235" display="bombe 100 mm zigzag rouge"/>
    <hyperlink ref="D372" r:id="rId236" display="bombe 100 mm zigzag argent"/>
    <hyperlink ref="D376" r:id="rId237" display="bombe 100 mm à changement citron puis vert"/>
    <hyperlink ref="D380" r:id="rId238" display="bombe 100 mm palmes blanc"/>
    <hyperlink ref="D381" r:id="rId239" display="bombe 100 mm palmes rouge"/>
    <hyperlink ref="D382" r:id="rId240" display="bombe 100 mm palmes aqua"/>
    <hyperlink ref="D383" r:id="rId241" display="bombe 100 mm palmes citron"/>
    <hyperlink ref="D384" r:id="rId242" display="bombe 100 mm palmes orange"/>
    <hyperlink ref="D385" r:id="rId243" display="bombe 100 mm palmes violettes"/>
    <hyperlink ref="D386" r:id="rId244" display="bombe 100 mm palmes bleu"/>
    <hyperlink ref="D387" r:id="rId245" display="bombe 100 mm palmes rose"/>
    <hyperlink ref="D388" r:id="rId246" display="bombe 100 mm palmes vert"/>
    <hyperlink ref="D389" r:id="rId247" display="bombe 100 mm palmes multicolore"/>
    <hyperlink ref="D391" r:id="rId248" display="5 bombes 100 mm palmes assorties"/>
    <hyperlink ref="D395" r:id="rId249" display="bombe 100 mm à tronc pivoine or"/>
    <hyperlink ref="D396" r:id="rId250" display="bombe 100 mm à tronc pivoine bleue"/>
    <hyperlink ref="D397" r:id="rId251" display="bombe 100 mm à tronc pivoine violette"/>
    <hyperlink ref="D398" r:id="rId252" display="bombe 100 mm à tronc pivoine multicolore"/>
    <hyperlink ref="D399" r:id="rId253" display="bombe 100 mm à tronc pivoine orange"/>
    <hyperlink ref="D400" r:id="rId254" display="bombe 100 mm à tronc pivoine rose"/>
    <hyperlink ref="D401" r:id="rId255" display="bombe 100 mm à tronc pivoine blanche"/>
    <hyperlink ref="D402" r:id="rId256" display="bombe 100 mm à tronc pivoine rouge"/>
    <hyperlink ref="D403" r:id="rId257" display="bombe 100 mm à tronc pivoine verte"/>
    <hyperlink ref="D404" r:id="rId258" display="bombe 100 mm à tronc saule kamuro"/>
    <hyperlink ref="D405" r:id="rId259" display="bombe 100 mm à tronc pivoine citron"/>
    <hyperlink ref="D406" r:id="rId260" display="bombe 100 mm à tronc pivoine aqua"/>
    <hyperlink ref="D412" r:id="rId261" display="bombe 100 mm crackling or"/>
    <hyperlink ref="D413" r:id="rId262" display="bombe 100 mm crackling violette"/>
    <hyperlink ref="D414" r:id="rId263" display="bombe 100 mm crackling multicolore"/>
    <hyperlink ref="D415" r:id="rId264" display="bombe 100 mm crackling orange"/>
    <hyperlink ref="D416" r:id="rId265" display="bombe 100 mm crackling citron"/>
    <hyperlink ref="D417" r:id="rId266" display="bombe 100 mm crackling rose"/>
    <hyperlink ref="D418" r:id="rId267" display="bombe 100 mm crackling bleu"/>
    <hyperlink ref="D419" r:id="rId268" display="bombe 100 mm crackling argent"/>
    <hyperlink ref="D420" r:id="rId269" display="bombe 100 mm crackling rouge"/>
    <hyperlink ref="D422" r:id="rId270" display="bombe 100 mm crackling kamuro"/>
    <hyperlink ref="D428" r:id="rId271" display="bombe 100 mm cercle multicolore"/>
    <hyperlink ref="D429" r:id="rId272" display="bombe 100 mm cercle rouge"/>
    <hyperlink ref="D430" r:id="rId273" display="bombe 100 mm cercle citron"/>
    <hyperlink ref="D431" r:id="rId274" display="bombe 100 mm cercle blanche"/>
    <hyperlink ref="D432" r:id="rId275" display="bombe 100 mm cercle bleue"/>
    <hyperlink ref="D438" r:id="rId276" display="bombe 100 mm moitié rouge moitié bleu"/>
    <hyperlink ref="D439" r:id="rId277" display="bombe 100 mm moitié rouge moitié blanc"/>
    <hyperlink ref="D440" r:id="rId278" display="bombe 100 mm moitié or moitié vert"/>
    <hyperlink ref="D441" r:id="rId279" display="bombe 100 mm moitié rose moitié citron"/>
    <hyperlink ref="D442" r:id="rId280" display="bombe 100 mm moitié citron moitié violet"/>
    <hyperlink ref="D443" r:id="rId281" display="bombe 100 mm moitié citron moitié bleu"/>
    <hyperlink ref="D449" r:id="rId282" display="bombe 100 mm extérieur argent centre violet"/>
    <hyperlink ref="D450" r:id="rId283" display="bombe 100 mm extérieur kamuro centre vert"/>
    <hyperlink ref="D451" r:id="rId284" display="bombe 100 mm extérieur kamuro centre violet"/>
    <hyperlink ref="D455" r:id="rId285" display="bombe 100 mm mosaïque rouge"/>
    <hyperlink ref="D456" r:id="rId286" display="bombe 100 mm mosaïque bleue"/>
    <hyperlink ref="D457" r:id="rId287" display="bombe 100 mm mosaïque violette"/>
    <hyperlink ref="D458" r:id="rId288" display="bombe 100 mm mosaïque argent"/>
    <hyperlink ref="D459" r:id="rId289" display="bombe 100 mm mosaïque or"/>
    <hyperlink ref="D460" r:id="rId290" display="bombe 100 mm mosaïque citron"/>
    <hyperlink ref="D461" r:id="rId291" display="bombe 100 mm mosaïque aqua"/>
    <hyperlink ref="D462" r:id="rId292" display="bombe 100 mm mosaïque multicolore"/>
    <hyperlink ref="D463" r:id="rId293" display="bombe 100 mm mosaïque kamuro"/>
    <hyperlink ref="D466" r:id="rId294" display="5 bombes 100 mm mosaïque assorties"/>
    <hyperlink ref="D470" r:id="rId295" display="bombe 100 mm saule or pointes or"/>
    <hyperlink ref="D471" r:id="rId296" display="bombe 100 mm saule or pointes argent"/>
    <hyperlink ref="D472" r:id="rId297" display="bombe 100 mm saule or pointes violet"/>
    <hyperlink ref="D473" r:id="rId298" display="bombe 100 mm saule or pointes bleu"/>
    <hyperlink ref="D474" r:id="rId299" display="bombe 100 mm saule or pointes rouge"/>
    <hyperlink ref="D475" r:id="rId300" display="bombe 100 mm saule or pointes vert"/>
    <hyperlink ref="D476" r:id="rId301" display="bombe 100 mm saule or scintillant blanc"/>
    <hyperlink ref="D477" r:id="rId302" display="bombe 100 mm saule or scintillant or"/>
    <hyperlink ref="D483" r:id="rId303" display="bombe 100 mm à final cli. blanc rose"/>
    <hyperlink ref="D484" r:id="rId304" display="bombe 100 mm à final cli. blanc orange"/>
    <hyperlink ref="D485" r:id="rId305" display="bombe 100 mm à final cli. blanc citron"/>
    <hyperlink ref="D486" r:id="rId306" display="bombe 100 mm à final cli. blanc or"/>
    <hyperlink ref="D487" r:id="rId307" display="bombe 100 mm à final cli. blanc rouge"/>
    <hyperlink ref="D488" r:id="rId308" display="bombe 100 mm à final cli. blanc verte"/>
    <hyperlink ref="D489" r:id="rId309" display="bombe 100 mm à final cli. blanc bleue"/>
    <hyperlink ref="D490" r:id="rId310" display="bombe 100 mm à final cli. blanc violette"/>
    <hyperlink ref="D496" r:id="rId311" display="bombe 100 mm feuille morte rouge"/>
    <hyperlink ref="D497" r:id="rId312" display="bombe 100 mm feuille morte citron"/>
    <hyperlink ref="D498" r:id="rId313" display="bombe 100 mm feuille morte verte"/>
    <hyperlink ref="D499" r:id="rId314" display="bombe 100 mm feuille morte bleue"/>
    <hyperlink ref="D500" r:id="rId315" display="bombe 100 mm feuille morte argent"/>
    <hyperlink ref="D501" r:id="rId316" display="bombe 100 mm feuille morte multicolore"/>
    <hyperlink ref="D502" r:id="rId317" display="bombe 100 mm feuille morte rouge - blanche"/>
    <hyperlink ref="D503" r:id="rId318" display="bombe 100 mm feuille morte aqua - orange"/>
    <hyperlink ref="D509" r:id="rId319" display="bombe 100 mm marguerite rouge cylindrique"/>
    <hyperlink ref="D510" r:id="rId320" display="bombe 100 mm marguerite verte cylindrique"/>
    <hyperlink ref="D511" r:id="rId321" display="bombe 100 mm marguerite violette cylindrique"/>
    <hyperlink ref="D512" r:id="rId322" display="bombe 100 mm marguerite tourbillon cylindrique"/>
    <hyperlink ref="D513" r:id="rId323" display="bombe 100 mm marguerite multicolore pastel cylindrique"/>
    <hyperlink ref="D514" r:id="rId324" display="bombe 100 mm marguerite et mosaïque kamuro"/>
    <hyperlink ref="D515" r:id="rId325" display="bombe 100 mm marguerite et mosaïque multicolore"/>
    <hyperlink ref="D519" r:id="rId326" display="bombe 100 mm espagnole méduse bleu rouge blanc"/>
    <hyperlink ref="D521" r:id="rId327" display="bombe 100 mm espagnole flash x10 rouge"/>
    <hyperlink ref="D523" r:id="rId328" display="bombe 100 mm espagnole flash et déto x15 rouge"/>
    <hyperlink ref="D525" r:id="rId329" display="bombe 100 mm espagnole pot à feu crackling cercle déto et sifflet multicolore"/>
    <hyperlink ref="D527" r:id="rId330" display="bombe 100 mm espagnole pot à feu crackling cercle déto et sifflet vert"/>
    <hyperlink ref="D528" r:id="rId331" display="bombe 100 mm espagnole pot à feu crackling cercle déto et sifflet rouge"/>
    <hyperlink ref="D529" r:id="rId332" display="bombe 100 mm espagnole pot à feu crackling cercle déto et sifflet rose"/>
    <hyperlink ref="D530" r:id="rId333" display="bombe 100 mm espagnole pot à feu crackling cercle déto et sifflet bleu"/>
    <hyperlink ref="D531" r:id="rId334" display="bombe 100 mm espagnole pot à feu crackling cercle déto et sifflet aqua"/>
    <hyperlink ref="D532" r:id="rId335" display="bombe 100 mm espagnole pot à feu crackling cercle déto et sifflet citron"/>
    <hyperlink ref="D533" r:id="rId336" display="bombe 100 mm espagnole pot à feu crackling cercle déto et sifflet kamuro"/>
    <hyperlink ref="D540" r:id="rId337" display="bombe 100 mm française bleu blanc rouge (atpm)"/>
    <hyperlink ref="D546" r:id="rId338" display="bombe 125 mm pivoine rouge"/>
    <hyperlink ref="D547" r:id="rId339" display="bombe 125 mm pivoine argent"/>
    <hyperlink ref="D548" r:id="rId340" display="bombe 125 mm pivoine or"/>
    <hyperlink ref="D549" r:id="rId341" display="bombe 125 mm pivoine multicolore"/>
    <hyperlink ref="D550" r:id="rId342" display="bombe 125 mm pivoine bleu"/>
    <hyperlink ref="D551" r:id="rId343" display="bombe 125 mm pivoine citron"/>
    <hyperlink ref="D552" r:id="rId344" display="bombe 125 mm pivoine verte"/>
    <hyperlink ref="D553" r:id="rId345" display="bombe 125 mm pivoine rose"/>
    <hyperlink ref="D554" r:id="rId346" display="bombe 125 mm pivoine violette"/>
    <hyperlink ref="D555" r:id="rId347" display="bombe 125 mm pivoine aqua"/>
    <hyperlink ref="D556" r:id="rId348" display="bombe 125 mm pivoine orange"/>
    <hyperlink ref="D562" r:id="rId349" display="bombe 125 mm traçante rose"/>
    <hyperlink ref="D563" r:id="rId350" display="bombe 125 mm traçante verte"/>
    <hyperlink ref="D564" r:id="rId351" display="bombe 125 mm traçante rouge"/>
    <hyperlink ref="D565" r:id="rId352" display="bombe 125 mm traçante violette"/>
    <hyperlink ref="D566" r:id="rId353" display="bombe 125 mm traçante citron"/>
    <hyperlink ref="D567" r:id="rId354" display="bombe 125 mm traçante orange"/>
    <hyperlink ref="D568" r:id="rId355" display="bombe 125 mm traçante bleue"/>
    <hyperlink ref="D569" r:id="rId356" display="bombe 125 mm traçante blanc"/>
    <hyperlink ref="D570" r:id="rId357" display="bombe 125 mm traçante or"/>
    <hyperlink ref="D571" r:id="rId358" display="bombe 125 mm traçante multicolore"/>
    <hyperlink ref="D572" r:id="rId359" display="bombe 125 mm traçante aqua"/>
    <hyperlink ref="D578" r:id="rId360" display="bombe 125 mm kamuro"/>
    <hyperlink ref="D579" r:id="rId361" display="bombe 125 mm extérieur kamuro centre argent"/>
    <hyperlink ref="D580" r:id="rId362" display="bombe 125 mm extérieur kamuro centre bleu"/>
    <hyperlink ref="D581" r:id="rId363" display="bombe 125 mm extérieur kamuro centre vert"/>
    <hyperlink ref="D582" r:id="rId364" display="bombe 125 mm extérieur kamuro centre multicolore"/>
    <hyperlink ref="D583" r:id="rId365" display="bombe 125 mm extérieur kamuro centre rouge"/>
    <hyperlink ref="D587" r:id="rId366" display="bombe 125 mm cascade crackling rouge"/>
    <hyperlink ref="D588" r:id="rId367" display="bombe 125 mm cascade crackling bleu"/>
    <hyperlink ref="D589" r:id="rId368" display="bombe 125 mm cascade crackling multicolore"/>
    <hyperlink ref="D590" r:id="rId369" display="bombe 125 mm à effet cli. rouge"/>
    <hyperlink ref="D591" r:id="rId370" display="bombe 125 mm cloche rouge vert citron"/>
    <hyperlink ref="D592" r:id="rId371" display="bombe 125 mm à effet fort crackling"/>
    <hyperlink ref="D593" r:id="rId372" display="bombe 125 mm zigzag rouge"/>
    <hyperlink ref="D594" r:id="rId373" display="bombe 125 mm mosaïque verte centre oeufs de dragon"/>
    <hyperlink ref="D595" r:id="rId374" display="bombe 125 mm à effet cascade"/>
    <hyperlink ref="D596" r:id="rId375" display="bombe 125 mm pivoine cli. blanc"/>
    <hyperlink ref="D597" r:id="rId376" display="bombe 125 mm à effet oeuf de dragon"/>
    <hyperlink ref="D598" r:id="rId377" display="bombe 125 mm pivoine rouge à changement multicolore"/>
    <hyperlink ref="D604" r:id="rId378" display="bombe 150 mm pivoine rouge"/>
    <hyperlink ref="D605" r:id="rId379" display="bombe 150 mm pivoine argent"/>
    <hyperlink ref="D606" r:id="rId380" display="bombe 150 mm pivoine orange"/>
    <hyperlink ref="D607" r:id="rId381" display="bombe 150 mm pivoine aqua"/>
    <hyperlink ref="D608" r:id="rId382" display="bombe 150 mm pivoine bleu"/>
    <hyperlink ref="D609" r:id="rId383" display="bombe 150 mm pivoine citron"/>
    <hyperlink ref="D610" r:id="rId384" display="bombe 150 mm pivoine rose"/>
    <hyperlink ref="D611" r:id="rId385" display="bombe 150 mm pivoine violette"/>
    <hyperlink ref="D612" r:id="rId386" display="bombe 150 mm pivoine multicolore pastel"/>
    <hyperlink ref="D613" r:id="rId387" display="bombe 150 mm pivoine verte"/>
    <hyperlink ref="D619" r:id="rId388" display="bombe 150 mm traçante rose"/>
    <hyperlink ref="D620" r:id="rId389" display="bombe 150 mm traçante verte"/>
    <hyperlink ref="D621" r:id="rId390" display="bombe 150 mm traçante rouge"/>
    <hyperlink ref="D622" r:id="rId391" display="bombe 150 mm traçante violette"/>
    <hyperlink ref="D623" r:id="rId392" display="bombe 150 mm traçante citron"/>
    <hyperlink ref="D624" r:id="rId393" display="bombe 150 mm traçante orange"/>
    <hyperlink ref="D625" r:id="rId394" display="bombe 150 mm traçante bleue"/>
    <hyperlink ref="D626" r:id="rId395" display="bombe 150 mm traçante blanc"/>
    <hyperlink ref="D627" r:id="rId396" display="bombe 150 mm traçante or"/>
    <hyperlink ref="D628" r:id="rId397" display="bombe 150 mm traçante multicolore"/>
    <hyperlink ref="D629" r:id="rId398" display="bombe 150 mm traçante aqua"/>
    <hyperlink ref="D635" r:id="rId399" display="bombe 150 mm kamuro longue durée"/>
    <hyperlink ref="D636" r:id="rId400" display="bombe 150 mm kamuro centre rose"/>
    <hyperlink ref="D637" r:id="rId401" display="bombe 150 mm kamuro centre vert"/>
    <hyperlink ref="D638" r:id="rId402" display="bombe 150 mm kamuro centre rouge"/>
    <hyperlink ref="D639" r:id="rId403" display="bombe 150 mm kamuro centre violet"/>
    <hyperlink ref="D642" r:id="rId404" display="bombe 150 mm kamuro centre bleue"/>
    <hyperlink ref="D643" r:id="rId405" display="bombe 150 mm kamuro centre blanc"/>
    <hyperlink ref="D645" r:id="rId406" display="bombe 150 mm kamuro centre multicolore"/>
    <hyperlink ref="D646" r:id="rId407" display="bombe 150 mm kamuro centre aqua"/>
    <hyperlink ref="D652" r:id="rId408" display="bombe 150 mm multibombe kamuro"/>
    <hyperlink ref="D653" r:id="rId409" display="bombe 150 mm multibombe multicolore"/>
    <hyperlink ref="D654" r:id="rId410" display="bombe 150 mm multibombe verte"/>
    <hyperlink ref="D655" r:id="rId411" display="bombe 150 mm multibombe rose"/>
    <hyperlink ref="D656" r:id="rId412" display="bombe 150 mm multibombe rouge"/>
    <hyperlink ref="D657" r:id="rId413" display="bombe 150 mm multibombe violette"/>
    <hyperlink ref="D658" r:id="rId414" display="bombe 150 mm multibombe citron"/>
    <hyperlink ref="D659" r:id="rId415" display="bombe 150 mm multibombe orange"/>
    <hyperlink ref="D660" r:id="rId416" display="bombe 150 mm multibombe bleue"/>
    <hyperlink ref="D661" r:id="rId417" display="bombe 150 mm multibombe blanc"/>
    <hyperlink ref="D662" r:id="rId418" display="bombe 150 mm multibombe or"/>
    <hyperlink ref="D663" r:id="rId419" display="bombe 150 mm multibombe aqua"/>
    <hyperlink ref="D664" r:id="rId420" display="bombe 150 mm multibombe rose aqua citron"/>
    <hyperlink ref="D670" r:id="rId421" display="bombe 150 mm à effet oeuf de dragon"/>
    <hyperlink ref="D671" r:id="rId422" display="bombe 150 mm pivoine cli. blanc"/>
    <hyperlink ref="D672" r:id="rId423" display="bombe 150 mm pivoine cli. rouge"/>
    <hyperlink ref="D673" r:id="rId424" display="bombe 150 mm à effet fort crackling"/>
    <hyperlink ref="D675" r:id="rId425" display="bombe 150 mm palme argent scint paf bleu centre rouge cli et tronc argent rouge"/>
    <hyperlink ref="D676" r:id="rId426" display="bombe 150 mm anneau kamuro cercle fantôme rouge à bleu centre bleu et tronc arge"/>
    <hyperlink ref="D677" r:id="rId427" display="bombe 150 mm kamuro à rouge scint. cercle fantôme rouge à bleu centre rouge scin"/>
    <hyperlink ref="D681" r:id="rId428" display="chandelle 8 tirs 25 mm pyroprodukt 1000 Silver tail"/>
    <hyperlink ref="D682" r:id="rId429" display="chandelle 8 tirs 25 mm pyroprodukt 1020 crackling tail"/>
    <hyperlink ref="D684" r:id="rId430" display="chandelle 38 mm 8 tirs comète traçante citron (76176)"/>
    <hyperlink ref="D685" r:id="rId431" display="chandelle 38 mm 8 tirs paf rouge comète argent scintillant (76530)"/>
    <hyperlink ref="D692" r:id="rId432" display="botte de 3 chandelles 10 mm 20 tirs vert"/>
    <hyperlink ref="D693" r:id="rId433" display="botte de 3 chandelles 10 mm 20 tirs violet"/>
    <hyperlink ref="D694" r:id="rId434" display="botte de 3 chandelles 10 mm 20 tirs bleu"/>
    <hyperlink ref="D695" r:id="rId435" display="botte de 3 chandelles 10 mm 20 tirs rouge"/>
    <hyperlink ref="D696" r:id="rId436" display="botte de 3 chandelles 10 mm 20 tirs kamuro"/>
    <hyperlink ref="D697" r:id="rId437" display="botte de 3 chandelles 10 mm 20 tirs argent"/>
    <hyperlink ref="D699" r:id="rId438" display="botte de 3 chandelles 10 mm 20 tirs multicolore"/>
    <hyperlink ref="D700" r:id="rId439" display="botte de 3 chandelles 10 mm 20 tirs blanc sans trace"/>
    <hyperlink ref="D705" r:id="rId440" display="botte de 7 chandelles 10 mm 20 tirs rose (76332)"/>
    <hyperlink ref="D706" r:id="rId441" display="botte de 7 chandelles 10 mm 20 tirs aqua (76334)"/>
    <hyperlink ref="D707" r:id="rId442" display="botte de 7 chandelles 10 mm 20 tirs citron"/>
    <hyperlink ref="D708" r:id="rId443" display="botte de 7 chandelles 10 mm 20 tirs vert (76323)"/>
    <hyperlink ref="D709" r:id="rId444" display="botte de 7 chandelles 10 mm 20 tirs multicolore"/>
    <hyperlink ref="D711" r:id="rId445" display="botte de 7 chandelles 10 mm 20 tirs bleu"/>
    <hyperlink ref="D712" r:id="rId446" display="botte de 7 chandelles 10 mm 20 tirs scintillant blanc"/>
    <hyperlink ref="D713" r:id="rId447" display="botte de 7 chandelles 10 mm 20 tirs blanc"/>
    <hyperlink ref="D714" r:id="rId448" display="botte de 7 chandelles 10 mm 20 tirs rouge"/>
    <hyperlink ref="D715" r:id="rId449" display="botte de 7 chandelles 10 mm 20 tirs violet"/>
    <hyperlink ref="D716" r:id="rId450" display="botte de 7 chandelles 10 mm 20 tirs blanc sans trace"/>
    <hyperlink ref="D719" r:id="rId451" display="grand éventail de 77 chandelles 10 mm 20 tirs bleu blanc rouge"/>
    <hyperlink ref="D720" r:id="rId452" display="grand éventail de 77 chandelles 10 mm 20 tirs argent"/>
    <hyperlink ref="D726" r:id="rId453" display="chandelle 20 mm 7 tirs déto avec flash"/>
    <hyperlink ref="D728" r:id="rId454" display="botte de 3 chandelles 20 mm 7 tirs déto"/>
    <hyperlink ref="D732" r:id="rId455" display="chandelle 20 mm 10 tirs comète violettes"/>
    <hyperlink ref="D734" r:id="rId456" display="botte de 3 chandelles 20 mm 10 tirs comète blanc"/>
    <hyperlink ref="D735" r:id="rId457" display="botte de 3 chandelles 20 mm 10 tirs comète violette"/>
    <hyperlink ref="D736" r:id="rId458" display="botte de 3 chandelles 20 mm 10 tirs comète bleu"/>
    <hyperlink ref="D737" r:id="rId459" display="botte de 3 chandelles 20 mm 10 tirs crackling or"/>
    <hyperlink ref="D743" r:id="rId460" display="chandelle 25 mm 8 tirs pot à feu kamuro"/>
    <hyperlink ref="D744" r:id="rId461" display="chandelle 25 mm 8 tirs pot à feu rouge"/>
    <hyperlink ref="D745" r:id="rId462" display="chandelle 25 mm 8 tirs pot à feu bleu"/>
    <hyperlink ref="D746" r:id="rId463" display="chandelle 25 mm 8 tirs pot à feu argent"/>
    <hyperlink ref="D750" r:id="rId464" display="chandelle 25 mm 8 tirs comète rouge avec queue"/>
    <hyperlink ref="D751" r:id="rId465" display="chandelle 25 mm 8 tirs comète vert avec queue"/>
    <hyperlink ref="D752" r:id="rId466" display="chandelle 25 mm 8 tirs comète citron avec queue"/>
    <hyperlink ref="D753" r:id="rId467" display="chandelle 25 mm 8 tirs comète cyan avec queue"/>
    <hyperlink ref="D754" r:id="rId468" display="chandelle 25 mm 8 tirs comète aqua avec queue"/>
    <hyperlink ref="D755" r:id="rId469" display="chandelle 25 mm 8 tirs comète rose avec queue"/>
    <hyperlink ref="D756" r:id="rId470" display="chandelle 25 mm 8 tirs comète violettes avec queue"/>
    <hyperlink ref="D757" r:id="rId471" display="chandelle 25 mm 8 tirs comète argent avec queue"/>
    <hyperlink ref="D758" r:id="rId472" display="chandelle 25 mm 8 tirs comète kamuro avec queue"/>
    <hyperlink ref="D759" r:id="rId473" display="chandelle 25 mm 8 tirs comète or crackling avec queue"/>
    <hyperlink ref="D760" r:id="rId474" display="chandelle 25 mm 8 tirs comète multicolore avec queue"/>
    <hyperlink ref="D761" r:id="rId475" display="chandelle 25 mm 8 tirs comètes argent scintillant blanc"/>
    <hyperlink ref="D765" r:id="rId476" display="chandelle 25 mm 8 tirs bombettes multicolores avec queue"/>
    <hyperlink ref="D766" r:id="rId477" display="chandelle 25 mm 8 tirs bombettes vert avec queue"/>
    <hyperlink ref="D767" r:id="rId478" display="chandelle 25 mm 8 tirs bombettes argent avec queue"/>
    <hyperlink ref="D768" r:id="rId479" display="chandelle 25 mm 8 tirs bombettes cli. blanc avec queue"/>
    <hyperlink ref="D769" r:id="rId480" display="chandelle 25 mm 8 tirs bombettes rouge avec queue"/>
    <hyperlink ref="D770" r:id="rId481" display="chandelle 25 mm 8 tirs bombettes violet avec queue"/>
    <hyperlink ref="D771" r:id="rId482" display="chandelle 25 mm 8 tirs bombettes bleu avec queue"/>
    <hyperlink ref="D772" r:id="rId483" display="chandelle 25 mm 8 tirs bombettes or crackling avec queue"/>
    <hyperlink ref="D773" r:id="rId484" display="chandelle 25 mm 8 tirs bombettes cocotier argent avec queue"/>
    <hyperlink ref="D774" r:id="rId485" display="chandelle 25 mm 8 tirs bombettes saule or avec queue"/>
    <hyperlink ref="D778" r:id="rId486" display="chandelle 30 mm 3 tirs détos"/>
    <hyperlink ref="D780" r:id="rId487" display="chandelle 30 mm 8 tirs comètes argent"/>
    <hyperlink ref="D781" r:id="rId488" display="chandelle 30 mm 8 tirs comètes or"/>
    <hyperlink ref="D782" r:id="rId489" display="chandelle 30 mm 8 tirs comètes rouge"/>
    <hyperlink ref="D788" r:id="rId490" display="chandelle 31 mm 8 tirs bombettes cli. blanc tronc blanc"/>
    <hyperlink ref="D789" r:id="rId491" display="chandelle 31 mm 8 tirs bombettes multicolore tronc argent"/>
    <hyperlink ref="D790" r:id="rId492" display="chandelle 31 mm 8 tirs bombettes tronc cocotier argent tronc argent"/>
    <hyperlink ref="D791" r:id="rId493" display="chandelle 31 mm 8 tirs bombettes violet tronc argent"/>
    <hyperlink ref="D792" r:id="rId494" display="chandelle 31 mm 8 tirs bombettes bleu tronc argent"/>
    <hyperlink ref="D793" r:id="rId495" display="chandelle 31 mm 8 tirs bombettes saule or tronc argent"/>
    <hyperlink ref="D794" r:id="rId496" display="chandelle 31 mm 8 tirs bombettes or craquelante tronc argent"/>
    <hyperlink ref="D795" r:id="rId497" display="chandelle 31 mm 8 tirs bombettes kamuro tronc or"/>
    <hyperlink ref="D799" r:id="rId498" display="chandelle 40 mm 8 tirs pot à feu assortis"/>
    <hyperlink ref="D800" r:id="rId499" display="chandelle 40 mm 8 tirs pot à feu rouge"/>
    <hyperlink ref="D801" r:id="rId500" display="chandelle 40 mm 8 tirs pot à feu bleu"/>
    <hyperlink ref="D802" r:id="rId501" display="chandelle 40 mm 8 tirs pot à feu rose"/>
    <hyperlink ref="D803" r:id="rId502" display="chandelle 40 mm 8 tirs pot à feu violet"/>
    <hyperlink ref="D804" r:id="rId503" display="chandelle 40 mm 8 tirs pot à feu argent"/>
    <hyperlink ref="D805" r:id="rId504" display="chandelle 40 mm 8 tirs pot à feu vert"/>
    <hyperlink ref="D806" r:id="rId505" display="chandelle 40 mm 8 tirs pot à feu citron"/>
    <hyperlink ref="D807" r:id="rId506" display="chandelle 40 mm 8 tirs pot à feu kamuro"/>
    <hyperlink ref="D809" r:id="rId507" display="chandelle 40 mm 8 tirs pot à feu tourbillons blanc"/>
    <hyperlink ref="D810" r:id="rId508" display="chandelle 40 mm 8 tirs pot à feu sifflet blanc"/>
    <hyperlink ref="D811" r:id="rId509" display="chandelle 40 mm 8 tirs pot à feu cli. blanc"/>
    <hyperlink ref="D812" r:id="rId510" display="chandelle 40 mm 8 tirs pot à feu cli. rouge"/>
    <hyperlink ref="D813" r:id="rId511" display="chandelle 40 mm 8 tirs mosaïque rouge"/>
    <hyperlink ref="D814" r:id="rId512" display="chandelle 40 mm 8 tirs mosaïque vert"/>
    <hyperlink ref="D815" r:id="rId513" display="chandelle 40 mm 8 tirs mosaïque kamuro"/>
    <hyperlink ref="D819" r:id="rId514" display="chandelle 40 mm 3 tirs déto"/>
    <hyperlink ref="D825" r:id="rId515" display="chandelle 45 mm 8 tirs espagnole queue de cheval et pot à feu kamuro"/>
    <hyperlink ref="D831" r:id="rId516" display="chandelle 49 mm 8 tirs mosaïque violet"/>
    <hyperlink ref="D832" r:id="rId517" display="chandelle 49 mm 8 tirs mosaïque citron"/>
    <hyperlink ref="D833" r:id="rId518" display="chandelle 49 mm 8 tirs mosaïque rose"/>
    <hyperlink ref="D834" r:id="rId519" display="chandelle 49 mm 8 tirs mosaïque kamuro"/>
    <hyperlink ref="D835" r:id="rId520" display="chandelle 49 mm 8 tirs mosaïque rouge"/>
    <hyperlink ref="D836" r:id="rId521" display="chandelle 49 mm 8 tirs mosaïque argent"/>
    <hyperlink ref="D837" r:id="rId522" display="chandelle 49 mm 8 tirs mosaïque assorti"/>
    <hyperlink ref="D843" r:id="rId523" display="monocoup 30 mm comète kamuro"/>
    <hyperlink ref="D844" r:id="rId524" display="monocoup 30 mm comète rouge"/>
    <hyperlink ref="D845" r:id="rId525" display="monocoup 30 mm comète bleu"/>
    <hyperlink ref="D846" r:id="rId526" display="monocoup 30 mm comète argent"/>
    <hyperlink ref="D847" r:id="rId527" display="monocoup 30 mm comète scintillant argent"/>
    <hyperlink ref="D851" r:id="rId528" display="monocoup 40 mm pot à feu rouge"/>
    <hyperlink ref="D852" r:id="rId529" display="monocoup 40 mm pot à feu violet"/>
    <hyperlink ref="D853" r:id="rId530" display="monocoup 40 mm pot à feu bleu"/>
    <hyperlink ref="D854" r:id="rId531" display="monocoup 40 mm pot à feu argent"/>
    <hyperlink ref="D855" r:id="rId532" display="monocoup 40 mm pot à feu cli. argent"/>
    <hyperlink ref="D856" r:id="rId533" display="monocoup 40 mm pot à feu citron"/>
    <hyperlink ref="D857" r:id="rId534" display="monocoup 40 mm pot à feu multicolore"/>
    <hyperlink ref="D858" r:id="rId535" display="monocoup 40 mm pot à feu kamuro"/>
    <hyperlink ref="D859" r:id="rId536" display="monocoup 40 mm pot à feu orange"/>
    <hyperlink ref="D863" r:id="rId537" display="monocoup 30 mm pot à feu cli. blanc et comète kamuro"/>
    <hyperlink ref="D864" r:id="rId538" display="monocoup 30 mm pot à feu bleu et comète argent"/>
    <hyperlink ref="D866" r:id="rId539" display="monocoup 30 mm pot à feu citron et comète rose"/>
    <hyperlink ref="D867" r:id="rId540" display="monocoup 30 mm pot à feu vert et comète citron"/>
    <hyperlink ref="D868" r:id="rId541" display="monocoup 30 mm pot à feu rouge et comète kamuro"/>
    <hyperlink ref="D869" r:id="rId542" display="monocoup 30 mm pot à feu violet et comète vert"/>
    <hyperlink ref="D873" r:id="rId543" display="monocoup 30 mm bombette kamuro à tronc"/>
    <hyperlink ref="D874" r:id="rId544" display="monocoup 30 mm bombette oeuf de dragon à tronc"/>
    <hyperlink ref="D878" r:id="rId545" display="monocoup 30 mm pot à feu rouge et bombette rouge"/>
    <hyperlink ref="D879" r:id="rId546" display="monocoup 30 mm pot à feu verte et bombette verte"/>
    <hyperlink ref="D880" r:id="rId547" display="monocoup 30 mm pot à feu blanc et bombette blanche"/>
    <hyperlink ref="D881" r:id="rId548" display="monocoup 30 mm pot à feu violette et bombette violette"/>
    <hyperlink ref="D882" r:id="rId549" display="monocoup 30 mm pot à feu bleu et bombette bleue"/>
    <hyperlink ref="D883" r:id="rId550" display="monocoup 30 mm pot à feu multicolore et bombette multicolore"/>
    <hyperlink ref="D884" r:id="rId551" display="monocoup 30 mm pot à feu aqua et bombette aqua"/>
    <hyperlink ref="D885" r:id="rId552" display="monocoup 30 mm pot à feu citron et bombette citron"/>
    <hyperlink ref="D886" r:id="rId553" display="monocoup 30 mm pot à feu orange et bombette orange"/>
    <hyperlink ref="D887" r:id="rId554" display="monocoup 30 mm pot à feu kamuro et bombette kamuro"/>
    <hyperlink ref="D888" r:id="rId555" display="monocoup 30 mm pot à feu cli. blanc et bombette cli. blanc"/>
    <hyperlink ref="D891" r:id="rId556" display="monocoup 50 mm double pot à feu cli. blanc et multicolore"/>
    <hyperlink ref="D895" r:id="rId557" display="monocoup 40 mm mosaïque kamuro trace or"/>
    <hyperlink ref="D896" r:id="rId558" display="monocoup 40 mm mosaïque rouge trace or"/>
    <hyperlink ref="D897" r:id="rId559" display="monocoup 40 mm mosaïque vert trace or"/>
    <hyperlink ref="D898" r:id="rId560" display="monocoup 40 mm mosaïque bleu trace or"/>
    <hyperlink ref="D903" r:id="rId561" display="compact 19 tirs 30 mm anubis (F1-19/30 04)"/>
    <hyperlink ref="D905" r:id="rId562" display="compact 19 tirs 30 mm gamesa (F1-19/30 13)"/>
    <hyperlink ref="D906" r:id="rId563" display="compact 19 tirs 30 mm horus (F1-19/30 10)"/>
    <hyperlink ref="D909" r:id="rId564" display="compact 25 tirs 30 mm dragon (F1-25/30 07)"/>
    <hyperlink ref="D910" r:id="rId565" display="compact 25 tirs 30 mm el cisne (F1-25/30 08)"/>
    <hyperlink ref="D911" r:id="rId566" display="compact 25 tirs 30 mm z arenal (F2-25/30 03)"/>
    <hyperlink ref="D912" r:id="rId567" display="compact 25 tirs 30 mm la corona (F1-25/30 05)"/>
    <hyperlink ref="D913" r:id="rId568" display="compact 25 tirs 30 mm pegaso (F1-25/30 06)"/>
    <hyperlink ref="D915" r:id="rId569" display="compact 25 tirs 30 mm colorful emotions"/>
    <hyperlink ref="D916" r:id="rId570" display="compact 25 tirs 30 mm pyroprodukt 23-25 gold crackling crossette"/>
    <hyperlink ref="D917" r:id="rId571" display="compact 35 tirs 25 mm éventaillé pyroprodukt 8-35 colorful tail / with brocade b"/>
    <hyperlink ref="D919" r:id="rId572" display="compact 36 tirs 30 mm andromeda (F1-36/30 08)"/>
    <hyperlink ref="D920" r:id="rId573" display="compact 36 tirs 30 mm baco (F1-36/30 23)"/>
    <hyperlink ref="D921" r:id="rId574" display="compact 36 tirs 30 mm casiopea (F1-36/30 06)"/>
    <hyperlink ref="D922" r:id="rId575" display="compact 36 tirs 30 mm da lira (F1-36/30 05)"/>
    <hyperlink ref="D923" r:id="rId576" display="compact 36 tirs 30 mm monster color (F1-36/30 09)"/>
    <hyperlink ref="D924" r:id="rId577" display="compact 36 tirs 30 mm monster crackler (F1-36/30 10)"/>
    <hyperlink ref="D925" r:id="rId578" display="compact 36 tirs 30 mm tronada (V3/36 01 H)"/>
    <hyperlink ref="D926" r:id="rId579" display="compact 36 tirs 25 mm éventaillé pyroprodukt 30-36 blue dahlia mine / silver tai"/>
    <hyperlink ref="D927" r:id="rId580" display="compact 36 tirs 25 mm éventaillé pyroprodukt 31-36 brocade to red mine / brocade"/>
    <hyperlink ref="D928" r:id="rId581" display="compact 36 tirs 25 mm éventaillé pyroprodukt 35-36 silver glitter mine / silver"/>
    <hyperlink ref="D929" r:id="rId582" display="compact 36 tirs 25 mm pyroprodukt 6-36 green spider / with green tail"/>
    <hyperlink ref="D930" r:id="rId583" display="compact 49 tirs 20 mm éventaillé pyroprodukt 40-49 purple coco tail crossette"/>
    <hyperlink ref="D932" r:id="rId584" display="compact 49 tirs 30 mm barcelona (F1-49/30 13)"/>
    <hyperlink ref="D933" r:id="rId585" display="compact 49 tirs 30 mm madrid (F1-49/30 03)"/>
    <hyperlink ref="D934" r:id="rId586" display="compact 49 tirs 20 mm mini monster (F6-49/20 10)"/>
    <hyperlink ref="D935" r:id="rId587" display="compact 49 tirs 30 mm sevilla (F1-49/30 15)"/>
    <hyperlink ref="D936" r:id="rId588" display="compact 49 tirs 30 mm valencia (F1-49/30 02)"/>
    <hyperlink ref="D937" r:id="rId589" display="compact 49 tirs 20 mm éventaillé pyroprodukt 41-49 yellow coco tail crossette"/>
    <hyperlink ref="D938" r:id="rId590" display="compact 49 tirs 20 mm éventaillé pyroprodukt 43-49 crackling tail crossette"/>
    <hyperlink ref="D939" r:id="rId591" display="compact 49 tirs 30 mm pyroprodukt 1-49 peach-red/lemon-yellow/aquapistils white"/>
    <hyperlink ref="D940" r:id="rId592" display="compact 49 tirs 30 mm pyroprodukt 3014-49 gold palm tree"/>
    <hyperlink ref="D942" r:id="rId593" display="compact 50 tirs 30 mm éventaillé krakatoa (F2-50/30 12)"/>
    <hyperlink ref="D944" r:id="rId594" display="compact 100 tirs 20 mm z mosaïque multicolor (F11-130/20 14)"/>
    <hyperlink ref="D945" r:id="rId595" display="compact 100 tirs 20 mm z multicolor scintillant (F10-100/20 04)"/>
    <hyperlink ref="D946" r:id="rId596" display="compact 100 tirs 20 mm z sifflet multicolor scint. (F10-100/20 17)"/>
    <hyperlink ref="D947" r:id="rId597" display="compact 100 tirs 20 mm maremoto (F7-100/20S 91)"/>
    <hyperlink ref="D948" r:id="rId598" display="compact 100 tirs 20 mm sunami (F7-100/20S 37)"/>
    <hyperlink ref="D949" r:id="rId599" display="compact 100 tirs 20 mm terremoto 50 (F7-100/20S 57)"/>
    <hyperlink ref="D950" r:id="rId600" display="compact 100 tirs 20 mm tifon (F7-100/20S 110)"/>
    <hyperlink ref="D952" r:id="rId601" display="compact 150 tirs 20 mm éventaillé multi-effets la maquina (F10-150B/20 07)"/>
    <hyperlink ref="D958" r:id="rId602" display="compact 9 tirs 50 mm bombes kamuro"/>
    <hyperlink ref="D959" r:id="rId603" display="compact 9 tirs 50 mm bombes argent"/>
    <hyperlink ref="D963" r:id="rId604" display="compact 13 tirs 30 mm bombettes kamuro avec pointes multicolore"/>
    <hyperlink ref="D964" r:id="rId605" display="compact 13 tirs 30 mm bombettes kamuro avec pointes bleues"/>
    <hyperlink ref="D965" r:id="rId606" display="compact 13 tirs 30 mm bombettes kamuro avec pointes vertes"/>
    <hyperlink ref="D966" r:id="rId607" display="compact 13 tirs 30 mm bombettes kamuro avec pointes rouge"/>
    <hyperlink ref="D967" r:id="rId608" display="compact 13 tirs 30 mm bombettes kamuro avec pointes violettes"/>
    <hyperlink ref="D971" r:id="rId609" display="compact 16 tirs 25 mm bombettes kamuro"/>
    <hyperlink ref="D973" r:id="rId610" display="compact 16 tirs 30 mm mosaïque rouge"/>
    <hyperlink ref="D974" r:id="rId611" display="compact 16 tirs 30 mm mosaïque vert"/>
    <hyperlink ref="D975" r:id="rId612" display="compact 16 tirs 30 mm mosaïque citron"/>
    <hyperlink ref="D976" r:id="rId613" display="compact 16 tirs 30 mm mosaïque orange"/>
    <hyperlink ref="D977" r:id="rId614" display="compact 16 tirs 30 mm mosaïque bleu"/>
    <hyperlink ref="D978" r:id="rId615" display="compact 16 tirs 30 mm mosaïque argent"/>
    <hyperlink ref="D979" r:id="rId616" display="compact 16 tirs 30 mm mosaïque rose"/>
    <hyperlink ref="D980" r:id="rId617" display="compact 16 tirs 30 mm mosaïque kamuro"/>
    <hyperlink ref="D981" r:id="rId618" display="compact 16 tirs 30 mm mosaïque assorti"/>
    <hyperlink ref="D985" r:id="rId619" display="compact 20 tirs 30 mm assorti final déto"/>
    <hyperlink ref="D987" r:id="rId620" display="compact 20 tirs 30 mm bombettes oeufs de dragons"/>
    <hyperlink ref="D988" r:id="rId621" display="compact 20 tirs 30 mm palmes or crackling tronc bleu"/>
    <hyperlink ref="D990" r:id="rId622" display="compact 20 tirs 30 mm bombettes crackling vertes"/>
    <hyperlink ref="D991" r:id="rId623" display="compact 20 tirs 30 mm bombettes crackling citron"/>
    <hyperlink ref="D992" r:id="rId624" display="compact 20 tirs 30 mm bombettes crackling bleues"/>
    <hyperlink ref="D993" r:id="rId625" display="compact 20 tirs 30 mm bombettes crackling argent"/>
    <hyperlink ref="D994" r:id="rId626" display="compact 20 tirs 30 mm bombettes crackling violettes"/>
    <hyperlink ref="D995" r:id="rId627" display="compact 20 tirs 30 mm bombettes crackling rouge"/>
    <hyperlink ref="D996" r:id="rId628" display="compact 20 tirs 30 mm bombettes crackling roses"/>
    <hyperlink ref="D997" r:id="rId629" display="compact 20 tirs 30 mm bombettes crackling multicolore"/>
    <hyperlink ref="D998" r:id="rId630" display="compact 20 tirs 30 mm bombettes crackling assortis"/>
    <hyperlink ref="D1000" r:id="rId631" display="compact 20 tirs 30 mm bombettes argent ascension argent"/>
    <hyperlink ref="D1001" r:id="rId632" display="compact 20 tirs 30 mm bombettes bleu ascension orange"/>
    <hyperlink ref="D1002" r:id="rId633" display="compact 20 tirs 30 mm bombettes rose ascension citron"/>
    <hyperlink ref="D1003" r:id="rId634" display="compact 20 tirs 30 mm bombettes citron ascension rose"/>
    <hyperlink ref="D1004" r:id="rId635" display="compact 20 tirs 30 mm bombettes rouge ascension blanc"/>
    <hyperlink ref="D1005" r:id="rId636" display="compact 20 tirs 30 mm bombettes violettes ascension verte"/>
    <hyperlink ref="D1006" r:id="rId637" display="compact 20 tirs 30 mm bombettes multicolore ascension argent"/>
    <hyperlink ref="D1007" r:id="rId638" display="compact 20 tirs 30 mm bombettes assortie ascension assorti"/>
    <hyperlink ref="D1009" r:id="rId639" display="compact 20 tirs 30 mm bombettes kamuro ascension bleue"/>
    <hyperlink ref="D1010" r:id="rId640" display="compact 20 tirs 30 mm kamuro à pointes multicolore ascension argent"/>
    <hyperlink ref="D1011" r:id="rId641" display="compact 20 tirs 30 mm bombettes saule or ascension bleu"/>
    <hyperlink ref="D1013" r:id="rId642" display="compact 20 tirs 30 mm bombettes cli. vert ascension verte"/>
    <hyperlink ref="D1014" r:id="rId643" display="compact 20 tirs 30 mm bombettes cli. rouge ascension rouge"/>
    <hyperlink ref="D1015" r:id="rId644" display="compact 20 tirs 30 mm bombettes cli. argent"/>
    <hyperlink ref="D1016" r:id="rId645" display="compact 20 tirs 30 mm bombettes rouge et cli. blanc ascension bleue"/>
    <hyperlink ref="D1018" r:id="rId646" display="compact 20 tirs 30 mm bombettes assorties ascension tourbillons argent"/>
    <hyperlink ref="D1019" r:id="rId647" display="compact 20 tirs 30 mm bombettes rouge ascension tourbillons argent"/>
    <hyperlink ref="D1021" r:id="rId648" display="compact 20 tirs 30 mm palmes scintillant bleu or ascension bleu"/>
    <hyperlink ref="D1022" r:id="rId649" display="compact 20 tirs 30 mm palmes scintillant vert or ascension vert"/>
    <hyperlink ref="D1023" r:id="rId650" display="compact 20 tirs 30 mm palmes scintillant rose or ascension rose"/>
    <hyperlink ref="D1024" r:id="rId651" display="compact 20 tirs 30 mm palmes scintillant rouge or ascension rouge"/>
    <hyperlink ref="D1025" r:id="rId652" display="compact 20 tirs 30 mm palmes scintillant blanc or ascension blanc"/>
    <hyperlink ref="D1027" r:id="rId653" display="compact 20 tirs 30 mm disque de tourbillons ascension rouge"/>
    <hyperlink ref="D1028" r:id="rId654" display="compact 20 tirs 30 mm disque de tourbillons ascension cyan"/>
    <hyperlink ref="D1029" r:id="rId655" display="compact 20 tirs 30 mm tourbillon argent"/>
    <hyperlink ref="D1032" r:id="rId656" display="compact 20 tirs 30 mm poissons rouge"/>
    <hyperlink ref="D1033" r:id="rId657" display="compact 20 tirs 30 mm poissons vert"/>
    <hyperlink ref="D1034" r:id="rId658" display="compact 20 tirs 30 mm poissons argent"/>
    <hyperlink ref="D1035" r:id="rId659" display="compact 20 tirs 30 mm poissons or"/>
    <hyperlink ref="D1037" r:id="rId660" display="compact 20 tirs 30 mm pot à feu et bombette kamuro"/>
    <hyperlink ref="D1038" r:id="rId661" display="compact 20 tirs 30 mm pot à feu et bombette argent"/>
    <hyperlink ref="D1039" r:id="rId662" display="compact 20 tirs 30 mm pot à feu et bombette cli. blanc"/>
    <hyperlink ref="D1040" r:id="rId663" display="compact 20 tirs 30 mm pot à feu et bombette rouge"/>
    <hyperlink ref="D1041" r:id="rId664" display="compact 20 tirs 30 mm pot à feu et bombette violet"/>
    <hyperlink ref="D1042" r:id="rId665" display="compact 20 tirs 30 mm pot à feu et bombette bleu"/>
    <hyperlink ref="D1043" r:id="rId666" display="compact 20 tirs 30 mm pot à feu et bombette oeuf de dragon"/>
    <hyperlink ref="D1047" r:id="rId667" display="compact 25 tirs 25 mm marron d'air 25 s"/>
    <hyperlink ref="D1048" r:id="rId668" display="compact 25 tirs 25 mm marron d'air 5 s"/>
    <hyperlink ref="D1049" r:id="rId669" display="compact 25 tirs 20 mm pyroprodukt 12-25 marron d’air et sifflets 5 secondes"/>
    <hyperlink ref="D1051" r:id="rId670" display="compact 25 tirs 30 mm feuilles mortes rouge"/>
    <hyperlink ref="D1052" r:id="rId671" display="compact 25 tirs 30 mm feuilles mortes vertes"/>
    <hyperlink ref="D1053" r:id="rId672" display="compact 25 tirs 30 mm feuilles mortes or"/>
    <hyperlink ref="D1054" r:id="rId673" display="compact 25 tirs 30 mm feuilles mortes argent"/>
    <hyperlink ref="D1055" r:id="rId674" display="compact 25 tirs 30 mm feuilles mortes citron"/>
    <hyperlink ref="D1056" r:id="rId675" display="compact 25 tirs 30 mm feuilles mortes bleues"/>
    <hyperlink ref="D1057" r:id="rId676" display="compact 25 tirs 30 mm feuilles mortes orange"/>
    <hyperlink ref="D1058" r:id="rId677" display="compact 25 tirs 30 mm feuilles mortes assorties"/>
    <hyperlink ref="D1062" r:id="rId678" display="compact 30 tirs 38 mm kamuro"/>
    <hyperlink ref="D1063" r:id="rId679" display="compact 30 tirs 38 mm kamuro à pointes multicolore"/>
    <hyperlink ref="D1064" r:id="rId680" display="compact 30 tirs 38 mm assorti"/>
    <hyperlink ref="D1068" r:id="rId681" display="compact 30 tirs 50 mm légèrement éventaillé bombes kamuro"/>
    <hyperlink ref="D1069" r:id="rId682" display="compact 30 tirs 50 mm légèrement éventaillé bombes kamuro à pointes multicolore"/>
    <hyperlink ref="D1070" r:id="rId683" display="compact 30 tirs 50 mm légèrement éventaillé bombes argent"/>
    <hyperlink ref="D1074" r:id="rId684" display="compact 49 tirs 20 mm assorti tronc assorti"/>
    <hyperlink ref="D1075" r:id="rId685" display="compact 49 tirs 20 mm rose tronc rose"/>
    <hyperlink ref="D1076" r:id="rId686" display="compact 49 tirs 20 mm bleu tronc bleu"/>
    <hyperlink ref="D1077" r:id="rId687" display="compact 49 tirs 20 mm rouge tronc rouge"/>
    <hyperlink ref="D1078" r:id="rId688" display="compact 49 tirs 20 mm multicolore tronc multicolore"/>
    <hyperlink ref="D1079" r:id="rId689" display="compact 49 tirs 20 mm blanc tronc blanc"/>
    <hyperlink ref="D1080" r:id="rId690" display="compact 49 tirs 20 mm kamuro"/>
    <hyperlink ref="D1081" r:id="rId691" display="compact 49 tirs 20 mm cli. vert"/>
    <hyperlink ref="D1082" r:id="rId692" display="compact 49 tirs 20 mm cli. blanc"/>
    <hyperlink ref="D1083" r:id="rId693" display="compact 49 tirs 20 mm cli. rouge"/>
    <hyperlink ref="D1085" r:id="rId694" display="compact 49 tirs 20 mm sifflets argent"/>
    <hyperlink ref="D1086" r:id="rId695" display="compact 49 tirs 20 mm sifflets 5 s"/>
    <hyperlink ref="D1092" r:id="rId696" display="compact 100 tirs 30 mm droit bombette assorties"/>
    <hyperlink ref="D1093" r:id="rId697" display="compact 100 tirs 30 mm droit bombette brocade or"/>
    <hyperlink ref="D1094" r:id="rId698" display="compact 100 tirs 30 mm droit bombette bleu"/>
    <hyperlink ref="D1095" r:id="rId699" display="compact 100 tirs 30 mm droit cli. blanc queue argent"/>
    <hyperlink ref="D1097" r:id="rId700" display="compact 100 tirs 20 mm pyroprodukt 12-100 marron d’air et sifflets 5 secondes"/>
    <hyperlink ref="D1103" r:id="rId701" display="compact bande 9 tirs 30 mm éventaillé bombette crackling kamuro"/>
    <hyperlink ref="D1104" r:id="rId702" display="compact bande 9 tirs 30 mm éventaillé bombette crackling argent"/>
    <hyperlink ref="D1105" r:id="rId703" display="compact bande 9 tirs 30 mm éventaillé bombette crackling rouge"/>
    <hyperlink ref="D1106" r:id="rId704" display="compact bande 9 tirs 30 mm éventaillé bombette crackling violet"/>
    <hyperlink ref="D1107" r:id="rId705" display="compact bande 9 tirs 30 mm éventaillé bombette crackling bleu"/>
    <hyperlink ref="D1108" r:id="rId706" display="compact bande 9 tirs 30 mm éventaillé bombette crackling rose"/>
    <hyperlink ref="D1109" r:id="rId707" display="compact bande 9 tirs 30 mm éventaillé bombette crackling multicolore"/>
    <hyperlink ref="D1111" r:id="rId708" display="compact bande 9 tirs 30 mm éventaillé pot à feu bleu"/>
    <hyperlink ref="D1112" r:id="rId709" display="compact bande 9 tirs 30 mm éventaillé pot à feu blanc"/>
    <hyperlink ref="D1113" r:id="rId710" display="compact bande 9 tirs 30 mm éventaillé pot à feu rouge"/>
    <hyperlink ref="D1114" r:id="rId711" display="compact bande 9 tirs 30 mm éventaillé pot à feu kamuro"/>
    <hyperlink ref="D1116" r:id="rId712" display="compact bande 9 tirs 30 mm éventaillé pot à feu kamuro et bombette rouge"/>
    <hyperlink ref="D1117" r:id="rId713" display="compact bande 9 tirs 30 mm éventaillé pot à feu et bombette kamuro"/>
    <hyperlink ref="D1118" r:id="rId714" display="compact bande 9 tirs 30 mm éventaillé pot à feu et bombette argent"/>
    <hyperlink ref="D1119" r:id="rId715" display="compact bande 9 tirs 30 mm éventaillé pot à feu et bombette cli. blanc"/>
    <hyperlink ref="D1120" r:id="rId716" display="compact bande 9 tirs 30 mm éventaillé pot à feu et bombette rouge"/>
    <hyperlink ref="D1121" r:id="rId717" display="compact bande 9 tirs 30 mm éventaillé pot à feu et bombette violet"/>
    <hyperlink ref="D1122" r:id="rId718" display="compact bande 9 tirs 30 mm éventaillé pot à feu et bombette bleu"/>
    <hyperlink ref="D1123" r:id="rId719" display="compact bande 9 tirs 30 mm éventaillé pot à feu et bombette oeuf de dragon"/>
    <hyperlink ref="D1124" r:id="rId720" display="compact bande 9 tirs 30 mm éventaillé pot à feu cli blanc et bombette marron d'a"/>
    <hyperlink ref="D1125" r:id="rId721" display="compact bande 9 tirs 30 mm éventaillé pot à feu et feuille morte multicolore"/>
    <hyperlink ref="D1126" r:id="rId722" display="compact bande 9 tirs 30 mm éventaillé pot à feu kamuro et queue de cheval"/>
    <hyperlink ref="D1127" r:id="rId723" display="compact bande 9 tirs 30 mm éventaillé pot à feu kamuro et comète crackling"/>
    <hyperlink ref="D1131" r:id="rId724" display="compact 40 tirs 25 mm éventaillé comète cli. blanc"/>
    <hyperlink ref="D1132" r:id="rId725" display="compact 40 tirs 25 mm éventaillé comètes violettes"/>
    <hyperlink ref="D1133" r:id="rId726" display="compact 40 tirs 25 mm éventaillé comètes argent"/>
    <hyperlink ref="D1134" r:id="rId727" display="compact 40 tirs 25 mm éventaillé comètes citron"/>
    <hyperlink ref="D1135" r:id="rId728" display="compact 40 tirs 25 mm éventaillé comètes rouge"/>
    <hyperlink ref="D1136" r:id="rId729" display="compact 40 tirs 25 mm éventaillé comètes bleu"/>
    <hyperlink ref="D1137" r:id="rId730" display="compact 40 tirs 25 mm éventaillé comètes vert"/>
    <hyperlink ref="D1138" r:id="rId731" display="compact 40 tirs 25 mm éventaillé comètes cli. or"/>
    <hyperlink ref="D1139" r:id="rId732" display="compact 40 tirs 25 mm éventaillé comètes crackling or"/>
    <hyperlink ref="D1141" r:id="rId733" display="compact 40 tirs 30 mm éventaillé palme or scintillant rouge"/>
    <hyperlink ref="D1143" r:id="rId734" display="compact 40 tirs 30 mm éventaillé queue de cheval kamuro"/>
    <hyperlink ref="D1145" r:id="rId735" display="compact 40 tirs 30 mm éventaillé poisson argent"/>
    <hyperlink ref="D1147" r:id="rId736" display="compact 40 tirs 30 mm éventaillé bombette multicolore pastel"/>
    <hyperlink ref="D1149" r:id="rId737" display="compact 40 tirs 30 mm éventaillé feuilles mortes rouges"/>
    <hyperlink ref="D1150" r:id="rId738" display="compact 40 tirs 30 mm éventaillé feuilles mortes vertes"/>
    <hyperlink ref="D1151" r:id="rId739" display="compact 40 tirs 30 mm éventaillé feuilles mortes citron"/>
    <hyperlink ref="D1155" r:id="rId740" display="compact 40 tirs 30 mm éventaillé pot à feu crackling"/>
    <hyperlink ref="D1156" r:id="rId741" display="compact 40 tirs 30 mm éventaillé pot à feu kamuro"/>
    <hyperlink ref="D1160" r:id="rId742" display="compact 40 tirs 30 mm éventaillé bombette cli. blanc"/>
    <hyperlink ref="D1161" r:id="rId743" display="compact 40 tirs 30 mm éventaillé bombette cli. rouge"/>
    <hyperlink ref="D1163" r:id="rId744" display="compact 40 tirs 30 mm éventaillé bombette multicolore asc. tourbillon"/>
    <hyperlink ref="D1164" r:id="rId745" display="compact 40 tirs 30 mm éventaillé pot à feu cli. blanc queue de cheval"/>
    <hyperlink ref="D1168" r:id="rId746" display="compact 50 tirs 20 mm éventaillé pivoine rouge ascension argent"/>
    <hyperlink ref="D1169" r:id="rId747" display="compact 50 tirs 20 mm éventaillé pivoine bleu ascension argent"/>
    <hyperlink ref="D1170" r:id="rId748" display="compact 50 tirs 20 mm éventaillé kamuro ascension argent"/>
    <hyperlink ref="D1171" r:id="rId749" display="compact 50 tirs 20 mm éventaillé pivoine vert ascension argent"/>
    <hyperlink ref="D1172" r:id="rId750" display="compact 50 tirs 20 mm éventaillé pivoine argent ascension argent"/>
    <hyperlink ref="D1173" r:id="rId751" display="compact 50 tirs 20 mm éventaillé pivoine rose ascension argent"/>
    <hyperlink ref="D1174" r:id="rId752" display="compact 50 tirs 20 mm éventaillé violet ascension argent"/>
    <hyperlink ref="D1175" r:id="rId753" display="compact 50 tirs 20 mm éventaillé pivoine assortis ascension argent"/>
    <hyperlink ref="D1177" r:id="rId754" display="compact 50 tirs 20 mm éventaillé oeuf de dragon"/>
    <hyperlink ref="D1179" r:id="rId755" display="compact 50 tirs 20 mm éventaillé cli. blanc"/>
    <hyperlink ref="D1181" r:id="rId756" display="compact 50 tirs 20 mm éventaillé tourbillon argent"/>
    <hyperlink ref="D1185" r:id="rId757" display="compact 100 tirs 30 mm éventaillé pot à feu or strob pointes bleues"/>
    <hyperlink ref="D1186" r:id="rId758" display="compact 100 tirs 30 mm éventaillé pot à feu or scintillant pointes rouges"/>
    <hyperlink ref="D1188" r:id="rId759" display="compact 100 tirs 30 mm éventaillé pot à feu kamuro"/>
    <hyperlink ref="D1189" r:id="rId760" display="compact 100 tirs 30 mm éventaillé pot à feu argent"/>
    <hyperlink ref="D1190" r:id="rId761" display="compact 100 tirs 30 mm éventaillé pot à feu rouge"/>
    <hyperlink ref="D1191" r:id="rId762" display="compact 100 tirs 30 mm éventaillé pot à feu violet"/>
    <hyperlink ref="D1192" r:id="rId763" display="compact 100 tirs 30 mm éventaillé pot à feu bleu"/>
    <hyperlink ref="D1193" r:id="rId764" display="compact 100 tirs 30 mm éventaillé pot à feu argent scintillant"/>
    <hyperlink ref="D1194" r:id="rId765" display="compact 100 tirs 30 mm éventaillé pot à feu kamuro et bombette kamuro"/>
    <hyperlink ref="D1195" r:id="rId766" display="compact 100 tirs 30 mm éventaillé bombettes oeuf de dragon"/>
    <hyperlink ref="D1196" r:id="rId767" display="compact 100 tirs 30 mm éventaillé pot à feu rouge et cli. blanc"/>
    <hyperlink ref="D1198" r:id="rId768" display="compact 100 tirs 30 mm éventaillé sifflet"/>
    <hyperlink ref="D1199" r:id="rId769" display="compact 100 tirs 30 mm éventaillé tourbillon"/>
    <hyperlink ref="D1200" r:id="rId770" display="compact 100 tirs 30 mm éventaillé mosaïque argent"/>
    <hyperlink ref="D1202" r:id="rId771" display="compact 100 tirs 30 mm éventaillé pot à feu oeuf de dragon"/>
    <hyperlink ref="D1206" r:id="rId772" display="compact 120 tirs 30 mm éventaillé assortis"/>
    <hyperlink ref="D1212" r:id="rId773" display="compact bande 9 tirs 30 mm z comète kamuro"/>
    <hyperlink ref="D1213" r:id="rId774" display="compact bande 9 tirs 30 mm z comète argent"/>
    <hyperlink ref="D1214" r:id="rId775" display="compact bande 9 tirs 30 mm z comète or pointes rouge"/>
    <hyperlink ref="D1216" r:id="rId776" display="compact bande 9 tirs 30 mm int. vers ext. pot à feu rouge scint. et comète rouge"/>
    <hyperlink ref="D1217" r:id="rId777" display="compact bande 9 tirs 30 mm ext. vers int. comète argent pointes aqua"/>
    <hyperlink ref="D1221" r:id="rId778" display="compact 30 tirs 20 mm z pot à feu rouge"/>
    <hyperlink ref="D1222" r:id="rId779" display="compact 30 tirs 20 mm z pot à feu bleu"/>
    <hyperlink ref="D1223" r:id="rId780" display="compact 30 tirs 20 mm z pot à feu argent"/>
    <hyperlink ref="D1224" r:id="rId781" display="compact 30 tirs 20 mm z pot à feu violet"/>
    <hyperlink ref="D1225" r:id="rId782" display="compact 30 tirs 20 mm z pot à feu rose"/>
    <hyperlink ref="D1226" r:id="rId783" display="compact 30 tirs 20 mm z pot à feu vert"/>
    <hyperlink ref="D1227" r:id="rId784" display="compact 30 tirs 20 mm z pot à feu assorti"/>
    <hyperlink ref="D1228" r:id="rId785" display="compact 30 tirs 20 mm z pot à feu kamuro"/>
    <hyperlink ref="D1229" r:id="rId786" display="compact 30 tirs 20 mm z pot à feu cli. blanc"/>
    <hyperlink ref="D1231" r:id="rId787" display="compact 30 tirs 20 mm z tourbillon argent"/>
    <hyperlink ref="D1233" r:id="rId788" display="compact 30 tirs 20 mm z pivoine rouge ascension argent"/>
    <hyperlink ref="D1234" r:id="rId789" display="compact 30 tirs 20 mm z pivoine bleue ascension argent"/>
    <hyperlink ref="D1235" r:id="rId790" display="compact 30 tirs 20 mm z pivoine vert ascension argent"/>
    <hyperlink ref="D1236" r:id="rId791" display="compact 30 tirs 20 mm z pivoine or kamuro ascension argent"/>
    <hyperlink ref="D1237" r:id="rId792" display="compact 30 tirs 20 mm z pivoine violet ascension argent"/>
    <hyperlink ref="D1238" r:id="rId793" display="compact 30 tirs 20 mm z pivoine argent ascension argent"/>
    <hyperlink ref="D1239" r:id="rId794" display="compact 30 tirs 20 mm z pivoine rose ascension argent"/>
    <hyperlink ref="D1240" r:id="rId795" display="compact 30 tirs 20 mm z pivoine assortis ascension argent"/>
    <hyperlink ref="D1241" r:id="rId796" display="compact 30 tirs 20 mm z pivoine cli. blanc ascension argent"/>
    <hyperlink ref="D1245" r:id="rId797" display="compact 40 tirs 25 mm z comète cli. blanc"/>
    <hyperlink ref="D1246" r:id="rId798" display="compact 40 tirs 25 mm z comète argent"/>
    <hyperlink ref="D1247" r:id="rId799" display="compact 40 tirs 25 mm z comète citron"/>
    <hyperlink ref="D1248" r:id="rId800" display="compact 40 tirs 25 mm z comète rouge"/>
    <hyperlink ref="D1249" r:id="rId801" display="compact 40 tirs 25 mm z comète bleu"/>
    <hyperlink ref="D1250" r:id="rId802" display="compact 40 tirs 25 mm z comète violet"/>
    <hyperlink ref="D1251" r:id="rId803" display="compact 40 tirs 25 mm z comète cli. or"/>
    <hyperlink ref="D1252" r:id="rId804" display="compact 40 tirs 25 mm z comète crackling or"/>
    <hyperlink ref="D1254" r:id="rId805" display="compact 40 tirs 30 mm z queue de cheval kamuro"/>
    <hyperlink ref="D1255" r:id="rId806" display="compact 40 tirs 30 mm z queue de cheval rouge"/>
    <hyperlink ref="D1256" r:id="rId807" display="compact 40 tirs 30 mm éventaillé pot à feu et queue de cheval rose aqua citron"/>
    <hyperlink ref="D1257" r:id="rId808" display="compact 40 tirs 30 mm z pot à feu kamuro asc. rouge queue de cheval étoile rouge"/>
    <hyperlink ref="D1259" r:id="rId809" display="compact 40 tirs 30 mm z feuilles mortes rouges"/>
    <hyperlink ref="D1260" r:id="rId810" display="compact 40 tirs 30 mm z feuilles mortes vertes"/>
    <hyperlink ref="D1264" r:id="rId811" display="compact 40 tirs 30 mm z méduse rose"/>
    <hyperlink ref="D1265" r:id="rId812" display="compact 40 tirs 30 mm z méduse verte"/>
    <hyperlink ref="D1266" r:id="rId813" display="compact 40 tirs 30 mm z méduse rouge"/>
    <hyperlink ref="D1267" r:id="rId814" display="compact 40 tirs 30 mm z méduse violet"/>
    <hyperlink ref="D1268" r:id="rId815" display="compact 40 tirs 30 mm z méduse citron"/>
    <hyperlink ref="D1269" r:id="rId816" display="compact 40 tirs 30 mm z méduse orange"/>
    <hyperlink ref="D1270" r:id="rId817" display="compact 40 tirs 30 mm z méduse bleue"/>
    <hyperlink ref="D1271" r:id="rId818" display="compact 40 tirs 30 mm z méduse argent"/>
    <hyperlink ref="D1272" r:id="rId819" display="compact 40 tirs 30 mm z méduse or"/>
    <hyperlink ref="D1273" r:id="rId820" display="compact 40 tirs 30 mm z méduse multicolore"/>
    <hyperlink ref="D1274" r:id="rId821" display="compact 40 tirs 30 mm z méduse aqua"/>
    <hyperlink ref="D1278" r:id="rId822" display="compact 100 tirs 30 mm z queue de cheval kamuro ascension bleu"/>
    <hyperlink ref="D1280" r:id="rId823" display="compact 100 tirs 30 mm z feuilles mortes couleurs assorties"/>
    <hyperlink ref="D1282" r:id="rId824" display="compact 100 tirs 30 mm z pot à feu kamuro"/>
    <hyperlink ref="D1283" r:id="rId825" display="compact 100 tirs 30 mm z pot à feu rouge"/>
    <hyperlink ref="D1284" r:id="rId826" display="compact 100 tirs 30 mm z pot à feu argent"/>
    <hyperlink ref="D1285" r:id="rId827" display="compact 100 tirs 30 mm z pot à feu bleu"/>
    <hyperlink ref="D1286" r:id="rId828" display="compact 100 tirs 30 mm z pot à feu argent scintillant"/>
    <hyperlink ref="D1289" r:id="rId829" display="compact 100 tirs 30 mm z bombettes kamuro ascension cyan"/>
    <hyperlink ref="D1290" r:id="rId830" display="compact 100 tirs 30 mm z triple pot à feu oeuf de dragon puis rouge puis bleu"/>
    <hyperlink ref="D1292" r:id="rId831" display="compact 100 tirs 30 mm z comète scintillant blanc"/>
    <hyperlink ref="D1293" r:id="rId832" display="compact 100 tirs 30 mm z comète scintillant rouge"/>
    <hyperlink ref="D1294" r:id="rId833" display="compact 100 tirs 30 mm z comète argent large et traçante"/>
    <hyperlink ref="D1296" r:id="rId834" display="compact 100 tirs 30 mm z méduse bleu"/>
    <hyperlink ref="D1297" r:id="rId835" display="compact 100 tirs 20 mm z hiboux multicolore"/>
    <hyperlink ref="D1301" r:id="rId836" display="compact 300 tirs 13 mm z comètes pastel"/>
    <hyperlink ref="D1308" r:id="rId837" display="compact nautique 20 tirs éventaillé bengale vert"/>
    <hyperlink ref="D1309" r:id="rId838" display="compact nautique 20 tirs éventaillé bengale violettes"/>
    <hyperlink ref="D1310" r:id="rId839" display="compact nautique 20 tirs éventaillé bengale rouge"/>
    <hyperlink ref="D1312" r:id="rId840" display="compact nautique 20 tirs éventaillé fontaine argent"/>
    <hyperlink ref="D1318" r:id="rId841" display="compact vuurwerkvisie 9 tirs backflip"/>
    <hyperlink ref="D1319" r:id="rId842" display="compact vuurwerkvisie 9 tirs dancecrew"/>
    <hyperlink ref="D1320" r:id="rId843" display="compact vuurwerkvisie 9 tirs king tut"/>
    <hyperlink ref="D1321" r:id="rId844" display="compact vuurwerkvisie 66 tirs flowmotion"/>
    <hyperlink ref="D1322" r:id="rId845" display="compact vuurwerkvisie 12 tirs tolerate"/>
    <hyperlink ref="D1323" r:id="rId846" display="compact vuurwerkvisie 30 tirs triple riot"/>
    <hyperlink ref="D1324" r:id="rId847" display="compact vuurwerkvisie 25 tirs swat team"/>
    <hyperlink ref="D1325" r:id="rId848" display="compact vuurwerkvisie 30 tirs hff underground"/>
    <hyperlink ref="D1326" r:id="rId849" display="compact vuurwerkvisie 75 tirs ruthless fan box impitoyable"/>
    <hyperlink ref="D1327" r:id="rId850" display="compact vuurwerkvisie 30 tirs volt! white red rebel"/>
    <hyperlink ref="D1328" r:id="rId851" display="compact vuurwerkvisie 36 tirs rumble"/>
    <hyperlink ref="D1329" r:id="rId852" display="compact vuurwerkvisie 60 tirs volt! wicked whistle"/>
    <hyperlink ref="D1330" r:id="rId853" display="feu automatique vuurwerkvisie 72 tirs final colorz"/>
    <hyperlink ref="D1331" r:id="rId854" display="feu automatique vuurwerkvisie 72 tirs final gold"/>
    <hyperlink ref="D1332" r:id="rId855" display="compact vuurwerkvisie 100 tirs project x"/>
    <hyperlink ref="D1333" r:id="rId856" display="compact vuurwerkvisie 100 tirs say watt"/>
    <hyperlink ref="D1334" r:id="rId857" display="compact vuurwerkvisie 100 tirs massive blinkerz"/>
    <hyperlink ref="D1335" r:id="rId858" display="feu automatique vuurwerkvisie 100 tirs presence 2 minutes"/>
    <hyperlink ref="D1336" r:id="rId859" display="feu automatique vuurwerkvisie 128 tirs kyoto kamuro 1 min"/>
    <hyperlink ref="D1337" r:id="rId860" display="feu automatique vuurwerkvisie 144 tirs sumo thunder 55 sec"/>
    <hyperlink ref="D1338" r:id="rId861" display="feu automatique vuurwerkvisie 114 tirs wave'em 75 sec"/>
    <hyperlink ref="D1339" r:id="rId862" display="feu automatique vuurwerkvisie 60 tirs db60/25 the final 50 sec"/>
    <hyperlink ref="D1340" r:id="rId863" display="compact vuurwerkvisie éventaillé 42 tirs the goat"/>
    <hyperlink ref="D1341" r:id="rId864" display="feu automatique vuurwerkvisie 231 tirs dutch protocol 1127 - protocole"/>
    <hyperlink ref="D1342" r:id="rId865" display="feu automatique vuurwerkvisie undercover 2 minutes 225 tirs"/>
    <hyperlink ref="D1343" r:id="rId866" display="feu automatique vuurwerkvisie 1498 tirs new years eve festival 5 minutes"/>
    <hyperlink ref="D1344" r:id="rId867" display="feu automatique vuurwerkvisie 180 tirs crazy staredown 110 sec"/>
    <hyperlink ref="D1345" r:id="rId868" display="feu automatique vuurwerkvisie éventaillé 156 tirs big show 208 s"/>
    <hyperlink ref="D1346" r:id="rId869" display="feu automatique vuurwerkvisie eventaille 368 tirs rio grande 195 sec"/>
    <hyperlink ref="D1347" r:id="rId870" display="feu automatique vuurwerkvisie eventaille 188 tirs stadium wave 108 sec"/>
    <hyperlink ref="D1348" r:id="rId871" display="feu automatique vuurwerkvisie 192 tirs dr.doom 123 sec"/>
    <hyperlink ref="D1349" r:id="rId872" display="compact vuurwerkvisie 192 tirs power pearls"/>
    <hyperlink ref="D1350" r:id="rId873" display="compact vuurwerkvisie 25 tirs oxygen"/>
    <hyperlink ref="D1351" r:id="rId874" display="compact vuurwerkvisie eventaille 58 tirs einstein"/>
    <hyperlink ref="D1352" r:id="rId875" display="feu automatique vuurwerkvisie éventaillé 161 tirs empire state show 3 minutes"/>
    <hyperlink ref="D1353" r:id="rId876" display="feu automatique vuurwerkvisie 1498 tirs king of the street 5 minutes"/>
    <hyperlink ref="D1354" r:id="rId877" display="compact vuurwerkvisie 25 tirs terabyte"/>
    <hyperlink ref="D1355" r:id="rId878" display="compact vuurwerkvisie 36 tirs barbed wire"/>
    <hyperlink ref="D1356" r:id="rId879" display="feu automatique vuurwerkvisie 288 tirs shots of anarchy 2 minutes 15"/>
    <hyperlink ref="D1357" r:id="rId880" display="feu automatique vuurwerkvisie eventaille 84 tirs color experiment 40 sec"/>
    <hyperlink ref="D1358" r:id="rId881" display="feu automatique vuurwerkvisie eventaille 57 tirs freestyle funky 40 sec"/>
    <hyperlink ref="D1362" r:id="rId882" display="compact black collection 83 tirs nerve center (multieffet éventaillé)"/>
    <hyperlink ref="D1363" r:id="rId883" display="compact black collection 64 tirs vertige (multieffet)"/>
    <hyperlink ref="D1364" r:id="rId884" display="compact black collection 100 tirs sensation (multieffet éventaillé)"/>
    <hyperlink ref="D1365" r:id="rId885" display="compact black collection 50 tirs tonitruant (multieffet)"/>
    <hyperlink ref="D1366" r:id="rId886" display="compact black collection 100 tirs domino (multieffet)"/>
    <hyperlink ref="D1367" r:id="rId887" display="compact black collection 35 tirs panoramique (multieffet éventaillé)"/>
    <hyperlink ref="D1368" r:id="rId888" display="compact black collection 100 tirs tempo (multieffet)"/>
    <hyperlink ref="D1369" r:id="rId889" display="compact black collection 64 tirs parade (multieffet)"/>
    <hyperlink ref="D1370" r:id="rId890" display="compact black collection 50 tirs peps (multieffet)"/>
    <hyperlink ref="D1371" r:id="rId891" display="compact black collection 36 tirs replay (multieffet)"/>
    <hyperlink ref="D1372" r:id="rId892" display="compact black collection 100 tirs nouveau monde (multieffet)"/>
    <hyperlink ref="D1374" r:id="rId893" display="feu automatique éventaillé spektakel I 50 secondes 126 tirs"/>
    <hyperlink ref="D1378" r:id="rId894" display="feu automatique time machine 120 s 118 tirs"/>
    <hyperlink ref="D1379" r:id="rId895" display="compact weco pyrotec für profis 90 s 141 tirs puissance 141"/>
    <hyperlink ref="D1380" r:id="rId896" display="compact weco symphony 85 s 113 tirs"/>
    <hyperlink ref="D1384" r:id="rId897" display="feu automatique full emotions 276 tirs"/>
    <hyperlink ref="D1385" r:id="rId898" display="feu automatique pavo 260 tirs"/>
    <hyperlink ref="D1386" r:id="rId899" display="compact butterfly 19 tirs"/>
    <hyperlink ref="D1387" r:id="rId900" display="feu automatique bling bling 146 tirs"/>
    <hyperlink ref="D1388" r:id="rId901" display="feu automatique gold monster 126 tirs"/>
    <hyperlink ref="D1389" r:id="rId902" display="feu automatique crackling monster 126 tirs"/>
    <hyperlink ref="D1395" r:id="rId903" display="jet or 25 mm - hauteur de l'effet : 2,5 m"/>
    <hyperlink ref="D1396" r:id="rId904" display="jet argent 25 mm - hauteur de l'effet : 2,5 m"/>
    <hyperlink ref="D1398" r:id="rId905" display="volcan argent base bleu 90 s"/>
    <hyperlink ref="D1400" r:id="rId906" display="volcan suisse 30 s or étoiles multicolore (2209)"/>
    <hyperlink ref="D1401" r:id="rId907" display="volcan suisse 30 s argent étoiles rose (2204)"/>
    <hyperlink ref="D1402" r:id="rId908" display="volcan suisse 30 s or puis argent base rouge (2208)"/>
    <hyperlink ref="D1403" r:id="rId909" display="volcan suisse 30 s or étoiles cli blanc (2254)"/>
    <hyperlink ref="D1405" r:id="rId910" display="volcan suisse 1 min or étoiles multicolore (2225)"/>
    <hyperlink ref="D1406" r:id="rId911" display="volcan suisse 1 min argent étoiles rouge (2223)"/>
    <hyperlink ref="D1407" r:id="rId912" display="volcan suisse 1 min kamuro (2216)"/>
    <hyperlink ref="D1408" r:id="rId913" display="volcan suisse 1 min or étoiles blanches (2224)"/>
    <hyperlink ref="D1410" r:id="rId914" display="jet argent - hauteur de l'effet : 3 m - durée : 3 s"/>
    <hyperlink ref="D1411" r:id="rId915" display="fontaine js001 argent 15 s 2,5 m"/>
    <hyperlink ref="D1413" r:id="rId916" display="jet 14 mm espagnol blanc 12 s"/>
    <hyperlink ref="D1414" r:id="rId917" display="jet 21 mm espagnol blanc 24 s"/>
    <hyperlink ref="D1418" r:id="rId918" display="cascade 10 m 24 jets 20 mm argent pointes rouge monté sur ficelle"/>
    <hyperlink ref="D1422" r:id="rId919" display="soleil composé de 8 jets 25 mm argent + lances décor rouge"/>
    <hyperlink ref="D1423" r:id="rId920" display="soleil espagnol 4 jets argent puis or puis argent puis or"/>
    <hyperlink ref="D1424" r:id="rId921" display="girandole espagnol 8 jets argent puis or puis argent puis or"/>
    <hyperlink ref="D1428" r:id="rId922" display="soucoupe espagnole double ascension or scintillant"/>
    <hyperlink ref="D1429" r:id="rId923" display="soucoupe espagnole double ascension argent"/>
    <hyperlink ref="D1433" r:id="rId924" display="lance décor argent"/>
    <hyperlink ref="D1434" r:id="rId925" display="lance décor rouge"/>
    <hyperlink ref="D1435" r:id="rId926" display="lance décor bleu"/>
    <hyperlink ref="D1436" r:id="rId927" display="lance décor violet"/>
    <hyperlink ref="D1440" r:id="rId928" display="bengale française blanc (atpm)"/>
    <hyperlink ref="D1441" r:id="rId929" display="bengale française cli. blanc (atpm)"/>
    <hyperlink ref="D1442" r:id="rId930" display="bengale française rouge (atpm)"/>
    <hyperlink ref="D1443" r:id="rId931" display="bengale française cli. rouge (atpm)"/>
    <hyperlink ref="D1444" r:id="rId932" display="bengale française bleu (atpm)"/>
    <hyperlink ref="D1446" r:id="rId933" display="flamme de bengale bleu 120 s"/>
    <hyperlink ref="D1447" r:id="rId934" display="flamme de bengale blanc 120 s"/>
    <hyperlink ref="D1448" r:id="rId935" display="flamme de bengale rouge 120 s"/>
    <hyperlink ref="D1452" r:id="rId936" display="mini gerbe argent (3 m, 1 s) (4808) théâtre"/>
    <hyperlink ref="D1453" r:id="rId937" display="gerbe argent (10 m, 5 s) (4826) théâtre"/>
    <hyperlink ref="D1454" r:id="rId938" display="gerbe argent (4,5 m, 6 s) (4830) théâtre"/>
    <hyperlink ref="D1455" r:id="rId939" display="gerbe argent (3 m, 12 s) (4840) théâtre"/>
    <hyperlink ref="D1456" r:id="rId940" display="flash de scène (1810) théâtre"/>
    <hyperlink ref="D1457" r:id="rId941" display="flash de scène extra fort (1824) théâtre"/>
    <hyperlink ref="D1458" r:id="rId942" display="colonne de flash (1832) théâtre"/>
    <hyperlink ref="D1459" r:id="rId943" display="gerbe de flammes (1850) théâtre"/>
    <hyperlink ref="D1460" r:id="rId944" display="marron de scène (8475) théâtre"/>
    <hyperlink ref="D1461" r:id="rId945" display="gerbe argent titane (4,5 m, 1,5 s)  (4815) théâtre"/>
    <hyperlink ref="D1463" r:id="rId946" display="flash de scène petit modèle avec étincelles (1811-32) théâtre"/>
    <hyperlink ref="D1467" r:id="rId947" display="flash 30 mm rouge espagnol instantané avec inflammateur tchèque 1 m"/>
    <hyperlink ref="D1468" r:id="rId948" display="flash 30 mm blanc espagnol instantané avec inflammateur tchèque 1 m"/>
    <hyperlink ref="D1472" r:id="rId949" display="fusée 75 mm star trade kamuro centre cli. blanc (0301907)"/>
    <hyperlink ref="D1473" r:id="rId950" display="fusée 75 mm star trade kamuro à changement rouge (0301908)"/>
    <hyperlink ref="D1474" r:id="rId951" display="fusée 75 mm star trade coeur rouge (0301909)"/>
    <hyperlink ref="D1475" r:id="rId952" display="fusée 75 mm star trade sourire (0301910)"/>
    <hyperlink ref="D1476" r:id="rId953" display="fusée 75 mm star trade cercle spécial n°2 (0301911)"/>
    <hyperlink ref="D1477" r:id="rId954" display="fusée top 75g raketen manhattanserie kamuro à changement bleu"/>
    <hyperlink ref="D1478" r:id="rId955" display="fusée top 75g raketen manhattanserie chrysanthème rouge"/>
    <hyperlink ref="D1479" r:id="rId956" display="fusée top 75g raketen manhattanserie cli. blanc"/>
    <hyperlink ref="D1480" r:id="rId957" display="fusée top 75g raketen manhattanserie kamuro à changement argent"/>
    <hyperlink ref="D1484" r:id="rId958" display="pétard dumbum mini (p4b)"/>
    <hyperlink ref="D1485" r:id="rId959" display="pétard dumbum f2 (p05d)"/>
    <hyperlink ref="D1486" r:id="rId960" display="pétard dumbum 120 (p10d20)"/>
    <hyperlink ref="D1487" r:id="rId961" display="pétard dumbum 2g+ (p5du13(1))"/>
    <hyperlink ref="D1488" r:id="rId962" display="pétard dumbum f3 (p066d20)"/>
    <hyperlink ref="D1489" r:id="rId963" display="monocoup 20 mm déto klasek dumbum (ss20di14)"/>
    <hyperlink ref="D1490" r:id="rId964" display="fusée klasek dumbum rakety (rs4di14)"/>
    <hyperlink ref="D1491" r:id="rId965" display="pétard en chaîne vuurwerkvisie 90 coups knalmat (1716)"/>
    <hyperlink ref="D1492" r:id="rId966" display="pétard en chaîne vuurwerkvisie 500 coups knalrol (1717)"/>
    <hyperlink ref="D1493" r:id="rId967" display="pétard en chaîne vuurwerkvisie chinese rol big 3000 pétards (1724)"/>
    <hyperlink ref="D1499" r:id="rId968" display="allumeur tchèque 1 m"/>
    <hyperlink ref="D1500" r:id="rId969" display="allumeur tchèque 3 m"/>
    <hyperlink ref="D1501" r:id="rId970" display="allumeur tchèque 5 m"/>
    <hyperlink ref="D1503" r:id="rId971" display="allumeur inerte pince 2 m"/>
    <hyperlink ref="D1512" r:id="rId972" display="mèche rapide sous conduit papier plastifié 1 m"/>
    <hyperlink ref="D1513" r:id="rId973" display="mèche lente 5 mm 1 m"/>
    <hyperlink ref="D1527" r:id="rId974" display="pyroclock jaune durée 1 s"/>
    <hyperlink ref="D1528" r:id="rId975" display="pyroclock bleu durée 1,2 s"/>
    <hyperlink ref="D1529" r:id="rId976" display="pyroclock marron durée 1,5 s"/>
    <hyperlink ref="D1530" r:id="rId977" display="pyroclock vert durée 2 s"/>
    <hyperlink ref="D1531" r:id="rId978" display="pyroclock bleu durée 2,5 s"/>
    <hyperlink ref="D1532" r:id="rId979" display="pyroclock violet durée 3 s"/>
    <hyperlink ref="D1533" r:id="rId980" display="pyroclock rouge durée 4 s"/>
    <hyperlink ref="D1534" r:id="rId981" display="pyroclock noir durée 5 s"/>
    <hyperlink ref="D1656" r:id="rId982" display="système de tir hf 1 ligne avec télécommande"/>
    <hyperlink ref="D1657" r:id="rId983" display="système de tir hf 4 lignes avec télécommande"/>
    <hyperlink ref="D1665" r:id="rId984" display="système de tir wifi 5 lignes pocket pyro"/>
    <hyperlink ref="D1728" r:id="rId985" display="torche cire durée 45 min"/>
    <hyperlink ref="D1729" r:id="rId986" display="torche cire durée 1h30"/>
    <hyperlink ref="D1735" r:id="rId987" display="feu automatique éventaillé jacques prévot 5 min 226 tirs"/>
    <hyperlink ref="D1736" r:id="rId988" display="feu automatique éventaillé jacques prévot 3 min 105 tirs"/>
    <hyperlink ref="D1737" r:id="rId989" display="feu automatique éventaillé jacques prévot 6 min 296 tirs"/>
    <hyperlink ref="D1739" r:id="rId990" display="portable silencieux 2 min luxe pyrotechnique français 22359LPF"/>
    <hyperlink ref="D1740" r:id="rId991" display="feu automatique cologne ii 5 min 920 tirs"/>
    <hyperlink ref="D1741" r:id="rId992" display="feu automatique 130 tirs optymum 60 secondes"/>
    <hyperlink ref="D1742" r:id="rId993" display="feu automatique 136 tirs maxymum 60 secondes"/>
    <hyperlink ref="D1743" r:id="rId994" display="feu automatique 139 tirs ultymum 60 secondes"/>
    <hyperlink ref="D1747" r:id="rId995" display="spectacle semi-automatique cinq sur cinq 5 minutes"/>
    <hyperlink ref="D1748" r:id="rId996" display="spectacle semi-automatique sixième sens - 6 minutes"/>
    <hyperlink ref="D1749" r:id="rId997" display="spectacle semi-automatique septième ciel - 7 minutes"/>
    <hyperlink ref="D1750" r:id="rId998" display="spectacle semi-automatique le grand huit 8 min"/>
    <hyperlink ref="D1751" r:id="rId999" display="spectacle semi-automatique la preuve par neuf - 9 minutes"/>
    <hyperlink ref="D1752" r:id="rId1000" display="spectacle semi-automatique dix sur dix 10 min"/>
  </hyperlinks>
  <printOptions headings="false" gridLines="false" gridLinesSet="true" horizontalCentered="true" verticalCentered="false"/>
  <pageMargins left="0.7875" right="0.7875" top="0.39375" bottom="0.827777777777778" header="0.511805555555555" footer="0.590277777777778"/>
  <pageSetup paperSize="9" scale="100" fitToWidth="1" fitToHeight="100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&amp;C&amp;Kb3b3b3Page &amp;P de &amp;N</oddFooter>
  </headerFooter>
  <drawing r:id="rId100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LibreOffice/7.1.8.1$Linux_X86_64 LibreOffice_project/e1f30c802c3269a1d052614453f260e49458c82c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2022-06-07T22:17:09Z</dcterms:created>
  <dc:creator/>
  <dc:description/>
  <dc:language>fr-FR</dc:language>
  <cp:lastModifiedBy/>
  <dcterms:modified xsi:type="dcterms:W3CDTF">2022-06-07T22:17:19Z</dcterms:modified>
  <cp:revision>1</cp:revision>
  <dc:subject/>
  <dc:title/>
</cp:coreProperties>
</file>