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3040" windowHeight="9396" tabRatio="668"/>
  </bookViews>
  <sheets>
    <sheet name="roketsan için kırılım" sheetId="14" r:id="rId1"/>
    <sheet name="Üretim " sheetId="6" r:id="rId2"/>
    <sheet name="sarf malzemeleri 1-3wf-melek" sheetId="10" r:id="rId3"/>
    <sheet name="Üretim 1-3_melek" sheetId="9" r:id="rId4"/>
    <sheet name="Üretim 4-5 wf-melek" sheetId="12" r:id="rId5"/>
    <sheet name="sarf malzemeleri 4-5wf-melek" sheetId="13" r:id="rId6"/>
    <sheet name="07aralık çalışma" sheetId="11" r:id="rId7"/>
  </sheets>
  <externalReferences>
    <externalReference r:id="rId8"/>
  </externalReferences>
  <definedNames>
    <definedName name="_xlnm._FilterDatabase" localSheetId="1" hidden="1">'Üretim '!$B$3:$C$67</definedName>
    <definedName name="_xlnm._FilterDatabase" localSheetId="3" hidden="1">'Üretim 1-3_melek'!$B$3:$C$68</definedName>
    <definedName name="_xlnm._FilterDatabase" localSheetId="4" hidden="1">'Üretim 4-5 wf-melek'!$B$3:$C$70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4" l="1"/>
  <c r="G8" i="11" l="1"/>
  <c r="G7" i="11"/>
  <c r="G6" i="11"/>
  <c r="D34" i="14" l="1"/>
  <c r="I25" i="14"/>
  <c r="H25" i="14"/>
  <c r="G25" i="14"/>
  <c r="F25" i="14"/>
  <c r="E25" i="14"/>
  <c r="D25" i="14"/>
  <c r="C25" i="14"/>
  <c r="B25" i="14"/>
  <c r="B17" i="14" l="1"/>
  <c r="C17" i="14" s="1"/>
  <c r="D17" i="14" s="1"/>
  <c r="E17" i="14" s="1"/>
  <c r="A9" i="14"/>
  <c r="A11" i="14"/>
  <c r="I30" i="10"/>
  <c r="E37" i="6"/>
  <c r="I5" i="10"/>
  <c r="H30" i="10"/>
  <c r="K39" i="6"/>
  <c r="K40" i="6"/>
  <c r="F17" i="14" l="1"/>
  <c r="E18" i="14"/>
  <c r="G35" i="9"/>
  <c r="F18" i="14" l="1"/>
  <c r="G17" i="14"/>
  <c r="G18" i="14" s="1"/>
  <c r="E40" i="6"/>
  <c r="E38" i="6"/>
  <c r="H31" i="10"/>
  <c r="F13" i="10"/>
  <c r="E39" i="6"/>
  <c r="K42" i="6" s="1"/>
  <c r="K29" i="13"/>
  <c r="K28" i="13"/>
  <c r="K27" i="13"/>
  <c r="K26" i="13"/>
  <c r="K25" i="13"/>
  <c r="K24" i="13"/>
  <c r="K23" i="13"/>
  <c r="K22" i="13"/>
  <c r="K21" i="13"/>
  <c r="K20" i="13"/>
  <c r="K19" i="13"/>
  <c r="K18" i="13"/>
  <c r="K17" i="13"/>
  <c r="K16" i="13"/>
  <c r="K15" i="13"/>
  <c r="K14" i="13"/>
  <c r="K13" i="13"/>
  <c r="K12" i="13"/>
  <c r="K11" i="13"/>
  <c r="K10" i="13"/>
  <c r="K9" i="13"/>
  <c r="K8" i="13"/>
  <c r="K7" i="13"/>
  <c r="K6" i="13"/>
  <c r="K5" i="13"/>
  <c r="I29" i="13"/>
  <c r="I28" i="13"/>
  <c r="I27" i="13"/>
  <c r="I26" i="13"/>
  <c r="I25" i="13"/>
  <c r="I24" i="13"/>
  <c r="I23" i="13"/>
  <c r="I22" i="13"/>
  <c r="I21" i="13"/>
  <c r="I20" i="13"/>
  <c r="I19" i="13"/>
  <c r="I18" i="13"/>
  <c r="I17" i="13"/>
  <c r="I16" i="13"/>
  <c r="I15" i="13"/>
  <c r="I14" i="13"/>
  <c r="I13" i="13"/>
  <c r="I12" i="13"/>
  <c r="I11" i="13"/>
  <c r="I10" i="13"/>
  <c r="I9" i="13"/>
  <c r="I8" i="13"/>
  <c r="I7" i="13"/>
  <c r="I6" i="13"/>
  <c r="I5" i="13"/>
  <c r="L29" i="10"/>
  <c r="L28" i="10"/>
  <c r="I29" i="10"/>
  <c r="J29" i="10" s="1"/>
  <c r="I28" i="10"/>
  <c r="J28" i="10" s="1"/>
  <c r="L27" i="10"/>
  <c r="L26" i="10"/>
  <c r="L25" i="10"/>
  <c r="L24" i="10"/>
  <c r="L23" i="10"/>
  <c r="L22" i="10"/>
  <c r="L21" i="10"/>
  <c r="L20" i="10"/>
  <c r="L19" i="10"/>
  <c r="L18" i="10"/>
  <c r="L17" i="10"/>
  <c r="L16" i="10"/>
  <c r="L15" i="10"/>
  <c r="L14" i="10"/>
  <c r="L13" i="10"/>
  <c r="L12" i="10"/>
  <c r="L11" i="10"/>
  <c r="L10" i="10"/>
  <c r="L9" i="10"/>
  <c r="L8" i="10"/>
  <c r="L7" i="10"/>
  <c r="L6" i="10"/>
  <c r="L5" i="10"/>
  <c r="I22" i="10"/>
  <c r="J22" i="10" s="1"/>
  <c r="I19" i="10"/>
  <c r="J19" i="10" s="1"/>
  <c r="I18" i="10"/>
  <c r="J18" i="10" s="1"/>
  <c r="I17" i="10"/>
  <c r="J17" i="10" s="1"/>
  <c r="I16" i="10"/>
  <c r="J16" i="10" s="1"/>
  <c r="I14" i="10"/>
  <c r="J14" i="10" s="1"/>
  <c r="I10" i="10"/>
  <c r="J10" i="10" s="1"/>
  <c r="I13" i="10"/>
  <c r="J13" i="10" s="1"/>
  <c r="I12" i="10"/>
  <c r="J12" i="10" s="1"/>
  <c r="I15" i="10"/>
  <c r="J15" i="10" s="1"/>
  <c r="I20" i="10"/>
  <c r="J20" i="10" s="1"/>
  <c r="I21" i="10"/>
  <c r="J21" i="10" s="1"/>
  <c r="I23" i="10"/>
  <c r="I24" i="10"/>
  <c r="I27" i="10"/>
  <c r="J27" i="10" s="1"/>
  <c r="I26" i="10"/>
  <c r="J26" i="10" s="1"/>
  <c r="I25" i="10"/>
  <c r="I11" i="10"/>
  <c r="J11" i="10" s="1"/>
  <c r="I6" i="10"/>
  <c r="J6" i="10" s="1"/>
  <c r="I9" i="10"/>
  <c r="J9" i="10" s="1"/>
  <c r="I8" i="10"/>
  <c r="J8" i="10" s="1"/>
  <c r="I7" i="10"/>
  <c r="J5" i="10"/>
  <c r="J7" i="10"/>
  <c r="J23" i="10"/>
  <c r="J24" i="10"/>
  <c r="J25" i="10"/>
  <c r="E36" i="13"/>
  <c r="E38" i="13" s="1"/>
  <c r="G29" i="13"/>
  <c r="H29" i="13" s="1"/>
  <c r="J28" i="13"/>
  <c r="H28" i="13"/>
  <c r="F27" i="13"/>
  <c r="J27" i="13" s="1"/>
  <c r="E27" i="13"/>
  <c r="H27" i="13" s="1"/>
  <c r="J26" i="13"/>
  <c r="F26" i="13"/>
  <c r="E26" i="13"/>
  <c r="H26" i="13" s="1"/>
  <c r="F25" i="13"/>
  <c r="J25" i="13" s="1"/>
  <c r="E25" i="13"/>
  <c r="H25" i="13" s="1"/>
  <c r="J24" i="13"/>
  <c r="F24" i="13"/>
  <c r="E24" i="13"/>
  <c r="H24" i="13" s="1"/>
  <c r="F23" i="13"/>
  <c r="J23" i="13" s="1"/>
  <c r="E23" i="13"/>
  <c r="H23" i="13" s="1"/>
  <c r="J22" i="13"/>
  <c r="F22" i="13"/>
  <c r="E22" i="13"/>
  <c r="H22" i="13" s="1"/>
  <c r="G21" i="13"/>
  <c r="J21" i="13" s="1"/>
  <c r="F21" i="13"/>
  <c r="E21" i="13"/>
  <c r="H21" i="13" s="1"/>
  <c r="G20" i="13"/>
  <c r="E20" i="13"/>
  <c r="F20" i="13" s="1"/>
  <c r="F19" i="13"/>
  <c r="J19" i="13" s="1"/>
  <c r="E19" i="13"/>
  <c r="H19" i="13" s="1"/>
  <c r="J18" i="13"/>
  <c r="H18" i="13"/>
  <c r="F17" i="13"/>
  <c r="J17" i="13" s="1"/>
  <c r="E17" i="13"/>
  <c r="H17" i="13" s="1"/>
  <c r="J16" i="13"/>
  <c r="F16" i="13"/>
  <c r="E16" i="13"/>
  <c r="H16" i="13" s="1"/>
  <c r="F15" i="13"/>
  <c r="J15" i="13" s="1"/>
  <c r="E15" i="13"/>
  <c r="H15" i="13" s="1"/>
  <c r="J14" i="13"/>
  <c r="F14" i="13"/>
  <c r="E14" i="13"/>
  <c r="H14" i="13" s="1"/>
  <c r="F13" i="13"/>
  <c r="J13" i="13" s="1"/>
  <c r="E13" i="13"/>
  <c r="H13" i="13" s="1"/>
  <c r="E12" i="13"/>
  <c r="H12" i="13" s="1"/>
  <c r="F11" i="13"/>
  <c r="J11" i="13" s="1"/>
  <c r="E11" i="13"/>
  <c r="H11" i="13" s="1"/>
  <c r="J10" i="13"/>
  <c r="H10" i="13"/>
  <c r="F10" i="13"/>
  <c r="H9" i="13"/>
  <c r="F9" i="13"/>
  <c r="J9" i="13" s="1"/>
  <c r="J8" i="13"/>
  <c r="H8" i="13"/>
  <c r="H7" i="13"/>
  <c r="E7" i="13"/>
  <c r="F7" i="13" s="1"/>
  <c r="J7" i="13" s="1"/>
  <c r="F6" i="13"/>
  <c r="J6" i="13" s="1"/>
  <c r="E6" i="13"/>
  <c r="H6" i="13" s="1"/>
  <c r="J5" i="13"/>
  <c r="H5" i="13"/>
  <c r="F5" i="13"/>
  <c r="E5" i="13"/>
  <c r="F2" i="13"/>
  <c r="E2" i="13"/>
  <c r="F43" i="12"/>
  <c r="F44" i="12" s="1"/>
  <c r="F42" i="12"/>
  <c r="W27" i="12"/>
  <c r="V27" i="12"/>
  <c r="U27" i="12"/>
  <c r="T27" i="12"/>
  <c r="S27" i="12"/>
  <c r="R27" i="12"/>
  <c r="Q27" i="12"/>
  <c r="P27" i="12"/>
  <c r="O27" i="12"/>
  <c r="N27" i="12"/>
  <c r="M27" i="12"/>
  <c r="L27" i="12"/>
  <c r="K27" i="12"/>
  <c r="J27" i="12"/>
  <c r="I27" i="12"/>
  <c r="H27" i="12"/>
  <c r="G27" i="12"/>
  <c r="F27" i="12"/>
  <c r="W22" i="12"/>
  <c r="V22" i="12"/>
  <c r="V31" i="12" s="1"/>
  <c r="U22" i="12"/>
  <c r="T22" i="12"/>
  <c r="S22" i="12"/>
  <c r="S31" i="12" s="1"/>
  <c r="R22" i="12"/>
  <c r="R31" i="12" s="1"/>
  <c r="Q22" i="12"/>
  <c r="P22" i="12"/>
  <c r="O22" i="12"/>
  <c r="N22" i="12"/>
  <c r="M22" i="12"/>
  <c r="L22" i="12"/>
  <c r="K22" i="12"/>
  <c r="J22" i="12"/>
  <c r="I22" i="12"/>
  <c r="H22" i="12"/>
  <c r="G22" i="12"/>
  <c r="F22" i="12"/>
  <c r="W15" i="12"/>
  <c r="V15" i="12"/>
  <c r="U15" i="12"/>
  <c r="T15" i="12"/>
  <c r="Q15" i="12"/>
  <c r="P15" i="12"/>
  <c r="O15" i="12"/>
  <c r="N15" i="12"/>
  <c r="M15" i="12"/>
  <c r="L15" i="12"/>
  <c r="K15" i="12"/>
  <c r="J15" i="12"/>
  <c r="I15" i="12"/>
  <c r="H15" i="12"/>
  <c r="G15" i="12"/>
  <c r="F15" i="12"/>
  <c r="W12" i="12"/>
  <c r="V12" i="12"/>
  <c r="U12" i="12"/>
  <c r="T12" i="12"/>
  <c r="Q12" i="12"/>
  <c r="P12" i="12"/>
  <c r="O12" i="12"/>
  <c r="N12" i="12"/>
  <c r="M12" i="12"/>
  <c r="L12" i="12"/>
  <c r="K12" i="12"/>
  <c r="J12" i="12"/>
  <c r="I12" i="12"/>
  <c r="H12" i="12"/>
  <c r="G12" i="12"/>
  <c r="F12" i="12"/>
  <c r="W10" i="12"/>
  <c r="V10" i="12"/>
  <c r="U10" i="12"/>
  <c r="T10" i="12"/>
  <c r="Q10" i="12"/>
  <c r="Q31" i="12" s="1"/>
  <c r="P10" i="12"/>
  <c r="O10" i="12"/>
  <c r="O31" i="12" s="1"/>
  <c r="N10" i="12"/>
  <c r="N31" i="12" s="1"/>
  <c r="M10" i="12"/>
  <c r="L10" i="12"/>
  <c r="L31" i="12" s="1"/>
  <c r="K10" i="12"/>
  <c r="J10" i="12"/>
  <c r="I10" i="12"/>
  <c r="H10" i="12"/>
  <c r="G10" i="12"/>
  <c r="F10" i="12"/>
  <c r="W5" i="12"/>
  <c r="W31" i="12" s="1"/>
  <c r="V5" i="12"/>
  <c r="U5" i="12"/>
  <c r="U31" i="12" s="1"/>
  <c r="T5" i="12"/>
  <c r="T31" i="12" s="1"/>
  <c r="Q5" i="12"/>
  <c r="P5" i="12"/>
  <c r="P31" i="12" s="1"/>
  <c r="O5" i="12"/>
  <c r="N5" i="12"/>
  <c r="M5" i="12"/>
  <c r="M31" i="12" s="1"/>
  <c r="L5" i="12"/>
  <c r="K5" i="12"/>
  <c r="K31" i="12" s="1"/>
  <c r="J5" i="12"/>
  <c r="J31" i="12" s="1"/>
  <c r="I5" i="12"/>
  <c r="I31" i="12" s="1"/>
  <c r="H5" i="12"/>
  <c r="H31" i="12" s="1"/>
  <c r="G5" i="12"/>
  <c r="G31" i="12" s="1"/>
  <c r="F5" i="12"/>
  <c r="F31" i="12" s="1"/>
  <c r="E13" i="11"/>
  <c r="E11" i="11"/>
  <c r="E10" i="11"/>
  <c r="E9" i="11"/>
  <c r="E8" i="11"/>
  <c r="E7" i="11"/>
  <c r="E6" i="11"/>
  <c r="E5" i="11"/>
  <c r="E4" i="11"/>
  <c r="E3" i="11"/>
  <c r="E2" i="11"/>
  <c r="E38" i="10"/>
  <c r="E36" i="10"/>
  <c r="H29" i="10"/>
  <c r="G29" i="10"/>
  <c r="K29" i="10" s="1"/>
  <c r="K28" i="10"/>
  <c r="H28" i="10"/>
  <c r="E27" i="10"/>
  <c r="F27" i="10" s="1"/>
  <c r="K27" i="10" s="1"/>
  <c r="K26" i="10"/>
  <c r="H26" i="10"/>
  <c r="F26" i="10"/>
  <c r="K25" i="10"/>
  <c r="H25" i="10"/>
  <c r="H24" i="10"/>
  <c r="F24" i="10"/>
  <c r="K24" i="10" s="1"/>
  <c r="H23" i="10"/>
  <c r="F23" i="10"/>
  <c r="K23" i="10" s="1"/>
  <c r="F22" i="10"/>
  <c r="K22" i="10" s="1"/>
  <c r="E22" i="10"/>
  <c r="H22" i="10" s="1"/>
  <c r="K21" i="10"/>
  <c r="G21" i="10"/>
  <c r="H21" i="10" s="1"/>
  <c r="G20" i="10"/>
  <c r="E20" i="10"/>
  <c r="F20" i="10" s="1"/>
  <c r="K19" i="10"/>
  <c r="H19" i="10"/>
  <c r="F19" i="10"/>
  <c r="K18" i="10"/>
  <c r="H18" i="10"/>
  <c r="H17" i="10"/>
  <c r="F17" i="10"/>
  <c r="K17" i="10" s="1"/>
  <c r="E16" i="10"/>
  <c r="H16" i="10" s="1"/>
  <c r="H15" i="10"/>
  <c r="F15" i="10"/>
  <c r="K15" i="10" s="1"/>
  <c r="H14" i="10"/>
  <c r="G14" i="10"/>
  <c r="K14" i="10" s="1"/>
  <c r="F14" i="10"/>
  <c r="G13" i="10"/>
  <c r="E13" i="10"/>
  <c r="E12" i="10"/>
  <c r="H12" i="10" s="1"/>
  <c r="E11" i="10"/>
  <c r="F11" i="10" s="1"/>
  <c r="K11" i="10" s="1"/>
  <c r="H10" i="10"/>
  <c r="F10" i="10"/>
  <c r="K10" i="10" s="1"/>
  <c r="H9" i="10"/>
  <c r="F9" i="10"/>
  <c r="K9" i="10" s="1"/>
  <c r="K8" i="10"/>
  <c r="H8" i="10"/>
  <c r="E7" i="10"/>
  <c r="F7" i="10" s="1"/>
  <c r="K7" i="10" s="1"/>
  <c r="H6" i="10"/>
  <c r="F6" i="10"/>
  <c r="K6" i="10" s="1"/>
  <c r="E6" i="10"/>
  <c r="K5" i="10"/>
  <c r="H5" i="10"/>
  <c r="E2" i="10"/>
  <c r="F2" i="10" s="1"/>
  <c r="F41" i="9"/>
  <c r="F42" i="9" s="1"/>
  <c r="F40" i="9"/>
  <c r="W27" i="9"/>
  <c r="V27" i="9"/>
  <c r="U27" i="9"/>
  <c r="T27" i="9"/>
  <c r="S27" i="9"/>
  <c r="R27" i="9"/>
  <c r="Q27" i="9"/>
  <c r="P27" i="9"/>
  <c r="O27" i="9"/>
  <c r="N27" i="9"/>
  <c r="M27" i="9"/>
  <c r="L27" i="9"/>
  <c r="K27" i="9"/>
  <c r="J27" i="9"/>
  <c r="I27" i="9"/>
  <c r="H27" i="9"/>
  <c r="G27" i="9"/>
  <c r="F27" i="9"/>
  <c r="W22" i="9"/>
  <c r="V22" i="9"/>
  <c r="V31" i="9" s="1"/>
  <c r="U22" i="9"/>
  <c r="U31" i="9" s="1"/>
  <c r="T22" i="9"/>
  <c r="S22" i="9"/>
  <c r="S31" i="9" s="1"/>
  <c r="R22" i="9"/>
  <c r="R31" i="9" s="1"/>
  <c r="Q22" i="9"/>
  <c r="P22" i="9"/>
  <c r="O22" i="9"/>
  <c r="N22" i="9"/>
  <c r="M22" i="9"/>
  <c r="L22" i="9"/>
  <c r="K22" i="9"/>
  <c r="J22" i="9"/>
  <c r="I22" i="9"/>
  <c r="H22" i="9"/>
  <c r="G22" i="9"/>
  <c r="F22" i="9"/>
  <c r="W15" i="9"/>
  <c r="V15" i="9"/>
  <c r="U15" i="9"/>
  <c r="T15" i="9"/>
  <c r="Q15" i="9"/>
  <c r="P15" i="9"/>
  <c r="O15" i="9"/>
  <c r="N15" i="9"/>
  <c r="M15" i="9"/>
  <c r="L15" i="9"/>
  <c r="K15" i="9"/>
  <c r="J15" i="9"/>
  <c r="I15" i="9"/>
  <c r="H15" i="9"/>
  <c r="G15" i="9"/>
  <c r="F15" i="9"/>
  <c r="W12" i="9"/>
  <c r="V12" i="9"/>
  <c r="U12" i="9"/>
  <c r="T12" i="9"/>
  <c r="Q12" i="9"/>
  <c r="P12" i="9"/>
  <c r="O12" i="9"/>
  <c r="N12" i="9"/>
  <c r="M12" i="9"/>
  <c r="L12" i="9"/>
  <c r="K12" i="9"/>
  <c r="J12" i="9"/>
  <c r="I12" i="9"/>
  <c r="H12" i="9"/>
  <c r="G12" i="9"/>
  <c r="F12" i="9"/>
  <c r="W10" i="9"/>
  <c r="W31" i="9" s="1"/>
  <c r="V10" i="9"/>
  <c r="U10" i="9"/>
  <c r="T10" i="9"/>
  <c r="Q10" i="9"/>
  <c r="P10" i="9"/>
  <c r="O10" i="9"/>
  <c r="N10" i="9"/>
  <c r="M10" i="9"/>
  <c r="L10" i="9"/>
  <c r="K10" i="9"/>
  <c r="K31" i="9" s="1"/>
  <c r="J10" i="9"/>
  <c r="J31" i="9" s="1"/>
  <c r="I10" i="9"/>
  <c r="I31" i="9" s="1"/>
  <c r="H10" i="9"/>
  <c r="G10" i="9"/>
  <c r="F10" i="9"/>
  <c r="F31" i="9" s="1"/>
  <c r="W5" i="9"/>
  <c r="V5" i="9"/>
  <c r="U5" i="9"/>
  <c r="T5" i="9"/>
  <c r="T31" i="9" s="1"/>
  <c r="Q5" i="9"/>
  <c r="Q31" i="9" s="1"/>
  <c r="P5" i="9"/>
  <c r="P31" i="9" s="1"/>
  <c r="O5" i="9"/>
  <c r="O31" i="9" s="1"/>
  <c r="N5" i="9"/>
  <c r="N31" i="9" s="1"/>
  <c r="M5" i="9"/>
  <c r="M31" i="9" s="1"/>
  <c r="L5" i="9"/>
  <c r="L31" i="9" s="1"/>
  <c r="K5" i="9"/>
  <c r="J5" i="9"/>
  <c r="I5" i="9"/>
  <c r="H5" i="9"/>
  <c r="H31" i="9" s="1"/>
  <c r="G5" i="9"/>
  <c r="G31" i="9" s="1"/>
  <c r="F5" i="9"/>
  <c r="E41" i="6" l="1"/>
  <c r="K41" i="6" s="1"/>
  <c r="K44" i="6" s="1"/>
  <c r="K45" i="6" s="1"/>
  <c r="K46" i="6" s="1"/>
  <c r="H20" i="10"/>
  <c r="K13" i="10"/>
  <c r="J20" i="13"/>
  <c r="J29" i="13"/>
  <c r="F12" i="13"/>
  <c r="J12" i="13" s="1"/>
  <c r="K30" i="13" s="1"/>
  <c r="K31" i="13" s="1"/>
  <c r="H20" i="13"/>
  <c r="I30" i="13" s="1"/>
  <c r="I31" i="13" s="1"/>
  <c r="U36" i="12"/>
  <c r="U37" i="12" s="1"/>
  <c r="U32" i="12"/>
  <c r="U33" i="12"/>
  <c r="Q33" i="12"/>
  <c r="Q36" i="12"/>
  <c r="Q37" i="12" s="1"/>
  <c r="Q32" i="12"/>
  <c r="J36" i="12"/>
  <c r="J37" i="12" s="1"/>
  <c r="J32" i="12"/>
  <c r="J33" i="12"/>
  <c r="S36" i="12"/>
  <c r="S37" i="12" s="1"/>
  <c r="S32" i="12"/>
  <c r="S33" i="12"/>
  <c r="M33" i="12"/>
  <c r="M32" i="12"/>
  <c r="M36" i="12"/>
  <c r="M37" i="12" s="1"/>
  <c r="G36" i="12"/>
  <c r="G32" i="12"/>
  <c r="G33" i="12"/>
  <c r="H36" i="12"/>
  <c r="H37" i="12" s="1"/>
  <c r="H32" i="12"/>
  <c r="H33" i="12"/>
  <c r="I36" i="12"/>
  <c r="I37" i="12" s="1"/>
  <c r="I33" i="12"/>
  <c r="I32" i="12"/>
  <c r="R36" i="12"/>
  <c r="R37" i="12" s="1"/>
  <c r="R32" i="12"/>
  <c r="R33" i="12"/>
  <c r="K32" i="12"/>
  <c r="K33" i="12"/>
  <c r="K36" i="12"/>
  <c r="K37" i="12" s="1"/>
  <c r="V36" i="12"/>
  <c r="V37" i="12" s="1"/>
  <c r="V32" i="12"/>
  <c r="V33" i="12"/>
  <c r="P33" i="12"/>
  <c r="P36" i="12"/>
  <c r="P37" i="12" s="1"/>
  <c r="P32" i="12"/>
  <c r="L32" i="12"/>
  <c r="L33" i="12"/>
  <c r="L36" i="12"/>
  <c r="L37" i="12" s="1"/>
  <c r="O33" i="12"/>
  <c r="O36" i="12"/>
  <c r="O37" i="12" s="1"/>
  <c r="O32" i="12"/>
  <c r="W32" i="12"/>
  <c r="W33" i="12"/>
  <c r="W36" i="12"/>
  <c r="W37" i="12" s="1"/>
  <c r="F36" i="12"/>
  <c r="F32" i="12"/>
  <c r="X31" i="12"/>
  <c r="Y31" i="12" s="1"/>
  <c r="F33" i="12"/>
  <c r="T36" i="12"/>
  <c r="T37" i="12" s="1"/>
  <c r="T32" i="12"/>
  <c r="T33" i="12"/>
  <c r="N36" i="12"/>
  <c r="N37" i="12" s="1"/>
  <c r="N33" i="12"/>
  <c r="N32" i="12"/>
  <c r="H13" i="10"/>
  <c r="H27" i="10"/>
  <c r="H7" i="10"/>
  <c r="F12" i="10"/>
  <c r="K12" i="10" s="1"/>
  <c r="F16" i="10"/>
  <c r="K16" i="10" s="1"/>
  <c r="L30" i="10" s="1"/>
  <c r="L31" i="10" s="1"/>
  <c r="K20" i="10"/>
  <c r="H11" i="10"/>
  <c r="X31" i="9"/>
  <c r="F34" i="9"/>
  <c r="F32" i="9"/>
  <c r="Y31" i="9"/>
  <c r="U32" i="9"/>
  <c r="U34" i="9"/>
  <c r="U35" i="9" s="1"/>
  <c r="G32" i="9"/>
  <c r="G34" i="9"/>
  <c r="L32" i="9"/>
  <c r="L34" i="9"/>
  <c r="L35" i="9" s="1"/>
  <c r="M32" i="9"/>
  <c r="M34" i="9"/>
  <c r="M35" i="9" s="1"/>
  <c r="V32" i="9"/>
  <c r="V34" i="9"/>
  <c r="V35" i="9" s="1"/>
  <c r="S34" i="9"/>
  <c r="S35" i="9" s="1"/>
  <c r="S32" i="9"/>
  <c r="W32" i="9"/>
  <c r="W34" i="9"/>
  <c r="W35" i="9" s="1"/>
  <c r="J32" i="9"/>
  <c r="J34" i="9"/>
  <c r="J35" i="9" s="1"/>
  <c r="O34" i="9"/>
  <c r="O35" i="9" s="1"/>
  <c r="O32" i="9"/>
  <c r="K32" i="9"/>
  <c r="K34" i="9"/>
  <c r="K35" i="9" s="1"/>
  <c r="R32" i="9"/>
  <c r="R34" i="9"/>
  <c r="R35" i="9" s="1"/>
  <c r="I34" i="9"/>
  <c r="I35" i="9" s="1"/>
  <c r="I32" i="9"/>
  <c r="N32" i="9"/>
  <c r="N34" i="9"/>
  <c r="N35" i="9" s="1"/>
  <c r="P34" i="9"/>
  <c r="P35" i="9" s="1"/>
  <c r="P32" i="9"/>
  <c r="Q34" i="9"/>
  <c r="Q35" i="9" s="1"/>
  <c r="Q32" i="9"/>
  <c r="T32" i="9"/>
  <c r="T34" i="9"/>
  <c r="T35" i="9" s="1"/>
  <c r="H34" i="9"/>
  <c r="H35" i="9" s="1"/>
  <c r="H32" i="9"/>
  <c r="E42" i="6" l="1"/>
  <c r="I31" i="10"/>
  <c r="J30" i="13"/>
  <c r="J31" i="13" s="1"/>
  <c r="H30" i="13"/>
  <c r="H31" i="13" s="1"/>
  <c r="X32" i="12"/>
  <c r="F41" i="12"/>
  <c r="G37" i="12"/>
  <c r="X33" i="12"/>
  <c r="F40" i="12"/>
  <c r="F45" i="12" s="1"/>
  <c r="F37" i="12"/>
  <c r="K30" i="10"/>
  <c r="K31" i="10" s="1"/>
  <c r="X32" i="9"/>
  <c r="F39" i="9"/>
  <c r="F38" i="9"/>
  <c r="F43" i="9" s="1"/>
  <c r="F35" i="9"/>
  <c r="X34" i="9"/>
  <c r="Y34" i="9" s="1"/>
  <c r="H32" i="10" l="1"/>
  <c r="W31" i="6" l="1"/>
  <c r="U34" i="6"/>
  <c r="V34" i="6"/>
  <c r="U33" i="6"/>
  <c r="V33" i="6"/>
  <c r="U27" i="6"/>
  <c r="V31" i="6" l="1"/>
  <c r="U31" i="6"/>
  <c r="V27" i="6"/>
  <c r="V22" i="6"/>
  <c r="U22" i="6"/>
  <c r="V15" i="6"/>
  <c r="U15" i="6"/>
  <c r="V12" i="6"/>
  <c r="U12" i="6"/>
  <c r="V10" i="6"/>
  <c r="U10" i="6"/>
  <c r="V5" i="6"/>
  <c r="U5" i="6"/>
  <c r="E43" i="6" l="1"/>
  <c r="E44" i="6" l="1"/>
  <c r="E45" i="6" s="1"/>
  <c r="E47" i="6" s="1"/>
  <c r="G47" i="6" s="1"/>
  <c r="E27" i="6"/>
  <c r="E22" i="6"/>
  <c r="H47" i="6" l="1"/>
  <c r="G48" i="6"/>
  <c r="Q27" i="6"/>
  <c r="R27" i="6"/>
  <c r="Q22" i="6"/>
  <c r="Q31" i="6" s="1"/>
  <c r="Q33" i="6" s="1"/>
  <c r="Q34" i="6" s="1"/>
  <c r="R22" i="6"/>
  <c r="R31" i="6" s="1"/>
  <c r="R33" i="6" s="1"/>
  <c r="R34" i="6" s="1"/>
  <c r="F27" i="6"/>
  <c r="G27" i="6"/>
  <c r="H27" i="6"/>
  <c r="I27" i="6"/>
  <c r="J27" i="6"/>
  <c r="K27" i="6"/>
  <c r="L27" i="6"/>
  <c r="M27" i="6"/>
  <c r="N27" i="6"/>
  <c r="O27" i="6"/>
  <c r="P27" i="6"/>
  <c r="S27" i="6"/>
  <c r="T27" i="6"/>
  <c r="F22" i="6"/>
  <c r="G22" i="6"/>
  <c r="H22" i="6"/>
  <c r="I22" i="6"/>
  <c r="J22" i="6"/>
  <c r="K22" i="6"/>
  <c r="L22" i="6"/>
  <c r="M22" i="6"/>
  <c r="N22" i="6"/>
  <c r="O22" i="6"/>
  <c r="P22" i="6"/>
  <c r="S22" i="6"/>
  <c r="T22" i="6"/>
  <c r="F15" i="6"/>
  <c r="G15" i="6"/>
  <c r="H15" i="6"/>
  <c r="I15" i="6"/>
  <c r="J15" i="6"/>
  <c r="K15" i="6"/>
  <c r="L15" i="6"/>
  <c r="M15" i="6"/>
  <c r="N15" i="6"/>
  <c r="O15" i="6"/>
  <c r="P15" i="6"/>
  <c r="S15" i="6"/>
  <c r="T15" i="6"/>
  <c r="E15" i="6"/>
  <c r="F12" i="6"/>
  <c r="G12" i="6"/>
  <c r="H12" i="6"/>
  <c r="I12" i="6"/>
  <c r="J12" i="6"/>
  <c r="K12" i="6"/>
  <c r="L12" i="6"/>
  <c r="M12" i="6"/>
  <c r="N12" i="6"/>
  <c r="O12" i="6"/>
  <c r="P12" i="6"/>
  <c r="S12" i="6"/>
  <c r="T12" i="6"/>
  <c r="E12" i="6"/>
  <c r="F10" i="6"/>
  <c r="G10" i="6"/>
  <c r="H10" i="6"/>
  <c r="I10" i="6"/>
  <c r="J10" i="6"/>
  <c r="K10" i="6"/>
  <c r="L10" i="6"/>
  <c r="M10" i="6"/>
  <c r="N10" i="6"/>
  <c r="O10" i="6"/>
  <c r="P10" i="6"/>
  <c r="S10" i="6"/>
  <c r="T10" i="6"/>
  <c r="E10" i="6"/>
  <c r="F5" i="6"/>
  <c r="G5" i="6"/>
  <c r="H5" i="6"/>
  <c r="I5" i="6"/>
  <c r="J5" i="6"/>
  <c r="K5" i="6"/>
  <c r="L5" i="6"/>
  <c r="M5" i="6"/>
  <c r="N5" i="6"/>
  <c r="N31" i="6" s="1"/>
  <c r="N33" i="6" s="1"/>
  <c r="N34" i="6" s="1"/>
  <c r="O5" i="6"/>
  <c r="O31" i="6" s="1"/>
  <c r="O33" i="6" s="1"/>
  <c r="O34" i="6" s="1"/>
  <c r="P5" i="6"/>
  <c r="P31" i="6" s="1"/>
  <c r="P33" i="6" s="1"/>
  <c r="P34" i="6" s="1"/>
  <c r="S5" i="6"/>
  <c r="S31" i="6" s="1"/>
  <c r="S33" i="6" s="1"/>
  <c r="S34" i="6" s="1"/>
  <c r="T5" i="6"/>
  <c r="E5" i="6"/>
  <c r="M31" i="6" l="1"/>
  <c r="M33" i="6" s="1"/>
  <c r="M34" i="6" s="1"/>
  <c r="L31" i="6"/>
  <c r="L33" i="6" s="1"/>
  <c r="L34" i="6" s="1"/>
  <c r="K31" i="6"/>
  <c r="K33" i="6" s="1"/>
  <c r="K34" i="6" s="1"/>
  <c r="J31" i="6"/>
  <c r="J33" i="6" s="1"/>
  <c r="J34" i="6" s="1"/>
  <c r="I31" i="6"/>
  <c r="I33" i="6" s="1"/>
  <c r="I34" i="6" s="1"/>
  <c r="H31" i="6"/>
  <c r="H33" i="6" s="1"/>
  <c r="H34" i="6" s="1"/>
  <c r="G31" i="6"/>
  <c r="G33" i="6" s="1"/>
  <c r="G34" i="6" s="1"/>
  <c r="E31" i="6"/>
  <c r="T31" i="6"/>
  <c r="T33" i="6" s="1"/>
  <c r="T34" i="6" s="1"/>
  <c r="F31" i="6"/>
  <c r="F33" i="6" s="1"/>
  <c r="E33" i="6" l="1"/>
  <c r="F34" i="6"/>
  <c r="E34" i="6" l="1"/>
</calcChain>
</file>

<file path=xl/comments1.xml><?xml version="1.0" encoding="utf-8"?>
<comments xmlns="http://schemas.openxmlformats.org/spreadsheetml/2006/main">
  <authors>
    <author>Yazar</author>
  </authors>
  <commentList>
    <comment ref="E9" authorId="0" shapeId="0">
      <text>
        <r>
          <rPr>
            <b/>
            <sz val="9"/>
            <color indexed="81"/>
            <rFont val="Tahoma"/>
            <family val="2"/>
          </rPr>
          <t>Yazar:</t>
        </r>
        <r>
          <rPr>
            <sz val="9"/>
            <color indexed="81"/>
            <rFont val="Tahoma"/>
            <family val="2"/>
          </rPr>
          <t xml:space="preserve">
1 şişe yaklaşık 1 lt</t>
        </r>
      </text>
    </comment>
    <comment ref="A27" authorId="0" shapeId="0">
      <text>
        <r>
          <rPr>
            <b/>
            <sz val="9"/>
            <color indexed="81"/>
            <rFont val="Tahoma"/>
            <family val="2"/>
          </rPr>
          <t>Yazar:</t>
        </r>
        <r>
          <rPr>
            <sz val="9"/>
            <color indexed="81"/>
            <rFont val="Tahoma"/>
            <family val="2"/>
          </rPr>
          <t xml:space="preserve">
AJA-1 kullanımı esnasında tükeiliyor</t>
        </r>
      </text>
    </comment>
  </commentList>
</comments>
</file>

<file path=xl/comments2.xml><?xml version="1.0" encoding="utf-8"?>
<comments xmlns="http://schemas.openxmlformats.org/spreadsheetml/2006/main">
  <authors>
    <author>Yazar</author>
  </authors>
  <commentList>
    <comment ref="E9" authorId="0" shapeId="0">
      <text>
        <r>
          <rPr>
            <b/>
            <sz val="9"/>
            <color indexed="81"/>
            <rFont val="Tahoma"/>
            <family val="2"/>
          </rPr>
          <t>Yazar:</t>
        </r>
        <r>
          <rPr>
            <sz val="9"/>
            <color indexed="81"/>
            <rFont val="Tahoma"/>
            <family val="2"/>
          </rPr>
          <t xml:space="preserve">
1 şişe yaklaşık 1 lt</t>
        </r>
      </text>
    </comment>
    <comment ref="A27" authorId="0" shapeId="0">
      <text>
        <r>
          <rPr>
            <b/>
            <sz val="9"/>
            <color indexed="81"/>
            <rFont val="Tahoma"/>
            <family val="2"/>
          </rPr>
          <t>Yazar:</t>
        </r>
        <r>
          <rPr>
            <sz val="9"/>
            <color indexed="81"/>
            <rFont val="Tahoma"/>
            <family val="2"/>
          </rPr>
          <t xml:space="preserve">
AJA-1 kullanımı esnasında tükeiliyor</t>
        </r>
      </text>
    </comment>
  </commentList>
</comments>
</file>

<file path=xl/comments3.xml><?xml version="1.0" encoding="utf-8"?>
<comments xmlns="http://schemas.openxmlformats.org/spreadsheetml/2006/main">
  <authors>
    <author>Yazar</author>
  </authors>
  <commentList>
    <comment ref="A6" authorId="0" shapeId="0">
      <text>
        <r>
          <rPr>
            <b/>
            <sz val="9"/>
            <color indexed="81"/>
            <rFont val="Tahoma"/>
            <family val="2"/>
            <charset val="162"/>
          </rPr>
          <t>Yazar:</t>
        </r>
        <r>
          <rPr>
            <sz val="9"/>
            <color indexed="81"/>
            <rFont val="Tahoma"/>
            <family val="2"/>
            <charset val="162"/>
          </rPr>
          <t xml:space="preserve">
elimizde hiç yok</t>
        </r>
      </text>
    </comment>
    <comment ref="A8" authorId="0" shapeId="0">
      <text>
        <r>
          <rPr>
            <b/>
            <sz val="9"/>
            <color indexed="81"/>
            <rFont val="Tahoma"/>
            <family val="2"/>
            <charset val="162"/>
          </rPr>
          <t>Yazar:</t>
        </r>
        <r>
          <rPr>
            <sz val="9"/>
            <color indexed="81"/>
            <rFont val="Tahoma"/>
            <family val="2"/>
            <charset val="162"/>
          </rPr>
          <t xml:space="preserve">
wafer talebi teknik destek tarafından yapılabilir</t>
        </r>
      </text>
    </comment>
    <comment ref="E10" authorId="0" shapeId="0">
      <text>
        <r>
          <rPr>
            <b/>
            <sz val="9"/>
            <color indexed="81"/>
            <rFont val="Tahoma"/>
            <family val="2"/>
            <charset val="162"/>
          </rPr>
          <t>Yazar:</t>
        </r>
        <r>
          <rPr>
            <sz val="9"/>
            <color indexed="81"/>
            <rFont val="Tahoma"/>
            <family val="2"/>
            <charset val="162"/>
          </rPr>
          <t xml:space="preserve">
target sayısı belirlenecek</t>
        </r>
      </text>
    </comment>
    <comment ref="E11" authorId="0" shapeId="0">
      <text>
        <r>
          <rPr>
            <b/>
            <sz val="9"/>
            <color indexed="81"/>
            <rFont val="Tahoma"/>
            <family val="2"/>
            <charset val="162"/>
          </rPr>
          <t>Yazar:</t>
        </r>
        <r>
          <rPr>
            <sz val="9"/>
            <color indexed="81"/>
            <rFont val="Tahoma"/>
            <family val="2"/>
            <charset val="162"/>
          </rPr>
          <t xml:space="preserve">
target sayısı belirlenecek</t>
        </r>
      </text>
    </comment>
    <comment ref="B15" authorId="0" shapeId="0">
      <text>
        <r>
          <rPr>
            <b/>
            <sz val="9"/>
            <color indexed="81"/>
            <rFont val="Tahoma"/>
            <family val="2"/>
            <charset val="162"/>
          </rPr>
          <t>Yazar:</t>
        </r>
        <r>
          <rPr>
            <sz val="9"/>
            <color indexed="81"/>
            <rFont val="Tahoma"/>
            <family val="2"/>
            <charset val="162"/>
          </rPr>
          <t xml:space="preserve">
sonradan hesaplanacak</t>
        </r>
      </text>
    </comment>
  </commentList>
</comments>
</file>

<file path=xl/sharedStrings.xml><?xml version="1.0" encoding="utf-8"?>
<sst xmlns="http://schemas.openxmlformats.org/spreadsheetml/2006/main" count="616" uniqueCount="178">
  <si>
    <t>Process Name</t>
  </si>
  <si>
    <t>Process Type</t>
  </si>
  <si>
    <t>Sub</t>
  </si>
  <si>
    <t>Step</t>
  </si>
  <si>
    <t>Labor</t>
  </si>
  <si>
    <t>Machine</t>
  </si>
  <si>
    <t>*ALL in HOUR</t>
  </si>
  <si>
    <t>*ALL in 1 WAFER (except release)</t>
  </si>
  <si>
    <t>Sarf Malzemeleri</t>
  </si>
  <si>
    <t>Aluminum Folyo</t>
  </si>
  <si>
    <t>Eldiven</t>
  </si>
  <si>
    <t>Wiper</t>
  </si>
  <si>
    <t>Birim</t>
  </si>
  <si>
    <t>Pipet Resist Steril</t>
  </si>
  <si>
    <t>Birim fiyatı  ($)</t>
  </si>
  <si>
    <t>Metal Tweezer 135 mm</t>
  </si>
  <si>
    <t xml:space="preserve">Main </t>
  </si>
  <si>
    <t>Test and Characterization</t>
  </si>
  <si>
    <t>Manual
SPINNER (SÜSS)</t>
  </si>
  <si>
    <t>WET Bench</t>
  </si>
  <si>
    <t>inspecton</t>
  </si>
  <si>
    <t>Optic Mikroskop</t>
  </si>
  <si>
    <t xml:space="preserve">ASETON </t>
  </si>
  <si>
    <t>ALCOHOL IPA</t>
  </si>
  <si>
    <t>Lift-off PR Coating&amp;Developing</t>
  </si>
  <si>
    <t>PR coating</t>
  </si>
  <si>
    <t>Metal Deposition</t>
  </si>
  <si>
    <t>Metal Lift-off</t>
  </si>
  <si>
    <t>Acetone lift-off</t>
  </si>
  <si>
    <t>PR expose</t>
  </si>
  <si>
    <t>PR developed</t>
  </si>
  <si>
    <t>Metal etch</t>
  </si>
  <si>
    <t>PR strip</t>
  </si>
  <si>
    <t>Electrode metal deposition (TiW, Cu, Au)</t>
  </si>
  <si>
    <t>PI coating&amp;developing</t>
  </si>
  <si>
    <t>PI coat</t>
  </si>
  <si>
    <t>PI develop</t>
  </si>
  <si>
    <t>PI expose</t>
  </si>
  <si>
    <t>PI cure</t>
  </si>
  <si>
    <t>Thickness measurements</t>
  </si>
  <si>
    <t>Dimension measurements</t>
  </si>
  <si>
    <t>AJA</t>
  </si>
  <si>
    <t>Dektak</t>
  </si>
  <si>
    <t>Fresenberger Oven</t>
  </si>
  <si>
    <t>Mask Aligner EVG 620</t>
  </si>
  <si>
    <t>Hirox</t>
  </si>
  <si>
    <t>Au</t>
  </si>
  <si>
    <t>Etchant (Commercial gold etchant, Transene)</t>
  </si>
  <si>
    <t>Developer (MF24A)</t>
  </si>
  <si>
    <t>Dicing Blade</t>
  </si>
  <si>
    <t>Dicing Tape</t>
  </si>
  <si>
    <t>Kasnak</t>
  </si>
  <si>
    <t>Alumina Wafer (Wafer 4" Alumina DSP 500 µm±50µm, %96)</t>
  </si>
  <si>
    <t>adet</t>
  </si>
  <si>
    <t>Silicone Wafer</t>
  </si>
  <si>
    <t>lt</t>
  </si>
  <si>
    <t>TiW (4")</t>
  </si>
  <si>
    <t>Cu (4")</t>
  </si>
  <si>
    <t>paket</t>
  </si>
  <si>
    <t>rulo</t>
  </si>
  <si>
    <t>6000 adet için</t>
  </si>
  <si>
    <t>6000adet için</t>
  </si>
  <si>
    <t>Alumina wafer özellikleri</t>
  </si>
  <si>
    <t>Silicone wafer özellikleri</t>
  </si>
  <si>
    <t>3.937'' Dia x .025''+/-.0005'' 99.6% Alumina</t>
  </si>
  <si>
    <t>2 adet maske fiyatı</t>
  </si>
  <si>
    <t>With a polished 1u-in max finish on both sides</t>
  </si>
  <si>
    <t>And a 1.279''+/-.039'' Laser-Cut Flat</t>
  </si>
  <si>
    <t>1 wafer 250 nm</t>
  </si>
  <si>
    <t>10 wafer 2500 nm</t>
  </si>
  <si>
    <t>1 nm 0.02 g</t>
  </si>
  <si>
    <t>Au miktarı</t>
  </si>
  <si>
    <t>g</t>
  </si>
  <si>
    <t>1 g au</t>
  </si>
  <si>
    <t>dolar</t>
  </si>
  <si>
    <t>50 g Au</t>
  </si>
  <si>
    <t>wafer number</t>
  </si>
  <si>
    <t>Toplam Süre</t>
  </si>
  <si>
    <t xml:space="preserve">1 wafer cihaz bedeli </t>
  </si>
  <si>
    <t xml:space="preserve">1 wafer personel bedeli </t>
  </si>
  <si>
    <t xml:space="preserve">1 wafer sarf bedeli </t>
  </si>
  <si>
    <t>Temizalan giriş ücreti</t>
  </si>
  <si>
    <t>Temizalan giriş sarf ücreti</t>
  </si>
  <si>
    <t>Toplam</t>
  </si>
  <si>
    <t>Cihaz/personel birim saati ($)</t>
  </si>
  <si>
    <t>Cihaz/personel bedeli ($)</t>
  </si>
  <si>
    <t>Öngörülmeyen ile birlikte toplam</t>
  </si>
  <si>
    <t>DISCO DAD- 3350</t>
  </si>
  <si>
    <t>Dicing</t>
  </si>
  <si>
    <t>1 die bedeli</t>
  </si>
  <si>
    <t xml:space="preserve"> ilk 4200 adetlik teslimat için ödeme alınmayacak, 4200 den sonraki teslimatlar için teslimat adedi kadarlık kabul sonrası fatura kesilecek.</t>
  </si>
  <si>
    <t>Malzeme ismi</t>
  </si>
  <si>
    <t>Miktar</t>
  </si>
  <si>
    <t>TiW, Cu, Au</t>
  </si>
  <si>
    <t>IPA kullanılacak mı</t>
  </si>
  <si>
    <t>1 LT ACET.+0.25lt IPA</t>
  </si>
  <si>
    <t>? SPR 220-7 Mİ</t>
  </si>
  <si>
    <t>mf24 a</t>
  </si>
  <si>
    <t>? Sadece altın etch mi</t>
  </si>
  <si>
    <t>mlo7</t>
  </si>
  <si>
    <t>toplam cihaz süre</t>
  </si>
  <si>
    <t>1 wf</t>
  </si>
  <si>
    <t>Mertcan</t>
  </si>
  <si>
    <t>die sayısı</t>
  </si>
  <si>
    <t>wf sayısı</t>
  </si>
  <si>
    <t>3 wf</t>
  </si>
  <si>
    <t>Planlanan Kullanım 1 wafer için</t>
  </si>
  <si>
    <t>Planlanan Kullanım 3 wafer için</t>
  </si>
  <si>
    <t>Toplam Fiyat ($)</t>
  </si>
  <si>
    <t>ok</t>
  </si>
  <si>
    <t>toplam MT cihaz kullanım süresi sıvı azot fırın yok</t>
  </si>
  <si>
    <t>kg/dk</t>
  </si>
  <si>
    <t>MLO7</t>
  </si>
  <si>
    <t>dk</t>
  </si>
  <si>
    <t>Photoresist SPR 220-7 (akışta 2 kez/wf-5*2 mlt/wf)</t>
  </si>
  <si>
    <t>mlt</t>
  </si>
  <si>
    <t>HMDS (akışta 2 kez/wf-5*2 mlt/wf)</t>
  </si>
  <si>
    <t>Dicer, DAD DI SU/ pr strip</t>
  </si>
  <si>
    <t>DI SU/ pr strip 5 cycle 5*10 lt</t>
  </si>
  <si>
    <t>nm</t>
  </si>
  <si>
    <t>lt/wf</t>
  </si>
  <si>
    <t>azot (10 lt için 0,808 kg*10 kg azot) İmperial fırın</t>
  </si>
  <si>
    <t>lt/wafer</t>
  </si>
  <si>
    <t>Argon</t>
  </si>
  <si>
    <t>toplam</t>
  </si>
  <si>
    <t>birim fiyat die malzeme maliyeti</t>
  </si>
  <si>
    <t>Wafer başına birim tüketim</t>
  </si>
  <si>
    <t>birim</t>
  </si>
  <si>
    <t xml:space="preserve">Toplam Tüketim </t>
  </si>
  <si>
    <t>220-7 (resist)</t>
  </si>
  <si>
    <t>ml/wf</t>
  </si>
  <si>
    <t>HMDS</t>
  </si>
  <si>
    <t>aseton</t>
  </si>
  <si>
    <t>malzeme kontrolü yapılacağı için miktar yazılmıyor</t>
  </si>
  <si>
    <t>HD4100 PI</t>
  </si>
  <si>
    <t>developer HD</t>
  </si>
  <si>
    <t>RİNSER HD</t>
  </si>
  <si>
    <t>Wafer (105-125)</t>
  </si>
  <si>
    <t>altın target</t>
  </si>
  <si>
    <t>bakır target</t>
  </si>
  <si>
    <t>tiw target</t>
  </si>
  <si>
    <t>altın etchant</t>
  </si>
  <si>
    <t>usgl</t>
  </si>
  <si>
    <t>bıçak</t>
  </si>
  <si>
    <t>tape</t>
  </si>
  <si>
    <t>DI su</t>
  </si>
  <si>
    <t>petri</t>
  </si>
  <si>
    <t>alkol</t>
  </si>
  <si>
    <t>4 wf</t>
  </si>
  <si>
    <t>5 wf</t>
  </si>
  <si>
    <t>Toplam (Gümrük+Navlun* ($)) KDV HARİÇ</t>
  </si>
  <si>
    <t xml:space="preserve">Toplam (Gümrük+Navlun+KDV HARİÇ* ($)) </t>
  </si>
  <si>
    <t>Teklif Bedeli</t>
  </si>
  <si>
    <t>Avans Bedeli</t>
  </si>
  <si>
    <t>Dektak Fiyatı</t>
  </si>
  <si>
    <t>personel</t>
  </si>
  <si>
    <t>sarf</t>
  </si>
  <si>
    <t>kar</t>
  </si>
  <si>
    <t>adet için maliyetler</t>
  </si>
  <si>
    <t>giriş ücretleri</t>
  </si>
  <si>
    <t>Karlı Toplam</t>
  </si>
  <si>
    <t>Birim Fiyat</t>
  </si>
  <si>
    <t>Cihaz kullanım bedeli</t>
  </si>
  <si>
    <t>parite</t>
  </si>
  <si>
    <t>artış yüzdesi</t>
  </si>
  <si>
    <t>ortalama cihaz kullanım artış</t>
  </si>
  <si>
    <t>1 euro 1.1 USD</t>
  </si>
  <si>
    <t>euro</t>
  </si>
  <si>
    <t>yk kararı ile çıkan fiyat listesi</t>
  </si>
  <si>
    <t>internet sitemiz de de yer lıyor</t>
  </si>
  <si>
    <t>ocak ayında güncellenecek</t>
  </si>
  <si>
    <t>eski fiyat (2020-2022 fiyatları)</t>
  </si>
  <si>
    <t xml:space="preserve">işçilik bedeli artış </t>
  </si>
  <si>
    <t>LEEFI Prosesinde Kullanılan Cihazlar</t>
  </si>
  <si>
    <t>-</t>
  </si>
  <si>
    <t>yeni fiyat (2023 fiyatları)</t>
  </si>
  <si>
    <t>*: Yukarıdaki tabloda yer alan fiyatlar Merkez'imiz temizalan cihazlarının birim saat ücretleridir. 14 Nisan 2023 tarihli ve 2023-18 sayılı Yönetim Kurulu Karar'ı ile revize olmuş ve internet sitemizde de yayınlanmıştır. Buna göre cihazların saatlik ücretlerinde ortalama %50, işçilik saat ücreti ise %30 artmıştır. Eğer LEEFİ birim fiyatını birebir bu artışlara göre gerçekleştirmiş olsaydık LEEFİ birim fiyatının 40 Euro'nun üzerine çıkması gerekirdi. ayrıca söz konusu cihaz fiyatlarımız Ocak ayında yeniden güncellenecektir. Biz fiyatımızı veririken bu güncellemeyi de dikkate almadık. Bu açıklamalar dikkate alındığında size vermiş oluduğumuz teklifin son derece makul olduğunu düşünmekteyiz.</t>
  </si>
  <si>
    <t>bunu verdim roketsana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</si>
</sst>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quot;₺&quot;* #,##0.00_-;_-&quot;₺&quot;* &quot;-&quot;??_-;_-@_-"/>
    <numFmt numFmtId="43" formatCode="_-* #,##0.00_-;\-* #,##0.00_-;_-* &quot;-&quot;??_-;_-@_-"/>
    <numFmt numFmtId="164" formatCode="&quot;$&quot;#,##0.00_);\(&quot;$&quot;#,##0.00\)"/>
    <numFmt numFmtId="165" formatCode="_(&quot;$&quot;* #,##0.00_);_(&quot;$&quot;* \(#,##0.00\);_(&quot;$&quot;* &quot;-&quot;??_);_(@_)"/>
    <numFmt numFmtId="166" formatCode="_(* #,##0.00_);_(* \(#,##0.00\);_(* &quot;-&quot;??_);_(@_)"/>
    <numFmt numFmtId="167" formatCode="&quot;$&quot;#,##0.00"/>
    <numFmt numFmtId="168" formatCode="[$€-2]\ #,##0.00"/>
    <numFmt numFmtId="169" formatCode="&quot;$&quot;#,##0"/>
    <numFmt numFmtId="170" formatCode="[$€-2]\ #,##0.00_);\([$€-2]\ #,##0.00\)"/>
  </numFmts>
  <fonts count="26" x14ac:knownFonts="1">
    <font>
      <sz val="11"/>
      <color theme="1"/>
      <name val="Calibri"/>
      <family val="2"/>
      <scheme val="minor"/>
    </font>
    <font>
      <sz val="11"/>
      <color theme="1"/>
      <name val="Calibri"/>
      <family val="2"/>
      <charset val="162"/>
      <scheme val="minor"/>
    </font>
    <font>
      <b/>
      <sz val="11"/>
      <color theme="1"/>
      <name val="Calibri"/>
      <family val="2"/>
      <scheme val="minor"/>
    </font>
    <font>
      <b/>
      <sz val="14"/>
      <color rgb="FFFF0000"/>
      <name val="Calibri"/>
      <family val="2"/>
      <scheme val="minor"/>
    </font>
    <font>
      <b/>
      <sz val="14"/>
      <color theme="1"/>
      <name val="Calibri"/>
      <family val="2"/>
      <scheme val="minor"/>
    </font>
    <font>
      <b/>
      <sz val="16"/>
      <color theme="1"/>
      <name val="Calibri"/>
      <family val="2"/>
      <scheme val="minor"/>
    </font>
    <font>
      <b/>
      <sz val="11"/>
      <color theme="1"/>
      <name val="Arial"/>
      <family val="2"/>
    </font>
    <font>
      <sz val="11"/>
      <color theme="0"/>
      <name val="Calibri"/>
      <family val="2"/>
      <scheme val="minor"/>
    </font>
    <font>
      <sz val="8"/>
      <color theme="1"/>
      <name val="Calibri"/>
      <family val="2"/>
      <scheme val="minor"/>
    </font>
    <font>
      <sz val="11"/>
      <color rgb="FFFFFF00"/>
      <name val="Calibri"/>
      <family val="2"/>
      <scheme val="minor"/>
    </font>
    <font>
      <sz val="16"/>
      <color rgb="FFFFFF00"/>
      <name val="Calibri"/>
      <family val="2"/>
      <scheme val="minor"/>
    </font>
    <font>
      <b/>
      <u/>
      <sz val="11"/>
      <color theme="1"/>
      <name val="Calibri"/>
      <family val="2"/>
      <charset val="162"/>
      <scheme val="minor"/>
    </font>
    <font>
      <sz val="11"/>
      <color theme="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b/>
      <sz val="9"/>
      <color indexed="81"/>
      <name val="Tahoma"/>
      <family val="2"/>
    </font>
    <font>
      <sz val="9"/>
      <color indexed="81"/>
      <name val="Tahoma"/>
      <family val="2"/>
    </font>
    <font>
      <b/>
      <sz val="12"/>
      <name val="Calibri"/>
      <family val="2"/>
      <scheme val="minor"/>
    </font>
    <font>
      <b/>
      <sz val="16"/>
      <color theme="1"/>
      <name val="Calibri"/>
      <family val="2"/>
      <charset val="162"/>
      <scheme val="minor"/>
    </font>
    <font>
      <b/>
      <sz val="11"/>
      <color theme="1"/>
      <name val="Calibri"/>
      <family val="2"/>
      <charset val="162"/>
      <scheme val="minor"/>
    </font>
    <font>
      <b/>
      <sz val="9"/>
      <color indexed="81"/>
      <name val="Tahoma"/>
      <family val="2"/>
      <charset val="162"/>
    </font>
    <font>
      <sz val="9"/>
      <color indexed="81"/>
      <name val="Tahoma"/>
      <family val="2"/>
      <charset val="162"/>
    </font>
    <font>
      <b/>
      <sz val="14"/>
      <color theme="1"/>
      <name val="Calibri"/>
      <family val="2"/>
      <charset val="162"/>
      <scheme val="minor"/>
    </font>
    <font>
      <sz val="10"/>
      <color theme="1"/>
      <name val="Calibri"/>
      <family val="2"/>
      <scheme val="minor"/>
    </font>
    <font>
      <b/>
      <sz val="10"/>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rgb="FF00B05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51FD7E"/>
        <bgColor indexed="64"/>
      </patternFill>
    </fill>
    <fill>
      <patternFill patternType="solid">
        <fgColor theme="9" tint="0.79998168889431442"/>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5">
    <xf numFmtId="0" fontId="0" fillId="0" borderId="0"/>
    <xf numFmtId="43" fontId="12" fillId="0" borderId="0" applyFont="0" applyFill="0" applyBorder="0" applyAlignment="0" applyProtection="0"/>
    <xf numFmtId="165" fontId="12" fillId="0" borderId="0" applyFont="0" applyFill="0" applyBorder="0" applyAlignment="0" applyProtection="0"/>
    <xf numFmtId="44" fontId="1" fillId="0" borderId="0" applyFont="0" applyFill="0" applyBorder="0" applyAlignment="0" applyProtection="0"/>
    <xf numFmtId="0" fontId="1" fillId="0" borderId="0"/>
  </cellStyleXfs>
  <cellXfs count="166">
    <xf numFmtId="0" fontId="0" fillId="0" borderId="0" xfId="0"/>
    <xf numFmtId="0" fontId="0" fillId="0" borderId="0" xfId="0" applyAlignment="1">
      <alignment vertical="center"/>
    </xf>
    <xf numFmtId="0" fontId="0" fillId="0" borderId="0" xfId="0" applyAlignment="1">
      <alignment vertical="center" wrapText="1"/>
    </xf>
    <xf numFmtId="0" fontId="5"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1" xfId="0" applyBorder="1" applyAlignment="1">
      <alignment vertical="center"/>
    </xf>
    <xf numFmtId="0" fontId="5" fillId="0" borderId="2" xfId="0" applyFont="1" applyBorder="1" applyAlignment="1">
      <alignment vertical="center" wrapText="1"/>
    </xf>
    <xf numFmtId="0" fontId="2" fillId="0" borderId="3" xfId="0" applyFont="1" applyBorder="1" applyAlignment="1">
      <alignment vertic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3" borderId="1" xfId="0" applyFill="1" applyBorder="1" applyAlignment="1">
      <alignment vertical="center"/>
    </xf>
    <xf numFmtId="0" fontId="0" fillId="0" borderId="2" xfId="0" applyBorder="1" applyAlignment="1">
      <alignment vertical="center"/>
    </xf>
    <xf numFmtId="0" fontId="0" fillId="3" borderId="2" xfId="0" applyFill="1" applyBorder="1" applyAlignment="1">
      <alignment vertical="center"/>
    </xf>
    <xf numFmtId="0" fontId="9" fillId="0" borderId="0" xfId="0" applyFont="1" applyFill="1" applyBorder="1" applyAlignment="1">
      <alignment vertical="center"/>
    </xf>
    <xf numFmtId="0" fontId="0" fillId="0" borderId="0" xfId="0"/>
    <xf numFmtId="0" fontId="0" fillId="0" borderId="0" xfId="0" applyAlignment="1">
      <alignment horizontal="center" vertical="center"/>
    </xf>
    <xf numFmtId="0" fontId="6" fillId="0" borderId="0" xfId="0" applyFont="1"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0" fontId="3" fillId="0" borderId="0" xfId="0" applyFont="1" applyFill="1" applyBorder="1" applyAlignment="1">
      <alignment vertical="center" wrapText="1"/>
    </xf>
    <xf numFmtId="0" fontId="0" fillId="0" borderId="0" xfId="0" applyFill="1" applyBorder="1"/>
    <xf numFmtId="0" fontId="10" fillId="2" borderId="0" xfId="0" applyFont="1" applyFill="1" applyAlignment="1">
      <alignment horizontal="center" vertical="center" wrapText="1"/>
    </xf>
    <xf numFmtId="167" fontId="0" fillId="0" borderId="0" xfId="0" applyNumberFormat="1" applyFill="1" applyBorder="1" applyAlignment="1">
      <alignment horizontal="center" vertical="center"/>
    </xf>
    <xf numFmtId="0" fontId="0" fillId="0" borderId="1" xfId="0" applyFill="1" applyBorder="1" applyAlignment="1">
      <alignment horizontal="center" vertical="center"/>
    </xf>
    <xf numFmtId="0" fontId="11" fillId="4" borderId="1" xfId="0" applyFont="1" applyFill="1" applyBorder="1" applyAlignment="1">
      <alignment vertical="center"/>
    </xf>
    <xf numFmtId="0" fontId="11" fillId="4" borderId="1" xfId="0" applyFont="1" applyFill="1" applyBorder="1" applyAlignment="1">
      <alignment horizontal="center" vertical="center" wrapText="1"/>
    </xf>
    <xf numFmtId="43" fontId="0" fillId="0" borderId="1" xfId="1" applyFont="1" applyBorder="1" applyAlignment="1">
      <alignment vertical="center"/>
    </xf>
    <xf numFmtId="0" fontId="11" fillId="4" borderId="1" xfId="0" applyFont="1" applyFill="1" applyBorder="1" applyAlignment="1">
      <alignment vertical="center" wrapText="1"/>
    </xf>
    <xf numFmtId="0" fontId="2" fillId="0" borderId="1" xfId="0" applyFont="1" applyBorder="1" applyAlignment="1">
      <alignment vertical="center"/>
    </xf>
    <xf numFmtId="0" fontId="0" fillId="0" borderId="1" xfId="0" applyBorder="1"/>
    <xf numFmtId="165" fontId="0" fillId="0" borderId="0" xfId="0" applyNumberFormat="1" applyFill="1" applyBorder="1" applyAlignment="1">
      <alignment vertical="center" wrapText="1"/>
    </xf>
    <xf numFmtId="0" fontId="0" fillId="0" borderId="8" xfId="0" applyFill="1" applyBorder="1" applyAlignment="1">
      <alignment wrapText="1"/>
    </xf>
    <xf numFmtId="0" fontId="0" fillId="0" borderId="0" xfId="0" applyFill="1" applyBorder="1" applyAlignment="1">
      <alignment wrapText="1"/>
    </xf>
    <xf numFmtId="43" fontId="0" fillId="0" borderId="1" xfId="1" applyFont="1" applyBorder="1"/>
    <xf numFmtId="0" fontId="3" fillId="3"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9" fillId="0" borderId="0" xfId="0" applyFont="1" applyFill="1" applyBorder="1" applyAlignment="1">
      <alignment horizontal="center" vertical="center"/>
    </xf>
    <xf numFmtId="0" fontId="0" fillId="3"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3" fillId="6"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0" fillId="5" borderId="1" xfId="0"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horizontal="center" vertical="center"/>
    </xf>
    <xf numFmtId="39" fontId="0" fillId="0" borderId="0" xfId="2" applyNumberFormat="1" applyFont="1" applyFill="1" applyBorder="1" applyAlignment="1">
      <alignment vertical="center" wrapText="1"/>
    </xf>
    <xf numFmtId="165" fontId="0" fillId="0" borderId="0" xfId="0" applyNumberFormat="1" applyFill="1" applyBorder="1" applyAlignment="1">
      <alignment horizontal="center" vertical="center"/>
    </xf>
    <xf numFmtId="0" fontId="15" fillId="0" borderId="0" xfId="0" applyFont="1" applyFill="1" applyBorder="1" applyAlignment="1">
      <alignment vertical="center"/>
    </xf>
    <xf numFmtId="0" fontId="0" fillId="0" borderId="1" xfId="0" applyBorder="1" applyAlignment="1">
      <alignment horizontal="center"/>
    </xf>
    <xf numFmtId="0" fontId="15" fillId="0" borderId="0" xfId="0" applyFont="1" applyFill="1" applyBorder="1" applyAlignment="1">
      <alignment horizontal="center" vertical="center"/>
    </xf>
    <xf numFmtId="166" fontId="0" fillId="0" borderId="1" xfId="0" applyNumberFormat="1" applyFont="1" applyBorder="1" applyAlignment="1">
      <alignment vertical="center"/>
    </xf>
    <xf numFmtId="0" fontId="0" fillId="0" borderId="0" xfId="0" applyAlignment="1">
      <alignment horizontal="center"/>
    </xf>
    <xf numFmtId="0" fontId="2" fillId="0" borderId="0" xfId="0" applyFont="1" applyFill="1" applyBorder="1" applyAlignment="1">
      <alignment vertical="center"/>
    </xf>
    <xf numFmtId="0" fontId="2" fillId="0" borderId="0" xfId="0" applyFont="1"/>
    <xf numFmtId="0" fontId="2" fillId="0" borderId="0" xfId="0" applyFont="1" applyFill="1" applyBorder="1" applyAlignment="1">
      <alignment vertical="center" wrapText="1"/>
    </xf>
    <xf numFmtId="167" fontId="2" fillId="0" borderId="0" xfId="0" applyNumberFormat="1" applyFont="1" applyFill="1" applyBorder="1" applyAlignment="1">
      <alignment horizontal="center" vertical="center"/>
    </xf>
    <xf numFmtId="168" fontId="0" fillId="0" borderId="0" xfId="0" applyNumberFormat="1" applyFill="1" applyBorder="1" applyAlignment="1">
      <alignment horizontal="center" vertical="center"/>
    </xf>
    <xf numFmtId="168" fontId="15" fillId="0" borderId="0" xfId="0" applyNumberFormat="1" applyFont="1" applyFill="1" applyBorder="1" applyAlignment="1">
      <alignment vertical="center"/>
    </xf>
    <xf numFmtId="0" fontId="15" fillId="0" borderId="0" xfId="0" applyFont="1" applyFill="1" applyBorder="1" applyAlignment="1">
      <alignment vertical="center" wrapText="1"/>
    </xf>
    <xf numFmtId="14" fontId="15" fillId="0" borderId="0" xfId="0" applyNumberFormat="1" applyFont="1" applyFill="1" applyBorder="1" applyAlignment="1">
      <alignment vertical="center"/>
    </xf>
    <xf numFmtId="0" fontId="18" fillId="0" borderId="0" xfId="0" applyFont="1" applyFill="1" applyBorder="1" applyAlignment="1">
      <alignment vertical="center"/>
    </xf>
    <xf numFmtId="168" fontId="18" fillId="0" borderId="0" xfId="0" applyNumberFormat="1" applyFont="1" applyFill="1" applyBorder="1" applyAlignment="1">
      <alignment vertical="center"/>
    </xf>
    <xf numFmtId="0" fontId="13" fillId="0" borderId="0" xfId="0" applyFont="1"/>
    <xf numFmtId="0" fontId="0" fillId="4" borderId="0" xfId="0" applyFill="1" applyBorder="1" applyAlignment="1">
      <alignment vertical="center" wrapText="1"/>
    </xf>
    <xf numFmtId="39" fontId="0" fillId="4" borderId="0" xfId="2" applyNumberFormat="1" applyFont="1" applyFill="1" applyBorder="1" applyAlignment="1">
      <alignment vertical="center" wrapText="1"/>
    </xf>
    <xf numFmtId="165" fontId="0" fillId="4" borderId="0" xfId="0" applyNumberFormat="1" applyFill="1" applyBorder="1" applyAlignment="1">
      <alignment vertical="center" wrapText="1"/>
    </xf>
    <xf numFmtId="167" fontId="0" fillId="4" borderId="0" xfId="0" applyNumberFormat="1" applyFill="1" applyBorder="1" applyAlignment="1">
      <alignment horizontal="center" vertical="center"/>
    </xf>
    <xf numFmtId="0" fontId="0" fillId="0" borderId="0" xfId="0" applyBorder="1" applyAlignment="1">
      <alignment vertical="center"/>
    </xf>
    <xf numFmtId="0" fontId="15" fillId="0" borderId="0" xfId="0" applyFont="1" applyFill="1" applyBorder="1" applyAlignment="1">
      <alignment horizontal="center" vertical="center"/>
    </xf>
    <xf numFmtId="166" fontId="14" fillId="7" borderId="0" xfId="0" applyNumberFormat="1" applyFont="1" applyFill="1" applyBorder="1" applyAlignment="1">
      <alignment horizontal="center" vertical="center"/>
    </xf>
    <xf numFmtId="169" fontId="2" fillId="0" borderId="0" xfId="0" applyNumberFormat="1" applyFont="1" applyFill="1" applyBorder="1" applyAlignment="1">
      <alignment horizontal="center" vertical="center"/>
    </xf>
    <xf numFmtId="0" fontId="5" fillId="0" borderId="6" xfId="0" applyFont="1" applyBorder="1" applyAlignment="1">
      <alignment vertical="center" wrapText="1"/>
    </xf>
    <xf numFmtId="0" fontId="14" fillId="8" borderId="0" xfId="0" applyFont="1" applyFill="1" applyBorder="1" applyAlignment="1">
      <alignment horizontal="center" vertical="center" wrapText="1"/>
    </xf>
    <xf numFmtId="0" fontId="6" fillId="9" borderId="0" xfId="0" applyFont="1" applyFill="1" applyBorder="1" applyAlignment="1">
      <alignment vertical="center"/>
    </xf>
    <xf numFmtId="0" fontId="3" fillId="9" borderId="0" xfId="0" applyFont="1" applyFill="1" applyBorder="1" applyAlignment="1">
      <alignment vertical="center" wrapText="1"/>
    </xf>
    <xf numFmtId="0" fontId="3" fillId="9" borderId="0" xfId="0" applyFont="1" applyFill="1" applyBorder="1" applyAlignment="1">
      <alignment horizontal="left" vertical="center" wrapText="1"/>
    </xf>
    <xf numFmtId="0" fontId="0" fillId="9" borderId="0" xfId="0" applyFill="1" applyBorder="1" applyAlignment="1">
      <alignment vertical="center" wrapText="1"/>
    </xf>
    <xf numFmtId="0" fontId="14" fillId="9" borderId="0" xfId="0" applyFont="1" applyFill="1" applyBorder="1" applyAlignment="1">
      <alignment horizontal="center" vertical="center" wrapText="1"/>
    </xf>
    <xf numFmtId="0" fontId="19" fillId="8" borderId="3" xfId="0" applyFont="1" applyFill="1" applyBorder="1" applyAlignment="1">
      <alignment horizontal="center"/>
    </xf>
    <xf numFmtId="0" fontId="19" fillId="8" borderId="4" xfId="0" applyFont="1" applyFill="1" applyBorder="1" applyAlignment="1">
      <alignment horizontal="center"/>
    </xf>
    <xf numFmtId="0" fontId="19" fillId="8" borderId="5" xfId="0" applyFont="1" applyFill="1" applyBorder="1" applyAlignment="1">
      <alignment horizontal="center"/>
    </xf>
    <xf numFmtId="0" fontId="19" fillId="8" borderId="9" xfId="0" applyFont="1" applyFill="1" applyBorder="1" applyAlignment="1">
      <alignment horizontal="center"/>
    </xf>
    <xf numFmtId="0" fontId="19" fillId="8" borderId="1" xfId="0" applyFont="1" applyFill="1" applyBorder="1" applyAlignment="1">
      <alignment horizontal="center"/>
    </xf>
    <xf numFmtId="0" fontId="19" fillId="8" borderId="10" xfId="0" applyFont="1" applyFill="1" applyBorder="1" applyAlignment="1">
      <alignment horizontal="center"/>
    </xf>
    <xf numFmtId="0" fontId="19" fillId="8" borderId="11" xfId="0" applyFont="1" applyFill="1" applyBorder="1" applyAlignment="1">
      <alignment horizontal="center"/>
    </xf>
    <xf numFmtId="0" fontId="19" fillId="8" borderId="12" xfId="0" applyFont="1" applyFill="1" applyBorder="1" applyAlignment="1">
      <alignment horizontal="center"/>
    </xf>
    <xf numFmtId="0" fontId="19" fillId="8" borderId="13" xfId="0" applyFont="1" applyFill="1" applyBorder="1" applyAlignment="1">
      <alignment horizontal="center"/>
    </xf>
    <xf numFmtId="0" fontId="11" fillId="4" borderId="16" xfId="0" applyFont="1" applyFill="1" applyBorder="1" applyAlignment="1">
      <alignment vertical="center" wrapText="1"/>
    </xf>
    <xf numFmtId="0" fontId="11" fillId="4" borderId="16" xfId="0" applyFont="1" applyFill="1" applyBorder="1" applyAlignment="1">
      <alignment horizontal="center" vertical="center" wrapText="1"/>
    </xf>
    <xf numFmtId="0" fontId="11" fillId="11" borderId="16" xfId="0" applyFont="1" applyFill="1" applyBorder="1" applyAlignment="1">
      <alignment horizontal="center" vertical="center" wrapText="1"/>
    </xf>
    <xf numFmtId="0" fontId="1" fillId="0" borderId="1" xfId="4" applyBorder="1"/>
    <xf numFmtId="43" fontId="0" fillId="0" borderId="17" xfId="1" applyFont="1" applyBorder="1"/>
    <xf numFmtId="43" fontId="0" fillId="0" borderId="17" xfId="1" applyFont="1" applyBorder="1" applyAlignment="1">
      <alignment vertical="center"/>
    </xf>
    <xf numFmtId="166" fontId="0" fillId="0" borderId="17" xfId="0" applyNumberFormat="1" applyFont="1" applyBorder="1" applyAlignment="1">
      <alignment vertical="center"/>
    </xf>
    <xf numFmtId="0" fontId="19" fillId="0" borderId="18" xfId="0" applyFont="1" applyBorder="1"/>
    <xf numFmtId="43" fontId="19" fillId="0" borderId="19" xfId="0" applyNumberFormat="1" applyFont="1" applyBorder="1"/>
    <xf numFmtId="43" fontId="19" fillId="0" borderId="20" xfId="0" applyNumberFormat="1" applyFont="1" applyBorder="1"/>
    <xf numFmtId="0" fontId="19" fillId="0" borderId="21" xfId="0" applyFont="1" applyBorder="1" applyAlignment="1">
      <alignment horizontal="center" wrapText="1"/>
    </xf>
    <xf numFmtId="43" fontId="19" fillId="0" borderId="22" xfId="0" applyNumberFormat="1" applyFont="1" applyBorder="1"/>
    <xf numFmtId="43" fontId="19" fillId="0" borderId="23" xfId="0" applyNumberFormat="1" applyFont="1" applyBorder="1"/>
    <xf numFmtId="43" fontId="0" fillId="0" borderId="0" xfId="0" applyNumberFormat="1"/>
    <xf numFmtId="0" fontId="0" fillId="7" borderId="0" xfId="0" applyFill="1"/>
    <xf numFmtId="0" fontId="0" fillId="2" borderId="0" xfId="0" applyFill="1"/>
    <xf numFmtId="2" fontId="0" fillId="0" borderId="0" xfId="0" applyNumberFormat="1"/>
    <xf numFmtId="43" fontId="0" fillId="0" borderId="1" xfId="1" applyFont="1" applyBorder="1" applyAlignment="1">
      <alignment horizontal="center" vertical="center"/>
    </xf>
    <xf numFmtId="43" fontId="0" fillId="9" borderId="1" xfId="1" applyFont="1" applyFill="1" applyBorder="1" applyAlignment="1">
      <alignment horizontal="center"/>
    </xf>
    <xf numFmtId="43" fontId="0" fillId="9" borderId="1" xfId="1" applyFont="1" applyFill="1" applyBorder="1"/>
    <xf numFmtId="43" fontId="0" fillId="9" borderId="1" xfId="1" applyFont="1" applyFill="1" applyBorder="1" applyAlignment="1">
      <alignment vertical="center"/>
    </xf>
    <xf numFmtId="166" fontId="0" fillId="9" borderId="1" xfId="0" applyNumberFormat="1" applyFont="1" applyFill="1" applyBorder="1" applyAlignment="1">
      <alignment vertical="center"/>
    </xf>
    <xf numFmtId="0" fontId="23" fillId="0" borderId="18" xfId="0" applyFont="1" applyBorder="1"/>
    <xf numFmtId="0" fontId="23" fillId="0" borderId="21" xfId="0" applyFont="1" applyBorder="1" applyAlignment="1">
      <alignment horizontal="center" wrapText="1"/>
    </xf>
    <xf numFmtId="0" fontId="20" fillId="10" borderId="24" xfId="0" applyFont="1" applyFill="1" applyBorder="1" applyAlignment="1">
      <alignment horizontal="center"/>
    </xf>
    <xf numFmtId="0" fontId="0" fillId="12" borderId="8" xfId="0" applyFill="1" applyBorder="1" applyAlignment="1">
      <alignment wrapText="1"/>
    </xf>
    <xf numFmtId="0" fontId="0" fillId="12" borderId="0" xfId="0" applyFill="1" applyBorder="1" applyAlignment="1">
      <alignment vertical="center" wrapText="1"/>
    </xf>
    <xf numFmtId="165" fontId="0" fillId="12" borderId="0" xfId="0" applyNumberFormat="1" applyFill="1" applyBorder="1" applyAlignment="1">
      <alignment vertical="center" wrapText="1"/>
    </xf>
    <xf numFmtId="0" fontId="9" fillId="12" borderId="0" xfId="0" applyFont="1" applyFill="1" applyBorder="1" applyAlignment="1">
      <alignment vertical="center"/>
    </xf>
    <xf numFmtId="0" fontId="0" fillId="12" borderId="2" xfId="0" applyFill="1" applyBorder="1" applyAlignment="1">
      <alignment vertical="center"/>
    </xf>
    <xf numFmtId="0" fontId="0" fillId="12" borderId="1" xfId="0" applyFill="1" applyBorder="1" applyAlignment="1">
      <alignment vertical="center"/>
    </xf>
    <xf numFmtId="169" fontId="13" fillId="0" borderId="0"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0" fontId="15" fillId="0" borderId="0" xfId="0" applyFont="1" applyFill="1" applyBorder="1" applyAlignment="1">
      <alignment horizontal="center" vertical="center"/>
    </xf>
    <xf numFmtId="43" fontId="19" fillId="12" borderId="19" xfId="0" applyNumberFormat="1" applyFont="1" applyFill="1" applyBorder="1"/>
    <xf numFmtId="0" fontId="15" fillId="14" borderId="0" xfId="0" applyFont="1" applyFill="1" applyBorder="1" applyAlignment="1">
      <alignment vertical="center"/>
    </xf>
    <xf numFmtId="0" fontId="13" fillId="0" borderId="0" xfId="0" applyFont="1" applyFill="1" applyBorder="1" applyAlignment="1">
      <alignment vertical="center"/>
    </xf>
    <xf numFmtId="167" fontId="0" fillId="13" borderId="0" xfId="0" applyNumberFormat="1" applyFill="1" applyBorder="1" applyAlignment="1">
      <alignment horizontal="center" vertical="center"/>
    </xf>
    <xf numFmtId="0" fontId="0" fillId="13" borderId="0" xfId="0" applyFill="1" applyBorder="1" applyAlignment="1">
      <alignment horizontal="left" vertical="center"/>
    </xf>
    <xf numFmtId="167" fontId="0" fillId="14" borderId="0" xfId="0" applyNumberFormat="1" applyFill="1" applyBorder="1" applyAlignment="1">
      <alignment horizontal="center" vertical="center"/>
    </xf>
    <xf numFmtId="0" fontId="0" fillId="14" borderId="0" xfId="0" applyFill="1" applyBorder="1" applyAlignment="1">
      <alignment horizontal="left" vertical="center"/>
    </xf>
    <xf numFmtId="167" fontId="15" fillId="14" borderId="0" xfId="0" applyNumberFormat="1" applyFont="1" applyFill="1" applyBorder="1" applyAlignment="1">
      <alignment horizontal="center" vertical="center"/>
    </xf>
    <xf numFmtId="0" fontId="15" fillId="14" borderId="0" xfId="0" applyNumberFormat="1" applyFont="1" applyFill="1" applyBorder="1" applyAlignment="1">
      <alignment horizontal="center" vertical="center"/>
    </xf>
    <xf numFmtId="170" fontId="0" fillId="0" borderId="0" xfId="0" applyNumberFormat="1" applyFill="1" applyBorder="1" applyAlignment="1">
      <alignment horizontal="center" vertical="center"/>
    </xf>
    <xf numFmtId="164" fontId="0" fillId="0" borderId="0" xfId="0" applyNumberFormat="1" applyFill="1" applyBorder="1" applyAlignment="1">
      <alignment horizontal="center" vertical="center"/>
    </xf>
    <xf numFmtId="0" fontId="24" fillId="0" borderId="1" xfId="0" applyFont="1" applyFill="1" applyBorder="1"/>
    <xf numFmtId="0" fontId="24" fillId="0" borderId="1" xfId="0" applyFont="1" applyFill="1" applyBorder="1" applyAlignment="1">
      <alignment vertical="center"/>
    </xf>
    <xf numFmtId="0" fontId="25" fillId="0" borderId="1" xfId="0" applyFont="1" applyBorder="1" applyAlignment="1">
      <alignment horizontal="center" vertical="center" wrapText="1"/>
    </xf>
    <xf numFmtId="1" fontId="24" fillId="0" borderId="1" xfId="0" applyNumberFormat="1" applyFont="1" applyFill="1" applyBorder="1" applyAlignment="1">
      <alignment horizontal="center" vertical="center" wrapText="1"/>
    </xf>
    <xf numFmtId="1" fontId="24" fillId="0" borderId="1" xfId="0" applyNumberFormat="1" applyFont="1" applyFill="1" applyBorder="1" applyAlignment="1">
      <alignment horizontal="center" vertical="center"/>
    </xf>
    <xf numFmtId="0" fontId="25" fillId="0" borderId="0" xfId="0" applyFont="1" applyFill="1" applyBorder="1"/>
    <xf numFmtId="9" fontId="2" fillId="0" borderId="0" xfId="0" applyNumberFormat="1" applyFont="1" applyAlignment="1">
      <alignment horizontal="center"/>
    </xf>
    <xf numFmtId="0" fontId="0" fillId="0" borderId="0" xfId="0" applyAlignment="1"/>
    <xf numFmtId="0" fontId="0" fillId="11" borderId="0" xfId="0" applyFill="1" applyAlignment="1"/>
    <xf numFmtId="0" fontId="15" fillId="11" borderId="0" xfId="0" applyFont="1" applyFill="1" applyBorder="1" applyAlignment="1">
      <alignment vertical="center"/>
    </xf>
    <xf numFmtId="0" fontId="25" fillId="0" borderId="1" xfId="0" applyFont="1" applyFill="1" applyBorder="1" applyAlignment="1">
      <alignment vertical="center"/>
    </xf>
    <xf numFmtId="167" fontId="24" fillId="0" borderId="1" xfId="0" applyNumberFormat="1" applyFont="1" applyBorder="1" applyAlignment="1">
      <alignment horizontal="center" vertical="center"/>
    </xf>
    <xf numFmtId="0" fontId="0" fillId="0" borderId="0" xfId="0" applyAlignment="1">
      <alignment wrapText="1"/>
    </xf>
    <xf numFmtId="0" fontId="0" fillId="0" borderId="0" xfId="0" applyAlignment="1">
      <alignment horizontal="center" wrapText="1"/>
    </xf>
    <xf numFmtId="168" fontId="0" fillId="0" borderId="0" xfId="0" applyNumberFormat="1" applyFill="1" applyBorder="1" applyAlignment="1">
      <alignment horizontal="center" vertical="center" wrapText="1"/>
    </xf>
    <xf numFmtId="0" fontId="13" fillId="0" borderId="0" xfId="0" applyFont="1" applyFill="1" applyBorder="1" applyAlignment="1">
      <alignment horizontal="center" vertical="center"/>
    </xf>
    <xf numFmtId="0" fontId="4" fillId="0" borderId="6" xfId="0" applyFont="1" applyBorder="1" applyAlignment="1">
      <alignment horizontal="center" vertical="center" wrapText="1"/>
    </xf>
    <xf numFmtId="0" fontId="4" fillId="0" borderId="2" xfId="0" applyFont="1" applyBorder="1" applyAlignment="1">
      <alignment horizontal="center" vertical="center" wrapText="1"/>
    </xf>
    <xf numFmtId="0" fontId="7" fillId="2" borderId="0" xfId="0" applyFont="1" applyFill="1" applyAlignment="1">
      <alignment horizontal="center" vertical="center" wrapText="1"/>
    </xf>
    <xf numFmtId="0" fontId="4" fillId="0" borderId="7" xfId="0" applyFont="1" applyBorder="1" applyAlignment="1">
      <alignment horizontal="center" vertical="center" wrapText="1"/>
    </xf>
    <xf numFmtId="0" fontId="20" fillId="10" borderId="14" xfId="0" applyFont="1" applyFill="1" applyBorder="1" applyAlignment="1">
      <alignment horizontal="center"/>
    </xf>
    <xf numFmtId="0" fontId="20" fillId="10" borderId="15" xfId="0" applyFont="1" applyFill="1" applyBorder="1" applyAlignment="1">
      <alignment horizontal="center"/>
    </xf>
    <xf numFmtId="0" fontId="20" fillId="11" borderId="14" xfId="0" applyFont="1" applyFill="1" applyBorder="1" applyAlignment="1">
      <alignment horizontal="center"/>
    </xf>
    <xf numFmtId="0" fontId="20" fillId="11" borderId="15" xfId="0" applyFont="1" applyFill="1" applyBorder="1" applyAlignment="1">
      <alignment horizontal="center"/>
    </xf>
    <xf numFmtId="0" fontId="15" fillId="0" borderId="0" xfId="0" applyFont="1" applyFill="1" applyBorder="1" applyAlignment="1">
      <alignment horizontal="center" vertical="center"/>
    </xf>
  </cellXfs>
  <cellStyles count="5">
    <cellStyle name="Currency 2" xfId="3"/>
    <cellStyle name="Normal" xfId="0" builtinId="0"/>
    <cellStyle name="Normal 2" xfId="4"/>
    <cellStyle name="ParaBirimi" xfId="2" builtinId="4"/>
    <cellStyle name="Virgül" xfId="1" builtinId="3"/>
  </cellStyles>
  <dxfs count="0"/>
  <tableStyles count="0" defaultTableStyle="TableStyleMedium2" defaultPivotStyle="PivotStyleLight16"/>
  <colors>
    <mruColors>
      <color rgb="FF51FD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40</xdr:row>
      <xdr:rowOff>180975</xdr:rowOff>
    </xdr:from>
    <xdr:to>
      <xdr:col>3</xdr:col>
      <xdr:colOff>342356</xdr:colOff>
      <xdr:row>43</xdr:row>
      <xdr:rowOff>76142</xdr:rowOff>
    </xdr:to>
    <xdr:pic>
      <xdr:nvPicPr>
        <xdr:cNvPr id="2" name="Picture 1">
          <a:extLst>
            <a:ext uri="{FF2B5EF4-FFF2-40B4-BE49-F238E27FC236}">
              <a16:creationId xmlns:a16="http://schemas.microsoft.com/office/drawing/2014/main" xmlns="" id="{6C42FFA4-9E88-4D88-8A40-4EAF11BCAE59}"/>
            </a:ext>
          </a:extLst>
        </xdr:cNvPr>
        <xdr:cNvPicPr>
          <a:picLocks noChangeAspect="1"/>
        </xdr:cNvPicPr>
      </xdr:nvPicPr>
      <xdr:blipFill>
        <a:blip xmlns:r="http://schemas.openxmlformats.org/officeDocument/2006/relationships" r:embed="rId1"/>
        <a:stretch>
          <a:fillRect/>
        </a:stretch>
      </xdr:blipFill>
      <xdr:spPr>
        <a:xfrm>
          <a:off x="0" y="9591675"/>
          <a:ext cx="4352381" cy="4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40</xdr:row>
      <xdr:rowOff>180975</xdr:rowOff>
    </xdr:from>
    <xdr:to>
      <xdr:col>2</xdr:col>
      <xdr:colOff>342356</xdr:colOff>
      <xdr:row>43</xdr:row>
      <xdr:rowOff>76142</xdr:rowOff>
    </xdr:to>
    <xdr:pic>
      <xdr:nvPicPr>
        <xdr:cNvPr id="2" name="Picture 1">
          <a:extLst>
            <a:ext uri="{FF2B5EF4-FFF2-40B4-BE49-F238E27FC236}">
              <a16:creationId xmlns:a16="http://schemas.microsoft.com/office/drawing/2014/main" xmlns="" id="{30390E00-57FC-4E0B-8791-76202F114412}"/>
            </a:ext>
          </a:extLst>
        </xdr:cNvPr>
        <xdr:cNvPicPr>
          <a:picLocks noChangeAspect="1"/>
        </xdr:cNvPicPr>
      </xdr:nvPicPr>
      <xdr:blipFill>
        <a:blip xmlns:r="http://schemas.openxmlformats.org/officeDocument/2006/relationships" r:embed="rId1"/>
        <a:stretch>
          <a:fillRect/>
        </a:stretch>
      </xdr:blipFill>
      <xdr:spPr>
        <a:xfrm>
          <a:off x="0" y="9248775"/>
          <a:ext cx="4352381" cy="4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ayla/AppData/Local/Temp/pid-3152/OK%20LEEFI%20-%20Maliyet%20Hesaplama_rev_yeni%20sipari&#351;_M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retim 1-3"/>
      <sheetName val="sarf malzemeleri 1-3wf"/>
      <sheetName val="07aralık çalışma"/>
      <sheetName val="Üretim 4-5 wf"/>
      <sheetName val="sarf malzemeleri 4-5 wf (2)"/>
      <sheetName val="Sarf Malzemeleri (2)"/>
      <sheetName val="son sarf"/>
    </sheetNames>
    <sheetDataSet>
      <sheetData sheetId="0">
        <row r="20">
          <cell r="F20">
            <v>1</v>
          </cell>
        </row>
        <row r="30">
          <cell r="V30">
            <v>5</v>
          </cell>
        </row>
        <row r="31">
          <cell r="J31">
            <v>7</v>
          </cell>
          <cell r="N31">
            <v>4</v>
          </cell>
          <cell r="X31">
            <v>38.299999999999997</v>
          </cell>
        </row>
        <row r="32">
          <cell r="N32">
            <v>4</v>
          </cell>
          <cell r="X32">
            <v>73.900000000000006</v>
          </cell>
        </row>
      </sheetData>
      <sheetData sheetId="1">
        <row r="12">
          <cell r="I12">
            <v>26.400000000000002</v>
          </cell>
        </row>
      </sheetData>
      <sheetData sheetId="2">
        <row r="9">
          <cell r="B9">
            <v>250</v>
          </cell>
        </row>
        <row r="10">
          <cell r="B10">
            <v>2000</v>
          </cell>
        </row>
        <row r="11">
          <cell r="B11">
            <v>175</v>
          </cell>
        </row>
      </sheetData>
      <sheetData sheetId="3">
        <row r="20">
          <cell r="F20">
            <v>1</v>
          </cell>
        </row>
        <row r="32">
          <cell r="J32">
            <v>9.3333333333333339</v>
          </cell>
          <cell r="N32">
            <v>4</v>
          </cell>
          <cell r="V32">
            <v>20</v>
          </cell>
          <cell r="X32">
            <v>94.033333333333331</v>
          </cell>
        </row>
        <row r="33">
          <cell r="J33">
            <v>11.666666666666666</v>
          </cell>
          <cell r="N33">
            <v>4</v>
          </cell>
          <cell r="V33">
            <v>25</v>
          </cell>
          <cell r="X33">
            <v>114.16666666666666</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5"/>
  <sheetViews>
    <sheetView tabSelected="1" workbookViewId="0">
      <selection activeCell="G10" sqref="G10"/>
    </sheetView>
  </sheetViews>
  <sheetFormatPr defaultRowHeight="14.4" x14ac:dyDescent="0.3"/>
  <cols>
    <col min="1" max="1" width="29.88671875" bestFit="1" customWidth="1"/>
    <col min="2" max="2" width="12" customWidth="1"/>
    <col min="3" max="3" width="13.109375" bestFit="1" customWidth="1"/>
    <col min="4" max="4" width="16.33203125" customWidth="1"/>
    <col min="5" max="5" width="13.5546875" bestFit="1" customWidth="1"/>
    <col min="6" max="6" width="13.109375" bestFit="1" customWidth="1"/>
    <col min="7" max="9" width="12.44140625" bestFit="1" customWidth="1"/>
    <col min="10" max="10" width="10.44140625" customWidth="1"/>
    <col min="13" max="13" width="33.6640625" customWidth="1"/>
  </cols>
  <sheetData>
    <row r="2" spans="1:15" x14ac:dyDescent="0.3">
      <c r="A2" s="132">
        <v>300</v>
      </c>
      <c r="B2" s="132" t="s">
        <v>158</v>
      </c>
    </row>
    <row r="3" spans="1:15" x14ac:dyDescent="0.3">
      <c r="A3" s="137">
        <v>2565.1600000000003</v>
      </c>
      <c r="B3" s="131" t="s">
        <v>162</v>
      </c>
    </row>
    <row r="4" spans="1:15" x14ac:dyDescent="0.3">
      <c r="A4" s="137">
        <v>1903.2</v>
      </c>
      <c r="B4" s="131" t="s">
        <v>155</v>
      </c>
      <c r="M4" s="15"/>
      <c r="N4" s="15"/>
      <c r="O4" s="15"/>
    </row>
    <row r="5" spans="1:15" x14ac:dyDescent="0.3">
      <c r="A5" s="137">
        <v>936</v>
      </c>
      <c r="B5" s="131" t="s">
        <v>159</v>
      </c>
      <c r="M5" s="15"/>
      <c r="N5" s="15"/>
      <c r="O5" s="15"/>
    </row>
    <row r="6" spans="1:15" x14ac:dyDescent="0.3">
      <c r="A6" s="137">
        <v>2695.5466798040984</v>
      </c>
      <c r="B6" s="131" t="s">
        <v>156</v>
      </c>
      <c r="M6" s="15"/>
      <c r="N6" s="15"/>
      <c r="O6" s="15"/>
    </row>
    <row r="7" spans="1:15" x14ac:dyDescent="0.3">
      <c r="A7" s="138">
        <v>0.2</v>
      </c>
      <c r="B7" s="131" t="s">
        <v>157</v>
      </c>
      <c r="M7" s="15"/>
      <c r="N7" s="15"/>
      <c r="O7" s="15"/>
    </row>
    <row r="8" spans="1:15" x14ac:dyDescent="0.3">
      <c r="A8" s="135">
        <v>8099.9066798040985</v>
      </c>
      <c r="B8" s="136" t="s">
        <v>83</v>
      </c>
      <c r="C8">
        <f>+A8/300</f>
        <v>26.999688932680328</v>
      </c>
      <c r="M8" s="15"/>
      <c r="N8" s="15"/>
      <c r="O8" s="15"/>
    </row>
    <row r="9" spans="1:15" x14ac:dyDescent="0.3">
      <c r="A9" s="135">
        <f>+A8*1.2</f>
        <v>9719.8880157649182</v>
      </c>
      <c r="B9" s="136" t="s">
        <v>160</v>
      </c>
      <c r="M9" s="15"/>
      <c r="N9" s="15"/>
      <c r="O9" s="15"/>
    </row>
    <row r="11" spans="1:15" x14ac:dyDescent="0.3">
      <c r="A11" s="133">
        <f>+A9/300</f>
        <v>32.399626719216393</v>
      </c>
      <c r="B11" s="134" t="s">
        <v>161</v>
      </c>
    </row>
    <row r="14" spans="1:15" x14ac:dyDescent="0.3">
      <c r="A14" s="149" t="s">
        <v>163</v>
      </c>
      <c r="B14" s="148"/>
    </row>
    <row r="15" spans="1:15" x14ac:dyDescent="0.3">
      <c r="A15" s="150" t="s">
        <v>166</v>
      </c>
      <c r="B15" s="56"/>
    </row>
    <row r="16" spans="1:15" x14ac:dyDescent="0.3">
      <c r="A16" s="19">
        <v>2020</v>
      </c>
      <c r="B16" s="19">
        <v>2021</v>
      </c>
      <c r="C16" s="129">
        <v>2022</v>
      </c>
      <c r="D16" s="19">
        <v>2023</v>
      </c>
      <c r="E16" s="19">
        <v>2024</v>
      </c>
      <c r="F16" s="19">
        <v>2025</v>
      </c>
      <c r="G16" s="19">
        <v>2026</v>
      </c>
    </row>
    <row r="17" spans="1:10" x14ac:dyDescent="0.3">
      <c r="A17" s="139">
        <v>22.5</v>
      </c>
      <c r="B17" s="139">
        <f t="shared" ref="B17:G17" si="0">+A17*1.06</f>
        <v>23.85</v>
      </c>
      <c r="C17" s="139">
        <f t="shared" si="0"/>
        <v>25.281000000000002</v>
      </c>
      <c r="D17" s="139">
        <f t="shared" si="0"/>
        <v>26.797860000000004</v>
      </c>
      <c r="E17" s="139">
        <f t="shared" si="0"/>
        <v>28.405731600000006</v>
      </c>
      <c r="F17" s="139">
        <f t="shared" si="0"/>
        <v>30.110075496000007</v>
      </c>
      <c r="G17" s="139">
        <f t="shared" si="0"/>
        <v>31.916680025760009</v>
      </c>
      <c r="H17" s="14"/>
      <c r="I17" s="14"/>
    </row>
    <row r="18" spans="1:10" x14ac:dyDescent="0.3">
      <c r="A18" s="55"/>
      <c r="B18" s="19"/>
      <c r="C18" s="14"/>
      <c r="D18" s="19"/>
      <c r="E18" s="140">
        <f>+E17*1.1</f>
        <v>31.246304760000008</v>
      </c>
      <c r="F18" s="140">
        <f>+F17*1.1</f>
        <v>33.12108304560001</v>
      </c>
      <c r="G18" s="140">
        <f>+G17*1.1</f>
        <v>35.10834802833601</v>
      </c>
      <c r="H18" s="14"/>
      <c r="I18" s="14"/>
    </row>
    <row r="22" spans="1:10" ht="41.4" x14ac:dyDescent="0.3">
      <c r="A22" s="151" t="s">
        <v>173</v>
      </c>
      <c r="B22" s="143" t="s">
        <v>19</v>
      </c>
      <c r="C22" s="143" t="s">
        <v>18</v>
      </c>
      <c r="D22" s="143" t="s">
        <v>41</v>
      </c>
      <c r="E22" s="143" t="s">
        <v>44</v>
      </c>
      <c r="F22" s="143" t="s">
        <v>43</v>
      </c>
      <c r="G22" s="143" t="s">
        <v>21</v>
      </c>
      <c r="H22" s="143" t="s">
        <v>42</v>
      </c>
      <c r="I22" s="143" t="s">
        <v>45</v>
      </c>
      <c r="J22" s="143" t="s">
        <v>87</v>
      </c>
    </row>
    <row r="23" spans="1:10" x14ac:dyDescent="0.3">
      <c r="A23" s="141" t="s">
        <v>171</v>
      </c>
      <c r="B23" s="152">
        <v>22</v>
      </c>
      <c r="C23" s="152">
        <v>32</v>
      </c>
      <c r="D23" s="152">
        <v>64</v>
      </c>
      <c r="E23" s="152">
        <v>10</v>
      </c>
      <c r="F23" s="152">
        <v>17</v>
      </c>
      <c r="G23" s="152">
        <v>8</v>
      </c>
      <c r="H23" s="152">
        <v>7</v>
      </c>
      <c r="I23" s="152">
        <v>8</v>
      </c>
      <c r="J23" s="152" t="s">
        <v>174</v>
      </c>
    </row>
    <row r="24" spans="1:10" x14ac:dyDescent="0.3">
      <c r="A24" s="141" t="s">
        <v>175</v>
      </c>
      <c r="B24" s="152">
        <v>39</v>
      </c>
      <c r="C24" s="152">
        <v>15.6</v>
      </c>
      <c r="D24" s="152">
        <v>78</v>
      </c>
      <c r="E24" s="152">
        <v>28.6</v>
      </c>
      <c r="F24" s="152">
        <v>9.1</v>
      </c>
      <c r="G24" s="152">
        <v>13</v>
      </c>
      <c r="H24" s="152">
        <v>13</v>
      </c>
      <c r="I24" s="152">
        <v>13</v>
      </c>
      <c r="J24" s="152">
        <v>20.8</v>
      </c>
    </row>
    <row r="25" spans="1:10" x14ac:dyDescent="0.3">
      <c r="A25" s="142" t="s">
        <v>164</v>
      </c>
      <c r="B25" s="144">
        <f>+(B24-B23)/22*100</f>
        <v>77.272727272727266</v>
      </c>
      <c r="C25" s="145">
        <f>+(C24-C23)/C23*100</f>
        <v>-51.249999999999993</v>
      </c>
      <c r="D25" s="145">
        <f>+(D24-D23)/64*100</f>
        <v>21.875</v>
      </c>
      <c r="E25" s="145">
        <f>+(E24-E23)/E23*100</f>
        <v>186</v>
      </c>
      <c r="F25" s="145">
        <f>+(F24-F23)/F23*100</f>
        <v>-46.470588235294116</v>
      </c>
      <c r="G25" s="145">
        <f>(G24-G23)/G23*100</f>
        <v>62.5</v>
      </c>
      <c r="H25" s="145">
        <f>(H24-H23)/H23*100</f>
        <v>85.714285714285708</v>
      </c>
      <c r="I25" s="145">
        <f>(I24-I23)/I23*100</f>
        <v>62.5</v>
      </c>
      <c r="J25" s="145"/>
    </row>
    <row r="26" spans="1:10" x14ac:dyDescent="0.3">
      <c r="A26" s="146" t="s">
        <v>165</v>
      </c>
      <c r="B26" s="147">
        <v>0.5</v>
      </c>
    </row>
    <row r="27" spans="1:10" x14ac:dyDescent="0.3">
      <c r="A27" s="146" t="s">
        <v>172</v>
      </c>
      <c r="B27" s="147">
        <v>0.3</v>
      </c>
    </row>
    <row r="28" spans="1:10" ht="78.75" customHeight="1" x14ac:dyDescent="0.3">
      <c r="A28" s="154" t="s">
        <v>176</v>
      </c>
      <c r="B28" s="154"/>
      <c r="C28" s="154"/>
      <c r="D28" s="154"/>
      <c r="E28" s="153"/>
      <c r="F28" s="153"/>
      <c r="G28" s="153"/>
      <c r="H28" s="153"/>
    </row>
    <row r="34" spans="3:8" x14ac:dyDescent="0.3">
      <c r="C34">
        <v>22.5</v>
      </c>
      <c r="D34">
        <f>+C34*1.5*1.3</f>
        <v>43.875</v>
      </c>
      <c r="E34" t="s">
        <v>167</v>
      </c>
      <c r="F34" t="s">
        <v>168</v>
      </c>
      <c r="H34" t="s">
        <v>169</v>
      </c>
    </row>
    <row r="35" spans="3:8" x14ac:dyDescent="0.3">
      <c r="H35" t="s">
        <v>170</v>
      </c>
    </row>
  </sheetData>
  <mergeCells count="1">
    <mergeCell ref="A28:D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1FD7E"/>
  </sheetPr>
  <dimension ref="A1:DA86"/>
  <sheetViews>
    <sheetView zoomScale="89" zoomScaleNormal="89" workbookViewId="0">
      <pane xSplit="3" ySplit="4" topLeftCell="D29" activePane="bottomRight" state="frozen"/>
      <selection pane="topRight" activeCell="D1" sqref="D1"/>
      <selection pane="bottomLeft" activeCell="A5" sqref="A5"/>
      <selection pane="bottomRight" activeCell="E67" sqref="E67:N70"/>
    </sheetView>
  </sheetViews>
  <sheetFormatPr defaultColWidth="9.109375" defaultRowHeight="14.4" x14ac:dyDescent="0.3"/>
  <cols>
    <col min="1" max="1" width="11.33203125" style="1" customWidth="1"/>
    <col min="2" max="2" width="11.44140625" style="2" customWidth="1"/>
    <col min="3" max="3" width="32.33203125" style="2" customWidth="1"/>
    <col min="4" max="4" width="2.33203125" style="2" customWidth="1"/>
    <col min="5" max="5" width="13.88671875" style="16" bestFit="1" customWidth="1"/>
    <col min="6" max="6" width="21.33203125" style="16" customWidth="1"/>
    <col min="7" max="7" width="16.33203125" style="16" bestFit="1" customWidth="1"/>
    <col min="8" max="8" width="13.33203125" style="16" customWidth="1"/>
    <col min="9" max="9" width="15.6640625" style="14" customWidth="1"/>
    <col min="10" max="10" width="17.5546875" style="14" customWidth="1"/>
    <col min="11" max="11" width="15.109375" style="14" customWidth="1"/>
    <col min="12" max="12" width="17.5546875" style="14" customWidth="1"/>
    <col min="13" max="13" width="20.88671875" style="14" bestFit="1" customWidth="1"/>
    <col min="14" max="14" width="17" style="14" customWidth="1"/>
    <col min="15" max="15" width="11" style="14" customWidth="1"/>
    <col min="16" max="18" width="13.44140625" style="14" customWidth="1"/>
    <col min="19" max="19" width="13.33203125" style="14" customWidth="1"/>
    <col min="20" max="20" width="11" style="14" customWidth="1"/>
    <col min="21" max="21" width="12.88671875" style="14" customWidth="1"/>
    <col min="22" max="22" width="15.5546875" style="14" customWidth="1"/>
    <col min="23" max="104" width="9.109375" style="14"/>
    <col min="105" max="16384" width="9.109375" style="1"/>
  </cols>
  <sheetData>
    <row r="1" spans="1:105" ht="15" customHeight="1" x14ac:dyDescent="0.3">
      <c r="B1" s="159" t="s">
        <v>7</v>
      </c>
      <c r="C1" s="159"/>
    </row>
    <row r="2" spans="1:105" ht="21.6" thickBot="1" x14ac:dyDescent="0.35">
      <c r="C2" s="23" t="s">
        <v>6</v>
      </c>
    </row>
    <row r="3" spans="1:105" s="6" customFormat="1" ht="72.75" customHeight="1" x14ac:dyDescent="0.3">
      <c r="A3" s="8" t="s">
        <v>3</v>
      </c>
      <c r="B3" s="9" t="s">
        <v>1</v>
      </c>
      <c r="C3" s="10" t="s">
        <v>0</v>
      </c>
      <c r="D3" s="7"/>
      <c r="E3" s="157" t="s">
        <v>19</v>
      </c>
      <c r="F3" s="158"/>
      <c r="G3" s="157" t="s">
        <v>18</v>
      </c>
      <c r="H3" s="158"/>
      <c r="I3" s="157" t="s">
        <v>41</v>
      </c>
      <c r="J3" s="158"/>
      <c r="K3" s="160" t="s">
        <v>44</v>
      </c>
      <c r="L3" s="158"/>
      <c r="M3" s="160" t="s">
        <v>43</v>
      </c>
      <c r="N3" s="158"/>
      <c r="O3" s="157" t="s">
        <v>21</v>
      </c>
      <c r="P3" s="158"/>
      <c r="Q3" s="157" t="s">
        <v>42</v>
      </c>
      <c r="R3" s="158"/>
      <c r="S3" s="157" t="s">
        <v>45</v>
      </c>
      <c r="T3" s="158"/>
      <c r="U3" s="157" t="s">
        <v>87</v>
      </c>
      <c r="V3" s="158"/>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2"/>
    </row>
    <row r="4" spans="1:105" s="6" customFormat="1" ht="21" x14ac:dyDescent="0.3">
      <c r="A4" s="30"/>
      <c r="B4" s="3"/>
      <c r="C4" s="3"/>
      <c r="D4" s="3"/>
      <c r="E4" s="4" t="s">
        <v>5</v>
      </c>
      <c r="F4" s="5" t="s">
        <v>4</v>
      </c>
      <c r="G4" s="4" t="s">
        <v>5</v>
      </c>
      <c r="H4" s="5" t="s">
        <v>4</v>
      </c>
      <c r="I4" s="4" t="s">
        <v>5</v>
      </c>
      <c r="J4" s="5" t="s">
        <v>4</v>
      </c>
      <c r="K4" s="4" t="s">
        <v>5</v>
      </c>
      <c r="L4" s="5" t="s">
        <v>4</v>
      </c>
      <c r="M4" s="5"/>
      <c r="N4" s="5"/>
      <c r="O4" s="4" t="s">
        <v>5</v>
      </c>
      <c r="P4" s="5" t="s">
        <v>4</v>
      </c>
      <c r="Q4" s="5"/>
      <c r="R4" s="5"/>
      <c r="S4" s="4" t="s">
        <v>5</v>
      </c>
      <c r="T4" s="5" t="s">
        <v>4</v>
      </c>
      <c r="U4" s="4" t="s">
        <v>5</v>
      </c>
      <c r="V4" s="5" t="s">
        <v>4</v>
      </c>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2"/>
    </row>
    <row r="5" spans="1:105" s="41" customFormat="1" ht="36" x14ac:dyDescent="0.3">
      <c r="A5" s="38">
        <v>1</v>
      </c>
      <c r="B5" s="36" t="s">
        <v>16</v>
      </c>
      <c r="C5" s="36" t="s">
        <v>24</v>
      </c>
      <c r="D5" s="36"/>
      <c r="E5" s="36">
        <f>SUM(E6:E9)</f>
        <v>1</v>
      </c>
      <c r="F5" s="36">
        <f t="shared" ref="F5:T5" si="0">SUM(F6:F9)</f>
        <v>1</v>
      </c>
      <c r="G5" s="36">
        <f t="shared" si="0"/>
        <v>1.1000000000000001</v>
      </c>
      <c r="H5" s="36">
        <f t="shared" si="0"/>
        <v>1.1000000000000001</v>
      </c>
      <c r="I5" s="36">
        <f t="shared" si="0"/>
        <v>0</v>
      </c>
      <c r="J5" s="36">
        <f t="shared" si="0"/>
        <v>0</v>
      </c>
      <c r="K5" s="36">
        <f t="shared" si="0"/>
        <v>1</v>
      </c>
      <c r="L5" s="36">
        <f t="shared" si="0"/>
        <v>1</v>
      </c>
      <c r="M5" s="36">
        <f t="shared" si="0"/>
        <v>0</v>
      </c>
      <c r="N5" s="36">
        <f t="shared" si="0"/>
        <v>0</v>
      </c>
      <c r="O5" s="36">
        <f t="shared" si="0"/>
        <v>0</v>
      </c>
      <c r="P5" s="36">
        <f t="shared" si="0"/>
        <v>0</v>
      </c>
      <c r="Q5" s="36"/>
      <c r="R5" s="36"/>
      <c r="S5" s="36">
        <f t="shared" si="0"/>
        <v>0</v>
      </c>
      <c r="T5" s="36">
        <f t="shared" si="0"/>
        <v>0</v>
      </c>
      <c r="U5" s="36">
        <f t="shared" ref="U5:V5" si="1">SUM(U6:U9)</f>
        <v>0</v>
      </c>
      <c r="V5" s="36">
        <f t="shared" si="1"/>
        <v>0</v>
      </c>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40"/>
    </row>
    <row r="6" spans="1:105" s="43" customFormat="1" ht="18" x14ac:dyDescent="0.3">
      <c r="A6" s="37">
        <v>2</v>
      </c>
      <c r="B6" s="42" t="s">
        <v>2</v>
      </c>
      <c r="C6" s="42" t="s">
        <v>25</v>
      </c>
      <c r="E6" s="37"/>
      <c r="F6" s="37"/>
      <c r="G6" s="37">
        <v>1</v>
      </c>
      <c r="H6" s="37">
        <v>1</v>
      </c>
      <c r="I6" s="37"/>
      <c r="J6" s="37"/>
      <c r="K6" s="37"/>
      <c r="L6" s="37"/>
      <c r="M6" s="37"/>
      <c r="N6" s="37"/>
      <c r="O6" s="37"/>
      <c r="P6" s="37"/>
      <c r="Q6" s="37"/>
      <c r="R6" s="37"/>
      <c r="S6" s="37"/>
      <c r="T6" s="37"/>
      <c r="U6" s="37"/>
      <c r="V6" s="37"/>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row>
    <row r="7" spans="1:105" s="43" customFormat="1" ht="18" x14ac:dyDescent="0.3">
      <c r="A7" s="37">
        <v>3</v>
      </c>
      <c r="B7" s="42" t="s">
        <v>2</v>
      </c>
      <c r="C7" s="42" t="s">
        <v>29</v>
      </c>
      <c r="E7" s="37"/>
      <c r="F7" s="37"/>
      <c r="G7" s="37"/>
      <c r="H7" s="37"/>
      <c r="I7" s="37"/>
      <c r="J7" s="37"/>
      <c r="K7" s="37">
        <v>1</v>
      </c>
      <c r="L7" s="37">
        <v>1</v>
      </c>
      <c r="M7" s="37"/>
      <c r="N7" s="37"/>
      <c r="O7" s="37"/>
      <c r="P7" s="37"/>
      <c r="Q7" s="37"/>
      <c r="R7" s="37"/>
      <c r="S7" s="37"/>
      <c r="T7" s="37"/>
      <c r="U7" s="37"/>
      <c r="V7" s="37"/>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row>
    <row r="8" spans="1:105" s="43" customFormat="1" ht="18" x14ac:dyDescent="0.3">
      <c r="A8" s="37">
        <v>4</v>
      </c>
      <c r="B8" s="42" t="s">
        <v>2</v>
      </c>
      <c r="C8" s="42" t="s">
        <v>30</v>
      </c>
      <c r="E8" s="37">
        <v>1</v>
      </c>
      <c r="F8" s="37">
        <v>1</v>
      </c>
      <c r="G8" s="37"/>
      <c r="H8" s="37"/>
      <c r="I8" s="37"/>
      <c r="J8" s="37"/>
      <c r="K8" s="37"/>
      <c r="L8" s="37"/>
      <c r="M8" s="37"/>
      <c r="N8" s="37"/>
      <c r="O8" s="37"/>
      <c r="P8" s="37"/>
      <c r="Q8" s="37"/>
      <c r="R8" s="37"/>
      <c r="S8" s="37"/>
      <c r="T8" s="37"/>
      <c r="U8" s="37"/>
      <c r="V8" s="37"/>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5"/>
    </row>
    <row r="9" spans="1:105" s="25" customFormat="1" ht="18" x14ac:dyDescent="0.3">
      <c r="A9" s="37">
        <v>5</v>
      </c>
      <c r="B9" s="42" t="s">
        <v>2</v>
      </c>
      <c r="C9" s="42" t="s">
        <v>20</v>
      </c>
      <c r="D9" s="43"/>
      <c r="E9" s="51"/>
      <c r="F9" s="51"/>
      <c r="G9" s="51">
        <v>0.1</v>
      </c>
      <c r="H9" s="51">
        <v>0.1</v>
      </c>
      <c r="I9" s="51"/>
      <c r="J9" s="51"/>
      <c r="K9" s="51"/>
      <c r="L9" s="51"/>
      <c r="M9" s="51"/>
      <c r="N9" s="51"/>
      <c r="O9" s="51"/>
      <c r="P9" s="51"/>
      <c r="Q9" s="51"/>
      <c r="R9" s="51"/>
      <c r="S9" s="51"/>
      <c r="T9" s="51"/>
      <c r="U9" s="51"/>
      <c r="V9" s="51"/>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46"/>
    </row>
    <row r="10" spans="1:105" s="41" customFormat="1" ht="18" x14ac:dyDescent="0.3">
      <c r="A10" s="47">
        <v>6</v>
      </c>
      <c r="B10" s="36" t="s">
        <v>16</v>
      </c>
      <c r="C10" s="36" t="s">
        <v>26</v>
      </c>
      <c r="D10" s="36"/>
      <c r="E10" s="36">
        <f>SUM(E11)</f>
        <v>0</v>
      </c>
      <c r="F10" s="36">
        <f t="shared" ref="F10:V10" si="2">SUM(F11)</f>
        <v>0</v>
      </c>
      <c r="G10" s="36">
        <f t="shared" si="2"/>
        <v>0</v>
      </c>
      <c r="H10" s="36">
        <f t="shared" si="2"/>
        <v>0</v>
      </c>
      <c r="I10" s="36">
        <f t="shared" si="2"/>
        <v>7</v>
      </c>
      <c r="J10" s="36">
        <f t="shared" si="2"/>
        <v>2</v>
      </c>
      <c r="K10" s="36">
        <f t="shared" si="2"/>
        <v>0</v>
      </c>
      <c r="L10" s="36">
        <f t="shared" si="2"/>
        <v>0</v>
      </c>
      <c r="M10" s="36">
        <f t="shared" si="2"/>
        <v>0</v>
      </c>
      <c r="N10" s="36">
        <f t="shared" si="2"/>
        <v>0</v>
      </c>
      <c r="O10" s="36">
        <f t="shared" si="2"/>
        <v>0</v>
      </c>
      <c r="P10" s="36">
        <f t="shared" si="2"/>
        <v>0</v>
      </c>
      <c r="Q10" s="36"/>
      <c r="R10" s="36"/>
      <c r="S10" s="36">
        <f t="shared" si="2"/>
        <v>0</v>
      </c>
      <c r="T10" s="36">
        <f t="shared" si="2"/>
        <v>0</v>
      </c>
      <c r="U10" s="36">
        <f t="shared" si="2"/>
        <v>0</v>
      </c>
      <c r="V10" s="36">
        <f t="shared" si="2"/>
        <v>0</v>
      </c>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40"/>
    </row>
    <row r="11" spans="1:105" s="25" customFormat="1" ht="28.8" x14ac:dyDescent="0.3">
      <c r="A11" s="48">
        <v>7</v>
      </c>
      <c r="B11" s="42" t="s">
        <v>2</v>
      </c>
      <c r="C11" s="42" t="s">
        <v>33</v>
      </c>
      <c r="D11" s="43"/>
      <c r="E11" s="51"/>
      <c r="F11" s="51"/>
      <c r="G11" s="51"/>
      <c r="H11" s="51"/>
      <c r="I11" s="51">
        <v>7</v>
      </c>
      <c r="J11" s="51">
        <v>2</v>
      </c>
      <c r="K11" s="51"/>
      <c r="L11" s="51"/>
      <c r="M11" s="51"/>
      <c r="N11" s="51"/>
      <c r="O11" s="51"/>
      <c r="P11" s="51"/>
      <c r="Q11" s="51"/>
      <c r="R11" s="51"/>
      <c r="S11" s="51"/>
      <c r="T11" s="51"/>
      <c r="U11" s="51"/>
      <c r="V11" s="51"/>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46"/>
    </row>
    <row r="12" spans="1:105" s="41" customFormat="1" ht="18" x14ac:dyDescent="0.3">
      <c r="A12" s="47">
        <v>8</v>
      </c>
      <c r="B12" s="36" t="s">
        <v>16</v>
      </c>
      <c r="C12" s="36" t="s">
        <v>27</v>
      </c>
      <c r="D12" s="36"/>
      <c r="E12" s="36">
        <f>SUM(E13,E14)</f>
        <v>5</v>
      </c>
      <c r="F12" s="36">
        <f t="shared" ref="F12:T12" si="3">SUM(F13,F14)</f>
        <v>0.5</v>
      </c>
      <c r="G12" s="36">
        <f t="shared" si="3"/>
        <v>0.1</v>
      </c>
      <c r="H12" s="36">
        <f t="shared" si="3"/>
        <v>0.1</v>
      </c>
      <c r="I12" s="36">
        <f t="shared" si="3"/>
        <v>0</v>
      </c>
      <c r="J12" s="36">
        <f t="shared" si="3"/>
        <v>0</v>
      </c>
      <c r="K12" s="36">
        <f t="shared" si="3"/>
        <v>0</v>
      </c>
      <c r="L12" s="36">
        <f t="shared" si="3"/>
        <v>0</v>
      </c>
      <c r="M12" s="36">
        <f t="shared" si="3"/>
        <v>0</v>
      </c>
      <c r="N12" s="36">
        <f t="shared" si="3"/>
        <v>0</v>
      </c>
      <c r="O12" s="36">
        <f t="shared" si="3"/>
        <v>0</v>
      </c>
      <c r="P12" s="36">
        <f t="shared" si="3"/>
        <v>0</v>
      </c>
      <c r="Q12" s="36"/>
      <c r="R12" s="36"/>
      <c r="S12" s="36">
        <f t="shared" si="3"/>
        <v>0</v>
      </c>
      <c r="T12" s="36">
        <f t="shared" si="3"/>
        <v>0</v>
      </c>
      <c r="U12" s="36">
        <f t="shared" ref="U12:V12" si="4">SUM(U13,U14)</f>
        <v>0</v>
      </c>
      <c r="V12" s="36">
        <f t="shared" si="4"/>
        <v>0</v>
      </c>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40"/>
    </row>
    <row r="13" spans="1:105" s="25" customFormat="1" ht="18" x14ac:dyDescent="0.3">
      <c r="A13" s="48">
        <v>9</v>
      </c>
      <c r="B13" s="42" t="s">
        <v>2</v>
      </c>
      <c r="C13" s="42" t="s">
        <v>28</v>
      </c>
      <c r="D13" s="43"/>
      <c r="E13" s="51">
        <v>5</v>
      </c>
      <c r="F13" s="51">
        <v>0.5</v>
      </c>
      <c r="G13" s="51"/>
      <c r="H13" s="51"/>
      <c r="I13" s="51"/>
      <c r="J13" s="51"/>
      <c r="K13" s="51"/>
      <c r="L13" s="51"/>
      <c r="M13" s="51"/>
      <c r="N13" s="51"/>
      <c r="O13" s="51"/>
      <c r="P13" s="51"/>
      <c r="Q13" s="51"/>
      <c r="R13" s="51"/>
      <c r="S13" s="51"/>
      <c r="T13" s="51"/>
      <c r="U13" s="51"/>
      <c r="V13" s="51"/>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46"/>
    </row>
    <row r="14" spans="1:105" s="25" customFormat="1" ht="18" x14ac:dyDescent="0.3">
      <c r="A14" s="37">
        <v>10</v>
      </c>
      <c r="B14" s="42" t="s">
        <v>2</v>
      </c>
      <c r="C14" s="42" t="s">
        <v>20</v>
      </c>
      <c r="D14" s="43"/>
      <c r="E14" s="51"/>
      <c r="F14" s="51"/>
      <c r="G14" s="51">
        <v>0.1</v>
      </c>
      <c r="H14" s="51">
        <v>0.1</v>
      </c>
      <c r="I14" s="51"/>
      <c r="J14" s="51"/>
      <c r="K14" s="51"/>
      <c r="L14" s="51"/>
      <c r="M14" s="51"/>
      <c r="N14" s="51"/>
      <c r="O14" s="51"/>
      <c r="P14" s="51"/>
      <c r="Q14" s="51"/>
      <c r="R14" s="51"/>
      <c r="S14" s="51"/>
      <c r="T14" s="51"/>
      <c r="U14" s="51"/>
      <c r="V14" s="51"/>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46"/>
    </row>
    <row r="15" spans="1:105" s="41" customFormat="1" ht="18" x14ac:dyDescent="0.3">
      <c r="A15" s="38">
        <v>11</v>
      </c>
      <c r="B15" s="36" t="s">
        <v>16</v>
      </c>
      <c r="C15" s="36" t="s">
        <v>31</v>
      </c>
      <c r="D15" s="36"/>
      <c r="E15" s="36">
        <f>SUM(E16:E21)</f>
        <v>3.5</v>
      </c>
      <c r="F15" s="36">
        <f t="shared" ref="F15:T15" si="5">SUM(F16:F21)</f>
        <v>3</v>
      </c>
      <c r="G15" s="36">
        <f t="shared" si="5"/>
        <v>1.1000000000000001</v>
      </c>
      <c r="H15" s="36">
        <f t="shared" si="5"/>
        <v>1.1000000000000001</v>
      </c>
      <c r="I15" s="36">
        <f t="shared" si="5"/>
        <v>0</v>
      </c>
      <c r="J15" s="36">
        <f t="shared" si="5"/>
        <v>0</v>
      </c>
      <c r="K15" s="36">
        <f t="shared" si="5"/>
        <v>1</v>
      </c>
      <c r="L15" s="36">
        <f t="shared" si="5"/>
        <v>1</v>
      </c>
      <c r="M15" s="36">
        <f t="shared" si="5"/>
        <v>0</v>
      </c>
      <c r="N15" s="36">
        <f t="shared" si="5"/>
        <v>0</v>
      </c>
      <c r="O15" s="36">
        <f t="shared" si="5"/>
        <v>0</v>
      </c>
      <c r="P15" s="36">
        <f t="shared" si="5"/>
        <v>0</v>
      </c>
      <c r="Q15" s="36"/>
      <c r="R15" s="36"/>
      <c r="S15" s="36">
        <f t="shared" si="5"/>
        <v>0</v>
      </c>
      <c r="T15" s="36">
        <f t="shared" si="5"/>
        <v>0</v>
      </c>
      <c r="U15" s="36">
        <f t="shared" ref="U15:V15" si="6">SUM(U16:U21)</f>
        <v>0</v>
      </c>
      <c r="V15" s="36">
        <f t="shared" si="6"/>
        <v>0</v>
      </c>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40"/>
    </row>
    <row r="16" spans="1:105" s="25" customFormat="1" ht="18" x14ac:dyDescent="0.3">
      <c r="A16" s="37">
        <v>12</v>
      </c>
      <c r="B16" s="42" t="s">
        <v>2</v>
      </c>
      <c r="C16" s="49" t="s">
        <v>25</v>
      </c>
      <c r="D16" s="43"/>
      <c r="E16" s="51"/>
      <c r="F16" s="51"/>
      <c r="G16" s="51">
        <v>1</v>
      </c>
      <c r="H16" s="51">
        <v>1</v>
      </c>
      <c r="I16" s="51"/>
      <c r="J16" s="51"/>
      <c r="K16" s="51"/>
      <c r="L16" s="51"/>
      <c r="M16" s="51"/>
      <c r="N16" s="51"/>
      <c r="O16" s="51"/>
      <c r="P16" s="51"/>
      <c r="Q16" s="51"/>
      <c r="R16" s="51"/>
      <c r="S16" s="51"/>
      <c r="T16" s="51"/>
      <c r="U16" s="51"/>
      <c r="V16" s="51"/>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46"/>
    </row>
    <row r="17" spans="1:105" s="25" customFormat="1" ht="18" x14ac:dyDescent="0.3">
      <c r="A17" s="48">
        <v>13</v>
      </c>
      <c r="B17" s="42"/>
      <c r="C17" s="42" t="s">
        <v>29</v>
      </c>
      <c r="D17" s="43"/>
      <c r="E17" s="51"/>
      <c r="F17" s="51"/>
      <c r="G17" s="51"/>
      <c r="H17" s="51"/>
      <c r="I17" s="51"/>
      <c r="J17" s="51"/>
      <c r="K17" s="51">
        <v>1</v>
      </c>
      <c r="L17" s="51">
        <v>1</v>
      </c>
      <c r="M17" s="51"/>
      <c r="N17" s="51"/>
      <c r="O17" s="51"/>
      <c r="P17" s="51"/>
      <c r="Q17" s="51"/>
      <c r="R17" s="51"/>
      <c r="S17" s="51"/>
      <c r="T17" s="51"/>
      <c r="U17" s="51"/>
      <c r="V17" s="51"/>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46"/>
    </row>
    <row r="18" spans="1:105" s="25" customFormat="1" ht="18" x14ac:dyDescent="0.3">
      <c r="A18" s="50">
        <v>14</v>
      </c>
      <c r="B18" s="42"/>
      <c r="C18" s="42" t="s">
        <v>30</v>
      </c>
      <c r="D18" s="43"/>
      <c r="E18" s="51">
        <v>1</v>
      </c>
      <c r="F18" s="51">
        <v>1</v>
      </c>
      <c r="G18" s="51"/>
      <c r="H18" s="51"/>
      <c r="I18" s="51"/>
      <c r="J18" s="51"/>
      <c r="K18" s="51"/>
      <c r="L18" s="51"/>
      <c r="M18" s="51"/>
      <c r="N18" s="51"/>
      <c r="O18" s="51"/>
      <c r="P18" s="51"/>
      <c r="Q18" s="51"/>
      <c r="R18" s="51"/>
      <c r="S18" s="51"/>
      <c r="T18" s="51"/>
      <c r="U18" s="51"/>
      <c r="V18" s="51"/>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46"/>
    </row>
    <row r="19" spans="1:105" s="25" customFormat="1" ht="18" x14ac:dyDescent="0.3">
      <c r="A19" s="48">
        <v>15</v>
      </c>
      <c r="B19" s="42"/>
      <c r="C19" s="42" t="s">
        <v>31</v>
      </c>
      <c r="D19" s="43"/>
      <c r="E19" s="51">
        <v>1.5</v>
      </c>
      <c r="F19" s="51">
        <v>1.5</v>
      </c>
      <c r="G19" s="51"/>
      <c r="H19" s="51"/>
      <c r="I19" s="51"/>
      <c r="J19" s="51"/>
      <c r="K19" s="51"/>
      <c r="L19" s="51"/>
      <c r="M19" s="51"/>
      <c r="N19" s="51"/>
      <c r="O19" s="51"/>
      <c r="P19" s="51"/>
      <c r="Q19" s="51"/>
      <c r="R19" s="51"/>
      <c r="S19" s="51"/>
      <c r="T19" s="51"/>
      <c r="U19" s="51"/>
      <c r="V19" s="51"/>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46"/>
    </row>
    <row r="20" spans="1:105" s="25" customFormat="1" ht="18" x14ac:dyDescent="0.3">
      <c r="A20" s="50">
        <v>16</v>
      </c>
      <c r="B20" s="42" t="s">
        <v>2</v>
      </c>
      <c r="C20" s="42" t="s">
        <v>32</v>
      </c>
      <c r="D20" s="43"/>
      <c r="E20" s="51">
        <v>1</v>
      </c>
      <c r="F20" s="51">
        <v>0.5</v>
      </c>
      <c r="G20" s="51"/>
      <c r="H20" s="51"/>
      <c r="I20" s="51"/>
      <c r="J20" s="51"/>
      <c r="K20" s="51"/>
      <c r="L20" s="51"/>
      <c r="M20" s="51"/>
      <c r="N20" s="51"/>
      <c r="O20" s="51"/>
      <c r="P20" s="51"/>
      <c r="Q20" s="51"/>
      <c r="R20" s="51"/>
      <c r="S20" s="51"/>
      <c r="T20" s="51"/>
      <c r="U20" s="51"/>
      <c r="V20" s="51"/>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46"/>
    </row>
    <row r="21" spans="1:105" s="25" customFormat="1" ht="18" x14ac:dyDescent="0.3">
      <c r="A21" s="48">
        <v>17</v>
      </c>
      <c r="B21" s="42" t="s">
        <v>2</v>
      </c>
      <c r="C21" s="42" t="s">
        <v>20</v>
      </c>
      <c r="D21" s="43"/>
      <c r="E21" s="51"/>
      <c r="F21" s="51"/>
      <c r="G21" s="51">
        <v>0.1</v>
      </c>
      <c r="H21" s="51">
        <v>0.1</v>
      </c>
      <c r="I21" s="51"/>
      <c r="J21" s="51"/>
      <c r="K21" s="51"/>
      <c r="L21" s="51"/>
      <c r="M21" s="51"/>
      <c r="N21" s="51"/>
      <c r="O21" s="51"/>
      <c r="P21" s="51"/>
      <c r="Q21" s="51"/>
      <c r="R21" s="51"/>
      <c r="S21" s="51"/>
      <c r="T21" s="51"/>
      <c r="U21" s="51"/>
      <c r="V21" s="51"/>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46"/>
    </row>
    <row r="22" spans="1:105" s="41" customFormat="1" ht="18" x14ac:dyDescent="0.3">
      <c r="A22" s="47">
        <v>18</v>
      </c>
      <c r="B22" s="36" t="s">
        <v>16</v>
      </c>
      <c r="C22" s="36" t="s">
        <v>34</v>
      </c>
      <c r="D22" s="36"/>
      <c r="E22" s="36">
        <f>SUM(E23:E26)</f>
        <v>0</v>
      </c>
      <c r="F22" s="36">
        <f t="shared" ref="F22:T22" si="7">SUM(F23:F26)</f>
        <v>0</v>
      </c>
      <c r="G22" s="36">
        <f t="shared" si="7"/>
        <v>2.5</v>
      </c>
      <c r="H22" s="36">
        <f t="shared" si="7"/>
        <v>2.5</v>
      </c>
      <c r="I22" s="36">
        <f t="shared" si="7"/>
        <v>0</v>
      </c>
      <c r="J22" s="36">
        <f t="shared" si="7"/>
        <v>0</v>
      </c>
      <c r="K22" s="36">
        <f t="shared" si="7"/>
        <v>1</v>
      </c>
      <c r="L22" s="36">
        <f t="shared" si="7"/>
        <v>1</v>
      </c>
      <c r="M22" s="36">
        <f t="shared" si="7"/>
        <v>4</v>
      </c>
      <c r="N22" s="36">
        <f t="shared" si="7"/>
        <v>0.1</v>
      </c>
      <c r="O22" s="36">
        <f t="shared" si="7"/>
        <v>0</v>
      </c>
      <c r="P22" s="36">
        <f t="shared" si="7"/>
        <v>0</v>
      </c>
      <c r="Q22" s="36">
        <f t="shared" ref="Q22" si="8">SUM(Q23:Q26)</f>
        <v>0</v>
      </c>
      <c r="R22" s="36">
        <f t="shared" ref="R22" si="9">SUM(R23:R26)</f>
        <v>0</v>
      </c>
      <c r="S22" s="36">
        <f t="shared" si="7"/>
        <v>0</v>
      </c>
      <c r="T22" s="36">
        <f t="shared" si="7"/>
        <v>0</v>
      </c>
      <c r="U22" s="36">
        <f t="shared" ref="U22:V22" si="10">SUM(U23:U26)</f>
        <v>0</v>
      </c>
      <c r="V22" s="36">
        <f t="shared" si="10"/>
        <v>0</v>
      </c>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40"/>
    </row>
    <row r="23" spans="1:105" s="25" customFormat="1" ht="18" x14ac:dyDescent="0.3">
      <c r="A23" s="48">
        <v>19</v>
      </c>
      <c r="B23" s="42" t="s">
        <v>2</v>
      </c>
      <c r="C23" s="42" t="s">
        <v>35</v>
      </c>
      <c r="D23" s="43"/>
      <c r="E23" s="51"/>
      <c r="F23" s="51"/>
      <c r="G23" s="51">
        <v>1.5</v>
      </c>
      <c r="H23" s="51">
        <v>1.5</v>
      </c>
      <c r="I23" s="51"/>
      <c r="J23" s="51"/>
      <c r="K23" s="51"/>
      <c r="L23" s="51"/>
      <c r="M23" s="51"/>
      <c r="N23" s="51"/>
      <c r="O23" s="51"/>
      <c r="P23" s="51"/>
      <c r="Q23" s="51"/>
      <c r="R23" s="51"/>
      <c r="S23" s="51"/>
      <c r="T23" s="51"/>
      <c r="U23" s="51"/>
      <c r="V23" s="51"/>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46"/>
    </row>
    <row r="24" spans="1:105" s="25" customFormat="1" ht="18" x14ac:dyDescent="0.3">
      <c r="A24" s="50">
        <v>20</v>
      </c>
      <c r="B24" s="42" t="s">
        <v>2</v>
      </c>
      <c r="C24" s="42" t="s">
        <v>37</v>
      </c>
      <c r="D24" s="43"/>
      <c r="E24" s="51"/>
      <c r="F24" s="51"/>
      <c r="G24" s="51"/>
      <c r="H24" s="51"/>
      <c r="I24" s="51"/>
      <c r="J24" s="51"/>
      <c r="K24" s="51">
        <v>1</v>
      </c>
      <c r="L24" s="51">
        <v>1</v>
      </c>
      <c r="M24" s="51"/>
      <c r="N24" s="51"/>
      <c r="O24" s="51"/>
      <c r="P24" s="51"/>
      <c r="Q24" s="51"/>
      <c r="R24" s="51"/>
      <c r="S24" s="51"/>
      <c r="T24" s="51"/>
      <c r="U24" s="51"/>
      <c r="V24" s="51"/>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46"/>
    </row>
    <row r="25" spans="1:105" s="25" customFormat="1" ht="18" x14ac:dyDescent="0.3">
      <c r="A25" s="48">
        <v>21</v>
      </c>
      <c r="B25" s="42" t="s">
        <v>2</v>
      </c>
      <c r="C25" s="42" t="s">
        <v>36</v>
      </c>
      <c r="D25" s="43"/>
      <c r="E25" s="51"/>
      <c r="F25" s="51"/>
      <c r="G25" s="51">
        <v>1</v>
      </c>
      <c r="H25" s="51">
        <v>1</v>
      </c>
      <c r="I25" s="51"/>
      <c r="J25" s="51"/>
      <c r="K25" s="51"/>
      <c r="L25" s="51"/>
      <c r="M25" s="51"/>
      <c r="N25" s="51"/>
      <c r="O25" s="51"/>
      <c r="P25" s="51"/>
      <c r="Q25" s="51"/>
      <c r="R25" s="51"/>
      <c r="S25" s="51"/>
      <c r="T25" s="51"/>
      <c r="U25" s="51"/>
      <c r="V25" s="51"/>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46"/>
    </row>
    <row r="26" spans="1:105" s="25" customFormat="1" ht="18" x14ac:dyDescent="0.3">
      <c r="A26" s="50">
        <v>22</v>
      </c>
      <c r="B26" s="42" t="s">
        <v>2</v>
      </c>
      <c r="C26" s="42" t="s">
        <v>38</v>
      </c>
      <c r="D26" s="43"/>
      <c r="E26" s="51"/>
      <c r="F26" s="51"/>
      <c r="G26" s="51"/>
      <c r="H26" s="51"/>
      <c r="I26" s="51"/>
      <c r="J26" s="51"/>
      <c r="K26" s="51"/>
      <c r="L26" s="51"/>
      <c r="M26" s="51">
        <v>4</v>
      </c>
      <c r="N26" s="51">
        <v>0.1</v>
      </c>
      <c r="O26" s="51"/>
      <c r="P26" s="51"/>
      <c r="Q26" s="51"/>
      <c r="R26" s="51"/>
      <c r="S26" s="51"/>
      <c r="T26" s="51"/>
      <c r="U26" s="51"/>
      <c r="V26" s="51"/>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46"/>
    </row>
    <row r="27" spans="1:105" s="41" customFormat="1" ht="18" x14ac:dyDescent="0.3">
      <c r="A27" s="38">
        <v>23</v>
      </c>
      <c r="B27" s="36" t="s">
        <v>16</v>
      </c>
      <c r="C27" s="36" t="s">
        <v>17</v>
      </c>
      <c r="D27" s="36"/>
      <c r="E27" s="36">
        <f>SUM(E28:E29)</f>
        <v>0</v>
      </c>
      <c r="F27" s="36">
        <f t="shared" ref="F27:T27" si="11">SUM(F28:F29)</f>
        <v>0</v>
      </c>
      <c r="G27" s="36">
        <f t="shared" si="11"/>
        <v>0</v>
      </c>
      <c r="H27" s="36">
        <f t="shared" si="11"/>
        <v>0</v>
      </c>
      <c r="I27" s="36">
        <f t="shared" si="11"/>
        <v>0</v>
      </c>
      <c r="J27" s="36">
        <f t="shared" si="11"/>
        <v>0</v>
      </c>
      <c r="K27" s="36">
        <f t="shared" si="11"/>
        <v>0</v>
      </c>
      <c r="L27" s="36">
        <f t="shared" si="11"/>
        <v>0</v>
      </c>
      <c r="M27" s="36">
        <f t="shared" si="11"/>
        <v>0</v>
      </c>
      <c r="N27" s="36">
        <f t="shared" si="11"/>
        <v>0</v>
      </c>
      <c r="O27" s="36">
        <f t="shared" si="11"/>
        <v>0</v>
      </c>
      <c r="P27" s="36">
        <f t="shared" si="11"/>
        <v>0</v>
      </c>
      <c r="Q27" s="36">
        <f t="shared" ref="Q27" si="12">SUM(Q28:Q29)</f>
        <v>4</v>
      </c>
      <c r="R27" s="36">
        <f t="shared" ref="R27" si="13">SUM(R28:R29)</f>
        <v>4</v>
      </c>
      <c r="S27" s="36">
        <f t="shared" si="11"/>
        <v>1</v>
      </c>
      <c r="T27" s="36">
        <f t="shared" si="11"/>
        <v>1</v>
      </c>
      <c r="U27" s="36">
        <f>SUM(U28:U30)</f>
        <v>5</v>
      </c>
      <c r="V27" s="36">
        <f>SUM(V28:V30)</f>
        <v>5</v>
      </c>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40"/>
    </row>
    <row r="28" spans="1:105" s="25" customFormat="1" ht="32.25" customHeight="1" x14ac:dyDescent="0.3">
      <c r="A28" s="50">
        <v>24</v>
      </c>
      <c r="B28" s="42" t="s">
        <v>2</v>
      </c>
      <c r="C28" s="42" t="s">
        <v>39</v>
      </c>
      <c r="D28" s="43"/>
      <c r="E28" s="51"/>
      <c r="F28" s="51"/>
      <c r="G28" s="51"/>
      <c r="H28" s="51"/>
      <c r="I28" s="51"/>
      <c r="J28" s="51"/>
      <c r="K28" s="51"/>
      <c r="L28" s="51"/>
      <c r="M28" s="51"/>
      <c r="N28" s="51"/>
      <c r="O28" s="51"/>
      <c r="P28" s="51"/>
      <c r="Q28" s="51">
        <v>4</v>
      </c>
      <c r="R28" s="51">
        <v>4</v>
      </c>
      <c r="S28" s="51"/>
      <c r="T28" s="51"/>
      <c r="U28" s="51"/>
      <c r="V28" s="51"/>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46"/>
    </row>
    <row r="29" spans="1:105" s="25" customFormat="1" ht="37.5" customHeight="1" x14ac:dyDescent="0.3">
      <c r="A29" s="48">
        <v>25</v>
      </c>
      <c r="B29" s="42" t="s">
        <v>2</v>
      </c>
      <c r="C29" s="42" t="s">
        <v>40</v>
      </c>
      <c r="D29" s="43"/>
      <c r="E29" s="51"/>
      <c r="F29" s="51"/>
      <c r="G29" s="51"/>
      <c r="H29" s="51"/>
      <c r="I29" s="51"/>
      <c r="J29" s="51"/>
      <c r="K29" s="51"/>
      <c r="L29" s="51"/>
      <c r="M29" s="51"/>
      <c r="N29" s="51"/>
      <c r="O29" s="51"/>
      <c r="P29" s="51"/>
      <c r="Q29" s="51"/>
      <c r="R29" s="51"/>
      <c r="S29" s="51">
        <v>1</v>
      </c>
      <c r="T29" s="51">
        <v>1</v>
      </c>
      <c r="U29" s="51"/>
      <c r="V29" s="51"/>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46"/>
    </row>
    <row r="30" spans="1:105" s="11" customFormat="1" ht="18" x14ac:dyDescent="0.3">
      <c r="A30" s="48">
        <v>25</v>
      </c>
      <c r="B30" s="42" t="s">
        <v>2</v>
      </c>
      <c r="C30" s="42" t="s">
        <v>88</v>
      </c>
      <c r="D30" s="43"/>
      <c r="E30" s="51"/>
      <c r="F30" s="51"/>
      <c r="G30" s="51"/>
      <c r="H30" s="51"/>
      <c r="I30" s="51"/>
      <c r="J30" s="51"/>
      <c r="K30" s="51"/>
      <c r="L30" s="51"/>
      <c r="M30" s="51"/>
      <c r="N30" s="51"/>
      <c r="O30" s="51"/>
      <c r="P30" s="51"/>
      <c r="Q30" s="51"/>
      <c r="R30" s="51"/>
      <c r="S30" s="51"/>
      <c r="T30" s="51"/>
      <c r="U30" s="51">
        <v>5</v>
      </c>
      <c r="V30" s="51">
        <v>5</v>
      </c>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3"/>
    </row>
    <row r="31" spans="1:105" s="6" customFormat="1" ht="36" x14ac:dyDescent="0.3">
      <c r="A31" s="17"/>
      <c r="B31" s="21" t="s">
        <v>77</v>
      </c>
      <c r="C31" s="21"/>
      <c r="D31" s="18"/>
      <c r="E31" s="18">
        <f>+E5+E10+E12+E15+E22+E27</f>
        <v>9.5</v>
      </c>
      <c r="F31" s="18">
        <f>+F5+F10+F12+F15+F22+F27</f>
        <v>4.5</v>
      </c>
      <c r="G31" s="18">
        <f>+G5+G10+G12+G15+G22+G27</f>
        <v>4.8000000000000007</v>
      </c>
      <c r="H31" s="18">
        <f>+H5+H10+H12+H15+H22+H27</f>
        <v>4.8000000000000007</v>
      </c>
      <c r="I31" s="72">
        <f>+(I5+I10+I12+I15+I22+I27)</f>
        <v>7</v>
      </c>
      <c r="J31" s="72">
        <f>+(J5+J10+J12+J15+J22+J27)</f>
        <v>2</v>
      </c>
      <c r="K31" s="18">
        <f t="shared" ref="K31:T31" si="14">+K5+K10+K12+K15+K22+K27</f>
        <v>3</v>
      </c>
      <c r="L31" s="18">
        <f t="shared" si="14"/>
        <v>3</v>
      </c>
      <c r="M31" s="18">
        <f t="shared" si="14"/>
        <v>4</v>
      </c>
      <c r="N31" s="18">
        <f t="shared" si="14"/>
        <v>0.1</v>
      </c>
      <c r="O31" s="18">
        <f t="shared" si="14"/>
        <v>0</v>
      </c>
      <c r="P31" s="18">
        <f t="shared" si="14"/>
        <v>0</v>
      </c>
      <c r="Q31" s="18">
        <f t="shared" si="14"/>
        <v>4</v>
      </c>
      <c r="R31" s="18">
        <f t="shared" si="14"/>
        <v>4</v>
      </c>
      <c r="S31" s="18">
        <f t="shared" si="14"/>
        <v>1</v>
      </c>
      <c r="T31" s="18">
        <f t="shared" si="14"/>
        <v>1</v>
      </c>
      <c r="U31" s="76">
        <f>+U5+U10+U12+U15+U22+U27</f>
        <v>5</v>
      </c>
      <c r="V31" s="56">
        <f>+V5+V10+V12+V15+V22+V27</f>
        <v>5</v>
      </c>
      <c r="W31" s="18">
        <f>SUM(E31:V31)</f>
        <v>62.7</v>
      </c>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2"/>
    </row>
    <row r="32" spans="1:105" s="6" customFormat="1" x14ac:dyDescent="0.3">
      <c r="A32" s="17"/>
      <c r="B32" s="33"/>
      <c r="C32" s="33" t="s">
        <v>84</v>
      </c>
      <c r="D32" s="18"/>
      <c r="E32" s="54">
        <v>39</v>
      </c>
      <c r="F32" s="54">
        <v>39</v>
      </c>
      <c r="G32" s="54">
        <v>15.6</v>
      </c>
      <c r="H32" s="54">
        <v>39</v>
      </c>
      <c r="I32" s="73">
        <v>78</v>
      </c>
      <c r="J32" s="73">
        <v>39</v>
      </c>
      <c r="K32" s="54">
        <v>28.6</v>
      </c>
      <c r="L32" s="54">
        <v>39</v>
      </c>
      <c r="M32" s="54">
        <v>9.1</v>
      </c>
      <c r="N32" s="54">
        <v>39</v>
      </c>
      <c r="O32" s="54">
        <v>13</v>
      </c>
      <c r="P32" s="54">
        <v>39</v>
      </c>
      <c r="Q32" s="54">
        <v>13</v>
      </c>
      <c r="R32" s="54">
        <v>39</v>
      </c>
      <c r="S32" s="54">
        <v>13</v>
      </c>
      <c r="T32" s="54">
        <v>39</v>
      </c>
      <c r="U32" s="54">
        <v>20.8</v>
      </c>
      <c r="V32" s="54">
        <v>39</v>
      </c>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2"/>
    </row>
    <row r="33" spans="1:105" s="126" customFormat="1" ht="28.8" x14ac:dyDescent="0.3">
      <c r="A33" s="121" t="s">
        <v>76</v>
      </c>
      <c r="B33" s="121">
        <v>1</v>
      </c>
      <c r="C33" s="121" t="s">
        <v>85</v>
      </c>
      <c r="D33" s="122"/>
      <c r="E33" s="123">
        <f>+E31*E32</f>
        <v>370.5</v>
      </c>
      <c r="F33" s="123">
        <f t="shared" ref="F33:V33" si="15">+F31*F32</f>
        <v>175.5</v>
      </c>
      <c r="G33" s="123">
        <f t="shared" si="15"/>
        <v>74.88000000000001</v>
      </c>
      <c r="H33" s="123">
        <f t="shared" si="15"/>
        <v>187.20000000000002</v>
      </c>
      <c r="I33" s="123">
        <f t="shared" si="15"/>
        <v>546</v>
      </c>
      <c r="J33" s="123">
        <f t="shared" si="15"/>
        <v>78</v>
      </c>
      <c r="K33" s="123">
        <f t="shared" si="15"/>
        <v>85.800000000000011</v>
      </c>
      <c r="L33" s="123">
        <f t="shared" si="15"/>
        <v>117</v>
      </c>
      <c r="M33" s="123">
        <f t="shared" si="15"/>
        <v>36.4</v>
      </c>
      <c r="N33" s="123">
        <f t="shared" si="15"/>
        <v>3.9000000000000004</v>
      </c>
      <c r="O33" s="123">
        <f t="shared" si="15"/>
        <v>0</v>
      </c>
      <c r="P33" s="123">
        <f t="shared" si="15"/>
        <v>0</v>
      </c>
      <c r="Q33" s="123">
        <f t="shared" si="15"/>
        <v>52</v>
      </c>
      <c r="R33" s="123">
        <f t="shared" si="15"/>
        <v>156</v>
      </c>
      <c r="S33" s="123">
        <f t="shared" si="15"/>
        <v>13</v>
      </c>
      <c r="T33" s="123">
        <f t="shared" si="15"/>
        <v>39</v>
      </c>
      <c r="U33" s="123">
        <f t="shared" si="15"/>
        <v>104</v>
      </c>
      <c r="V33" s="123">
        <f t="shared" si="15"/>
        <v>195</v>
      </c>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24"/>
      <c r="BU33" s="124"/>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c r="CZ33" s="124"/>
      <c r="DA33" s="125"/>
    </row>
    <row r="34" spans="1:105" s="6" customFormat="1" ht="28.8" x14ac:dyDescent="0.3">
      <c r="A34" s="33" t="s">
        <v>76</v>
      </c>
      <c r="B34" s="33">
        <v>3</v>
      </c>
      <c r="C34" s="33" t="s">
        <v>85</v>
      </c>
      <c r="D34" s="18"/>
      <c r="E34" s="24">
        <f>+E33*$B$34</f>
        <v>1111.5</v>
      </c>
      <c r="F34" s="24">
        <f t="shared" ref="F34:V34" si="16">+F33*$B$34</f>
        <v>526.5</v>
      </c>
      <c r="G34" s="24">
        <f t="shared" si="16"/>
        <v>224.64000000000004</v>
      </c>
      <c r="H34" s="24">
        <f t="shared" si="16"/>
        <v>561.6</v>
      </c>
      <c r="I34" s="75">
        <f>+I33</f>
        <v>546</v>
      </c>
      <c r="J34" s="75">
        <f>+J33</f>
        <v>78</v>
      </c>
      <c r="K34" s="24">
        <f t="shared" si="16"/>
        <v>257.40000000000003</v>
      </c>
      <c r="L34" s="24">
        <f t="shared" si="16"/>
        <v>351</v>
      </c>
      <c r="M34" s="24">
        <f t="shared" si="16"/>
        <v>109.19999999999999</v>
      </c>
      <c r="N34" s="24">
        <f t="shared" si="16"/>
        <v>11.700000000000001</v>
      </c>
      <c r="O34" s="24">
        <f t="shared" si="16"/>
        <v>0</v>
      </c>
      <c r="P34" s="24">
        <f t="shared" si="16"/>
        <v>0</v>
      </c>
      <c r="Q34" s="24">
        <f t="shared" si="16"/>
        <v>156</v>
      </c>
      <c r="R34" s="24">
        <f t="shared" si="16"/>
        <v>468</v>
      </c>
      <c r="S34" s="24">
        <f t="shared" si="16"/>
        <v>39</v>
      </c>
      <c r="T34" s="24">
        <f t="shared" si="16"/>
        <v>117</v>
      </c>
      <c r="U34" s="24">
        <f t="shared" si="16"/>
        <v>312</v>
      </c>
      <c r="V34" s="24">
        <f t="shared" si="16"/>
        <v>585</v>
      </c>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2"/>
    </row>
    <row r="35" spans="1:105" s="6" customFormat="1" x14ac:dyDescent="0.3">
      <c r="A35" s="17"/>
      <c r="B35" s="33"/>
      <c r="C35" s="33"/>
      <c r="D35" s="18"/>
      <c r="E35" s="19"/>
      <c r="F35" s="19"/>
      <c r="G35" s="19"/>
      <c r="H35" s="19"/>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2"/>
    </row>
    <row r="36" spans="1:105" s="11" customFormat="1" ht="18" x14ac:dyDescent="0.3">
      <c r="A36" s="17"/>
      <c r="B36" s="17"/>
      <c r="C36" s="17"/>
      <c r="D36" s="21"/>
      <c r="E36" s="19"/>
      <c r="F36" s="58"/>
      <c r="G36" s="58"/>
      <c r="H36" s="56"/>
      <c r="I36" s="56"/>
      <c r="J36" s="56"/>
      <c r="K36" s="56"/>
      <c r="L36" s="56"/>
      <c r="M36" s="56"/>
      <c r="N36" s="56"/>
      <c r="O36" s="56"/>
      <c r="P36" s="56"/>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3"/>
    </row>
    <row r="37" spans="1:105" s="6" customFormat="1" x14ac:dyDescent="0.3">
      <c r="A37" s="17"/>
      <c r="B37" s="17"/>
      <c r="C37" s="15" t="s">
        <v>78</v>
      </c>
      <c r="D37" s="18"/>
      <c r="E37" s="24">
        <f>+E33+G33+I33+K33+M33+O33+Q33+S33+U33</f>
        <v>1282.5800000000002</v>
      </c>
      <c r="F37" s="58"/>
      <c r="G37" s="58"/>
      <c r="H37" s="56"/>
      <c r="I37" s="56"/>
      <c r="J37" s="56"/>
      <c r="K37" s="66"/>
      <c r="L37" s="66"/>
      <c r="M37" s="56"/>
      <c r="N37" s="56"/>
      <c r="O37" s="56"/>
      <c r="P37" s="56"/>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2"/>
    </row>
    <row r="38" spans="1:105" s="6" customFormat="1" x14ac:dyDescent="0.3">
      <c r="A38" s="17"/>
      <c r="B38" s="17"/>
      <c r="C38" s="15" t="s">
        <v>79</v>
      </c>
      <c r="D38" s="18"/>
      <c r="E38" s="24">
        <f>+F33+H33+J33+L33+N33+P33+R33+T33+V33</f>
        <v>951.6</v>
      </c>
      <c r="F38" s="58"/>
      <c r="G38" s="58"/>
      <c r="H38" s="56"/>
      <c r="I38" s="56"/>
      <c r="J38" s="56"/>
      <c r="K38" s="132">
        <v>300</v>
      </c>
      <c r="L38" s="132" t="s">
        <v>158</v>
      </c>
      <c r="M38" s="56"/>
      <c r="N38" s="56"/>
      <c r="O38" s="56"/>
      <c r="P38" s="56"/>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2"/>
    </row>
    <row r="39" spans="1:105" s="6" customFormat="1" x14ac:dyDescent="0.3">
      <c r="A39" s="17"/>
      <c r="B39" s="17"/>
      <c r="C39" s="15" t="s">
        <v>80</v>
      </c>
      <c r="D39" s="58"/>
      <c r="E39" s="24">
        <f>+'sarf malzemeleri 1-3wf-melek'!I30</f>
        <v>1347.7733399020492</v>
      </c>
      <c r="F39" s="58"/>
      <c r="G39" s="58"/>
      <c r="H39" s="56"/>
      <c r="I39" s="56"/>
      <c r="J39" s="56"/>
      <c r="K39" s="137">
        <f>+E37*2</f>
        <v>2565.1600000000003</v>
      </c>
      <c r="L39" s="131" t="s">
        <v>162</v>
      </c>
      <c r="M39" s="56"/>
      <c r="N39" s="56"/>
      <c r="O39" s="56"/>
      <c r="P39" s="56"/>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2"/>
    </row>
    <row r="40" spans="1:105" s="11" customFormat="1" x14ac:dyDescent="0.3">
      <c r="A40" s="17"/>
      <c r="B40" s="17"/>
      <c r="C40" s="15" t="s">
        <v>81</v>
      </c>
      <c r="D40" s="58"/>
      <c r="E40" s="24">
        <f>15.6*F40</f>
        <v>312</v>
      </c>
      <c r="F40" s="58">
        <v>20</v>
      </c>
      <c r="G40" s="58"/>
      <c r="H40" s="58"/>
      <c r="I40" s="56"/>
      <c r="J40" s="56"/>
      <c r="K40" s="137">
        <f>+E38*2</f>
        <v>1903.2</v>
      </c>
      <c r="L40" s="131" t="s">
        <v>155</v>
      </c>
      <c r="M40" s="56"/>
      <c r="N40" s="56"/>
      <c r="O40" s="56"/>
      <c r="P40" s="56"/>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3"/>
    </row>
    <row r="41" spans="1:105" s="6" customFormat="1" x14ac:dyDescent="0.3">
      <c r="A41" s="17"/>
      <c r="B41" s="17"/>
      <c r="C41" s="15" t="s">
        <v>82</v>
      </c>
      <c r="D41" s="18"/>
      <c r="E41" s="24">
        <f>+E40/2</f>
        <v>156</v>
      </c>
      <c r="F41" s="58">
        <v>20</v>
      </c>
      <c r="G41" s="58"/>
      <c r="H41" s="58"/>
      <c r="I41" s="56"/>
      <c r="J41" s="56"/>
      <c r="K41" s="137">
        <f>+(E40+E41)*2</f>
        <v>936</v>
      </c>
      <c r="L41" s="131" t="s">
        <v>159</v>
      </c>
      <c r="M41" s="66"/>
      <c r="N41" s="56"/>
      <c r="O41" s="56"/>
      <c r="P41" s="56"/>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2"/>
    </row>
    <row r="42" spans="1:105" s="6" customFormat="1" ht="18.75" customHeight="1" x14ac:dyDescent="0.3">
      <c r="A42" s="17"/>
      <c r="B42" s="17"/>
      <c r="C42" s="62" t="s">
        <v>83</v>
      </c>
      <c r="D42" s="21"/>
      <c r="E42" s="24">
        <f>SUM(E37:E41)</f>
        <v>4049.9533399020493</v>
      </c>
      <c r="F42" s="58"/>
      <c r="G42" s="58"/>
      <c r="H42" s="58"/>
      <c r="I42" s="56"/>
      <c r="J42" s="56"/>
      <c r="K42" s="137">
        <f>+E39*2</f>
        <v>2695.5466798040984</v>
      </c>
      <c r="L42" s="131" t="s">
        <v>156</v>
      </c>
      <c r="M42" s="56"/>
      <c r="N42" s="56"/>
      <c r="O42" s="56"/>
      <c r="P42" s="56"/>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2"/>
    </row>
    <row r="43" spans="1:105" s="11" customFormat="1" x14ac:dyDescent="0.3">
      <c r="A43" s="17"/>
      <c r="B43" s="17"/>
      <c r="C43" s="62" t="s">
        <v>86</v>
      </c>
      <c r="D43" s="18"/>
      <c r="E43" s="24">
        <f>+E42*2</f>
        <v>8099.9066798040985</v>
      </c>
      <c r="F43" s="19">
        <v>300</v>
      </c>
      <c r="G43" s="19"/>
      <c r="H43" s="19"/>
      <c r="I43" s="14"/>
      <c r="J43" s="14"/>
      <c r="K43" s="138">
        <v>0.2</v>
      </c>
      <c r="L43" s="131" t="s">
        <v>157</v>
      </c>
      <c r="M43" s="56"/>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3"/>
    </row>
    <row r="44" spans="1:105" s="6" customFormat="1" x14ac:dyDescent="0.3">
      <c r="A44" s="17"/>
      <c r="B44" s="17"/>
      <c r="C44" s="71" t="s">
        <v>89</v>
      </c>
      <c r="D44" s="18"/>
      <c r="E44" s="24">
        <f>+E43/F43</f>
        <v>26.999688932680328</v>
      </c>
      <c r="F44" s="19"/>
      <c r="G44" s="19"/>
      <c r="H44" s="19"/>
      <c r="I44" s="14"/>
      <c r="J44" s="14"/>
      <c r="K44" s="135">
        <f>SUM(K39:K42)</f>
        <v>8099.9066798040985</v>
      </c>
      <c r="L44" s="136" t="s">
        <v>83</v>
      </c>
      <c r="M44" s="56"/>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2"/>
    </row>
    <row r="45" spans="1:105" s="6" customFormat="1" ht="18" x14ac:dyDescent="0.3">
      <c r="A45" s="17"/>
      <c r="B45" s="17"/>
      <c r="C45" s="17"/>
      <c r="D45" s="21"/>
      <c r="E45" s="24">
        <f>+E44*1.2</f>
        <v>32.399626719216393</v>
      </c>
      <c r="F45" s="19"/>
      <c r="G45" s="19"/>
      <c r="H45" s="24"/>
      <c r="I45" s="14"/>
      <c r="J45" s="14"/>
      <c r="K45" s="135">
        <f>+K44*1.2</f>
        <v>9719.8880157649182</v>
      </c>
      <c r="L45" s="136" t="s">
        <v>160</v>
      </c>
      <c r="M45"/>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2"/>
    </row>
    <row r="46" spans="1:105" s="6" customFormat="1" ht="18" x14ac:dyDescent="0.3">
      <c r="A46" s="17"/>
      <c r="B46" s="17"/>
      <c r="C46" s="17"/>
      <c r="D46" s="21"/>
      <c r="E46" s="55"/>
      <c r="F46" s="19"/>
      <c r="G46" s="156" t="s">
        <v>152</v>
      </c>
      <c r="H46" s="156"/>
      <c r="I46" s="14"/>
      <c r="J46" s="14"/>
      <c r="K46" s="133">
        <f>+K45/300</f>
        <v>32.399626719216393</v>
      </c>
      <c r="L46" s="134" t="s">
        <v>161</v>
      </c>
      <c r="M46" s="68"/>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2"/>
    </row>
    <row r="47" spans="1:105" s="11" customFormat="1" ht="18" x14ac:dyDescent="0.3">
      <c r="A47" s="17"/>
      <c r="B47" s="21"/>
      <c r="C47" s="63"/>
      <c r="D47" s="63"/>
      <c r="E47" s="79">
        <f>+E45*42000</f>
        <v>1360784.3222070886</v>
      </c>
      <c r="F47" s="24">
        <v>90000</v>
      </c>
      <c r="G47" s="127">
        <f>+E47+F47</f>
        <v>1450784.3222070886</v>
      </c>
      <c r="H47" s="128">
        <f>+G47/42000</f>
        <v>34.542483862073539</v>
      </c>
      <c r="I47" s="14"/>
      <c r="J47" s="14"/>
      <c r="K47" s="19"/>
      <c r="L47" s="19"/>
      <c r="M47" s="70"/>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3"/>
    </row>
    <row r="48" spans="1:105" s="11" customFormat="1" ht="18" x14ac:dyDescent="0.3">
      <c r="A48" s="17"/>
      <c r="B48" s="21"/>
      <c r="C48" s="17"/>
      <c r="D48" s="18"/>
      <c r="E48" s="24"/>
      <c r="F48" s="24" t="s">
        <v>154</v>
      </c>
      <c r="G48" s="127">
        <f>+G47*0.1</f>
        <v>145078.43222070887</v>
      </c>
      <c r="H48" s="19" t="s">
        <v>153</v>
      </c>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3"/>
    </row>
    <row r="49" spans="1:105" s="6" customFormat="1" ht="57" customHeight="1" x14ac:dyDescent="0.3">
      <c r="A49" s="17"/>
      <c r="B49" s="18"/>
      <c r="C49" s="17"/>
      <c r="D49" s="18"/>
      <c r="E49" s="24"/>
      <c r="F49" s="155" t="s">
        <v>90</v>
      </c>
      <c r="G49" s="155"/>
      <c r="H49" s="19"/>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2"/>
    </row>
    <row r="50" spans="1:105" s="6" customFormat="1" x14ac:dyDescent="0.3">
      <c r="A50" s="17"/>
      <c r="B50" s="18"/>
      <c r="C50" s="17"/>
      <c r="D50" s="18"/>
      <c r="E50" s="19"/>
      <c r="F50" s="19"/>
      <c r="G50" s="19"/>
      <c r="H50" s="19"/>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2"/>
    </row>
    <row r="51" spans="1:105" s="6" customFormat="1" x14ac:dyDescent="0.3">
      <c r="A51" s="17"/>
      <c r="B51" s="18"/>
      <c r="C51" s="17"/>
      <c r="D51" s="18"/>
      <c r="E51" s="19"/>
      <c r="F51" s="19"/>
      <c r="G51" s="19"/>
      <c r="H51" s="19"/>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2"/>
    </row>
    <row r="52" spans="1:105" s="11" customFormat="1" ht="18" x14ac:dyDescent="0.3">
      <c r="A52" s="17"/>
      <c r="B52" s="21"/>
      <c r="C52" s="17"/>
      <c r="D52" s="21"/>
      <c r="E52" s="19"/>
      <c r="F52" s="19"/>
      <c r="G52" s="19"/>
      <c r="H52" s="19"/>
      <c r="I52" s="14"/>
      <c r="J52" s="19"/>
      <c r="K52" s="14"/>
      <c r="L52" s="19"/>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3"/>
    </row>
    <row r="53" spans="1:105" s="6" customFormat="1" x14ac:dyDescent="0.3">
      <c r="A53" s="17"/>
      <c r="B53" s="18"/>
      <c r="C53" s="17"/>
      <c r="D53" s="18"/>
      <c r="E53" s="19"/>
      <c r="F53" s="19"/>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2"/>
    </row>
    <row r="54" spans="1:105" s="6" customFormat="1" x14ac:dyDescent="0.3">
      <c r="A54" s="17"/>
      <c r="B54" s="18"/>
      <c r="C54" s="17"/>
      <c r="D54" s="18"/>
      <c r="E54" s="19"/>
      <c r="F54" s="19"/>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2"/>
    </row>
    <row r="55" spans="1:105" s="6" customFormat="1" x14ac:dyDescent="0.3">
      <c r="A55" s="17"/>
      <c r="B55" s="18"/>
      <c r="C55" s="17"/>
      <c r="D55" s="18"/>
      <c r="E55" s="19"/>
      <c r="F55" s="19"/>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2"/>
    </row>
    <row r="56" spans="1:105" s="11" customFormat="1" ht="18" x14ac:dyDescent="0.3">
      <c r="A56" s="17"/>
      <c r="B56" s="21"/>
      <c r="C56" s="17"/>
      <c r="D56" s="21"/>
      <c r="E56" s="19"/>
      <c r="F56" s="19"/>
      <c r="G56" s="55"/>
      <c r="H56" s="19"/>
      <c r="I56" s="14"/>
      <c r="J56" s="19"/>
      <c r="K56" s="14"/>
      <c r="L56" s="19"/>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3"/>
    </row>
    <row r="57" spans="1:105" s="11" customFormat="1" ht="18" x14ac:dyDescent="0.3">
      <c r="A57" s="17"/>
      <c r="B57" s="21"/>
      <c r="C57" s="17"/>
      <c r="D57" s="21"/>
      <c r="E57" s="19"/>
      <c r="F57" s="19"/>
      <c r="G57" s="55"/>
      <c r="H57" s="19"/>
      <c r="I57" s="14"/>
      <c r="J57" s="19"/>
      <c r="K57" s="14"/>
      <c r="L57" s="19"/>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3"/>
    </row>
    <row r="58" spans="1:105" s="11" customFormat="1" x14ac:dyDescent="0.3">
      <c r="A58" s="20"/>
      <c r="B58" s="20"/>
      <c r="C58" s="17"/>
      <c r="D58" s="20"/>
      <c r="E58" s="20"/>
      <c r="F58" s="20"/>
      <c r="G58" s="55"/>
      <c r="H58" s="20"/>
      <c r="I58" s="14"/>
      <c r="J58" s="19"/>
      <c r="K58" s="14"/>
      <c r="L58" s="19"/>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3"/>
    </row>
    <row r="59" spans="1:105" s="11" customFormat="1" x14ac:dyDescent="0.3">
      <c r="A59" s="20"/>
      <c r="B59" s="20"/>
      <c r="C59" s="17"/>
      <c r="D59" s="20"/>
      <c r="E59" s="20"/>
      <c r="F59" s="20"/>
      <c r="G59" s="20"/>
      <c r="H59" s="20"/>
      <c r="I59" s="14"/>
      <c r="J59" s="19"/>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3"/>
    </row>
    <row r="60" spans="1:105" s="15" customFormat="1" ht="18.75" customHeight="1" x14ac:dyDescent="0.3">
      <c r="A60" s="22"/>
    </row>
    <row r="61" spans="1:105" s="15" customFormat="1" x14ac:dyDescent="0.3">
      <c r="A61" s="22"/>
    </row>
    <row r="62" spans="1:105" s="15" customFormat="1" ht="19.5" customHeight="1" x14ac:dyDescent="0.3">
      <c r="A62" s="22"/>
    </row>
    <row r="63" spans="1:105" s="11" customFormat="1" x14ac:dyDescent="0.3">
      <c r="A63" s="20"/>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3"/>
    </row>
    <row r="64" spans="1:105" x14ac:dyDescent="0.3">
      <c r="A64" s="20"/>
    </row>
    <row r="65" spans="1:23" x14ac:dyDescent="0.3">
      <c r="A65" s="20"/>
      <c r="B65" s="20"/>
      <c r="C65" s="18"/>
      <c r="D65" s="20"/>
      <c r="E65" s="20"/>
      <c r="F65" s="20"/>
      <c r="G65" s="20"/>
      <c r="H65" s="20"/>
    </row>
    <row r="66" spans="1:23" x14ac:dyDescent="0.3">
      <c r="B66" s="1"/>
      <c r="D66" s="1"/>
      <c r="E66" s="1"/>
      <c r="F66" s="1"/>
      <c r="G66" s="1"/>
      <c r="H66" s="1"/>
    </row>
    <row r="67" spans="1:23" ht="56.25" customHeight="1" x14ac:dyDescent="0.3">
      <c r="B67" s="1"/>
      <c r="D67" s="1"/>
      <c r="O67" s="15"/>
    </row>
    <row r="68" spans="1:23" x14ac:dyDescent="0.3">
      <c r="O68" s="15"/>
      <c r="P68" s="15"/>
      <c r="Q68" s="15"/>
      <c r="R68" s="15"/>
      <c r="S68" s="15"/>
      <c r="T68" s="15"/>
      <c r="U68" s="15"/>
      <c r="V68" s="15"/>
      <c r="W68" s="15"/>
    </row>
    <row r="69" spans="1:23" x14ac:dyDescent="0.3">
      <c r="O69" s="15"/>
      <c r="P69" s="15"/>
      <c r="Q69" s="15"/>
      <c r="R69" s="15"/>
      <c r="S69" s="15"/>
      <c r="T69" s="15"/>
      <c r="U69" s="15"/>
      <c r="V69" s="15"/>
      <c r="W69" s="15"/>
    </row>
    <row r="71" spans="1:23" x14ac:dyDescent="0.3">
      <c r="E71" s="20"/>
      <c r="F71" s="18"/>
      <c r="G71" s="20"/>
      <c r="H71" s="20"/>
      <c r="I71" s="20"/>
      <c r="J71" s="20"/>
      <c r="K71" s="20"/>
    </row>
    <row r="74" spans="1:23" x14ac:dyDescent="0.3">
      <c r="L74" s="56"/>
      <c r="M74" s="56"/>
    </row>
    <row r="82" spans="9:22" ht="18.75" customHeight="1" x14ac:dyDescent="0.3">
      <c r="I82" s="16"/>
      <c r="J82" s="16"/>
      <c r="K82" s="16"/>
      <c r="L82" s="16"/>
      <c r="M82" s="16"/>
      <c r="N82" s="16"/>
      <c r="O82" s="16"/>
      <c r="P82" s="16"/>
      <c r="Q82" s="16"/>
      <c r="R82" s="16"/>
      <c r="S82" s="16"/>
      <c r="T82" s="16"/>
      <c r="U82" s="16"/>
      <c r="V82" s="16"/>
    </row>
    <row r="83" spans="9:22" x14ac:dyDescent="0.3">
      <c r="I83" s="16"/>
      <c r="J83" s="16"/>
      <c r="K83" s="16"/>
      <c r="L83" s="16"/>
      <c r="M83" s="16"/>
      <c r="N83" s="16"/>
      <c r="O83" s="16"/>
      <c r="P83" s="16"/>
      <c r="Q83" s="16"/>
      <c r="R83" s="16"/>
      <c r="S83" s="16"/>
      <c r="T83" s="16"/>
      <c r="U83" s="16"/>
      <c r="V83" s="16"/>
    </row>
    <row r="84" spans="9:22" x14ac:dyDescent="0.3">
      <c r="I84" s="16"/>
      <c r="J84" s="16"/>
      <c r="K84" s="16"/>
      <c r="L84" s="16"/>
      <c r="M84" s="16"/>
      <c r="N84" s="16"/>
      <c r="O84" s="16"/>
      <c r="P84" s="16"/>
      <c r="Q84" s="16"/>
      <c r="R84" s="16"/>
      <c r="S84" s="16"/>
      <c r="T84" s="16"/>
      <c r="U84" s="16"/>
      <c r="V84" s="16"/>
    </row>
    <row r="85" spans="9:22" x14ac:dyDescent="0.3">
      <c r="I85" s="16"/>
      <c r="J85" s="16"/>
      <c r="K85" s="16"/>
      <c r="L85" s="16"/>
      <c r="M85" s="16"/>
      <c r="N85" s="16"/>
      <c r="O85" s="16"/>
      <c r="P85" s="16"/>
      <c r="Q85" s="16"/>
      <c r="R85" s="16"/>
      <c r="S85" s="16"/>
      <c r="T85" s="16"/>
      <c r="U85" s="16"/>
      <c r="V85" s="16"/>
    </row>
    <row r="86" spans="9:22" x14ac:dyDescent="0.3">
      <c r="I86" s="16"/>
      <c r="J86" s="16"/>
      <c r="K86" s="16"/>
      <c r="L86" s="16"/>
      <c r="M86" s="16"/>
      <c r="N86" s="16"/>
      <c r="O86" s="16"/>
      <c r="P86" s="16"/>
      <c r="Q86" s="16"/>
      <c r="R86" s="16"/>
      <c r="S86" s="16"/>
      <c r="T86" s="16"/>
      <c r="U86" s="16"/>
      <c r="V86" s="16"/>
    </row>
  </sheetData>
  <autoFilter ref="B3:C67"/>
  <mergeCells count="12">
    <mergeCell ref="F49:G49"/>
    <mergeCell ref="G46:H46"/>
    <mergeCell ref="U3:V3"/>
    <mergeCell ref="B1:C1"/>
    <mergeCell ref="E3:F3"/>
    <mergeCell ref="S3:T3"/>
    <mergeCell ref="I3:J3"/>
    <mergeCell ref="O3:P3"/>
    <mergeCell ref="M3:N3"/>
    <mergeCell ref="G3:H3"/>
    <mergeCell ref="K3:L3"/>
    <mergeCell ref="Q3:R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51FD7E"/>
  </sheetPr>
  <dimension ref="A1:M41"/>
  <sheetViews>
    <sheetView topLeftCell="A25" workbookViewId="0">
      <selection activeCell="A17" sqref="A17"/>
    </sheetView>
  </sheetViews>
  <sheetFormatPr defaultColWidth="9.109375" defaultRowHeight="14.4" x14ac:dyDescent="0.3"/>
  <cols>
    <col min="1" max="1" width="51" style="15" customWidth="1"/>
    <col min="2" max="2" width="9.109375" style="15"/>
    <col min="3" max="3" width="14" style="15" hidden="1" customWidth="1"/>
    <col min="4" max="4" width="14" style="15" customWidth="1"/>
    <col min="5" max="6" width="13" style="15" customWidth="1"/>
    <col min="7" max="7" width="13.109375" style="15" customWidth="1"/>
    <col min="8" max="8" width="14.109375" style="15" bestFit="1" customWidth="1"/>
    <col min="9" max="10" width="13.88671875" style="15" customWidth="1"/>
    <col min="11" max="11" width="14.109375" style="15" bestFit="1" customWidth="1"/>
    <col min="12" max="12" width="13.88671875" style="15" customWidth="1"/>
    <col min="13" max="16384" width="9.109375" style="15"/>
  </cols>
  <sheetData>
    <row r="1" spans="1:13" ht="21" x14ac:dyDescent="0.4">
      <c r="D1" s="87"/>
      <c r="E1" s="88" t="s">
        <v>53</v>
      </c>
      <c r="F1" s="89" t="s">
        <v>53</v>
      </c>
    </row>
    <row r="2" spans="1:13" ht="21.6" thickBot="1" x14ac:dyDescent="0.45">
      <c r="D2" s="90" t="s">
        <v>103</v>
      </c>
      <c r="E2" s="91">
        <f>1*400</f>
        <v>400</v>
      </c>
      <c r="F2" s="92">
        <f>E2*F3</f>
        <v>1200</v>
      </c>
    </row>
    <row r="3" spans="1:13" ht="21.6" thickBot="1" x14ac:dyDescent="0.45">
      <c r="D3" s="93" t="s">
        <v>104</v>
      </c>
      <c r="E3" s="94">
        <v>1</v>
      </c>
      <c r="F3" s="95">
        <v>3</v>
      </c>
      <c r="H3" s="161" t="s">
        <v>101</v>
      </c>
      <c r="I3" s="162"/>
      <c r="J3" s="120"/>
      <c r="K3" s="163" t="s">
        <v>105</v>
      </c>
      <c r="L3" s="164"/>
    </row>
    <row r="4" spans="1:13" ht="57.6" x14ac:dyDescent="0.3">
      <c r="A4" s="26" t="s">
        <v>8</v>
      </c>
      <c r="B4" s="29" t="s">
        <v>12</v>
      </c>
      <c r="C4" s="29"/>
      <c r="D4" s="96"/>
      <c r="E4" s="97" t="s">
        <v>106</v>
      </c>
      <c r="F4" s="98" t="s">
        <v>107</v>
      </c>
      <c r="G4" s="27" t="s">
        <v>14</v>
      </c>
      <c r="H4" s="97" t="s">
        <v>108</v>
      </c>
      <c r="I4" s="97" t="s">
        <v>150</v>
      </c>
      <c r="J4" s="97"/>
      <c r="K4" s="98" t="s">
        <v>108</v>
      </c>
      <c r="L4" s="98" t="s">
        <v>151</v>
      </c>
    </row>
    <row r="5" spans="1:13" x14ac:dyDescent="0.3">
      <c r="A5" s="6" t="s">
        <v>52</v>
      </c>
      <c r="B5" s="52" t="s">
        <v>53</v>
      </c>
      <c r="C5" s="52" t="s">
        <v>60</v>
      </c>
      <c r="D5" s="52"/>
      <c r="E5" s="53">
        <v>1</v>
      </c>
      <c r="F5" s="53">
        <v>3</v>
      </c>
      <c r="G5" s="28">
        <v>160</v>
      </c>
      <c r="H5" s="28">
        <f>E5*G5</f>
        <v>160</v>
      </c>
      <c r="I5" s="59">
        <f>H5*1.12</f>
        <v>179.20000000000002</v>
      </c>
      <c r="J5" s="59">
        <f>+I5/1.2</f>
        <v>149.33333333333334</v>
      </c>
      <c r="K5" s="28">
        <f>G5*F5</f>
        <v>480</v>
      </c>
      <c r="L5" s="59">
        <f>K5*1.12</f>
        <v>537.6</v>
      </c>
      <c r="M5" s="15" t="s">
        <v>109</v>
      </c>
    </row>
    <row r="6" spans="1:13" x14ac:dyDescent="0.3">
      <c r="A6" s="6" t="s">
        <v>110</v>
      </c>
      <c r="B6" s="31" t="s">
        <v>111</v>
      </c>
      <c r="C6" s="52"/>
      <c r="D6" s="52"/>
      <c r="E6" s="57">
        <f>('[1]Üretim 1-3'!X31-'[1]Üretim 1-3'!N31)*60</f>
        <v>2058</v>
      </c>
      <c r="F6" s="57">
        <f>('[1]Üretim 1-3'!X32-'[1]Üretim 1-3'!N32)*60</f>
        <v>4194</v>
      </c>
      <c r="G6" s="35">
        <v>2.9850746268656717E-3</v>
      </c>
      <c r="H6" s="28">
        <f t="shared" ref="H6:H29" si="0">E6*G6</f>
        <v>6.1432835820895519</v>
      </c>
      <c r="I6" s="59">
        <f>H6</f>
        <v>6.1432835820895519</v>
      </c>
      <c r="J6" s="59">
        <f t="shared" ref="J6:J29" si="1">+I6/1.2</f>
        <v>5.1194029850746272</v>
      </c>
      <c r="K6" s="28">
        <f t="shared" ref="K6:K29" si="2">G6*F6</f>
        <v>12.519402985074628</v>
      </c>
      <c r="L6" s="59">
        <f>K6</f>
        <v>12.519402985074628</v>
      </c>
    </row>
    <row r="7" spans="1:13" x14ac:dyDescent="0.3">
      <c r="A7" s="6" t="s">
        <v>112</v>
      </c>
      <c r="B7" s="52" t="s">
        <v>113</v>
      </c>
      <c r="C7" s="52"/>
      <c r="D7" s="52"/>
      <c r="E7" s="53">
        <f>60*'[1]Üretim 1-3'!F20</f>
        <v>60</v>
      </c>
      <c r="F7" s="53">
        <f>E7</f>
        <v>60</v>
      </c>
      <c r="G7" s="28">
        <v>0.25341130604288498</v>
      </c>
      <c r="H7" s="28">
        <f t="shared" si="0"/>
        <v>15.204678362573098</v>
      </c>
      <c r="I7" s="59">
        <f t="shared" ref="I7:I9" si="3">H7*1.12</f>
        <v>17.029239766081872</v>
      </c>
      <c r="J7" s="59">
        <f t="shared" si="1"/>
        <v>14.191033138401561</v>
      </c>
      <c r="K7" s="28">
        <f t="shared" si="2"/>
        <v>15.204678362573098</v>
      </c>
      <c r="L7" s="59">
        <f t="shared" ref="L7:L9" si="4">K7*1.12</f>
        <v>17.029239766081872</v>
      </c>
      <c r="M7" s="15" t="s">
        <v>109</v>
      </c>
    </row>
    <row r="8" spans="1:13" x14ac:dyDescent="0.3">
      <c r="A8" s="6" t="s">
        <v>54</v>
      </c>
      <c r="B8" s="31" t="s">
        <v>53</v>
      </c>
      <c r="C8" s="52" t="s">
        <v>60</v>
      </c>
      <c r="D8" s="52"/>
      <c r="E8" s="57">
        <v>1</v>
      </c>
      <c r="F8" s="57">
        <v>1</v>
      </c>
      <c r="G8" s="35">
        <v>25.75</v>
      </c>
      <c r="H8" s="28">
        <f t="shared" si="0"/>
        <v>25.75</v>
      </c>
      <c r="I8" s="59">
        <f t="shared" si="3"/>
        <v>28.840000000000003</v>
      </c>
      <c r="J8" s="59">
        <f t="shared" si="1"/>
        <v>24.033333333333339</v>
      </c>
      <c r="K8" s="28">
        <f t="shared" si="2"/>
        <v>25.75</v>
      </c>
      <c r="L8" s="59">
        <f t="shared" si="4"/>
        <v>28.840000000000003</v>
      </c>
      <c r="M8" s="15" t="s">
        <v>109</v>
      </c>
    </row>
    <row r="9" spans="1:13" x14ac:dyDescent="0.3">
      <c r="A9" s="6" t="s">
        <v>114</v>
      </c>
      <c r="B9" s="31" t="s">
        <v>115</v>
      </c>
      <c r="C9" s="52" t="s">
        <v>60</v>
      </c>
      <c r="D9" s="52"/>
      <c r="E9" s="57">
        <v>10</v>
      </c>
      <c r="F9" s="57">
        <f>$F$3*E9</f>
        <v>30</v>
      </c>
      <c r="G9" s="35">
        <v>1.2302105263157894</v>
      </c>
      <c r="H9" s="28">
        <f t="shared" si="0"/>
        <v>12.302105263157895</v>
      </c>
      <c r="I9" s="59">
        <f t="shared" si="3"/>
        <v>13.778357894736843</v>
      </c>
      <c r="J9" s="59">
        <f t="shared" si="1"/>
        <v>11.481964912280702</v>
      </c>
      <c r="K9" s="28">
        <f t="shared" si="2"/>
        <v>36.90631578947368</v>
      </c>
      <c r="L9" s="59">
        <f t="shared" si="4"/>
        <v>41.335073684210528</v>
      </c>
      <c r="M9" s="15" t="s">
        <v>109</v>
      </c>
    </row>
    <row r="10" spans="1:13" x14ac:dyDescent="0.3">
      <c r="A10" s="6" t="s">
        <v>116</v>
      </c>
      <c r="B10" s="31" t="s">
        <v>115</v>
      </c>
      <c r="C10" s="52"/>
      <c r="D10" s="52"/>
      <c r="E10" s="57">
        <v>10</v>
      </c>
      <c r="F10" s="57">
        <f>$F$3*E10</f>
        <v>30</v>
      </c>
      <c r="G10" s="35">
        <v>0.27</v>
      </c>
      <c r="H10" s="28">
        <f t="shared" si="0"/>
        <v>2.7</v>
      </c>
      <c r="I10" s="59">
        <f>H10*1.12</f>
        <v>3.0240000000000005</v>
      </c>
      <c r="J10" s="59">
        <f t="shared" si="1"/>
        <v>2.5200000000000005</v>
      </c>
      <c r="K10" s="28">
        <f t="shared" si="2"/>
        <v>8.1000000000000014</v>
      </c>
      <c r="L10" s="59">
        <f>K10*1.12</f>
        <v>9.0720000000000027</v>
      </c>
      <c r="M10" s="15" t="s">
        <v>109</v>
      </c>
    </row>
    <row r="11" spans="1:13" x14ac:dyDescent="0.3">
      <c r="A11" s="6" t="s">
        <v>117</v>
      </c>
      <c r="B11" s="31" t="s">
        <v>113</v>
      </c>
      <c r="C11" s="52"/>
      <c r="D11" s="52"/>
      <c r="E11" s="57">
        <f>'[1]Üretim 1-3'!V30*60</f>
        <v>300</v>
      </c>
      <c r="F11" s="57">
        <f>E11*F3</f>
        <v>900</v>
      </c>
      <c r="G11" s="35">
        <v>0.44000000000000006</v>
      </c>
      <c r="H11" s="28">
        <f t="shared" si="0"/>
        <v>132.00000000000003</v>
      </c>
      <c r="I11" s="59">
        <f>H11</f>
        <v>132.00000000000003</v>
      </c>
      <c r="J11" s="59">
        <f t="shared" si="1"/>
        <v>110.00000000000003</v>
      </c>
      <c r="K11" s="28">
        <f>G11*F11</f>
        <v>396.00000000000006</v>
      </c>
      <c r="L11" s="59">
        <f>K11</f>
        <v>396.00000000000006</v>
      </c>
      <c r="M11" s="15" t="s">
        <v>109</v>
      </c>
    </row>
    <row r="12" spans="1:13" x14ac:dyDescent="0.3">
      <c r="A12" s="6" t="s">
        <v>118</v>
      </c>
      <c r="B12" s="31" t="s">
        <v>55</v>
      </c>
      <c r="C12" s="52"/>
      <c r="D12" s="52"/>
      <c r="E12" s="57">
        <f>50</f>
        <v>50</v>
      </c>
      <c r="F12" s="57">
        <f>E12</f>
        <v>50</v>
      </c>
      <c r="G12" s="35">
        <v>0.44000000000000006</v>
      </c>
      <c r="H12" s="28">
        <f>E12*G12</f>
        <v>22.000000000000004</v>
      </c>
      <c r="I12" s="59">
        <f t="shared" ref="I12:I13" si="5">H12</f>
        <v>22.000000000000004</v>
      </c>
      <c r="J12" s="59">
        <f t="shared" si="1"/>
        <v>18.333333333333336</v>
      </c>
      <c r="K12" s="28">
        <f>G12*F12</f>
        <v>22.000000000000004</v>
      </c>
      <c r="L12" s="59">
        <f t="shared" ref="L12:L13" si="6">K12</f>
        <v>22.000000000000004</v>
      </c>
      <c r="M12" s="15" t="s">
        <v>109</v>
      </c>
    </row>
    <row r="13" spans="1:13" x14ac:dyDescent="0.3">
      <c r="A13" s="6" t="s">
        <v>56</v>
      </c>
      <c r="B13" s="31" t="s">
        <v>119</v>
      </c>
      <c r="C13" s="52" t="s">
        <v>60</v>
      </c>
      <c r="D13" s="52"/>
      <c r="E13" s="57">
        <f>'[1]07aralık çalışma'!B11</f>
        <v>175</v>
      </c>
      <c r="F13" s="57">
        <f>$F$3*E13</f>
        <v>525</v>
      </c>
      <c r="G13" s="35">
        <f>0.022655*1.15</f>
        <v>2.605325E-2</v>
      </c>
      <c r="H13" s="28">
        <f t="shared" si="0"/>
        <v>4.5593187500000001</v>
      </c>
      <c r="I13" s="59">
        <f t="shared" si="5"/>
        <v>4.5593187500000001</v>
      </c>
      <c r="J13" s="59">
        <f t="shared" si="1"/>
        <v>3.7994322916666667</v>
      </c>
      <c r="K13" s="28">
        <f t="shared" si="2"/>
        <v>13.677956249999999</v>
      </c>
      <c r="L13" s="59">
        <f t="shared" si="6"/>
        <v>13.677956249999999</v>
      </c>
      <c r="M13" s="15" t="s">
        <v>109</v>
      </c>
    </row>
    <row r="14" spans="1:13" x14ac:dyDescent="0.3">
      <c r="A14" s="6" t="s">
        <v>57</v>
      </c>
      <c r="B14" s="31" t="s">
        <v>119</v>
      </c>
      <c r="C14" s="52" t="s">
        <v>60</v>
      </c>
      <c r="D14" s="52"/>
      <c r="E14" s="57">
        <v>2000</v>
      </c>
      <c r="F14" s="57">
        <f t="shared" ref="F14:F16" si="7">$F$3*E14</f>
        <v>6000</v>
      </c>
      <c r="G14" s="35">
        <f>0.0102722597257384*1.15</f>
        <v>1.181309868459916E-2</v>
      </c>
      <c r="H14" s="28">
        <f t="shared" si="0"/>
        <v>23.626197369198319</v>
      </c>
      <c r="I14" s="59">
        <f>H14*1.12</f>
        <v>26.461341053502121</v>
      </c>
      <c r="J14" s="59">
        <f t="shared" si="1"/>
        <v>22.0511175445851</v>
      </c>
      <c r="K14" s="28">
        <f t="shared" si="2"/>
        <v>70.878592107594955</v>
      </c>
      <c r="L14" s="59">
        <f>K14*1.12</f>
        <v>79.384023160506359</v>
      </c>
      <c r="M14" s="15" t="s">
        <v>109</v>
      </c>
    </row>
    <row r="15" spans="1:13" x14ac:dyDescent="0.3">
      <c r="A15" s="6" t="s">
        <v>46</v>
      </c>
      <c r="B15" s="31" t="s">
        <v>119</v>
      </c>
      <c r="C15" s="52" t="s">
        <v>60</v>
      </c>
      <c r="D15" s="52"/>
      <c r="E15" s="57">
        <v>250</v>
      </c>
      <c r="F15" s="57">
        <f t="shared" si="7"/>
        <v>750</v>
      </c>
      <c r="G15" s="35">
        <v>1.4552</v>
      </c>
      <c r="H15" s="28">
        <f t="shared" si="0"/>
        <v>363.8</v>
      </c>
      <c r="I15" s="59">
        <f>H15</f>
        <v>363.8</v>
      </c>
      <c r="J15" s="59">
        <f t="shared" si="1"/>
        <v>303.16666666666669</v>
      </c>
      <c r="K15" s="28">
        <f t="shared" si="2"/>
        <v>1091.4000000000001</v>
      </c>
      <c r="L15" s="59">
        <f>K15</f>
        <v>1091.4000000000001</v>
      </c>
      <c r="M15" s="15" t="s">
        <v>109</v>
      </c>
    </row>
    <row r="16" spans="1:13" x14ac:dyDescent="0.3">
      <c r="A16" s="6" t="s">
        <v>47</v>
      </c>
      <c r="B16" s="31" t="s">
        <v>120</v>
      </c>
      <c r="C16" s="52" t="s">
        <v>60</v>
      </c>
      <c r="D16" s="52"/>
      <c r="E16" s="57">
        <f>0.04</f>
        <v>0.04</v>
      </c>
      <c r="F16" s="57">
        <f t="shared" si="7"/>
        <v>0.12</v>
      </c>
      <c r="G16" s="35">
        <v>56.796667928814848</v>
      </c>
      <c r="H16" s="28">
        <f t="shared" si="0"/>
        <v>2.2718667171525939</v>
      </c>
      <c r="I16" s="59">
        <f>H16*1.12</f>
        <v>2.5444907232109055</v>
      </c>
      <c r="J16" s="59">
        <f t="shared" si="1"/>
        <v>2.1204089360090879</v>
      </c>
      <c r="K16" s="28">
        <f t="shared" si="2"/>
        <v>6.8156001514577813</v>
      </c>
      <c r="L16" s="59">
        <f>K16*1.12</f>
        <v>7.6334721696327161</v>
      </c>
    </row>
    <row r="17" spans="1:13" x14ac:dyDescent="0.3">
      <c r="A17" s="6" t="s">
        <v>48</v>
      </c>
      <c r="B17" s="31" t="s">
        <v>55</v>
      </c>
      <c r="C17" s="52" t="s">
        <v>60</v>
      </c>
      <c r="D17" s="52"/>
      <c r="E17" s="57">
        <v>0.08</v>
      </c>
      <c r="F17" s="57">
        <f>E17*F3</f>
        <v>0.24</v>
      </c>
      <c r="G17" s="35">
        <v>48.29</v>
      </c>
      <c r="H17" s="28">
        <f t="shared" si="0"/>
        <v>3.8632</v>
      </c>
      <c r="I17" s="59">
        <f>H17*1.12</f>
        <v>4.326784</v>
      </c>
      <c r="J17" s="59">
        <f t="shared" si="1"/>
        <v>3.6056533333333336</v>
      </c>
      <c r="K17" s="28">
        <f t="shared" si="2"/>
        <v>11.589599999999999</v>
      </c>
      <c r="L17" s="59">
        <f>K17*1.12</f>
        <v>12.980352</v>
      </c>
      <c r="M17" s="15" t="s">
        <v>109</v>
      </c>
    </row>
    <row r="18" spans="1:13" x14ac:dyDescent="0.3">
      <c r="A18" s="6" t="s">
        <v>22</v>
      </c>
      <c r="B18" s="31" t="s">
        <v>115</v>
      </c>
      <c r="C18" s="52" t="s">
        <v>60</v>
      </c>
      <c r="D18" s="52"/>
      <c r="E18" s="57">
        <v>1000</v>
      </c>
      <c r="F18" s="57">
        <v>1000</v>
      </c>
      <c r="G18" s="35">
        <v>1.5913983050847499E-2</v>
      </c>
      <c r="H18" s="28">
        <f t="shared" si="0"/>
        <v>15.913983050847499</v>
      </c>
      <c r="I18" s="59">
        <f>H18*1.12</f>
        <v>17.823661016949199</v>
      </c>
      <c r="J18" s="59">
        <f t="shared" si="1"/>
        <v>14.853050847457666</v>
      </c>
      <c r="K18" s="28">
        <f t="shared" si="2"/>
        <v>15.913983050847499</v>
      </c>
      <c r="L18" s="59">
        <f>K18*1.12</f>
        <v>17.823661016949199</v>
      </c>
      <c r="M18" s="15" t="s">
        <v>109</v>
      </c>
    </row>
    <row r="19" spans="1:13" x14ac:dyDescent="0.3">
      <c r="A19" s="6" t="s">
        <v>23</v>
      </c>
      <c r="B19" s="31" t="s">
        <v>115</v>
      </c>
      <c r="C19" s="52" t="s">
        <v>60</v>
      </c>
      <c r="D19" s="52"/>
      <c r="E19" s="57">
        <v>250</v>
      </c>
      <c r="F19" s="57">
        <f>F3*E19</f>
        <v>750</v>
      </c>
      <c r="G19" s="35">
        <v>1.5913983050847499E-2</v>
      </c>
      <c r="H19" s="28">
        <f t="shared" si="0"/>
        <v>3.9784957627118747</v>
      </c>
      <c r="I19" s="59">
        <f>H19*1.12</f>
        <v>4.4559152542372997</v>
      </c>
      <c r="J19" s="59">
        <f t="shared" si="1"/>
        <v>3.7132627118644166</v>
      </c>
      <c r="K19" s="28">
        <f t="shared" si="2"/>
        <v>11.935487288135624</v>
      </c>
      <c r="L19" s="59">
        <f>K19*1.12</f>
        <v>13.3677457627119</v>
      </c>
      <c r="M19" s="15" t="s">
        <v>109</v>
      </c>
    </row>
    <row r="20" spans="1:13" x14ac:dyDescent="0.3">
      <c r="A20" s="6" t="s">
        <v>121</v>
      </c>
      <c r="B20" s="31" t="s">
        <v>122</v>
      </c>
      <c r="C20" s="52"/>
      <c r="D20" s="52"/>
      <c r="E20" s="57">
        <f>'[1]Üretim 1-3'!N31*60</f>
        <v>240</v>
      </c>
      <c r="F20" s="57">
        <f>E20</f>
        <v>240</v>
      </c>
      <c r="G20" s="35">
        <f>10*0.808*0.2</f>
        <v>1.6160000000000001</v>
      </c>
      <c r="H20" s="28">
        <f>G20*E20</f>
        <v>387.84000000000003</v>
      </c>
      <c r="I20" s="59">
        <f>H20</f>
        <v>387.84000000000003</v>
      </c>
      <c r="J20" s="59">
        <f t="shared" si="1"/>
        <v>323.20000000000005</v>
      </c>
      <c r="K20" s="28">
        <f t="shared" si="2"/>
        <v>387.84000000000003</v>
      </c>
      <c r="L20" s="59">
        <f>K20</f>
        <v>387.84000000000003</v>
      </c>
      <c r="M20" s="15" t="s">
        <v>109</v>
      </c>
    </row>
    <row r="21" spans="1:13" x14ac:dyDescent="0.3">
      <c r="A21" s="6" t="s">
        <v>49</v>
      </c>
      <c r="B21" s="31" t="s">
        <v>53</v>
      </c>
      <c r="C21" s="52" t="s">
        <v>60</v>
      </c>
      <c r="D21" s="52"/>
      <c r="E21" s="57">
        <v>1</v>
      </c>
      <c r="F21" s="57">
        <v>3</v>
      </c>
      <c r="G21" s="35">
        <f>105*1.15</f>
        <v>120.74999999999999</v>
      </c>
      <c r="H21" s="28">
        <f t="shared" si="0"/>
        <v>120.74999999999999</v>
      </c>
      <c r="I21" s="59">
        <f>H21</f>
        <v>120.74999999999999</v>
      </c>
      <c r="J21" s="59">
        <f t="shared" si="1"/>
        <v>100.62499999999999</v>
      </c>
      <c r="K21" s="28">
        <f t="shared" si="2"/>
        <v>362.24999999999994</v>
      </c>
      <c r="L21" s="59">
        <f>K21</f>
        <v>362.24999999999994</v>
      </c>
      <c r="M21" s="15" t="s">
        <v>109</v>
      </c>
    </row>
    <row r="22" spans="1:13" x14ac:dyDescent="0.3">
      <c r="A22" s="6" t="s">
        <v>15</v>
      </c>
      <c r="B22" s="31" t="s">
        <v>53</v>
      </c>
      <c r="C22" s="52" t="s">
        <v>60</v>
      </c>
      <c r="D22" s="52"/>
      <c r="E22" s="57">
        <f>0.01*E3</f>
        <v>0.01</v>
      </c>
      <c r="F22" s="57">
        <f>0.01*F3</f>
        <v>0.03</v>
      </c>
      <c r="G22" s="35">
        <v>23.146588760955492</v>
      </c>
      <c r="H22" s="28">
        <f t="shared" si="0"/>
        <v>0.23146588760955492</v>
      </c>
      <c r="I22" s="59">
        <f>H22*1.12</f>
        <v>0.25924179412270154</v>
      </c>
      <c r="J22" s="59">
        <f t="shared" si="1"/>
        <v>0.21603482843558464</v>
      </c>
      <c r="K22" s="28">
        <f t="shared" si="2"/>
        <v>0.69439766282866477</v>
      </c>
      <c r="L22" s="59">
        <f>K22*1.12</f>
        <v>0.77772538236810462</v>
      </c>
    </row>
    <row r="23" spans="1:13" x14ac:dyDescent="0.3">
      <c r="A23" s="6" t="s">
        <v>11</v>
      </c>
      <c r="B23" s="31" t="s">
        <v>58</v>
      </c>
      <c r="C23" s="52" t="s">
        <v>60</v>
      </c>
      <c r="D23" s="52"/>
      <c r="E23" s="57">
        <v>0.1</v>
      </c>
      <c r="F23" s="57">
        <f t="shared" ref="F23:F24" si="8">$F$3*E23</f>
        <v>0.30000000000000004</v>
      </c>
      <c r="G23" s="35">
        <v>45</v>
      </c>
      <c r="H23" s="28">
        <f t="shared" si="0"/>
        <v>4.5</v>
      </c>
      <c r="I23" s="59">
        <f>H23</f>
        <v>4.5</v>
      </c>
      <c r="J23" s="59">
        <f t="shared" si="1"/>
        <v>3.75</v>
      </c>
      <c r="K23" s="28">
        <f t="shared" si="2"/>
        <v>13.500000000000002</v>
      </c>
      <c r="L23" s="59">
        <f>K23</f>
        <v>13.500000000000002</v>
      </c>
      <c r="M23" s="15" t="s">
        <v>109</v>
      </c>
    </row>
    <row r="24" spans="1:13" x14ac:dyDescent="0.3">
      <c r="A24" s="6" t="s">
        <v>10</v>
      </c>
      <c r="B24" s="31" t="s">
        <v>58</v>
      </c>
      <c r="C24" s="52" t="s">
        <v>60</v>
      </c>
      <c r="D24" s="52"/>
      <c r="E24" s="57">
        <v>0.2</v>
      </c>
      <c r="F24" s="57">
        <f t="shared" si="8"/>
        <v>0.60000000000000009</v>
      </c>
      <c r="G24" s="35">
        <v>35</v>
      </c>
      <c r="H24" s="28">
        <f t="shared" si="0"/>
        <v>7</v>
      </c>
      <c r="I24" s="59">
        <f>H24</f>
        <v>7</v>
      </c>
      <c r="J24" s="59">
        <f t="shared" si="1"/>
        <v>5.8333333333333339</v>
      </c>
      <c r="K24" s="28">
        <f t="shared" si="2"/>
        <v>21.000000000000004</v>
      </c>
      <c r="L24" s="59">
        <f>K24</f>
        <v>21.000000000000004</v>
      </c>
      <c r="M24" s="15" t="s">
        <v>109</v>
      </c>
    </row>
    <row r="25" spans="1:13" x14ac:dyDescent="0.3">
      <c r="A25" s="6" t="s">
        <v>13</v>
      </c>
      <c r="B25" s="31" t="s">
        <v>53</v>
      </c>
      <c r="C25" s="52" t="s">
        <v>60</v>
      </c>
      <c r="D25" s="52"/>
      <c r="E25" s="57">
        <v>1</v>
      </c>
      <c r="F25" s="57">
        <v>3</v>
      </c>
      <c r="G25" s="35">
        <v>0.1787</v>
      </c>
      <c r="H25" s="28">
        <f t="shared" si="0"/>
        <v>0.1787</v>
      </c>
      <c r="I25" s="59">
        <f>H25</f>
        <v>0.1787</v>
      </c>
      <c r="J25" s="59">
        <f t="shared" si="1"/>
        <v>0.14891666666666667</v>
      </c>
      <c r="K25" s="28">
        <f>G25*F25</f>
        <v>0.53610000000000002</v>
      </c>
      <c r="L25" s="59">
        <f>K25</f>
        <v>0.53610000000000002</v>
      </c>
      <c r="M25" s="15" t="s">
        <v>109</v>
      </c>
    </row>
    <row r="26" spans="1:13" x14ac:dyDescent="0.3">
      <c r="A26" s="6" t="s">
        <v>9</v>
      </c>
      <c r="B26" s="31" t="s">
        <v>59</v>
      </c>
      <c r="C26" s="52" t="s">
        <v>61</v>
      </c>
      <c r="D26" s="52"/>
      <c r="E26" s="57">
        <v>0.05</v>
      </c>
      <c r="F26" s="57">
        <f>E26*F3</f>
        <v>0.15000000000000002</v>
      </c>
      <c r="G26" s="35">
        <v>5</v>
      </c>
      <c r="H26" s="28">
        <f t="shared" si="0"/>
        <v>0.25</v>
      </c>
      <c r="I26" s="59">
        <f>H26</f>
        <v>0.25</v>
      </c>
      <c r="J26" s="59">
        <f t="shared" si="1"/>
        <v>0.20833333333333334</v>
      </c>
      <c r="K26" s="28">
        <f t="shared" si="2"/>
        <v>0.75000000000000011</v>
      </c>
      <c r="L26" s="59">
        <f>K26</f>
        <v>0.75000000000000011</v>
      </c>
      <c r="M26" s="15" t="s">
        <v>109</v>
      </c>
    </row>
    <row r="27" spans="1:13" x14ac:dyDescent="0.3">
      <c r="A27" s="99" t="s">
        <v>123</v>
      </c>
      <c r="B27" s="31" t="s">
        <v>113</v>
      </c>
      <c r="C27" s="52"/>
      <c r="D27" s="52"/>
      <c r="E27" s="57">
        <f>'[1]Üretim 1-3'!J31*60</f>
        <v>420</v>
      </c>
      <c r="F27" s="57">
        <f>E27*F3/3</f>
        <v>420</v>
      </c>
      <c r="G27" s="35">
        <v>2.402395397901433E-3</v>
      </c>
      <c r="H27" s="28">
        <f t="shared" si="0"/>
        <v>1.0090060671186019</v>
      </c>
      <c r="I27" s="59">
        <f>H27</f>
        <v>1.0090060671186019</v>
      </c>
      <c r="J27" s="59">
        <f t="shared" si="1"/>
        <v>0.84083838926550158</v>
      </c>
      <c r="K27" s="28">
        <f t="shared" si="2"/>
        <v>1.0090060671186019</v>
      </c>
      <c r="L27" s="59">
        <f>K27</f>
        <v>1.0090060671186019</v>
      </c>
      <c r="M27" s="15" t="s">
        <v>109</v>
      </c>
    </row>
    <row r="28" spans="1:13" x14ac:dyDescent="0.3">
      <c r="A28" s="6" t="s">
        <v>50</v>
      </c>
      <c r="B28" s="31" t="s">
        <v>53</v>
      </c>
      <c r="C28" s="52" t="s">
        <v>60</v>
      </c>
      <c r="D28" s="52"/>
      <c r="E28" s="57">
        <v>0</v>
      </c>
      <c r="F28" s="57"/>
      <c r="G28" s="35">
        <v>225</v>
      </c>
      <c r="H28" s="28">
        <f t="shared" si="0"/>
        <v>0</v>
      </c>
      <c r="I28" s="59">
        <f t="shared" ref="I28:I29" si="9">H28*1.12</f>
        <v>0</v>
      </c>
      <c r="J28" s="59">
        <f t="shared" si="1"/>
        <v>0</v>
      </c>
      <c r="K28" s="28">
        <f t="shared" si="2"/>
        <v>0</v>
      </c>
      <c r="L28" s="59">
        <f t="shared" ref="L28:L29" si="10">K28*1.12</f>
        <v>0</v>
      </c>
    </row>
    <row r="29" spans="1:13" ht="15" thickBot="1" x14ac:dyDescent="0.35">
      <c r="A29" s="6" t="s">
        <v>51</v>
      </c>
      <c r="B29" s="31" t="s">
        <v>53</v>
      </c>
      <c r="C29" s="52" t="s">
        <v>60</v>
      </c>
      <c r="D29" s="52"/>
      <c r="E29" s="57">
        <v>0</v>
      </c>
      <c r="F29" s="57"/>
      <c r="G29" s="100">
        <f>8.91*1.05</f>
        <v>9.355500000000001</v>
      </c>
      <c r="H29" s="101">
        <f t="shared" si="0"/>
        <v>0</v>
      </c>
      <c r="I29" s="102">
        <f t="shared" si="9"/>
        <v>0</v>
      </c>
      <c r="J29" s="59">
        <f t="shared" si="1"/>
        <v>0</v>
      </c>
      <c r="K29" s="101">
        <f t="shared" si="2"/>
        <v>0</v>
      </c>
      <c r="L29" s="102">
        <f t="shared" si="10"/>
        <v>0</v>
      </c>
    </row>
    <row r="30" spans="1:13" ht="21" x14ac:dyDescent="0.4">
      <c r="A30" s="61" t="s">
        <v>62</v>
      </c>
      <c r="E30" s="60"/>
      <c r="F30" s="60"/>
      <c r="G30" s="103" t="s">
        <v>124</v>
      </c>
      <c r="H30" s="104">
        <f>SUM(H5:H29)</f>
        <v>1315.8723008124591</v>
      </c>
      <c r="I30" s="130">
        <f>SUM(I5:I29)</f>
        <v>1347.7733399020492</v>
      </c>
      <c r="J30" s="104"/>
      <c r="K30" s="104">
        <f>SUM(K5:K29)</f>
        <v>3006.2711197151043</v>
      </c>
      <c r="L30" s="105">
        <f>SUM(L5:L29)</f>
        <v>3088.325758244654</v>
      </c>
    </row>
    <row r="31" spans="1:13" ht="84.6" thickBot="1" x14ac:dyDescent="0.45">
      <c r="A31" s="15" t="s">
        <v>64</v>
      </c>
      <c r="C31" s="15" t="s">
        <v>65</v>
      </c>
      <c r="E31" s="60"/>
      <c r="F31" s="60"/>
      <c r="G31" s="106" t="s">
        <v>125</v>
      </c>
      <c r="H31" s="107">
        <f>H30/$E$2</f>
        <v>3.2896807520311477</v>
      </c>
      <c r="I31" s="107">
        <f>I30/$E$2</f>
        <v>3.369433349755123</v>
      </c>
      <c r="J31" s="107"/>
      <c r="K31" s="107">
        <f>K30/$F$2</f>
        <v>2.5052259330959203</v>
      </c>
      <c r="L31" s="108">
        <f>L30/$F$2</f>
        <v>2.5736047985372115</v>
      </c>
    </row>
    <row r="32" spans="1:13" x14ac:dyDescent="0.3">
      <c r="A32" s="15" t="s">
        <v>66</v>
      </c>
      <c r="E32" s="60"/>
      <c r="F32" s="60"/>
      <c r="H32" s="109">
        <f>H30/300</f>
        <v>4.3862410027081973</v>
      </c>
    </row>
    <row r="33" spans="1:6" x14ac:dyDescent="0.3">
      <c r="A33" s="15" t="s">
        <v>67</v>
      </c>
      <c r="C33" s="15" t="s">
        <v>68</v>
      </c>
      <c r="E33" s="60"/>
      <c r="F33" s="60"/>
    </row>
    <row r="34" spans="1:6" x14ac:dyDescent="0.3">
      <c r="C34" s="15" t="s">
        <v>69</v>
      </c>
      <c r="E34" s="60"/>
      <c r="F34" s="60"/>
    </row>
    <row r="35" spans="1:6" x14ac:dyDescent="0.3">
      <c r="C35" s="15" t="s">
        <v>70</v>
      </c>
      <c r="E35" s="60"/>
      <c r="F35" s="60"/>
    </row>
    <row r="36" spans="1:6" x14ac:dyDescent="0.3">
      <c r="C36" s="15" t="s">
        <v>71</v>
      </c>
      <c r="E36" s="60">
        <f>0.02*2500</f>
        <v>50</v>
      </c>
      <c r="F36" s="60" t="s">
        <v>72</v>
      </c>
    </row>
    <row r="37" spans="1:6" x14ac:dyDescent="0.3">
      <c r="C37" s="15" t="s">
        <v>73</v>
      </c>
      <c r="E37" s="60">
        <v>53.875500000000002</v>
      </c>
      <c r="F37" s="60" t="s">
        <v>74</v>
      </c>
    </row>
    <row r="38" spans="1:6" x14ac:dyDescent="0.3">
      <c r="C38" s="15" t="s">
        <v>75</v>
      </c>
      <c r="E38" s="60">
        <f>+E36*E37</f>
        <v>2693.7750000000001</v>
      </c>
      <c r="F38" s="60" t="s">
        <v>74</v>
      </c>
    </row>
    <row r="39" spans="1:6" x14ac:dyDescent="0.3">
      <c r="E39" s="60"/>
      <c r="F39" s="60"/>
    </row>
    <row r="41" spans="1:6" x14ac:dyDescent="0.3">
      <c r="A41" s="62" t="s">
        <v>63</v>
      </c>
    </row>
  </sheetData>
  <mergeCells count="2">
    <mergeCell ref="H3:I3"/>
    <mergeCell ref="K3:L3"/>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DB68"/>
  <sheetViews>
    <sheetView zoomScale="89" zoomScaleNormal="89" workbookViewId="0">
      <pane xSplit="3" ySplit="4" topLeftCell="D26" activePane="bottomRight" state="frozen"/>
      <selection pane="topRight" activeCell="D1" sqref="D1"/>
      <selection pane="bottomLeft" activeCell="A5" sqref="A5"/>
      <selection pane="bottomRight" activeCell="M40" sqref="M40"/>
    </sheetView>
  </sheetViews>
  <sheetFormatPr defaultColWidth="9.109375" defaultRowHeight="14.4" x14ac:dyDescent="0.3"/>
  <cols>
    <col min="1" max="1" width="11.33203125" style="1" customWidth="1"/>
    <col min="2" max="2" width="11.44140625" style="2" customWidth="1"/>
    <col min="3" max="3" width="25.33203125" style="2" customWidth="1"/>
    <col min="4" max="5" width="19.33203125" style="2" customWidth="1"/>
    <col min="6" max="6" width="12.33203125" style="16" bestFit="1" customWidth="1"/>
    <col min="7" max="7" width="9.88671875" style="16" customWidth="1"/>
    <col min="8" max="8" width="16.33203125" style="16" bestFit="1" customWidth="1"/>
    <col min="9" max="9" width="13.33203125" style="16" customWidth="1"/>
    <col min="10" max="10" width="10.5546875" style="14" customWidth="1"/>
    <col min="11" max="11" width="8.6640625" style="14" bestFit="1" customWidth="1"/>
    <col min="12" max="12" width="8.109375" style="14" bestFit="1" customWidth="1"/>
    <col min="13" max="13" width="13.88671875" style="14" customWidth="1"/>
    <col min="14" max="14" width="20.88671875" style="14" bestFit="1" customWidth="1"/>
    <col min="15" max="15" width="10.109375" style="14" customWidth="1"/>
    <col min="16" max="16" width="11" style="14" customWidth="1"/>
    <col min="17" max="19" width="13.44140625" style="14" customWidth="1"/>
    <col min="20" max="20" width="13.33203125" style="14" customWidth="1"/>
    <col min="21" max="21" width="11" style="14" customWidth="1"/>
    <col min="22" max="22" width="12.88671875" style="14" customWidth="1"/>
    <col min="23" max="23" width="15.5546875" style="14" customWidth="1"/>
    <col min="24" max="105" width="9.109375" style="14"/>
    <col min="106" max="16384" width="9.109375" style="1"/>
  </cols>
  <sheetData>
    <row r="1" spans="1:106" ht="15" customHeight="1" x14ac:dyDescent="0.3">
      <c r="B1" s="159" t="s">
        <v>7</v>
      </c>
      <c r="C1" s="159"/>
    </row>
    <row r="2" spans="1:106" ht="21.6" thickBot="1" x14ac:dyDescent="0.35">
      <c r="C2" s="23" t="s">
        <v>6</v>
      </c>
    </row>
    <row r="3" spans="1:106" s="6" customFormat="1" ht="72.75" customHeight="1" x14ac:dyDescent="0.3">
      <c r="A3" s="8" t="s">
        <v>3</v>
      </c>
      <c r="B3" s="9" t="s">
        <v>1</v>
      </c>
      <c r="C3" s="10" t="s">
        <v>0</v>
      </c>
      <c r="D3" s="7" t="s">
        <v>91</v>
      </c>
      <c r="E3" s="80" t="s">
        <v>92</v>
      </c>
      <c r="F3" s="157" t="s">
        <v>19</v>
      </c>
      <c r="G3" s="158"/>
      <c r="H3" s="157" t="s">
        <v>18</v>
      </c>
      <c r="I3" s="158"/>
      <c r="J3" s="157" t="s">
        <v>41</v>
      </c>
      <c r="K3" s="158"/>
      <c r="L3" s="160" t="s">
        <v>44</v>
      </c>
      <c r="M3" s="158"/>
      <c r="N3" s="160" t="s">
        <v>43</v>
      </c>
      <c r="O3" s="158"/>
      <c r="P3" s="157" t="s">
        <v>21</v>
      </c>
      <c r="Q3" s="158"/>
      <c r="R3" s="157" t="s">
        <v>42</v>
      </c>
      <c r="S3" s="158"/>
      <c r="T3" s="157" t="s">
        <v>45</v>
      </c>
      <c r="U3" s="158"/>
      <c r="V3" s="157" t="s">
        <v>87</v>
      </c>
      <c r="W3" s="158"/>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2"/>
    </row>
    <row r="4" spans="1:106" s="6" customFormat="1" ht="21" x14ac:dyDescent="0.3">
      <c r="A4" s="30"/>
      <c r="B4" s="3"/>
      <c r="C4" s="3"/>
      <c r="D4" s="3"/>
      <c r="E4" s="3"/>
      <c r="F4" s="4" t="s">
        <v>5</v>
      </c>
      <c r="G4" s="5" t="s">
        <v>4</v>
      </c>
      <c r="H4" s="4" t="s">
        <v>5</v>
      </c>
      <c r="I4" s="5" t="s">
        <v>4</v>
      </c>
      <c r="J4" s="4" t="s">
        <v>5</v>
      </c>
      <c r="K4" s="5" t="s">
        <v>4</v>
      </c>
      <c r="L4" s="4" t="s">
        <v>5</v>
      </c>
      <c r="M4" s="5" t="s">
        <v>4</v>
      </c>
      <c r="N4" s="5"/>
      <c r="O4" s="5"/>
      <c r="P4" s="4" t="s">
        <v>5</v>
      </c>
      <c r="Q4" s="5" t="s">
        <v>4</v>
      </c>
      <c r="R4" s="5"/>
      <c r="S4" s="5"/>
      <c r="T4" s="4" t="s">
        <v>5</v>
      </c>
      <c r="U4" s="5" t="s">
        <v>4</v>
      </c>
      <c r="V4" s="4" t="s">
        <v>5</v>
      </c>
      <c r="W4" s="5" t="s">
        <v>4</v>
      </c>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2"/>
    </row>
    <row r="5" spans="1:106" s="41" customFormat="1" ht="36" x14ac:dyDescent="0.3">
      <c r="A5" s="38">
        <v>1</v>
      </c>
      <c r="B5" s="36" t="s">
        <v>16</v>
      </c>
      <c r="C5" s="36" t="s">
        <v>24</v>
      </c>
      <c r="D5" s="36"/>
      <c r="E5" s="36"/>
      <c r="F5" s="36">
        <f>SUM(F6:F9)</f>
        <v>1</v>
      </c>
      <c r="G5" s="36">
        <f t="shared" ref="G5:W5" si="0">SUM(G6:G9)</f>
        <v>1</v>
      </c>
      <c r="H5" s="36">
        <f t="shared" si="0"/>
        <v>1.1000000000000001</v>
      </c>
      <c r="I5" s="36">
        <f t="shared" si="0"/>
        <v>1.1000000000000001</v>
      </c>
      <c r="J5" s="36">
        <f t="shared" si="0"/>
        <v>0</v>
      </c>
      <c r="K5" s="36">
        <f t="shared" si="0"/>
        <v>0</v>
      </c>
      <c r="L5" s="36">
        <f t="shared" si="0"/>
        <v>1</v>
      </c>
      <c r="M5" s="36">
        <f t="shared" si="0"/>
        <v>1</v>
      </c>
      <c r="N5" s="36">
        <f t="shared" si="0"/>
        <v>0</v>
      </c>
      <c r="O5" s="36">
        <f t="shared" si="0"/>
        <v>0</v>
      </c>
      <c r="P5" s="36">
        <f t="shared" si="0"/>
        <v>0</v>
      </c>
      <c r="Q5" s="36">
        <f t="shared" si="0"/>
        <v>0</v>
      </c>
      <c r="R5" s="36"/>
      <c r="S5" s="36"/>
      <c r="T5" s="36">
        <f t="shared" si="0"/>
        <v>0</v>
      </c>
      <c r="U5" s="36">
        <f t="shared" si="0"/>
        <v>0</v>
      </c>
      <c r="V5" s="36">
        <f t="shared" si="0"/>
        <v>0</v>
      </c>
      <c r="W5" s="36">
        <f t="shared" si="0"/>
        <v>0</v>
      </c>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40"/>
    </row>
    <row r="6" spans="1:106" s="43" customFormat="1" ht="18" x14ac:dyDescent="0.3">
      <c r="A6" s="37">
        <v>2</v>
      </c>
      <c r="B6" s="42" t="s">
        <v>2</v>
      </c>
      <c r="C6" s="42" t="s">
        <v>25</v>
      </c>
      <c r="F6" s="37"/>
      <c r="G6" s="37"/>
      <c r="H6" s="37">
        <v>1</v>
      </c>
      <c r="I6" s="37">
        <v>1</v>
      </c>
      <c r="J6" s="37"/>
      <c r="K6" s="37"/>
      <c r="L6" s="37"/>
      <c r="M6" s="37"/>
      <c r="N6" s="37"/>
      <c r="O6" s="37"/>
      <c r="P6" s="37"/>
      <c r="Q6" s="37"/>
      <c r="R6" s="37"/>
      <c r="S6" s="37"/>
      <c r="T6" s="37"/>
      <c r="U6" s="37"/>
      <c r="V6" s="37"/>
      <c r="W6" s="37"/>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row>
    <row r="7" spans="1:106" s="43" customFormat="1" ht="18" x14ac:dyDescent="0.3">
      <c r="A7" s="37">
        <v>3</v>
      </c>
      <c r="B7" s="42" t="s">
        <v>2</v>
      </c>
      <c r="C7" s="42" t="s">
        <v>29</v>
      </c>
      <c r="F7" s="37"/>
      <c r="G7" s="37"/>
      <c r="H7" s="37"/>
      <c r="I7" s="37"/>
      <c r="J7" s="37"/>
      <c r="K7" s="37"/>
      <c r="L7" s="37">
        <v>1</v>
      </c>
      <c r="M7" s="37">
        <v>1</v>
      </c>
      <c r="N7" s="37"/>
      <c r="O7" s="37"/>
      <c r="P7" s="37"/>
      <c r="Q7" s="37"/>
      <c r="R7" s="37"/>
      <c r="S7" s="37"/>
      <c r="T7" s="37"/>
      <c r="U7" s="37"/>
      <c r="V7" s="37"/>
      <c r="W7" s="37"/>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row>
    <row r="8" spans="1:106" s="43" customFormat="1" ht="18" x14ac:dyDescent="0.3">
      <c r="A8" s="37">
        <v>4</v>
      </c>
      <c r="B8" s="42" t="s">
        <v>2</v>
      </c>
      <c r="C8" s="42" t="s">
        <v>30</v>
      </c>
      <c r="F8" s="37">
        <v>1</v>
      </c>
      <c r="G8" s="37">
        <v>1</v>
      </c>
      <c r="H8" s="37"/>
      <c r="I8" s="37"/>
      <c r="J8" s="37"/>
      <c r="K8" s="37"/>
      <c r="L8" s="37"/>
      <c r="M8" s="37"/>
      <c r="N8" s="37"/>
      <c r="O8" s="37"/>
      <c r="P8" s="37"/>
      <c r="Q8" s="37"/>
      <c r="R8" s="37"/>
      <c r="S8" s="37"/>
      <c r="T8" s="37"/>
      <c r="U8" s="37"/>
      <c r="V8" s="37"/>
      <c r="W8" s="37"/>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5"/>
    </row>
    <row r="9" spans="1:106" s="25" customFormat="1" ht="18" x14ac:dyDescent="0.3">
      <c r="A9" s="37">
        <v>5</v>
      </c>
      <c r="B9" s="42" t="s">
        <v>2</v>
      </c>
      <c r="C9" s="42" t="s">
        <v>20</v>
      </c>
      <c r="D9" s="43"/>
      <c r="E9" s="43"/>
      <c r="F9" s="51"/>
      <c r="G9" s="51"/>
      <c r="H9" s="51">
        <v>0.1</v>
      </c>
      <c r="I9" s="51">
        <v>0.1</v>
      </c>
      <c r="J9" s="51"/>
      <c r="K9" s="51"/>
      <c r="L9" s="51"/>
      <c r="M9" s="51"/>
      <c r="N9" s="51"/>
      <c r="O9" s="51"/>
      <c r="P9" s="51"/>
      <c r="Q9" s="51"/>
      <c r="R9" s="51"/>
      <c r="S9" s="51"/>
      <c r="T9" s="51"/>
      <c r="U9" s="51"/>
      <c r="V9" s="51"/>
      <c r="W9" s="51"/>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46"/>
    </row>
    <row r="10" spans="1:106" s="41" customFormat="1" ht="18" x14ac:dyDescent="0.3">
      <c r="A10" s="47">
        <v>6</v>
      </c>
      <c r="B10" s="36" t="s">
        <v>16</v>
      </c>
      <c r="C10" s="36" t="s">
        <v>26</v>
      </c>
      <c r="D10" s="36"/>
      <c r="E10" s="36"/>
      <c r="F10" s="36">
        <f>SUM(F11)</f>
        <v>0</v>
      </c>
      <c r="G10" s="36">
        <f t="shared" ref="G10:W10" si="1">SUM(G11)</f>
        <v>0</v>
      </c>
      <c r="H10" s="36">
        <f t="shared" si="1"/>
        <v>0</v>
      </c>
      <c r="I10" s="36">
        <f t="shared" si="1"/>
        <v>0</v>
      </c>
      <c r="J10" s="36">
        <f t="shared" si="1"/>
        <v>7</v>
      </c>
      <c r="K10" s="36">
        <f t="shared" si="1"/>
        <v>2</v>
      </c>
      <c r="L10" s="36">
        <f t="shared" si="1"/>
        <v>0</v>
      </c>
      <c r="M10" s="36">
        <f t="shared" si="1"/>
        <v>0</v>
      </c>
      <c r="N10" s="36">
        <f t="shared" si="1"/>
        <v>0</v>
      </c>
      <c r="O10" s="36">
        <f t="shared" si="1"/>
        <v>0</v>
      </c>
      <c r="P10" s="36">
        <f t="shared" si="1"/>
        <v>0</v>
      </c>
      <c r="Q10" s="36">
        <f t="shared" si="1"/>
        <v>0</v>
      </c>
      <c r="R10" s="36"/>
      <c r="S10" s="36"/>
      <c r="T10" s="36">
        <f t="shared" si="1"/>
        <v>0</v>
      </c>
      <c r="U10" s="36">
        <f t="shared" si="1"/>
        <v>0</v>
      </c>
      <c r="V10" s="36">
        <f t="shared" si="1"/>
        <v>0</v>
      </c>
      <c r="W10" s="36">
        <f t="shared" si="1"/>
        <v>0</v>
      </c>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40"/>
    </row>
    <row r="11" spans="1:106" s="25" customFormat="1" ht="28.8" x14ac:dyDescent="0.3">
      <c r="A11" s="48">
        <v>7</v>
      </c>
      <c r="B11" s="42" t="s">
        <v>2</v>
      </c>
      <c r="C11" s="42" t="s">
        <v>33</v>
      </c>
      <c r="D11" s="43" t="s">
        <v>93</v>
      </c>
      <c r="E11" s="43"/>
      <c r="F11" s="51"/>
      <c r="G11" s="51"/>
      <c r="H11" s="51"/>
      <c r="I11" s="51"/>
      <c r="J11" s="51">
        <v>7</v>
      </c>
      <c r="K11" s="51">
        <v>2</v>
      </c>
      <c r="L11" s="51"/>
      <c r="M11" s="51"/>
      <c r="N11" s="51"/>
      <c r="O11" s="51"/>
      <c r="P11" s="51"/>
      <c r="Q11" s="51"/>
      <c r="R11" s="51"/>
      <c r="S11" s="51"/>
      <c r="T11" s="51"/>
      <c r="U11" s="51"/>
      <c r="V11" s="51"/>
      <c r="W11" s="51"/>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46"/>
    </row>
    <row r="12" spans="1:106" s="41" customFormat="1" ht="18" x14ac:dyDescent="0.3">
      <c r="A12" s="47">
        <v>8</v>
      </c>
      <c r="B12" s="36" t="s">
        <v>16</v>
      </c>
      <c r="C12" s="36" t="s">
        <v>27</v>
      </c>
      <c r="D12" s="36"/>
      <c r="E12" s="36"/>
      <c r="F12" s="36">
        <f>SUM(F13,F14)</f>
        <v>5</v>
      </c>
      <c r="G12" s="36">
        <f t="shared" ref="G12:W12" si="2">SUM(G13,G14)</f>
        <v>0.5</v>
      </c>
      <c r="H12" s="36">
        <f t="shared" si="2"/>
        <v>0.1</v>
      </c>
      <c r="I12" s="36">
        <f t="shared" si="2"/>
        <v>0.1</v>
      </c>
      <c r="J12" s="36">
        <f t="shared" si="2"/>
        <v>0</v>
      </c>
      <c r="K12" s="36">
        <f t="shared" si="2"/>
        <v>0</v>
      </c>
      <c r="L12" s="36">
        <f t="shared" si="2"/>
        <v>0</v>
      </c>
      <c r="M12" s="36">
        <f t="shared" si="2"/>
        <v>0</v>
      </c>
      <c r="N12" s="36">
        <f t="shared" si="2"/>
        <v>0</v>
      </c>
      <c r="O12" s="36">
        <f t="shared" si="2"/>
        <v>0</v>
      </c>
      <c r="P12" s="36">
        <f t="shared" si="2"/>
        <v>0</v>
      </c>
      <c r="Q12" s="36">
        <f t="shared" si="2"/>
        <v>0</v>
      </c>
      <c r="R12" s="36"/>
      <c r="S12" s="36"/>
      <c r="T12" s="36">
        <f t="shared" si="2"/>
        <v>0</v>
      </c>
      <c r="U12" s="36">
        <f t="shared" si="2"/>
        <v>0</v>
      </c>
      <c r="V12" s="36">
        <f t="shared" si="2"/>
        <v>0</v>
      </c>
      <c r="W12" s="36">
        <f t="shared" si="2"/>
        <v>0</v>
      </c>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40"/>
    </row>
    <row r="13" spans="1:106" s="25" customFormat="1" ht="36" x14ac:dyDescent="0.3">
      <c r="A13" s="48">
        <v>9</v>
      </c>
      <c r="B13" s="42" t="s">
        <v>2</v>
      </c>
      <c r="C13" s="42" t="s">
        <v>28</v>
      </c>
      <c r="D13" s="43" t="s">
        <v>94</v>
      </c>
      <c r="E13" s="43" t="s">
        <v>95</v>
      </c>
      <c r="F13" s="51">
        <v>5</v>
      </c>
      <c r="G13" s="51">
        <v>0.5</v>
      </c>
      <c r="H13" s="51"/>
      <c r="I13" s="51"/>
      <c r="J13" s="51"/>
      <c r="K13" s="51"/>
      <c r="L13" s="51"/>
      <c r="M13" s="51"/>
      <c r="N13" s="51"/>
      <c r="O13" s="51"/>
      <c r="P13" s="51"/>
      <c r="Q13" s="51"/>
      <c r="R13" s="51"/>
      <c r="S13" s="51"/>
      <c r="T13" s="51"/>
      <c r="U13" s="51"/>
      <c r="V13" s="51"/>
      <c r="W13" s="51"/>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46"/>
    </row>
    <row r="14" spans="1:106" s="25" customFormat="1" ht="18" x14ac:dyDescent="0.3">
      <c r="A14" s="37">
        <v>10</v>
      </c>
      <c r="B14" s="42" t="s">
        <v>2</v>
      </c>
      <c r="C14" s="42" t="s">
        <v>20</v>
      </c>
      <c r="D14" s="43"/>
      <c r="E14" s="43"/>
      <c r="F14" s="51"/>
      <c r="G14" s="51"/>
      <c r="H14" s="51">
        <v>0.1</v>
      </c>
      <c r="I14" s="51">
        <v>0.1</v>
      </c>
      <c r="J14" s="51"/>
      <c r="K14" s="51"/>
      <c r="L14" s="51"/>
      <c r="M14" s="51"/>
      <c r="N14" s="51"/>
      <c r="O14" s="51"/>
      <c r="P14" s="51"/>
      <c r="Q14" s="51"/>
      <c r="R14" s="51"/>
      <c r="S14" s="51"/>
      <c r="T14" s="51"/>
      <c r="U14" s="51"/>
      <c r="V14" s="51"/>
      <c r="W14" s="51"/>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46"/>
    </row>
    <row r="15" spans="1:106" s="41" customFormat="1" ht="18" x14ac:dyDescent="0.3">
      <c r="A15" s="38">
        <v>11</v>
      </c>
      <c r="B15" s="36" t="s">
        <v>16</v>
      </c>
      <c r="C15" s="36" t="s">
        <v>31</v>
      </c>
      <c r="D15" s="36"/>
      <c r="E15" s="36"/>
      <c r="F15" s="36">
        <f>SUM(F16:F21)</f>
        <v>3.5</v>
      </c>
      <c r="G15" s="36">
        <f t="shared" ref="G15:W15" si="3">SUM(G16:G21)</f>
        <v>3</v>
      </c>
      <c r="H15" s="36">
        <f t="shared" si="3"/>
        <v>1.1000000000000001</v>
      </c>
      <c r="I15" s="36">
        <f t="shared" si="3"/>
        <v>1.1000000000000001</v>
      </c>
      <c r="J15" s="36">
        <f t="shared" si="3"/>
        <v>0</v>
      </c>
      <c r="K15" s="36">
        <f t="shared" si="3"/>
        <v>0</v>
      </c>
      <c r="L15" s="36">
        <f t="shared" si="3"/>
        <v>1</v>
      </c>
      <c r="M15" s="36">
        <f t="shared" si="3"/>
        <v>1</v>
      </c>
      <c r="N15" s="36">
        <f t="shared" si="3"/>
        <v>0</v>
      </c>
      <c r="O15" s="36">
        <f t="shared" si="3"/>
        <v>0</v>
      </c>
      <c r="P15" s="36">
        <f t="shared" si="3"/>
        <v>0</v>
      </c>
      <c r="Q15" s="36">
        <f t="shared" si="3"/>
        <v>0</v>
      </c>
      <c r="R15" s="36"/>
      <c r="S15" s="36"/>
      <c r="T15" s="36">
        <f t="shared" si="3"/>
        <v>0</v>
      </c>
      <c r="U15" s="36">
        <f t="shared" si="3"/>
        <v>0</v>
      </c>
      <c r="V15" s="36">
        <f t="shared" si="3"/>
        <v>0</v>
      </c>
      <c r="W15" s="36">
        <f t="shared" si="3"/>
        <v>0</v>
      </c>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40"/>
    </row>
    <row r="16" spans="1:106" s="25" customFormat="1" ht="18" x14ac:dyDescent="0.3">
      <c r="A16" s="37">
        <v>12</v>
      </c>
      <c r="B16" s="42" t="s">
        <v>2</v>
      </c>
      <c r="C16" s="49" t="s">
        <v>25</v>
      </c>
      <c r="D16" s="43" t="s">
        <v>96</v>
      </c>
      <c r="E16" s="43"/>
      <c r="F16" s="51"/>
      <c r="G16" s="51"/>
      <c r="H16" s="51">
        <v>1</v>
      </c>
      <c r="I16" s="51">
        <v>1</v>
      </c>
      <c r="J16" s="51"/>
      <c r="K16" s="51"/>
      <c r="L16" s="51"/>
      <c r="M16" s="51"/>
      <c r="N16" s="51"/>
      <c r="O16" s="51"/>
      <c r="P16" s="51"/>
      <c r="Q16" s="51"/>
      <c r="R16" s="51"/>
      <c r="S16" s="51"/>
      <c r="T16" s="51"/>
      <c r="U16" s="51"/>
      <c r="V16" s="51"/>
      <c r="W16" s="51"/>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46"/>
    </row>
    <row r="17" spans="1:106" s="25" customFormat="1" ht="18" x14ac:dyDescent="0.3">
      <c r="A17" s="48">
        <v>13</v>
      </c>
      <c r="B17" s="42"/>
      <c r="C17" s="42" t="s">
        <v>29</v>
      </c>
      <c r="D17" s="43"/>
      <c r="E17" s="43"/>
      <c r="F17" s="51"/>
      <c r="G17" s="51"/>
      <c r="H17" s="51"/>
      <c r="I17" s="51"/>
      <c r="J17" s="51"/>
      <c r="K17" s="51"/>
      <c r="L17" s="51">
        <v>1</v>
      </c>
      <c r="M17" s="51">
        <v>1</v>
      </c>
      <c r="N17" s="51"/>
      <c r="O17" s="51"/>
      <c r="P17" s="51"/>
      <c r="Q17" s="51"/>
      <c r="R17" s="51"/>
      <c r="S17" s="51"/>
      <c r="T17" s="51"/>
      <c r="U17" s="51"/>
      <c r="V17" s="51"/>
      <c r="W17" s="51"/>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46"/>
    </row>
    <row r="18" spans="1:106" s="25" customFormat="1" ht="18" x14ac:dyDescent="0.3">
      <c r="A18" s="50">
        <v>14</v>
      </c>
      <c r="B18" s="42"/>
      <c r="C18" s="42" t="s">
        <v>30</v>
      </c>
      <c r="D18" s="43" t="s">
        <v>97</v>
      </c>
      <c r="E18" s="43"/>
      <c r="F18" s="51">
        <v>1</v>
      </c>
      <c r="G18" s="51">
        <v>1</v>
      </c>
      <c r="H18" s="51"/>
      <c r="I18" s="51"/>
      <c r="J18" s="51"/>
      <c r="K18" s="51"/>
      <c r="L18" s="51"/>
      <c r="M18" s="51"/>
      <c r="N18" s="51"/>
      <c r="O18" s="51"/>
      <c r="P18" s="51"/>
      <c r="Q18" s="51"/>
      <c r="R18" s="51"/>
      <c r="S18" s="51"/>
      <c r="T18" s="51"/>
      <c r="U18" s="51"/>
      <c r="V18" s="51"/>
      <c r="W18" s="51"/>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46"/>
    </row>
    <row r="19" spans="1:106" s="25" customFormat="1" ht="36" x14ac:dyDescent="0.3">
      <c r="A19" s="48">
        <v>15</v>
      </c>
      <c r="B19" s="42"/>
      <c r="C19" s="42" t="s">
        <v>31</v>
      </c>
      <c r="D19" s="43" t="s">
        <v>98</v>
      </c>
      <c r="E19" s="43"/>
      <c r="F19" s="51">
        <v>1.5</v>
      </c>
      <c r="G19" s="51">
        <v>1.5</v>
      </c>
      <c r="H19" s="51"/>
      <c r="I19" s="51"/>
      <c r="J19" s="51"/>
      <c r="K19" s="51"/>
      <c r="L19" s="51"/>
      <c r="M19" s="51"/>
      <c r="N19" s="51"/>
      <c r="O19" s="51"/>
      <c r="P19" s="51"/>
      <c r="Q19" s="51"/>
      <c r="R19" s="51"/>
      <c r="S19" s="51"/>
      <c r="T19" s="51"/>
      <c r="U19" s="51"/>
      <c r="V19" s="51"/>
      <c r="W19" s="51"/>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46"/>
    </row>
    <row r="20" spans="1:106" s="25" customFormat="1" ht="18" x14ac:dyDescent="0.3">
      <c r="A20" s="50">
        <v>16</v>
      </c>
      <c r="B20" s="42" t="s">
        <v>2</v>
      </c>
      <c r="C20" s="42" t="s">
        <v>32</v>
      </c>
      <c r="D20" s="43" t="s">
        <v>99</v>
      </c>
      <c r="E20" s="43"/>
      <c r="F20" s="51">
        <v>1</v>
      </c>
      <c r="G20" s="51">
        <v>0.5</v>
      </c>
      <c r="H20" s="51"/>
      <c r="I20" s="51"/>
      <c r="J20" s="51"/>
      <c r="K20" s="51"/>
      <c r="L20" s="51"/>
      <c r="M20" s="51"/>
      <c r="N20" s="51"/>
      <c r="O20" s="51"/>
      <c r="P20" s="51"/>
      <c r="Q20" s="51"/>
      <c r="R20" s="51"/>
      <c r="S20" s="51"/>
      <c r="T20" s="51"/>
      <c r="U20" s="51"/>
      <c r="V20" s="51"/>
      <c r="W20" s="51"/>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46"/>
    </row>
    <row r="21" spans="1:106" s="25" customFormat="1" ht="18" x14ac:dyDescent="0.3">
      <c r="A21" s="48">
        <v>17</v>
      </c>
      <c r="B21" s="42" t="s">
        <v>2</v>
      </c>
      <c r="C21" s="42" t="s">
        <v>20</v>
      </c>
      <c r="D21" s="43"/>
      <c r="E21" s="43"/>
      <c r="F21" s="51"/>
      <c r="G21" s="51"/>
      <c r="H21" s="51">
        <v>0.1</v>
      </c>
      <c r="I21" s="51">
        <v>0.1</v>
      </c>
      <c r="J21" s="51"/>
      <c r="K21" s="51"/>
      <c r="L21" s="51"/>
      <c r="M21" s="51"/>
      <c r="N21" s="51"/>
      <c r="O21" s="51"/>
      <c r="P21" s="51"/>
      <c r="Q21" s="51"/>
      <c r="R21" s="51"/>
      <c r="S21" s="51"/>
      <c r="T21" s="51"/>
      <c r="U21" s="51"/>
      <c r="V21" s="51"/>
      <c r="W21" s="51"/>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46"/>
    </row>
    <row r="22" spans="1:106" s="41" customFormat="1" ht="18" x14ac:dyDescent="0.3">
      <c r="A22" s="47">
        <v>18</v>
      </c>
      <c r="B22" s="36" t="s">
        <v>16</v>
      </c>
      <c r="C22" s="36" t="s">
        <v>34</v>
      </c>
      <c r="D22" s="36"/>
      <c r="E22" s="36"/>
      <c r="F22" s="36">
        <f>SUM(F23:F26)</f>
        <v>0</v>
      </c>
      <c r="G22" s="36">
        <f t="shared" ref="G22:W22" si="4">SUM(G23:G26)</f>
        <v>0</v>
      </c>
      <c r="H22" s="36">
        <f t="shared" si="4"/>
        <v>2.5</v>
      </c>
      <c r="I22" s="36">
        <f t="shared" si="4"/>
        <v>2.5</v>
      </c>
      <c r="J22" s="36">
        <f t="shared" si="4"/>
        <v>0</v>
      </c>
      <c r="K22" s="36">
        <f t="shared" si="4"/>
        <v>0</v>
      </c>
      <c r="L22" s="36">
        <f t="shared" si="4"/>
        <v>1</v>
      </c>
      <c r="M22" s="36">
        <f t="shared" si="4"/>
        <v>1</v>
      </c>
      <c r="N22" s="36">
        <f t="shared" si="4"/>
        <v>4</v>
      </c>
      <c r="O22" s="36">
        <f t="shared" si="4"/>
        <v>0.1</v>
      </c>
      <c r="P22" s="36">
        <f t="shared" si="4"/>
        <v>0</v>
      </c>
      <c r="Q22" s="36">
        <f t="shared" si="4"/>
        <v>0</v>
      </c>
      <c r="R22" s="36">
        <f t="shared" si="4"/>
        <v>0</v>
      </c>
      <c r="S22" s="36">
        <f t="shared" si="4"/>
        <v>0</v>
      </c>
      <c r="T22" s="36">
        <f t="shared" si="4"/>
        <v>0</v>
      </c>
      <c r="U22" s="36">
        <f t="shared" si="4"/>
        <v>0</v>
      </c>
      <c r="V22" s="36">
        <f t="shared" si="4"/>
        <v>0</v>
      </c>
      <c r="W22" s="36">
        <f t="shared" si="4"/>
        <v>0</v>
      </c>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40"/>
    </row>
    <row r="23" spans="1:106" s="25" customFormat="1" ht="18" x14ac:dyDescent="0.3">
      <c r="A23" s="48">
        <v>19</v>
      </c>
      <c r="B23" s="42" t="s">
        <v>2</v>
      </c>
      <c r="C23" s="42" t="s">
        <v>35</v>
      </c>
      <c r="D23" s="43"/>
      <c r="E23" s="43"/>
      <c r="F23" s="51"/>
      <c r="G23" s="51"/>
      <c r="H23" s="51">
        <v>1.5</v>
      </c>
      <c r="I23" s="51">
        <v>1.5</v>
      </c>
      <c r="J23" s="51"/>
      <c r="K23" s="51"/>
      <c r="L23" s="51"/>
      <c r="M23" s="51"/>
      <c r="N23" s="51"/>
      <c r="O23" s="51"/>
      <c r="P23" s="51"/>
      <c r="Q23" s="51"/>
      <c r="R23" s="51"/>
      <c r="S23" s="51"/>
      <c r="T23" s="51"/>
      <c r="U23" s="51"/>
      <c r="V23" s="51"/>
      <c r="W23" s="51"/>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46"/>
    </row>
    <row r="24" spans="1:106" s="25" customFormat="1" ht="18" x14ac:dyDescent="0.3">
      <c r="A24" s="50">
        <v>20</v>
      </c>
      <c r="B24" s="42" t="s">
        <v>2</v>
      </c>
      <c r="C24" s="42" t="s">
        <v>37</v>
      </c>
      <c r="D24" s="43"/>
      <c r="E24" s="43"/>
      <c r="F24" s="51"/>
      <c r="G24" s="51"/>
      <c r="H24" s="51"/>
      <c r="I24" s="51"/>
      <c r="J24" s="51"/>
      <c r="K24" s="51"/>
      <c r="L24" s="51">
        <v>1</v>
      </c>
      <c r="M24" s="51">
        <v>1</v>
      </c>
      <c r="N24" s="51"/>
      <c r="O24" s="51"/>
      <c r="P24" s="51"/>
      <c r="Q24" s="51"/>
      <c r="R24" s="51"/>
      <c r="S24" s="51"/>
      <c r="T24" s="51"/>
      <c r="U24" s="51"/>
      <c r="V24" s="51"/>
      <c r="W24" s="51"/>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46"/>
    </row>
    <row r="25" spans="1:106" s="25" customFormat="1" ht="18" x14ac:dyDescent="0.3">
      <c r="A25" s="48">
        <v>21</v>
      </c>
      <c r="B25" s="42" t="s">
        <v>2</v>
      </c>
      <c r="C25" s="42" t="s">
        <v>36</v>
      </c>
      <c r="D25" s="43"/>
      <c r="E25" s="43"/>
      <c r="F25" s="51"/>
      <c r="G25" s="51"/>
      <c r="H25" s="51">
        <v>1</v>
      </c>
      <c r="I25" s="51">
        <v>1</v>
      </c>
      <c r="J25" s="51"/>
      <c r="K25" s="51"/>
      <c r="L25" s="51"/>
      <c r="M25" s="51"/>
      <c r="N25" s="51"/>
      <c r="O25" s="51"/>
      <c r="P25" s="51"/>
      <c r="Q25" s="51"/>
      <c r="R25" s="51"/>
      <c r="S25" s="51"/>
      <c r="T25" s="51"/>
      <c r="U25" s="51"/>
      <c r="V25" s="51"/>
      <c r="W25" s="51"/>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46"/>
    </row>
    <row r="26" spans="1:106" s="25" customFormat="1" ht="18" x14ac:dyDescent="0.3">
      <c r="A26" s="50">
        <v>22</v>
      </c>
      <c r="B26" s="42" t="s">
        <v>2</v>
      </c>
      <c r="C26" s="42" t="s">
        <v>38</v>
      </c>
      <c r="D26" s="43"/>
      <c r="E26" s="43"/>
      <c r="F26" s="51"/>
      <c r="G26" s="51"/>
      <c r="H26" s="51"/>
      <c r="I26" s="51"/>
      <c r="J26" s="51"/>
      <c r="K26" s="51"/>
      <c r="L26" s="51"/>
      <c r="M26" s="51"/>
      <c r="N26" s="51">
        <v>4</v>
      </c>
      <c r="O26" s="51">
        <v>0.1</v>
      </c>
      <c r="P26" s="51"/>
      <c r="Q26" s="51"/>
      <c r="R26" s="51"/>
      <c r="S26" s="51"/>
      <c r="T26" s="51"/>
      <c r="U26" s="51"/>
      <c r="V26" s="51"/>
      <c r="W26" s="51"/>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46"/>
    </row>
    <row r="27" spans="1:106" s="41" customFormat="1" ht="36" x14ac:dyDescent="0.3">
      <c r="A27" s="38">
        <v>23</v>
      </c>
      <c r="B27" s="36" t="s">
        <v>16</v>
      </c>
      <c r="C27" s="36" t="s">
        <v>17</v>
      </c>
      <c r="D27" s="36"/>
      <c r="E27" s="36"/>
      <c r="F27" s="36">
        <f>SUM(F28:F29)</f>
        <v>0</v>
      </c>
      <c r="G27" s="36">
        <f t="shared" ref="G27:U27" si="5">SUM(G28:G29)</f>
        <v>0</v>
      </c>
      <c r="H27" s="36">
        <f t="shared" si="5"/>
        <v>0</v>
      </c>
      <c r="I27" s="36">
        <f t="shared" si="5"/>
        <v>0</v>
      </c>
      <c r="J27" s="36">
        <f t="shared" si="5"/>
        <v>0</v>
      </c>
      <c r="K27" s="36">
        <f t="shared" si="5"/>
        <v>0</v>
      </c>
      <c r="L27" s="36">
        <f t="shared" si="5"/>
        <v>0</v>
      </c>
      <c r="M27" s="36">
        <f t="shared" si="5"/>
        <v>0</v>
      </c>
      <c r="N27" s="36">
        <f t="shared" si="5"/>
        <v>0</v>
      </c>
      <c r="O27" s="36">
        <f t="shared" si="5"/>
        <v>0</v>
      </c>
      <c r="P27" s="36">
        <f t="shared" si="5"/>
        <v>0</v>
      </c>
      <c r="Q27" s="36">
        <f t="shared" si="5"/>
        <v>0</v>
      </c>
      <c r="R27" s="36">
        <f t="shared" si="5"/>
        <v>4</v>
      </c>
      <c r="S27" s="36">
        <f t="shared" si="5"/>
        <v>4</v>
      </c>
      <c r="T27" s="36">
        <f t="shared" si="5"/>
        <v>1</v>
      </c>
      <c r="U27" s="36">
        <f t="shared" si="5"/>
        <v>1</v>
      </c>
      <c r="V27" s="36">
        <f>SUM(V28:V30)</f>
        <v>5</v>
      </c>
      <c r="W27" s="36">
        <f>SUM(W28:W30)</f>
        <v>5</v>
      </c>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40"/>
    </row>
    <row r="28" spans="1:106" s="25" customFormat="1" ht="32.25" customHeight="1" x14ac:dyDescent="0.3">
      <c r="A28" s="50">
        <v>24</v>
      </c>
      <c r="B28" s="42" t="s">
        <v>2</v>
      </c>
      <c r="C28" s="42" t="s">
        <v>39</v>
      </c>
      <c r="D28" s="43"/>
      <c r="E28" s="43"/>
      <c r="F28" s="51"/>
      <c r="G28" s="51"/>
      <c r="H28" s="51"/>
      <c r="I28" s="51"/>
      <c r="J28" s="51"/>
      <c r="K28" s="51"/>
      <c r="L28" s="51"/>
      <c r="M28" s="51"/>
      <c r="N28" s="51"/>
      <c r="O28" s="51"/>
      <c r="P28" s="51"/>
      <c r="Q28" s="51"/>
      <c r="R28" s="51">
        <v>4</v>
      </c>
      <c r="S28" s="51">
        <v>4</v>
      </c>
      <c r="T28" s="51"/>
      <c r="U28" s="51"/>
      <c r="V28" s="51"/>
      <c r="W28" s="51"/>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46"/>
    </row>
    <row r="29" spans="1:106" s="25" customFormat="1" ht="49.5" customHeight="1" x14ac:dyDescent="0.3">
      <c r="A29" s="48">
        <v>25</v>
      </c>
      <c r="B29" s="42" t="s">
        <v>2</v>
      </c>
      <c r="C29" s="42" t="s">
        <v>40</v>
      </c>
      <c r="D29" s="43"/>
      <c r="E29" s="43"/>
      <c r="F29" s="51"/>
      <c r="G29" s="51"/>
      <c r="H29" s="51"/>
      <c r="I29" s="51"/>
      <c r="J29" s="51"/>
      <c r="K29" s="51"/>
      <c r="L29" s="51"/>
      <c r="M29" s="51"/>
      <c r="N29" s="51"/>
      <c r="O29" s="51"/>
      <c r="P29" s="51"/>
      <c r="Q29" s="51"/>
      <c r="R29" s="51"/>
      <c r="S29" s="51"/>
      <c r="T29" s="51">
        <v>1</v>
      </c>
      <c r="U29" s="51">
        <v>1</v>
      </c>
      <c r="V29" s="51"/>
      <c r="W29" s="51"/>
      <c r="X29" s="81" t="s">
        <v>100</v>
      </c>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46"/>
    </row>
    <row r="30" spans="1:106" s="11" customFormat="1" ht="18" x14ac:dyDescent="0.3">
      <c r="A30" s="48">
        <v>25</v>
      </c>
      <c r="B30" s="42" t="s">
        <v>2</v>
      </c>
      <c r="C30" s="42" t="s">
        <v>88</v>
      </c>
      <c r="D30" s="43"/>
      <c r="E30" s="43"/>
      <c r="F30" s="51"/>
      <c r="G30" s="51"/>
      <c r="H30" s="51"/>
      <c r="I30" s="51"/>
      <c r="J30" s="51"/>
      <c r="K30" s="51"/>
      <c r="L30" s="51"/>
      <c r="M30" s="51"/>
      <c r="N30" s="51"/>
      <c r="O30" s="51"/>
      <c r="P30" s="51"/>
      <c r="Q30" s="51"/>
      <c r="R30" s="51"/>
      <c r="S30" s="51"/>
      <c r="T30" s="51"/>
      <c r="U30" s="51"/>
      <c r="V30" s="51">
        <v>5</v>
      </c>
      <c r="W30" s="51">
        <v>5</v>
      </c>
      <c r="X30" s="81"/>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3"/>
    </row>
    <row r="31" spans="1:106" s="6" customFormat="1" ht="36" x14ac:dyDescent="0.3">
      <c r="A31" s="17"/>
      <c r="B31" s="21" t="s">
        <v>77</v>
      </c>
      <c r="C31" s="21" t="s">
        <v>101</v>
      </c>
      <c r="D31" s="18"/>
      <c r="E31" s="18"/>
      <c r="F31" s="18">
        <f>+F5+F10+F12+F15+F22+F27</f>
        <v>9.5</v>
      </c>
      <c r="G31" s="18">
        <f>+G5+G10+G12+G15+G22+G27</f>
        <v>4.5</v>
      </c>
      <c r="H31" s="18">
        <f>+H5+H10+H12+H15+H22+H27</f>
        <v>4.8000000000000007</v>
      </c>
      <c r="I31" s="18">
        <f>+I5+I10+I12+I15+I22+I27</f>
        <v>4.8000000000000007</v>
      </c>
      <c r="J31" s="72">
        <f>+(J5+J10+J12+J15+J22+J27)</f>
        <v>7</v>
      </c>
      <c r="K31" s="72">
        <f>+(K5+K10+K12+K15+K22+K27)</f>
        <v>2</v>
      </c>
      <c r="L31" s="18">
        <f t="shared" ref="L31:U31" si="6">+L5+L10+L12+L15+L22+L27</f>
        <v>3</v>
      </c>
      <c r="M31" s="18">
        <f t="shared" si="6"/>
        <v>3</v>
      </c>
      <c r="N31" s="18">
        <f t="shared" si="6"/>
        <v>4</v>
      </c>
      <c r="O31" s="18">
        <f t="shared" si="6"/>
        <v>0.1</v>
      </c>
      <c r="P31" s="18">
        <f t="shared" si="6"/>
        <v>0</v>
      </c>
      <c r="Q31" s="18">
        <f t="shared" si="6"/>
        <v>0</v>
      </c>
      <c r="R31" s="18">
        <f t="shared" si="6"/>
        <v>4</v>
      </c>
      <c r="S31" s="18">
        <f t="shared" si="6"/>
        <v>4</v>
      </c>
      <c r="T31" s="18">
        <f t="shared" si="6"/>
        <v>1</v>
      </c>
      <c r="U31" s="18">
        <f t="shared" si="6"/>
        <v>1</v>
      </c>
      <c r="V31" s="76">
        <f>+V5+V10+V12+V15+V22+V27</f>
        <v>5</v>
      </c>
      <c r="W31" s="56">
        <f>+W5+W10+W12+W15+W22+W27</f>
        <v>5</v>
      </c>
      <c r="X31" s="81">
        <f>F31+H31+J31+L31+N31+P31+R31+T31+V31</f>
        <v>38.299999999999997</v>
      </c>
      <c r="Y31" s="18">
        <f>SUM(F31:X31)</f>
        <v>101</v>
      </c>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2"/>
    </row>
    <row r="32" spans="1:106" s="6" customFormat="1" ht="36" x14ac:dyDescent="0.3">
      <c r="A32" s="82" t="s">
        <v>102</v>
      </c>
      <c r="B32" s="83" t="s">
        <v>77</v>
      </c>
      <c r="C32" s="84">
        <v>3</v>
      </c>
      <c r="D32" s="85"/>
      <c r="E32" s="85"/>
      <c r="F32" s="85">
        <f>F31</f>
        <v>9.5</v>
      </c>
      <c r="G32" s="85">
        <f t="shared" ref="G32:O32" si="7">G31</f>
        <v>4.5</v>
      </c>
      <c r="H32" s="85">
        <f>H31*$C$32</f>
        <v>14.400000000000002</v>
      </c>
      <c r="I32" s="85">
        <f>I31*$C$32</f>
        <v>14.400000000000002</v>
      </c>
      <c r="J32" s="85">
        <f>J31*$C$32/3</f>
        <v>7</v>
      </c>
      <c r="K32" s="85">
        <f>K31*$C$32/3</f>
        <v>2</v>
      </c>
      <c r="L32" s="85">
        <f>L31*$C$32</f>
        <v>9</v>
      </c>
      <c r="M32" s="85">
        <f>M31*$C$32</f>
        <v>9</v>
      </c>
      <c r="N32" s="85">
        <f t="shared" si="7"/>
        <v>4</v>
      </c>
      <c r="O32" s="85">
        <f t="shared" si="7"/>
        <v>0.1</v>
      </c>
      <c r="P32" s="85">
        <f t="shared" ref="P32:W32" si="8">P31*$C$32</f>
        <v>0</v>
      </c>
      <c r="Q32" s="85">
        <f t="shared" si="8"/>
        <v>0</v>
      </c>
      <c r="R32" s="85">
        <f t="shared" si="8"/>
        <v>12</v>
      </c>
      <c r="S32" s="85">
        <f t="shared" si="8"/>
        <v>12</v>
      </c>
      <c r="T32" s="85">
        <f t="shared" si="8"/>
        <v>3</v>
      </c>
      <c r="U32" s="85">
        <f t="shared" si="8"/>
        <v>3</v>
      </c>
      <c r="V32" s="85">
        <f t="shared" si="8"/>
        <v>15</v>
      </c>
      <c r="W32" s="85">
        <f t="shared" si="8"/>
        <v>15</v>
      </c>
      <c r="X32" s="86">
        <f>F32+H32+J32+L32+N32+P32+R32+T32+V32</f>
        <v>73.900000000000006</v>
      </c>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2"/>
    </row>
    <row r="33" spans="1:106" s="6" customFormat="1" x14ac:dyDescent="0.3">
      <c r="A33" s="17"/>
      <c r="B33" s="33"/>
      <c r="C33" s="33" t="s">
        <v>84</v>
      </c>
      <c r="D33" s="18"/>
      <c r="E33" s="18"/>
      <c r="F33" s="54">
        <v>39</v>
      </c>
      <c r="G33" s="54">
        <v>39</v>
      </c>
      <c r="H33" s="54">
        <v>15.6</v>
      </c>
      <c r="I33" s="54">
        <v>39</v>
      </c>
      <c r="J33" s="73">
        <v>78</v>
      </c>
      <c r="K33" s="73">
        <v>39</v>
      </c>
      <c r="L33" s="54">
        <v>28.6</v>
      </c>
      <c r="M33" s="54">
        <v>39</v>
      </c>
      <c r="N33" s="54">
        <v>9.1</v>
      </c>
      <c r="O33" s="54">
        <v>39</v>
      </c>
      <c r="P33" s="54">
        <v>13</v>
      </c>
      <c r="Q33" s="54">
        <v>39</v>
      </c>
      <c r="R33" s="54">
        <v>13</v>
      </c>
      <c r="S33" s="54">
        <v>39</v>
      </c>
      <c r="T33" s="54">
        <v>13</v>
      </c>
      <c r="U33" s="54">
        <v>39</v>
      </c>
      <c r="V33" s="54">
        <v>20.8</v>
      </c>
      <c r="W33" s="54">
        <v>39</v>
      </c>
      <c r="X33" s="86"/>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2"/>
    </row>
    <row r="34" spans="1:106" s="6" customFormat="1" ht="28.8" x14ac:dyDescent="0.3">
      <c r="A34" s="33" t="s">
        <v>76</v>
      </c>
      <c r="B34" s="33">
        <v>1</v>
      </c>
      <c r="C34" s="33" t="s">
        <v>85</v>
      </c>
      <c r="D34" s="18"/>
      <c r="E34" s="18"/>
      <c r="F34" s="32">
        <f>+F31*F33</f>
        <v>370.5</v>
      </c>
      <c r="G34" s="32">
        <f t="shared" ref="G34:W34" si="9">+G31*G33</f>
        <v>175.5</v>
      </c>
      <c r="H34" s="32">
        <f t="shared" si="9"/>
        <v>74.88000000000001</v>
      </c>
      <c r="I34" s="32">
        <f t="shared" si="9"/>
        <v>187.20000000000002</v>
      </c>
      <c r="J34" s="74">
        <f t="shared" si="9"/>
        <v>546</v>
      </c>
      <c r="K34" s="74">
        <f t="shared" si="9"/>
        <v>78</v>
      </c>
      <c r="L34" s="32">
        <f t="shared" si="9"/>
        <v>85.800000000000011</v>
      </c>
      <c r="M34" s="32">
        <f t="shared" si="9"/>
        <v>117</v>
      </c>
      <c r="N34" s="32">
        <f t="shared" si="9"/>
        <v>36.4</v>
      </c>
      <c r="O34" s="32">
        <f t="shared" si="9"/>
        <v>3.9000000000000004</v>
      </c>
      <c r="P34" s="32">
        <f t="shared" si="9"/>
        <v>0</v>
      </c>
      <c r="Q34" s="32">
        <f t="shared" si="9"/>
        <v>0</v>
      </c>
      <c r="R34" s="32">
        <f t="shared" si="9"/>
        <v>52</v>
      </c>
      <c r="S34" s="32">
        <f t="shared" si="9"/>
        <v>156</v>
      </c>
      <c r="T34" s="32">
        <f t="shared" si="9"/>
        <v>13</v>
      </c>
      <c r="U34" s="32">
        <f t="shared" si="9"/>
        <v>39</v>
      </c>
      <c r="V34" s="32">
        <f t="shared" si="9"/>
        <v>104</v>
      </c>
      <c r="W34" s="32">
        <f t="shared" si="9"/>
        <v>195</v>
      </c>
      <c r="X34" s="86">
        <f t="shared" ref="X34" si="10">F34+H34+J34+L34+N34+P34+R34+T34+V34</f>
        <v>1282.5800000000002</v>
      </c>
      <c r="Y34" s="86">
        <f>X34/300</f>
        <v>4.275266666666667</v>
      </c>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2"/>
    </row>
    <row r="35" spans="1:106" s="6" customFormat="1" ht="28.8" x14ac:dyDescent="0.3">
      <c r="A35" s="33" t="s">
        <v>76</v>
      </c>
      <c r="B35" s="33">
        <v>3</v>
      </c>
      <c r="C35" s="33" t="s">
        <v>85</v>
      </c>
      <c r="D35" s="18"/>
      <c r="E35" s="18"/>
      <c r="F35" s="24">
        <f>+F34*$B$35</f>
        <v>1111.5</v>
      </c>
      <c r="G35" s="24">
        <f>+G34*$B$35</f>
        <v>526.5</v>
      </c>
      <c r="H35" s="24">
        <f t="shared" ref="H35:W35" si="11">+H34*$B$35</f>
        <v>224.64000000000004</v>
      </c>
      <c r="I35" s="24">
        <f t="shared" si="11"/>
        <v>561.6</v>
      </c>
      <c r="J35" s="75">
        <f>+J34</f>
        <v>546</v>
      </c>
      <c r="K35" s="75">
        <f>+K34</f>
        <v>78</v>
      </c>
      <c r="L35" s="24">
        <f t="shared" si="11"/>
        <v>257.40000000000003</v>
      </c>
      <c r="M35" s="24">
        <f t="shared" si="11"/>
        <v>351</v>
      </c>
      <c r="N35" s="24">
        <f>+N34*$B$35/B35</f>
        <v>36.4</v>
      </c>
      <c r="O35" s="24">
        <f t="shared" si="11"/>
        <v>11.700000000000001</v>
      </c>
      <c r="P35" s="24">
        <f t="shared" si="11"/>
        <v>0</v>
      </c>
      <c r="Q35" s="24">
        <f t="shared" si="11"/>
        <v>0</v>
      </c>
      <c r="R35" s="24">
        <f t="shared" si="11"/>
        <v>156</v>
      </c>
      <c r="S35" s="24">
        <f t="shared" si="11"/>
        <v>468</v>
      </c>
      <c r="T35" s="24">
        <f t="shared" si="11"/>
        <v>39</v>
      </c>
      <c r="U35" s="24">
        <f t="shared" si="11"/>
        <v>117</v>
      </c>
      <c r="V35" s="24">
        <f t="shared" si="11"/>
        <v>312</v>
      </c>
      <c r="W35" s="24">
        <f t="shared" si="11"/>
        <v>585</v>
      </c>
      <c r="X35" s="86"/>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2"/>
    </row>
    <row r="36" spans="1:106" s="6" customFormat="1" x14ac:dyDescent="0.3">
      <c r="A36" s="17"/>
      <c r="B36" s="33"/>
      <c r="C36" s="33"/>
      <c r="D36" s="18"/>
      <c r="E36" s="18"/>
      <c r="F36" s="19"/>
      <c r="G36" s="19"/>
      <c r="H36" s="19"/>
      <c r="I36" s="19"/>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2"/>
    </row>
    <row r="37" spans="1:106" s="11" customFormat="1" ht="18" x14ac:dyDescent="0.3">
      <c r="A37" s="17"/>
      <c r="B37" s="17"/>
      <c r="C37" s="17"/>
      <c r="D37" s="21"/>
      <c r="E37" s="21"/>
      <c r="F37" s="19"/>
      <c r="G37" s="77"/>
      <c r="H37" s="77"/>
      <c r="I37" s="56"/>
      <c r="J37" s="56"/>
      <c r="K37" s="56"/>
      <c r="L37" s="56"/>
      <c r="M37" s="56"/>
      <c r="N37" s="56"/>
      <c r="O37" s="56"/>
      <c r="P37" s="56"/>
      <c r="Q37" s="56"/>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3"/>
    </row>
    <row r="38" spans="1:106" s="6" customFormat="1" x14ac:dyDescent="0.3">
      <c r="A38" s="17"/>
      <c r="B38" s="17"/>
      <c r="C38" s="15" t="s">
        <v>78</v>
      </c>
      <c r="D38" s="18"/>
      <c r="E38" s="18"/>
      <c r="F38" s="24">
        <f>+F34+H34+J34+L34+N34+P34+R34+T34+V34</f>
        <v>1282.5800000000002</v>
      </c>
      <c r="G38" s="77"/>
      <c r="H38" s="77"/>
      <c r="I38" s="56"/>
      <c r="J38" s="56"/>
      <c r="K38" s="56"/>
      <c r="L38" s="56"/>
      <c r="M38" s="56"/>
      <c r="N38" s="56"/>
      <c r="O38" s="56"/>
      <c r="P38" s="56"/>
      <c r="Q38" s="56"/>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2"/>
    </row>
    <row r="39" spans="1:106" s="6" customFormat="1" x14ac:dyDescent="0.3">
      <c r="A39" s="17"/>
      <c r="B39" s="17"/>
      <c r="C39" s="15" t="s">
        <v>79</v>
      </c>
      <c r="D39" s="18"/>
      <c r="E39" s="18"/>
      <c r="F39" s="24">
        <f>+G34+I34+K34+M34+O34+Q34+S34+U34+W34</f>
        <v>951.6</v>
      </c>
      <c r="G39" s="77"/>
      <c r="H39" s="77"/>
      <c r="I39" s="56"/>
      <c r="J39" s="56"/>
      <c r="K39" s="56"/>
      <c r="L39" s="56"/>
      <c r="M39" s="56"/>
      <c r="N39" s="56"/>
      <c r="O39" s="56"/>
      <c r="P39" s="56"/>
      <c r="Q39" s="56"/>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2"/>
    </row>
    <row r="40" spans="1:106" s="6" customFormat="1" x14ac:dyDescent="0.3">
      <c r="A40" s="17"/>
      <c r="B40" s="17"/>
      <c r="C40" s="15" t="s">
        <v>80</v>
      </c>
      <c r="D40" s="77"/>
      <c r="E40" s="77"/>
      <c r="F40" s="78">
        <f>+'[1]sarf malzemeleri 1-3wf'!I12</f>
        <v>26.400000000000002</v>
      </c>
      <c r="G40" s="77"/>
      <c r="H40" s="77"/>
      <c r="I40" s="56"/>
      <c r="J40" s="56"/>
      <c r="K40" s="56"/>
      <c r="L40" s="56"/>
      <c r="M40" s="56"/>
      <c r="N40" s="56"/>
      <c r="O40" s="56"/>
      <c r="P40" s="56"/>
      <c r="Q40" s="56"/>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2"/>
    </row>
    <row r="41" spans="1:106" s="11" customFormat="1" x14ac:dyDescent="0.3">
      <c r="A41" s="17"/>
      <c r="B41" s="17"/>
      <c r="C41" s="15" t="s">
        <v>81</v>
      </c>
      <c r="D41" s="77"/>
      <c r="E41" s="77"/>
      <c r="F41" s="77">
        <f>15.6*G41</f>
        <v>312</v>
      </c>
      <c r="G41" s="77">
        <v>20</v>
      </c>
      <c r="H41" s="77"/>
      <c r="I41" s="77"/>
      <c r="J41" s="56"/>
      <c r="K41" s="56"/>
      <c r="L41" s="56"/>
      <c r="M41" s="165"/>
      <c r="N41" s="165"/>
      <c r="O41" s="56"/>
      <c r="P41" s="56"/>
      <c r="Q41" s="56"/>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3"/>
    </row>
    <row r="42" spans="1:106" s="6" customFormat="1" x14ac:dyDescent="0.3">
      <c r="A42" s="17"/>
      <c r="B42" s="17"/>
      <c r="C42" s="15" t="s">
        <v>82</v>
      </c>
      <c r="D42" s="18"/>
      <c r="E42" s="18"/>
      <c r="F42" s="55">
        <f>+F41/2</f>
        <v>156</v>
      </c>
      <c r="G42" s="77">
        <v>20</v>
      </c>
      <c r="H42" s="77"/>
      <c r="I42" s="77"/>
      <c r="J42" s="56"/>
      <c r="K42" s="56"/>
      <c r="L42" s="56"/>
      <c r="M42" s="56"/>
      <c r="N42" s="66"/>
      <c r="O42" s="56"/>
      <c r="P42" s="56"/>
      <c r="Q42" s="56"/>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2"/>
    </row>
    <row r="43" spans="1:106" s="6" customFormat="1" ht="18.75" customHeight="1" x14ac:dyDescent="0.3">
      <c r="A43" s="17"/>
      <c r="B43" s="17"/>
      <c r="C43" s="62" t="s">
        <v>83</v>
      </c>
      <c r="D43" s="21"/>
      <c r="E43" s="21"/>
      <c r="F43" s="24">
        <f>SUM(F38:F42)</f>
        <v>2728.5800000000004</v>
      </c>
      <c r="G43" s="77"/>
      <c r="H43" s="77"/>
      <c r="I43" s="77"/>
      <c r="J43" s="56"/>
      <c r="K43" s="56"/>
      <c r="L43" s="56"/>
      <c r="M43" s="56"/>
      <c r="N43" s="56"/>
      <c r="O43" s="56"/>
      <c r="P43" s="56"/>
      <c r="Q43" s="56"/>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2"/>
    </row>
    <row r="44" spans="1:106" s="11" customFormat="1" x14ac:dyDescent="0.3">
      <c r="A44" s="17"/>
      <c r="B44" s="17"/>
      <c r="C44" s="62" t="s">
        <v>86</v>
      </c>
      <c r="D44" s="18"/>
      <c r="E44" s="18"/>
      <c r="F44" s="55"/>
      <c r="G44" s="19"/>
      <c r="H44" s="19"/>
      <c r="I44" s="19"/>
      <c r="J44" s="14"/>
      <c r="K44" s="14"/>
      <c r="L44" s="14"/>
      <c r="M44" s="56"/>
      <c r="N44" s="56"/>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3"/>
    </row>
    <row r="45" spans="1:106" s="6" customFormat="1" x14ac:dyDescent="0.3">
      <c r="A45" s="17"/>
      <c r="B45" s="17"/>
      <c r="C45" s="71" t="s">
        <v>89</v>
      </c>
      <c r="D45" s="18"/>
      <c r="E45" s="18"/>
      <c r="F45" s="55"/>
      <c r="G45" s="19"/>
      <c r="H45" s="19"/>
      <c r="I45" s="19"/>
      <c r="J45" s="14"/>
      <c r="K45" s="14"/>
      <c r="L45" s="14"/>
      <c r="M45" s="67"/>
      <c r="N45" s="56"/>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2"/>
    </row>
    <row r="46" spans="1:106" s="6" customFormat="1" ht="18" x14ac:dyDescent="0.3">
      <c r="A46" s="17"/>
      <c r="B46" s="17"/>
      <c r="C46" s="17"/>
      <c r="D46" s="21"/>
      <c r="E46" s="21"/>
      <c r="F46" s="55"/>
      <c r="G46" s="19"/>
      <c r="H46" s="19"/>
      <c r="I46" s="19"/>
      <c r="J46" s="14"/>
      <c r="K46" s="14"/>
      <c r="L46" s="14"/>
      <c r="M46" s="67"/>
      <c r="N46" s="15"/>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2"/>
    </row>
    <row r="47" spans="1:106" s="6" customFormat="1" ht="18" x14ac:dyDescent="0.3">
      <c r="A47" s="17"/>
      <c r="B47" s="17"/>
      <c r="C47" s="17"/>
      <c r="D47" s="21"/>
      <c r="E47" s="21"/>
      <c r="F47" s="55"/>
      <c r="G47" s="19"/>
      <c r="H47" s="19"/>
      <c r="I47" s="19"/>
      <c r="J47" s="14"/>
      <c r="K47" s="14"/>
      <c r="L47" s="14"/>
      <c r="M47" s="67"/>
      <c r="N47" s="68"/>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2"/>
    </row>
    <row r="48" spans="1:106" s="11" customFormat="1" ht="18" x14ac:dyDescent="0.3">
      <c r="A48" s="17"/>
      <c r="B48" s="21"/>
      <c r="C48" s="63"/>
      <c r="D48" s="63"/>
      <c r="E48" s="63"/>
      <c r="F48" s="64"/>
      <c r="G48" s="19"/>
      <c r="H48" s="19"/>
      <c r="I48" s="19"/>
      <c r="J48" s="14"/>
      <c r="K48" s="14"/>
      <c r="L48" s="14"/>
      <c r="M48" s="69"/>
      <c r="N48" s="70"/>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3"/>
    </row>
    <row r="49" spans="1:106" s="11" customFormat="1" ht="18" x14ac:dyDescent="0.3">
      <c r="A49" s="17"/>
      <c r="B49" s="21"/>
      <c r="C49" s="17"/>
      <c r="D49" s="18"/>
      <c r="E49" s="18"/>
      <c r="F49" s="24"/>
      <c r="G49" s="24"/>
      <c r="H49" s="19"/>
      <c r="I49" s="19"/>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3"/>
    </row>
    <row r="50" spans="1:106" s="6" customFormat="1" x14ac:dyDescent="0.3">
      <c r="A50" s="17"/>
      <c r="B50" s="18"/>
      <c r="C50" s="17"/>
      <c r="D50" s="18"/>
      <c r="E50" s="18"/>
      <c r="F50" s="24"/>
      <c r="G50" s="65"/>
      <c r="H50" s="65"/>
      <c r="I50" s="19"/>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2"/>
    </row>
    <row r="51" spans="1:106" s="6" customFormat="1" x14ac:dyDescent="0.3">
      <c r="A51" s="17"/>
      <c r="B51" s="18"/>
      <c r="C51" s="17"/>
      <c r="D51" s="18"/>
      <c r="E51" s="18"/>
      <c r="F51" s="19"/>
      <c r="G51" s="19"/>
      <c r="H51" s="19"/>
      <c r="I51" s="19"/>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2"/>
    </row>
    <row r="52" spans="1:106" s="6" customFormat="1" x14ac:dyDescent="0.3">
      <c r="A52" s="17"/>
      <c r="B52" s="18"/>
      <c r="C52" s="17"/>
      <c r="D52" s="18"/>
      <c r="E52" s="18"/>
      <c r="F52" s="19"/>
      <c r="G52" s="19"/>
      <c r="H52" s="19"/>
      <c r="I52" s="19"/>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2"/>
    </row>
    <row r="53" spans="1:106" s="11" customFormat="1" ht="18" x14ac:dyDescent="0.3">
      <c r="A53" s="17"/>
      <c r="B53" s="21"/>
      <c r="C53" s="17"/>
      <c r="D53" s="21"/>
      <c r="E53" s="21"/>
      <c r="F53" s="19"/>
      <c r="G53" s="19"/>
      <c r="H53" s="19"/>
      <c r="I53" s="19"/>
      <c r="J53" s="14"/>
      <c r="K53" s="19"/>
      <c r="L53" s="14"/>
      <c r="M53" s="19"/>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3"/>
    </row>
    <row r="54" spans="1:106" s="6" customFormat="1" x14ac:dyDescent="0.3">
      <c r="A54" s="17"/>
      <c r="B54" s="18"/>
      <c r="C54" s="17"/>
      <c r="D54" s="18"/>
      <c r="E54" s="18"/>
      <c r="F54" s="19"/>
      <c r="G54" s="19"/>
      <c r="H54" s="19"/>
      <c r="I54" s="19"/>
      <c r="J54" s="14"/>
      <c r="K54" s="19"/>
      <c r="L54" s="14"/>
      <c r="M54" s="19"/>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2"/>
    </row>
    <row r="55" spans="1:106" s="6" customFormat="1" x14ac:dyDescent="0.3">
      <c r="A55" s="17"/>
      <c r="B55" s="18"/>
      <c r="C55" s="17"/>
      <c r="D55" s="18"/>
      <c r="E55" s="18"/>
      <c r="F55" s="19"/>
      <c r="G55" s="19"/>
      <c r="H55" s="55"/>
      <c r="I55" s="19"/>
      <c r="J55" s="14"/>
      <c r="K55" s="19"/>
      <c r="L55" s="14"/>
      <c r="M55" s="19"/>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2"/>
    </row>
    <row r="56" spans="1:106" s="6" customFormat="1" x14ac:dyDescent="0.3">
      <c r="A56" s="17"/>
      <c r="B56" s="18"/>
      <c r="C56" s="17"/>
      <c r="D56" s="18"/>
      <c r="E56" s="18"/>
      <c r="F56" s="19"/>
      <c r="G56" s="19"/>
      <c r="H56" s="55"/>
      <c r="I56" s="19"/>
      <c r="J56" s="14"/>
      <c r="K56" s="19"/>
      <c r="L56" s="14"/>
      <c r="M56" s="19"/>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2"/>
    </row>
    <row r="57" spans="1:106" s="11" customFormat="1" ht="18" x14ac:dyDescent="0.3">
      <c r="A57" s="17"/>
      <c r="B57" s="21"/>
      <c r="C57" s="17"/>
      <c r="D57" s="21"/>
      <c r="E57" s="21"/>
      <c r="F57" s="19"/>
      <c r="G57" s="19"/>
      <c r="H57" s="55"/>
      <c r="I57" s="19"/>
      <c r="J57" s="14"/>
      <c r="K57" s="19"/>
      <c r="L57" s="14"/>
      <c r="M57" s="19"/>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3"/>
    </row>
    <row r="58" spans="1:106" s="11" customFormat="1" ht="18" x14ac:dyDescent="0.3">
      <c r="A58" s="17"/>
      <c r="B58" s="21"/>
      <c r="C58" s="17"/>
      <c r="D58" s="21"/>
      <c r="E58" s="21"/>
      <c r="F58" s="19"/>
      <c r="G58" s="19"/>
      <c r="H58" s="55"/>
      <c r="I58" s="19"/>
      <c r="J58" s="14"/>
      <c r="K58" s="19"/>
      <c r="L58" s="14"/>
      <c r="M58" s="19"/>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3"/>
    </row>
    <row r="59" spans="1:106" s="11" customFormat="1" x14ac:dyDescent="0.3">
      <c r="A59" s="20"/>
      <c r="B59" s="20"/>
      <c r="C59" s="17"/>
      <c r="D59" s="20"/>
      <c r="E59" s="20"/>
      <c r="F59" s="20"/>
      <c r="G59" s="20"/>
      <c r="H59" s="55"/>
      <c r="I59" s="20"/>
      <c r="J59" s="14"/>
      <c r="K59" s="19"/>
      <c r="L59" s="14"/>
      <c r="M59" s="19"/>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3"/>
    </row>
    <row r="60" spans="1:106" s="11" customFormat="1" x14ac:dyDescent="0.3">
      <c r="A60" s="20"/>
      <c r="B60" s="20"/>
      <c r="C60" s="17"/>
      <c r="D60" s="20"/>
      <c r="E60" s="20"/>
      <c r="F60" s="20"/>
      <c r="G60" s="20"/>
      <c r="H60" s="20"/>
      <c r="I60" s="20"/>
      <c r="J60" s="14"/>
      <c r="K60" s="19"/>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3"/>
    </row>
    <row r="61" spans="1:106" s="15" customFormat="1" x14ac:dyDescent="0.3">
      <c r="A61" s="22"/>
      <c r="B61" s="22"/>
      <c r="C61" s="34"/>
      <c r="D61" s="22"/>
      <c r="E61" s="22"/>
      <c r="F61" s="22"/>
      <c r="G61" s="22"/>
      <c r="H61" s="22"/>
      <c r="I61" s="22"/>
      <c r="J61" s="22"/>
    </row>
    <row r="62" spans="1:106" s="15" customFormat="1" x14ac:dyDescent="0.3">
      <c r="A62" s="22"/>
      <c r="B62" s="22"/>
      <c r="C62" s="34"/>
      <c r="D62" s="22"/>
      <c r="E62" s="22"/>
      <c r="F62" s="22"/>
      <c r="G62" s="22"/>
      <c r="H62" s="22"/>
      <c r="I62" s="22"/>
      <c r="J62" s="22"/>
    </row>
    <row r="63" spans="1:106" s="15" customFormat="1" ht="19.5" customHeight="1" x14ac:dyDescent="0.3">
      <c r="A63" s="22"/>
      <c r="B63" s="22"/>
      <c r="C63" s="34"/>
      <c r="D63" s="22"/>
      <c r="E63" s="22"/>
      <c r="F63" s="22"/>
      <c r="G63" s="22"/>
      <c r="H63" s="22"/>
      <c r="I63" s="22"/>
      <c r="J63" s="22"/>
    </row>
    <row r="64" spans="1:106" s="11" customFormat="1" x14ac:dyDescent="0.3">
      <c r="A64" s="20"/>
      <c r="B64" s="20"/>
      <c r="C64" s="18"/>
      <c r="D64" s="20"/>
      <c r="E64" s="20"/>
      <c r="F64" s="20"/>
      <c r="G64" s="20"/>
      <c r="H64" s="20"/>
      <c r="I64" s="20"/>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3"/>
    </row>
    <row r="65" spans="1:9" x14ac:dyDescent="0.3">
      <c r="A65" s="20"/>
      <c r="B65" s="20"/>
      <c r="C65" s="18"/>
      <c r="D65" s="20"/>
      <c r="E65" s="20"/>
      <c r="F65" s="20"/>
      <c r="G65" s="20"/>
      <c r="H65" s="20"/>
      <c r="I65" s="20"/>
    </row>
    <row r="66" spans="1:9" x14ac:dyDescent="0.3">
      <c r="A66" s="20"/>
      <c r="B66" s="20"/>
      <c r="C66" s="18"/>
      <c r="D66" s="20"/>
      <c r="E66" s="20"/>
      <c r="F66" s="20"/>
      <c r="G66" s="20"/>
      <c r="H66" s="20"/>
      <c r="I66" s="20"/>
    </row>
    <row r="67" spans="1:9" x14ac:dyDescent="0.3">
      <c r="B67" s="1"/>
      <c r="D67" s="1"/>
      <c r="E67" s="1"/>
      <c r="F67" s="1"/>
      <c r="G67" s="1"/>
      <c r="H67" s="1"/>
      <c r="I67" s="1"/>
    </row>
    <row r="68" spans="1:9" x14ac:dyDescent="0.3">
      <c r="B68" s="1"/>
      <c r="D68" s="1"/>
      <c r="E68" s="1"/>
      <c r="F68" s="1"/>
      <c r="G68" s="1"/>
      <c r="H68" s="1"/>
      <c r="I68" s="1"/>
    </row>
  </sheetData>
  <autoFilter ref="B3:C68"/>
  <mergeCells count="11">
    <mergeCell ref="P3:Q3"/>
    <mergeCell ref="R3:S3"/>
    <mergeCell ref="T3:U3"/>
    <mergeCell ref="V3:W3"/>
    <mergeCell ref="M41:N41"/>
    <mergeCell ref="N3:O3"/>
    <mergeCell ref="B1:C1"/>
    <mergeCell ref="F3:G3"/>
    <mergeCell ref="H3:I3"/>
    <mergeCell ref="J3:K3"/>
    <mergeCell ref="L3:M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DB70"/>
  <sheetViews>
    <sheetView zoomScale="89" zoomScaleNormal="89" workbookViewId="0">
      <pane xSplit="3" ySplit="4" topLeftCell="D24" activePane="bottomRight" state="frozen"/>
      <selection pane="topRight" activeCell="D1" sqref="D1"/>
      <selection pane="bottomLeft" activeCell="A5" sqref="A5"/>
      <selection pane="bottomRight" activeCell="D38" sqref="D38:E42"/>
    </sheetView>
  </sheetViews>
  <sheetFormatPr defaultColWidth="9.109375" defaultRowHeight="14.4" x14ac:dyDescent="0.3"/>
  <cols>
    <col min="1" max="1" width="11.33203125" style="1" customWidth="1"/>
    <col min="2" max="2" width="11.44140625" style="2" customWidth="1"/>
    <col min="3" max="3" width="32.33203125" style="2" customWidth="1"/>
    <col min="4" max="5" width="19.33203125" style="2" customWidth="1"/>
    <col min="6" max="6" width="12.33203125" style="16" bestFit="1" customWidth="1"/>
    <col min="7" max="7" width="9.88671875" style="16" customWidth="1"/>
    <col min="8" max="8" width="16.33203125" style="16" bestFit="1" customWidth="1"/>
    <col min="9" max="9" width="13.33203125" style="16" customWidth="1"/>
    <col min="10" max="10" width="10.5546875" style="14" customWidth="1"/>
    <col min="11" max="11" width="12.88671875" style="14" bestFit="1" customWidth="1"/>
    <col min="12" max="12" width="8.109375" style="14" bestFit="1" customWidth="1"/>
    <col min="13" max="13" width="13.88671875" style="14" customWidth="1"/>
    <col min="14" max="14" width="20.88671875" style="14" bestFit="1" customWidth="1"/>
    <col min="15" max="15" width="10.109375" style="14" customWidth="1"/>
    <col min="16" max="16" width="11" style="14" customWidth="1"/>
    <col min="17" max="19" width="13.44140625" style="14" customWidth="1"/>
    <col min="20" max="20" width="13.33203125" style="14" customWidth="1"/>
    <col min="21" max="21" width="11" style="14" customWidth="1"/>
    <col min="22" max="22" width="12.88671875" style="14" customWidth="1"/>
    <col min="23" max="23" width="15.5546875" style="14" customWidth="1"/>
    <col min="24" max="105" width="9.109375" style="14"/>
    <col min="106" max="16384" width="9.109375" style="1"/>
  </cols>
  <sheetData>
    <row r="1" spans="1:106" ht="15" customHeight="1" x14ac:dyDescent="0.3">
      <c r="B1" s="159" t="s">
        <v>7</v>
      </c>
      <c r="C1" s="159"/>
    </row>
    <row r="2" spans="1:106" ht="21.6" thickBot="1" x14ac:dyDescent="0.35">
      <c r="C2" s="23" t="s">
        <v>6</v>
      </c>
    </row>
    <row r="3" spans="1:106" s="6" customFormat="1" ht="72.75" customHeight="1" x14ac:dyDescent="0.3">
      <c r="A3" s="8" t="s">
        <v>3</v>
      </c>
      <c r="B3" s="9" t="s">
        <v>1</v>
      </c>
      <c r="C3" s="10" t="s">
        <v>0</v>
      </c>
      <c r="D3" s="7" t="s">
        <v>91</v>
      </c>
      <c r="E3" s="80" t="s">
        <v>92</v>
      </c>
      <c r="F3" s="157" t="s">
        <v>19</v>
      </c>
      <c r="G3" s="158"/>
      <c r="H3" s="157" t="s">
        <v>18</v>
      </c>
      <c r="I3" s="158"/>
      <c r="J3" s="157" t="s">
        <v>41</v>
      </c>
      <c r="K3" s="158"/>
      <c r="L3" s="160" t="s">
        <v>44</v>
      </c>
      <c r="M3" s="158"/>
      <c r="N3" s="160" t="s">
        <v>43</v>
      </c>
      <c r="O3" s="158"/>
      <c r="P3" s="157" t="s">
        <v>21</v>
      </c>
      <c r="Q3" s="158"/>
      <c r="R3" s="157" t="s">
        <v>42</v>
      </c>
      <c r="S3" s="158"/>
      <c r="T3" s="157" t="s">
        <v>45</v>
      </c>
      <c r="U3" s="158"/>
      <c r="V3" s="157" t="s">
        <v>87</v>
      </c>
      <c r="W3" s="158"/>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2"/>
    </row>
    <row r="4" spans="1:106" s="6" customFormat="1" ht="21" x14ac:dyDescent="0.3">
      <c r="A4" s="30"/>
      <c r="B4" s="3"/>
      <c r="C4" s="3"/>
      <c r="D4" s="3"/>
      <c r="E4" s="3"/>
      <c r="F4" s="4" t="s">
        <v>5</v>
      </c>
      <c r="G4" s="5" t="s">
        <v>4</v>
      </c>
      <c r="H4" s="4" t="s">
        <v>5</v>
      </c>
      <c r="I4" s="5" t="s">
        <v>4</v>
      </c>
      <c r="J4" s="4" t="s">
        <v>5</v>
      </c>
      <c r="K4" s="5" t="s">
        <v>4</v>
      </c>
      <c r="L4" s="4" t="s">
        <v>5</v>
      </c>
      <c r="M4" s="5" t="s">
        <v>4</v>
      </c>
      <c r="N4" s="5"/>
      <c r="O4" s="5"/>
      <c r="P4" s="4" t="s">
        <v>5</v>
      </c>
      <c r="Q4" s="5" t="s">
        <v>4</v>
      </c>
      <c r="R4" s="5"/>
      <c r="S4" s="5"/>
      <c r="T4" s="4" t="s">
        <v>5</v>
      </c>
      <c r="U4" s="5" t="s">
        <v>4</v>
      </c>
      <c r="V4" s="4" t="s">
        <v>5</v>
      </c>
      <c r="W4" s="5" t="s">
        <v>4</v>
      </c>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2"/>
    </row>
    <row r="5" spans="1:106" s="41" customFormat="1" ht="36" x14ac:dyDescent="0.3">
      <c r="A5" s="38">
        <v>1</v>
      </c>
      <c r="B5" s="36" t="s">
        <v>16</v>
      </c>
      <c r="C5" s="36" t="s">
        <v>24</v>
      </c>
      <c r="D5" s="36"/>
      <c r="E5" s="36"/>
      <c r="F5" s="36">
        <f>SUM(F6:F9)</f>
        <v>1</v>
      </c>
      <c r="G5" s="36">
        <f t="shared" ref="G5:W5" si="0">SUM(G6:G9)</f>
        <v>1</v>
      </c>
      <c r="H5" s="36">
        <f t="shared" si="0"/>
        <v>1.1000000000000001</v>
      </c>
      <c r="I5" s="36">
        <f t="shared" si="0"/>
        <v>1.1000000000000001</v>
      </c>
      <c r="J5" s="36">
        <f t="shared" si="0"/>
        <v>0</v>
      </c>
      <c r="K5" s="36">
        <f t="shared" si="0"/>
        <v>0</v>
      </c>
      <c r="L5" s="36">
        <f t="shared" si="0"/>
        <v>1</v>
      </c>
      <c r="M5" s="36">
        <f t="shared" si="0"/>
        <v>1</v>
      </c>
      <c r="N5" s="36">
        <f t="shared" si="0"/>
        <v>0</v>
      </c>
      <c r="O5" s="36">
        <f t="shared" si="0"/>
        <v>0</v>
      </c>
      <c r="P5" s="36">
        <f t="shared" si="0"/>
        <v>0</v>
      </c>
      <c r="Q5" s="36">
        <f t="shared" si="0"/>
        <v>0</v>
      </c>
      <c r="R5" s="36"/>
      <c r="S5" s="36"/>
      <c r="T5" s="36">
        <f t="shared" si="0"/>
        <v>0</v>
      </c>
      <c r="U5" s="36">
        <f t="shared" si="0"/>
        <v>0</v>
      </c>
      <c r="V5" s="36">
        <f t="shared" si="0"/>
        <v>0</v>
      </c>
      <c r="W5" s="36">
        <f t="shared" si="0"/>
        <v>0</v>
      </c>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40"/>
    </row>
    <row r="6" spans="1:106" s="43" customFormat="1" ht="18" x14ac:dyDescent="0.3">
      <c r="A6" s="37">
        <v>2</v>
      </c>
      <c r="B6" s="42" t="s">
        <v>2</v>
      </c>
      <c r="C6" s="42" t="s">
        <v>25</v>
      </c>
      <c r="F6" s="37"/>
      <c r="G6" s="37"/>
      <c r="H6" s="37">
        <v>1</v>
      </c>
      <c r="I6" s="37">
        <v>1</v>
      </c>
      <c r="J6" s="37"/>
      <c r="K6" s="37"/>
      <c r="L6" s="37"/>
      <c r="M6" s="37"/>
      <c r="N6" s="37"/>
      <c r="O6" s="37"/>
      <c r="P6" s="37"/>
      <c r="Q6" s="37"/>
      <c r="R6" s="37"/>
      <c r="S6" s="37"/>
      <c r="T6" s="37"/>
      <c r="U6" s="37"/>
      <c r="V6" s="37"/>
      <c r="W6" s="37"/>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row>
    <row r="7" spans="1:106" s="43" customFormat="1" ht="18" x14ac:dyDescent="0.3">
      <c r="A7" s="37">
        <v>3</v>
      </c>
      <c r="B7" s="42" t="s">
        <v>2</v>
      </c>
      <c r="C7" s="42" t="s">
        <v>29</v>
      </c>
      <c r="F7" s="37"/>
      <c r="G7" s="37"/>
      <c r="H7" s="37"/>
      <c r="I7" s="37"/>
      <c r="J7" s="37"/>
      <c r="K7" s="37"/>
      <c r="L7" s="37">
        <v>1</v>
      </c>
      <c r="M7" s="37">
        <v>1</v>
      </c>
      <c r="N7" s="37"/>
      <c r="O7" s="37"/>
      <c r="P7" s="37"/>
      <c r="Q7" s="37"/>
      <c r="R7" s="37"/>
      <c r="S7" s="37"/>
      <c r="T7" s="37"/>
      <c r="U7" s="37"/>
      <c r="V7" s="37"/>
      <c r="W7" s="37"/>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row>
    <row r="8" spans="1:106" s="43" customFormat="1" ht="18" x14ac:dyDescent="0.3">
      <c r="A8" s="37">
        <v>4</v>
      </c>
      <c r="B8" s="42" t="s">
        <v>2</v>
      </c>
      <c r="C8" s="42" t="s">
        <v>30</v>
      </c>
      <c r="F8" s="37">
        <v>1</v>
      </c>
      <c r="G8" s="37">
        <v>1</v>
      </c>
      <c r="H8" s="37"/>
      <c r="I8" s="37"/>
      <c r="J8" s="37"/>
      <c r="K8" s="37"/>
      <c r="L8" s="37"/>
      <c r="M8" s="37"/>
      <c r="N8" s="37"/>
      <c r="O8" s="37"/>
      <c r="P8" s="37"/>
      <c r="Q8" s="37"/>
      <c r="R8" s="37"/>
      <c r="S8" s="37"/>
      <c r="T8" s="37"/>
      <c r="U8" s="37"/>
      <c r="V8" s="37"/>
      <c r="W8" s="37"/>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5"/>
    </row>
    <row r="9" spans="1:106" s="25" customFormat="1" ht="18" x14ac:dyDescent="0.3">
      <c r="A9" s="37">
        <v>5</v>
      </c>
      <c r="B9" s="42" t="s">
        <v>2</v>
      </c>
      <c r="C9" s="42" t="s">
        <v>20</v>
      </c>
      <c r="D9" s="43"/>
      <c r="E9" s="43"/>
      <c r="F9" s="51"/>
      <c r="G9" s="51"/>
      <c r="H9" s="51">
        <v>0.1</v>
      </c>
      <c r="I9" s="51">
        <v>0.1</v>
      </c>
      <c r="J9" s="51"/>
      <c r="K9" s="51"/>
      <c r="L9" s="51"/>
      <c r="M9" s="51"/>
      <c r="N9" s="51"/>
      <c r="O9" s="51"/>
      <c r="P9" s="51"/>
      <c r="Q9" s="51"/>
      <c r="R9" s="51"/>
      <c r="S9" s="51"/>
      <c r="T9" s="51"/>
      <c r="U9" s="51"/>
      <c r="V9" s="51"/>
      <c r="W9" s="51"/>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46"/>
    </row>
    <row r="10" spans="1:106" s="41" customFormat="1" ht="18" x14ac:dyDescent="0.3">
      <c r="A10" s="47">
        <v>6</v>
      </c>
      <c r="B10" s="36" t="s">
        <v>16</v>
      </c>
      <c r="C10" s="36" t="s">
        <v>26</v>
      </c>
      <c r="D10" s="36"/>
      <c r="E10" s="36"/>
      <c r="F10" s="36">
        <f>SUM(F11)</f>
        <v>0</v>
      </c>
      <c r="G10" s="36">
        <f t="shared" ref="G10:W10" si="1">SUM(G11)</f>
        <v>0</v>
      </c>
      <c r="H10" s="36">
        <f t="shared" si="1"/>
        <v>0</v>
      </c>
      <c r="I10" s="36">
        <f t="shared" si="1"/>
        <v>0</v>
      </c>
      <c r="J10" s="36">
        <f t="shared" si="1"/>
        <v>7</v>
      </c>
      <c r="K10" s="36">
        <f t="shared" si="1"/>
        <v>2</v>
      </c>
      <c r="L10" s="36">
        <f t="shared" si="1"/>
        <v>0</v>
      </c>
      <c r="M10" s="36">
        <f t="shared" si="1"/>
        <v>0</v>
      </c>
      <c r="N10" s="36">
        <f t="shared" si="1"/>
        <v>0</v>
      </c>
      <c r="O10" s="36">
        <f t="shared" si="1"/>
        <v>0</v>
      </c>
      <c r="P10" s="36">
        <f t="shared" si="1"/>
        <v>0</v>
      </c>
      <c r="Q10" s="36">
        <f t="shared" si="1"/>
        <v>0</v>
      </c>
      <c r="R10" s="36"/>
      <c r="S10" s="36"/>
      <c r="T10" s="36">
        <f t="shared" si="1"/>
        <v>0</v>
      </c>
      <c r="U10" s="36">
        <f t="shared" si="1"/>
        <v>0</v>
      </c>
      <c r="V10" s="36">
        <f t="shared" si="1"/>
        <v>0</v>
      </c>
      <c r="W10" s="36">
        <f t="shared" si="1"/>
        <v>0</v>
      </c>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40"/>
    </row>
    <row r="11" spans="1:106" s="25" customFormat="1" ht="28.8" x14ac:dyDescent="0.3">
      <c r="A11" s="48">
        <v>7</v>
      </c>
      <c r="B11" s="42" t="s">
        <v>2</v>
      </c>
      <c r="C11" s="42" t="s">
        <v>33</v>
      </c>
      <c r="D11" s="43" t="s">
        <v>93</v>
      </c>
      <c r="E11" s="43"/>
      <c r="F11" s="51"/>
      <c r="G11" s="51"/>
      <c r="H11" s="51"/>
      <c r="I11" s="51"/>
      <c r="J11" s="51">
        <v>7</v>
      </c>
      <c r="K11" s="51">
        <v>2</v>
      </c>
      <c r="L11" s="51"/>
      <c r="M11" s="51"/>
      <c r="N11" s="51"/>
      <c r="O11" s="51"/>
      <c r="P11" s="51"/>
      <c r="Q11" s="51"/>
      <c r="R11" s="51"/>
      <c r="S11" s="51"/>
      <c r="T11" s="51"/>
      <c r="U11" s="51"/>
      <c r="V11" s="51"/>
      <c r="W11" s="51"/>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46"/>
    </row>
    <row r="12" spans="1:106" s="41" customFormat="1" ht="18" x14ac:dyDescent="0.3">
      <c r="A12" s="47">
        <v>8</v>
      </c>
      <c r="B12" s="36" t="s">
        <v>16</v>
      </c>
      <c r="C12" s="36" t="s">
        <v>27</v>
      </c>
      <c r="D12" s="36"/>
      <c r="E12" s="36"/>
      <c r="F12" s="36">
        <f>SUM(F13,F14)</f>
        <v>5</v>
      </c>
      <c r="G12" s="36">
        <f t="shared" ref="G12:W12" si="2">SUM(G13,G14)</f>
        <v>0.5</v>
      </c>
      <c r="H12" s="36">
        <f t="shared" si="2"/>
        <v>0.1</v>
      </c>
      <c r="I12" s="36">
        <f t="shared" si="2"/>
        <v>0.1</v>
      </c>
      <c r="J12" s="36">
        <f t="shared" si="2"/>
        <v>0</v>
      </c>
      <c r="K12" s="36">
        <f t="shared" si="2"/>
        <v>0</v>
      </c>
      <c r="L12" s="36">
        <f t="shared" si="2"/>
        <v>0</v>
      </c>
      <c r="M12" s="36">
        <f t="shared" si="2"/>
        <v>0</v>
      </c>
      <c r="N12" s="36">
        <f t="shared" si="2"/>
        <v>0</v>
      </c>
      <c r="O12" s="36">
        <f t="shared" si="2"/>
        <v>0</v>
      </c>
      <c r="P12" s="36">
        <f t="shared" si="2"/>
        <v>0</v>
      </c>
      <c r="Q12" s="36">
        <f t="shared" si="2"/>
        <v>0</v>
      </c>
      <c r="R12" s="36"/>
      <c r="S12" s="36"/>
      <c r="T12" s="36">
        <f t="shared" si="2"/>
        <v>0</v>
      </c>
      <c r="U12" s="36">
        <f t="shared" si="2"/>
        <v>0</v>
      </c>
      <c r="V12" s="36">
        <f t="shared" si="2"/>
        <v>0</v>
      </c>
      <c r="W12" s="36">
        <f t="shared" si="2"/>
        <v>0</v>
      </c>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40"/>
    </row>
    <row r="13" spans="1:106" s="25" customFormat="1" ht="36" x14ac:dyDescent="0.3">
      <c r="A13" s="48">
        <v>9</v>
      </c>
      <c r="B13" s="42" t="s">
        <v>2</v>
      </c>
      <c r="C13" s="42" t="s">
        <v>28</v>
      </c>
      <c r="D13" s="43" t="s">
        <v>94</v>
      </c>
      <c r="E13" s="43" t="s">
        <v>95</v>
      </c>
      <c r="F13" s="51">
        <v>5</v>
      </c>
      <c r="G13" s="51">
        <v>0.5</v>
      </c>
      <c r="H13" s="51"/>
      <c r="I13" s="51"/>
      <c r="J13" s="51"/>
      <c r="K13" s="51"/>
      <c r="L13" s="51"/>
      <c r="M13" s="51"/>
      <c r="N13" s="51"/>
      <c r="O13" s="51"/>
      <c r="P13" s="51"/>
      <c r="Q13" s="51"/>
      <c r="R13" s="51"/>
      <c r="S13" s="51"/>
      <c r="T13" s="51"/>
      <c r="U13" s="51"/>
      <c r="V13" s="51"/>
      <c r="W13" s="51"/>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46"/>
    </row>
    <row r="14" spans="1:106" s="25" customFormat="1" ht="18" x14ac:dyDescent="0.3">
      <c r="A14" s="37">
        <v>10</v>
      </c>
      <c r="B14" s="42" t="s">
        <v>2</v>
      </c>
      <c r="C14" s="42" t="s">
        <v>20</v>
      </c>
      <c r="D14" s="43"/>
      <c r="E14" s="43"/>
      <c r="F14" s="51"/>
      <c r="G14" s="51"/>
      <c r="H14" s="51">
        <v>0.1</v>
      </c>
      <c r="I14" s="51">
        <v>0.1</v>
      </c>
      <c r="J14" s="51"/>
      <c r="K14" s="51"/>
      <c r="L14" s="51"/>
      <c r="M14" s="51"/>
      <c r="N14" s="51"/>
      <c r="O14" s="51"/>
      <c r="P14" s="51"/>
      <c r="Q14" s="51"/>
      <c r="R14" s="51"/>
      <c r="S14" s="51"/>
      <c r="T14" s="51"/>
      <c r="U14" s="51"/>
      <c r="V14" s="51"/>
      <c r="W14" s="51"/>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46"/>
    </row>
    <row r="15" spans="1:106" s="41" customFormat="1" ht="18" x14ac:dyDescent="0.3">
      <c r="A15" s="38">
        <v>11</v>
      </c>
      <c r="B15" s="36" t="s">
        <v>16</v>
      </c>
      <c r="C15" s="36" t="s">
        <v>31</v>
      </c>
      <c r="D15" s="36"/>
      <c r="E15" s="36"/>
      <c r="F15" s="36">
        <f>SUM(F16:F21)</f>
        <v>3.5</v>
      </c>
      <c r="G15" s="36">
        <f t="shared" ref="G15:W15" si="3">SUM(G16:G21)</f>
        <v>3</v>
      </c>
      <c r="H15" s="36">
        <f t="shared" si="3"/>
        <v>1.1000000000000001</v>
      </c>
      <c r="I15" s="36">
        <f t="shared" si="3"/>
        <v>1.1000000000000001</v>
      </c>
      <c r="J15" s="36">
        <f t="shared" si="3"/>
        <v>0</v>
      </c>
      <c r="K15" s="36">
        <f t="shared" si="3"/>
        <v>0</v>
      </c>
      <c r="L15" s="36">
        <f t="shared" si="3"/>
        <v>1</v>
      </c>
      <c r="M15" s="36">
        <f t="shared" si="3"/>
        <v>1</v>
      </c>
      <c r="N15" s="36">
        <f t="shared" si="3"/>
        <v>0</v>
      </c>
      <c r="O15" s="36">
        <f t="shared" si="3"/>
        <v>0</v>
      </c>
      <c r="P15" s="36">
        <f t="shared" si="3"/>
        <v>0</v>
      </c>
      <c r="Q15" s="36">
        <f t="shared" si="3"/>
        <v>0</v>
      </c>
      <c r="R15" s="36"/>
      <c r="S15" s="36"/>
      <c r="T15" s="36">
        <f t="shared" si="3"/>
        <v>0</v>
      </c>
      <c r="U15" s="36">
        <f t="shared" si="3"/>
        <v>0</v>
      </c>
      <c r="V15" s="36">
        <f t="shared" si="3"/>
        <v>0</v>
      </c>
      <c r="W15" s="36">
        <f t="shared" si="3"/>
        <v>0</v>
      </c>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40"/>
    </row>
    <row r="16" spans="1:106" s="25" customFormat="1" ht="18" x14ac:dyDescent="0.3">
      <c r="A16" s="37">
        <v>12</v>
      </c>
      <c r="B16" s="42" t="s">
        <v>2</v>
      </c>
      <c r="C16" s="49" t="s">
        <v>25</v>
      </c>
      <c r="D16" s="43" t="s">
        <v>96</v>
      </c>
      <c r="E16" s="43"/>
      <c r="F16" s="51"/>
      <c r="G16" s="51"/>
      <c r="H16" s="51">
        <v>1</v>
      </c>
      <c r="I16" s="51">
        <v>1</v>
      </c>
      <c r="J16" s="51"/>
      <c r="K16" s="51"/>
      <c r="L16" s="51"/>
      <c r="M16" s="51"/>
      <c r="N16" s="51"/>
      <c r="O16" s="51"/>
      <c r="P16" s="51"/>
      <c r="Q16" s="51"/>
      <c r="R16" s="51"/>
      <c r="S16" s="51"/>
      <c r="T16" s="51"/>
      <c r="U16" s="51"/>
      <c r="V16" s="51"/>
      <c r="W16" s="51"/>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46"/>
    </row>
    <row r="17" spans="1:106" s="25" customFormat="1" ht="18" x14ac:dyDescent="0.3">
      <c r="A17" s="48">
        <v>13</v>
      </c>
      <c r="B17" s="42"/>
      <c r="C17" s="42" t="s">
        <v>29</v>
      </c>
      <c r="D17" s="43"/>
      <c r="E17" s="43"/>
      <c r="F17" s="51"/>
      <c r="G17" s="51"/>
      <c r="H17" s="51"/>
      <c r="I17" s="51"/>
      <c r="J17" s="51"/>
      <c r="K17" s="51"/>
      <c r="L17" s="51">
        <v>1</v>
      </c>
      <c r="M17" s="51">
        <v>1</v>
      </c>
      <c r="N17" s="51"/>
      <c r="O17" s="51"/>
      <c r="P17" s="51"/>
      <c r="Q17" s="51"/>
      <c r="R17" s="51"/>
      <c r="S17" s="51"/>
      <c r="T17" s="51"/>
      <c r="U17" s="51"/>
      <c r="V17" s="51"/>
      <c r="W17" s="51"/>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46"/>
    </row>
    <row r="18" spans="1:106" s="25" customFormat="1" ht="18" x14ac:dyDescent="0.3">
      <c r="A18" s="50">
        <v>14</v>
      </c>
      <c r="B18" s="42"/>
      <c r="C18" s="42" t="s">
        <v>30</v>
      </c>
      <c r="D18" s="43" t="s">
        <v>97</v>
      </c>
      <c r="E18" s="43"/>
      <c r="F18" s="51">
        <v>1</v>
      </c>
      <c r="G18" s="51">
        <v>1</v>
      </c>
      <c r="H18" s="51"/>
      <c r="I18" s="51"/>
      <c r="J18" s="51"/>
      <c r="K18" s="51"/>
      <c r="L18" s="51"/>
      <c r="M18" s="51"/>
      <c r="N18" s="51"/>
      <c r="O18" s="51"/>
      <c r="P18" s="51"/>
      <c r="Q18" s="51"/>
      <c r="R18" s="51"/>
      <c r="S18" s="51"/>
      <c r="T18" s="51"/>
      <c r="U18" s="51"/>
      <c r="V18" s="51"/>
      <c r="W18" s="51"/>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46"/>
    </row>
    <row r="19" spans="1:106" s="25" customFormat="1" ht="36" x14ac:dyDescent="0.3">
      <c r="A19" s="48">
        <v>15</v>
      </c>
      <c r="B19" s="42"/>
      <c r="C19" s="42" t="s">
        <v>31</v>
      </c>
      <c r="D19" s="43" t="s">
        <v>98</v>
      </c>
      <c r="E19" s="43"/>
      <c r="F19" s="51">
        <v>1.5</v>
      </c>
      <c r="G19" s="51">
        <v>1.5</v>
      </c>
      <c r="H19" s="51"/>
      <c r="I19" s="51"/>
      <c r="J19" s="51"/>
      <c r="K19" s="51"/>
      <c r="L19" s="51"/>
      <c r="M19" s="51"/>
      <c r="N19" s="51"/>
      <c r="O19" s="51"/>
      <c r="P19" s="51"/>
      <c r="Q19" s="51"/>
      <c r="R19" s="51"/>
      <c r="S19" s="51"/>
      <c r="T19" s="51"/>
      <c r="U19" s="51"/>
      <c r="V19" s="51"/>
      <c r="W19" s="51"/>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46"/>
    </row>
    <row r="20" spans="1:106" s="25" customFormat="1" ht="18" x14ac:dyDescent="0.3">
      <c r="A20" s="50">
        <v>16</v>
      </c>
      <c r="B20" s="42" t="s">
        <v>2</v>
      </c>
      <c r="C20" s="42" t="s">
        <v>32</v>
      </c>
      <c r="D20" s="43" t="s">
        <v>99</v>
      </c>
      <c r="E20" s="43"/>
      <c r="F20" s="51">
        <v>1</v>
      </c>
      <c r="G20" s="51">
        <v>0.5</v>
      </c>
      <c r="H20" s="51"/>
      <c r="I20" s="51"/>
      <c r="J20" s="51"/>
      <c r="K20" s="51"/>
      <c r="L20" s="51"/>
      <c r="M20" s="51"/>
      <c r="N20" s="51"/>
      <c r="O20" s="51"/>
      <c r="P20" s="51"/>
      <c r="Q20" s="51"/>
      <c r="R20" s="51"/>
      <c r="S20" s="51"/>
      <c r="T20" s="51"/>
      <c r="U20" s="51"/>
      <c r="V20" s="51"/>
      <c r="W20" s="51"/>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46"/>
    </row>
    <row r="21" spans="1:106" s="25" customFormat="1" ht="18" x14ac:dyDescent="0.3">
      <c r="A21" s="48">
        <v>17</v>
      </c>
      <c r="B21" s="42" t="s">
        <v>2</v>
      </c>
      <c r="C21" s="42" t="s">
        <v>20</v>
      </c>
      <c r="D21" s="43"/>
      <c r="E21" s="43"/>
      <c r="F21" s="51"/>
      <c r="G21" s="51"/>
      <c r="H21" s="51">
        <v>0.1</v>
      </c>
      <c r="I21" s="51">
        <v>0.1</v>
      </c>
      <c r="J21" s="51"/>
      <c r="K21" s="51"/>
      <c r="L21" s="51"/>
      <c r="M21" s="51"/>
      <c r="N21" s="51"/>
      <c r="O21" s="51"/>
      <c r="P21" s="51"/>
      <c r="Q21" s="51"/>
      <c r="R21" s="51"/>
      <c r="S21" s="51"/>
      <c r="T21" s="51"/>
      <c r="U21" s="51"/>
      <c r="V21" s="51"/>
      <c r="W21" s="51"/>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46"/>
    </row>
    <row r="22" spans="1:106" s="41" customFormat="1" ht="18" x14ac:dyDescent="0.3">
      <c r="A22" s="47">
        <v>18</v>
      </c>
      <c r="B22" s="36" t="s">
        <v>16</v>
      </c>
      <c r="C22" s="36" t="s">
        <v>34</v>
      </c>
      <c r="D22" s="36"/>
      <c r="E22" s="36"/>
      <c r="F22" s="36">
        <f>SUM(F23:F26)</f>
        <v>0</v>
      </c>
      <c r="G22" s="36">
        <f t="shared" ref="G22:W22" si="4">SUM(G23:G26)</f>
        <v>0</v>
      </c>
      <c r="H22" s="36">
        <f t="shared" si="4"/>
        <v>2.5</v>
      </c>
      <c r="I22" s="36">
        <f t="shared" si="4"/>
        <v>2.5</v>
      </c>
      <c r="J22" s="36">
        <f t="shared" si="4"/>
        <v>0</v>
      </c>
      <c r="K22" s="36">
        <f t="shared" si="4"/>
        <v>0</v>
      </c>
      <c r="L22" s="36">
        <f t="shared" si="4"/>
        <v>1</v>
      </c>
      <c r="M22" s="36">
        <f t="shared" si="4"/>
        <v>1</v>
      </c>
      <c r="N22" s="36">
        <f t="shared" si="4"/>
        <v>4</v>
      </c>
      <c r="O22" s="36">
        <f t="shared" si="4"/>
        <v>0.1</v>
      </c>
      <c r="P22" s="36">
        <f t="shared" si="4"/>
        <v>0</v>
      </c>
      <c r="Q22" s="36">
        <f t="shared" si="4"/>
        <v>0</v>
      </c>
      <c r="R22" s="36">
        <f t="shared" si="4"/>
        <v>0</v>
      </c>
      <c r="S22" s="36">
        <f t="shared" si="4"/>
        <v>0</v>
      </c>
      <c r="T22" s="36">
        <f t="shared" si="4"/>
        <v>0</v>
      </c>
      <c r="U22" s="36">
        <f t="shared" si="4"/>
        <v>0</v>
      </c>
      <c r="V22" s="36">
        <f t="shared" si="4"/>
        <v>0</v>
      </c>
      <c r="W22" s="36">
        <f t="shared" si="4"/>
        <v>0</v>
      </c>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40"/>
    </row>
    <row r="23" spans="1:106" s="25" customFormat="1" ht="18" x14ac:dyDescent="0.3">
      <c r="A23" s="48">
        <v>19</v>
      </c>
      <c r="B23" s="42" t="s">
        <v>2</v>
      </c>
      <c r="C23" s="42" t="s">
        <v>35</v>
      </c>
      <c r="D23" s="43"/>
      <c r="E23" s="43"/>
      <c r="F23" s="51"/>
      <c r="G23" s="51"/>
      <c r="H23" s="51">
        <v>1.5</v>
      </c>
      <c r="I23" s="51">
        <v>1.5</v>
      </c>
      <c r="J23" s="51"/>
      <c r="K23" s="51"/>
      <c r="L23" s="51"/>
      <c r="M23" s="51"/>
      <c r="N23" s="51"/>
      <c r="O23" s="51"/>
      <c r="P23" s="51"/>
      <c r="Q23" s="51"/>
      <c r="R23" s="51"/>
      <c r="S23" s="51"/>
      <c r="T23" s="51"/>
      <c r="U23" s="51"/>
      <c r="V23" s="51"/>
      <c r="W23" s="51"/>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46"/>
    </row>
    <row r="24" spans="1:106" s="25" customFormat="1" ht="18" x14ac:dyDescent="0.3">
      <c r="A24" s="50">
        <v>20</v>
      </c>
      <c r="B24" s="42" t="s">
        <v>2</v>
      </c>
      <c r="C24" s="42" t="s">
        <v>37</v>
      </c>
      <c r="D24" s="43"/>
      <c r="E24" s="43"/>
      <c r="F24" s="51"/>
      <c r="G24" s="51"/>
      <c r="H24" s="51"/>
      <c r="I24" s="51"/>
      <c r="J24" s="51"/>
      <c r="K24" s="51"/>
      <c r="L24" s="51">
        <v>1</v>
      </c>
      <c r="M24" s="51">
        <v>1</v>
      </c>
      <c r="N24" s="51"/>
      <c r="O24" s="51"/>
      <c r="P24" s="51"/>
      <c r="Q24" s="51"/>
      <c r="R24" s="51"/>
      <c r="S24" s="51"/>
      <c r="T24" s="51"/>
      <c r="U24" s="51"/>
      <c r="V24" s="51"/>
      <c r="W24" s="51"/>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46"/>
    </row>
    <row r="25" spans="1:106" s="25" customFormat="1" ht="18" x14ac:dyDescent="0.3">
      <c r="A25" s="48">
        <v>21</v>
      </c>
      <c r="B25" s="42" t="s">
        <v>2</v>
      </c>
      <c r="C25" s="42" t="s">
        <v>36</v>
      </c>
      <c r="D25" s="43"/>
      <c r="E25" s="43"/>
      <c r="F25" s="51"/>
      <c r="G25" s="51"/>
      <c r="H25" s="51">
        <v>1</v>
      </c>
      <c r="I25" s="51">
        <v>1</v>
      </c>
      <c r="J25" s="51"/>
      <c r="K25" s="51"/>
      <c r="L25" s="51"/>
      <c r="M25" s="51"/>
      <c r="N25" s="51"/>
      <c r="O25" s="51"/>
      <c r="P25" s="51"/>
      <c r="Q25" s="51"/>
      <c r="R25" s="51"/>
      <c r="S25" s="51"/>
      <c r="T25" s="51"/>
      <c r="U25" s="51"/>
      <c r="V25" s="51"/>
      <c r="W25" s="51"/>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46"/>
    </row>
    <row r="26" spans="1:106" s="25" customFormat="1" ht="18" x14ac:dyDescent="0.3">
      <c r="A26" s="50">
        <v>22</v>
      </c>
      <c r="B26" s="42" t="s">
        <v>2</v>
      </c>
      <c r="C26" s="42" t="s">
        <v>38</v>
      </c>
      <c r="D26" s="43"/>
      <c r="E26" s="43"/>
      <c r="F26" s="51"/>
      <c r="G26" s="51"/>
      <c r="H26" s="51"/>
      <c r="I26" s="51"/>
      <c r="J26" s="51"/>
      <c r="K26" s="51"/>
      <c r="L26" s="51"/>
      <c r="M26" s="51"/>
      <c r="N26" s="51">
        <v>4</v>
      </c>
      <c r="O26" s="51">
        <v>0.1</v>
      </c>
      <c r="P26" s="51"/>
      <c r="Q26" s="51"/>
      <c r="R26" s="51"/>
      <c r="S26" s="51"/>
      <c r="T26" s="51"/>
      <c r="U26" s="51"/>
      <c r="V26" s="51"/>
      <c r="W26" s="51"/>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46"/>
    </row>
    <row r="27" spans="1:106" s="41" customFormat="1" ht="18" x14ac:dyDescent="0.3">
      <c r="A27" s="38">
        <v>23</v>
      </c>
      <c r="B27" s="36" t="s">
        <v>16</v>
      </c>
      <c r="C27" s="36" t="s">
        <v>17</v>
      </c>
      <c r="D27" s="36"/>
      <c r="E27" s="36"/>
      <c r="F27" s="36">
        <f>SUM(F28:F29)</f>
        <v>0</v>
      </c>
      <c r="G27" s="36">
        <f t="shared" ref="G27:U27" si="5">SUM(G28:G29)</f>
        <v>0</v>
      </c>
      <c r="H27" s="36">
        <f t="shared" si="5"/>
        <v>0</v>
      </c>
      <c r="I27" s="36">
        <f t="shared" si="5"/>
        <v>0</v>
      </c>
      <c r="J27" s="36">
        <f t="shared" si="5"/>
        <v>0</v>
      </c>
      <c r="K27" s="36">
        <f t="shared" si="5"/>
        <v>0</v>
      </c>
      <c r="L27" s="36">
        <f t="shared" si="5"/>
        <v>0</v>
      </c>
      <c r="M27" s="36">
        <f t="shared" si="5"/>
        <v>0</v>
      </c>
      <c r="N27" s="36">
        <f t="shared" si="5"/>
        <v>0</v>
      </c>
      <c r="O27" s="36">
        <f t="shared" si="5"/>
        <v>0</v>
      </c>
      <c r="P27" s="36">
        <f t="shared" si="5"/>
        <v>0</v>
      </c>
      <c r="Q27" s="36">
        <f t="shared" si="5"/>
        <v>0</v>
      </c>
      <c r="R27" s="36">
        <f t="shared" si="5"/>
        <v>4</v>
      </c>
      <c r="S27" s="36">
        <f t="shared" si="5"/>
        <v>4</v>
      </c>
      <c r="T27" s="36">
        <f t="shared" si="5"/>
        <v>1</v>
      </c>
      <c r="U27" s="36">
        <f t="shared" si="5"/>
        <v>1</v>
      </c>
      <c r="V27" s="36">
        <f>SUM(V28:V30)</f>
        <v>5</v>
      </c>
      <c r="W27" s="36">
        <f>SUM(W28:W30)</f>
        <v>5</v>
      </c>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40"/>
    </row>
    <row r="28" spans="1:106" s="25" customFormat="1" ht="32.25" customHeight="1" x14ac:dyDescent="0.3">
      <c r="A28" s="50">
        <v>24</v>
      </c>
      <c r="B28" s="42" t="s">
        <v>2</v>
      </c>
      <c r="C28" s="42" t="s">
        <v>39</v>
      </c>
      <c r="D28" s="43"/>
      <c r="E28" s="43"/>
      <c r="F28" s="51"/>
      <c r="G28" s="51"/>
      <c r="H28" s="51"/>
      <c r="I28" s="51"/>
      <c r="J28" s="51"/>
      <c r="K28" s="51"/>
      <c r="L28" s="51"/>
      <c r="M28" s="51"/>
      <c r="N28" s="51"/>
      <c r="O28" s="51"/>
      <c r="P28" s="51"/>
      <c r="Q28" s="51"/>
      <c r="R28" s="51">
        <v>4</v>
      </c>
      <c r="S28" s="51">
        <v>4</v>
      </c>
      <c r="T28" s="51"/>
      <c r="U28" s="51"/>
      <c r="V28" s="51"/>
      <c r="W28" s="51"/>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46"/>
    </row>
    <row r="29" spans="1:106" s="25" customFormat="1" ht="49.5" customHeight="1" x14ac:dyDescent="0.3">
      <c r="A29" s="48">
        <v>25</v>
      </c>
      <c r="B29" s="42" t="s">
        <v>2</v>
      </c>
      <c r="C29" s="42" t="s">
        <v>40</v>
      </c>
      <c r="D29" s="43"/>
      <c r="E29" s="43"/>
      <c r="F29" s="51"/>
      <c r="G29" s="51"/>
      <c r="H29" s="51"/>
      <c r="I29" s="51"/>
      <c r="J29" s="51"/>
      <c r="K29" s="51"/>
      <c r="L29" s="51"/>
      <c r="M29" s="51"/>
      <c r="N29" s="51"/>
      <c r="O29" s="51"/>
      <c r="P29" s="51"/>
      <c r="Q29" s="51"/>
      <c r="R29" s="51"/>
      <c r="S29" s="51"/>
      <c r="T29" s="51">
        <v>1</v>
      </c>
      <c r="U29" s="51">
        <v>1</v>
      </c>
      <c r="V29" s="51"/>
      <c r="W29" s="51"/>
      <c r="X29" s="81" t="s">
        <v>100</v>
      </c>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46"/>
    </row>
    <row r="30" spans="1:106" s="11" customFormat="1" ht="18" x14ac:dyDescent="0.3">
      <c r="A30" s="48">
        <v>25</v>
      </c>
      <c r="B30" s="42" t="s">
        <v>2</v>
      </c>
      <c r="C30" s="42" t="s">
        <v>88</v>
      </c>
      <c r="D30" s="43"/>
      <c r="E30" s="43"/>
      <c r="F30" s="51"/>
      <c r="G30" s="51"/>
      <c r="H30" s="51"/>
      <c r="I30" s="51"/>
      <c r="J30" s="51"/>
      <c r="K30" s="51"/>
      <c r="L30" s="51"/>
      <c r="M30" s="51"/>
      <c r="N30" s="51"/>
      <c r="O30" s="51"/>
      <c r="P30" s="51"/>
      <c r="Q30" s="51"/>
      <c r="R30" s="51"/>
      <c r="S30" s="51"/>
      <c r="T30" s="51"/>
      <c r="U30" s="51"/>
      <c r="V30" s="51">
        <v>5</v>
      </c>
      <c r="W30" s="51">
        <v>5</v>
      </c>
      <c r="X30" s="81"/>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3"/>
    </row>
    <row r="31" spans="1:106" s="6" customFormat="1" ht="36" x14ac:dyDescent="0.3">
      <c r="A31" s="17"/>
      <c r="B31" s="21" t="s">
        <v>77</v>
      </c>
      <c r="C31" s="21">
        <v>1</v>
      </c>
      <c r="D31" s="18"/>
      <c r="E31" s="18"/>
      <c r="F31" s="18">
        <f>+F5+F10+F12+F15+F22+F27</f>
        <v>9.5</v>
      </c>
      <c r="G31" s="18">
        <f>+G5+G10+G12+G15+G22+G27</f>
        <v>4.5</v>
      </c>
      <c r="H31" s="18">
        <f>+H5+H10+H12+H15+H22+H27</f>
        <v>4.8000000000000007</v>
      </c>
      <c r="I31" s="18">
        <f>+I5+I10+I12+I15+I22+I27</f>
        <v>4.8000000000000007</v>
      </c>
      <c r="J31" s="72">
        <f>+(J5+J10+J12+J15+J22+J27)</f>
        <v>7</v>
      </c>
      <c r="K31" s="72">
        <f>+(K5+K10+K12+K15+K22+K27)</f>
        <v>2</v>
      </c>
      <c r="L31" s="18">
        <f t="shared" ref="L31:U31" si="6">+L5+L10+L12+L15+L22+L27</f>
        <v>3</v>
      </c>
      <c r="M31" s="18">
        <f t="shared" si="6"/>
        <v>3</v>
      </c>
      <c r="N31" s="18">
        <f t="shared" si="6"/>
        <v>4</v>
      </c>
      <c r="O31" s="18">
        <f t="shared" si="6"/>
        <v>0.1</v>
      </c>
      <c r="P31" s="18">
        <f t="shared" si="6"/>
        <v>0</v>
      </c>
      <c r="Q31" s="18">
        <f t="shared" si="6"/>
        <v>0</v>
      </c>
      <c r="R31" s="18">
        <f t="shared" si="6"/>
        <v>4</v>
      </c>
      <c r="S31" s="18">
        <f t="shared" si="6"/>
        <v>4</v>
      </c>
      <c r="T31" s="18">
        <f t="shared" si="6"/>
        <v>1</v>
      </c>
      <c r="U31" s="18">
        <f t="shared" si="6"/>
        <v>1</v>
      </c>
      <c r="V31" s="76">
        <f>+V5+V10+V12+V15+V22+V27</f>
        <v>5</v>
      </c>
      <c r="W31" s="56">
        <f>+W5+W10+W12+W15+W22+W27</f>
        <v>5</v>
      </c>
      <c r="X31" s="81">
        <f>F31+H31+J31+L31+N31+P31+R31+T31+V31</f>
        <v>38.299999999999997</v>
      </c>
      <c r="Y31" s="18">
        <f>SUM(F31:X31)</f>
        <v>101</v>
      </c>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2"/>
    </row>
    <row r="32" spans="1:106" s="6" customFormat="1" ht="36" x14ac:dyDescent="0.3">
      <c r="A32" s="82"/>
      <c r="B32" s="83" t="s">
        <v>77</v>
      </c>
      <c r="C32" s="83">
        <v>4</v>
      </c>
      <c r="D32" s="85"/>
      <c r="E32" s="85"/>
      <c r="F32" s="85">
        <f>F31</f>
        <v>9.5</v>
      </c>
      <c r="G32" s="85">
        <f t="shared" ref="G32:O32" si="7">G31</f>
        <v>4.5</v>
      </c>
      <c r="H32" s="85">
        <f>H31*$C$32</f>
        <v>19.200000000000003</v>
      </c>
      <c r="I32" s="85">
        <f>I31*$C$32</f>
        <v>19.200000000000003</v>
      </c>
      <c r="J32" s="85">
        <f>J31*$C$32/3</f>
        <v>9.3333333333333339</v>
      </c>
      <c r="K32" s="85">
        <f>K31*$C$32/3</f>
        <v>2.6666666666666665</v>
      </c>
      <c r="L32" s="85">
        <f>L31*$C$32</f>
        <v>12</v>
      </c>
      <c r="M32" s="85">
        <f>M31*$C$32</f>
        <v>12</v>
      </c>
      <c r="N32" s="85">
        <f t="shared" si="7"/>
        <v>4</v>
      </c>
      <c r="O32" s="85">
        <f t="shared" si="7"/>
        <v>0.1</v>
      </c>
      <c r="P32" s="85">
        <f t="shared" ref="P32:W32" si="8">P31*$C$32</f>
        <v>0</v>
      </c>
      <c r="Q32" s="85">
        <f t="shared" si="8"/>
        <v>0</v>
      </c>
      <c r="R32" s="85">
        <f t="shared" si="8"/>
        <v>16</v>
      </c>
      <c r="S32" s="85">
        <f t="shared" si="8"/>
        <v>16</v>
      </c>
      <c r="T32" s="85">
        <f t="shared" si="8"/>
        <v>4</v>
      </c>
      <c r="U32" s="85">
        <f t="shared" si="8"/>
        <v>4</v>
      </c>
      <c r="V32" s="85">
        <f t="shared" si="8"/>
        <v>20</v>
      </c>
      <c r="W32" s="85">
        <f t="shared" si="8"/>
        <v>20</v>
      </c>
      <c r="X32" s="86">
        <f>F32+H32+J32+L32+N32+P32+R32+T32+V32</f>
        <v>94.033333333333331</v>
      </c>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2"/>
    </row>
    <row r="33" spans="1:106" s="6" customFormat="1" ht="36" x14ac:dyDescent="0.3">
      <c r="A33" s="82"/>
      <c r="B33" s="83" t="s">
        <v>77</v>
      </c>
      <c r="C33" s="83">
        <v>5</v>
      </c>
      <c r="D33" s="85"/>
      <c r="E33" s="85"/>
      <c r="F33" s="85">
        <f>F31</f>
        <v>9.5</v>
      </c>
      <c r="G33" s="85">
        <f>G31</f>
        <v>4.5</v>
      </c>
      <c r="H33" s="85">
        <f>H31*$C$33</f>
        <v>24.000000000000004</v>
      </c>
      <c r="I33" s="85">
        <f>I31*$C$33</f>
        <v>24.000000000000004</v>
      </c>
      <c r="J33" s="85">
        <f>J31*$C$33/3</f>
        <v>11.666666666666666</v>
      </c>
      <c r="K33" s="85">
        <f>K31*$C$32/3</f>
        <v>2.6666666666666665</v>
      </c>
      <c r="L33" s="85">
        <f>L31*$C$33</f>
        <v>15</v>
      </c>
      <c r="M33" s="85">
        <f>M31*$C$33</f>
        <v>15</v>
      </c>
      <c r="N33" s="85">
        <f>N31</f>
        <v>4</v>
      </c>
      <c r="O33" s="85">
        <f>O31</f>
        <v>0.1</v>
      </c>
      <c r="P33" s="85">
        <f t="shared" ref="P33:W33" si="9">P31*$C$33</f>
        <v>0</v>
      </c>
      <c r="Q33" s="85">
        <f t="shared" si="9"/>
        <v>0</v>
      </c>
      <c r="R33" s="85">
        <f t="shared" si="9"/>
        <v>20</v>
      </c>
      <c r="S33" s="85">
        <f t="shared" si="9"/>
        <v>20</v>
      </c>
      <c r="T33" s="85">
        <f t="shared" si="9"/>
        <v>5</v>
      </c>
      <c r="U33" s="85">
        <f t="shared" si="9"/>
        <v>5</v>
      </c>
      <c r="V33" s="85">
        <f t="shared" si="9"/>
        <v>25</v>
      </c>
      <c r="W33" s="85">
        <f t="shared" si="9"/>
        <v>25</v>
      </c>
      <c r="X33" s="86">
        <f>F33+H33+J33+L33+N33+P33+R33+T33+V33</f>
        <v>114.16666666666666</v>
      </c>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2"/>
    </row>
    <row r="34" spans="1:106" s="6" customFormat="1" ht="18" x14ac:dyDescent="0.3">
      <c r="A34" s="17"/>
      <c r="B34" s="21"/>
      <c r="C34" s="21"/>
      <c r="D34" s="18"/>
      <c r="E34" s="18"/>
      <c r="F34" s="18"/>
      <c r="G34" s="18"/>
      <c r="H34" s="18"/>
      <c r="I34" s="18"/>
      <c r="J34" s="18"/>
      <c r="K34" s="18"/>
      <c r="L34" s="18"/>
      <c r="M34" s="18"/>
      <c r="N34" s="18"/>
      <c r="O34" s="18"/>
      <c r="P34" s="18"/>
      <c r="Q34" s="18"/>
      <c r="R34" s="18"/>
      <c r="S34" s="18"/>
      <c r="T34" s="18"/>
      <c r="U34" s="18"/>
      <c r="V34" s="18"/>
      <c r="W34" s="18"/>
      <c r="X34" s="81"/>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2"/>
    </row>
    <row r="35" spans="1:106" s="6" customFormat="1" x14ac:dyDescent="0.3">
      <c r="A35" s="17"/>
      <c r="B35" s="33"/>
      <c r="C35" s="33" t="s">
        <v>84</v>
      </c>
      <c r="D35" s="18"/>
      <c r="E35" s="18"/>
      <c r="F35" s="54">
        <v>39</v>
      </c>
      <c r="G35" s="54">
        <v>39</v>
      </c>
      <c r="H35" s="54">
        <v>15.6</v>
      </c>
      <c r="I35" s="54">
        <v>39</v>
      </c>
      <c r="J35" s="73">
        <v>78</v>
      </c>
      <c r="K35" s="73">
        <v>39</v>
      </c>
      <c r="L35" s="54">
        <v>28.6</v>
      </c>
      <c r="M35" s="54">
        <v>39</v>
      </c>
      <c r="N35" s="54">
        <v>9.1</v>
      </c>
      <c r="O35" s="54">
        <v>39</v>
      </c>
      <c r="P35" s="54">
        <v>13</v>
      </c>
      <c r="Q35" s="54">
        <v>39</v>
      </c>
      <c r="R35" s="54">
        <v>13</v>
      </c>
      <c r="S35" s="54">
        <v>39</v>
      </c>
      <c r="T35" s="54">
        <v>13</v>
      </c>
      <c r="U35" s="54">
        <v>39</v>
      </c>
      <c r="V35" s="54">
        <v>20.8</v>
      </c>
      <c r="W35" s="54">
        <v>39</v>
      </c>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2"/>
    </row>
    <row r="36" spans="1:106" s="6" customFormat="1" ht="28.8" x14ac:dyDescent="0.3">
      <c r="A36" s="33" t="s">
        <v>76</v>
      </c>
      <c r="B36" s="33">
        <v>1</v>
      </c>
      <c r="C36" s="33" t="s">
        <v>85</v>
      </c>
      <c r="D36" s="18"/>
      <c r="E36" s="18"/>
      <c r="F36" s="32">
        <f>+F31*F35</f>
        <v>370.5</v>
      </c>
      <c r="G36" s="32">
        <f t="shared" ref="G36:W36" si="10">+G31*G35</f>
        <v>175.5</v>
      </c>
      <c r="H36" s="32">
        <f t="shared" si="10"/>
        <v>74.88000000000001</v>
      </c>
      <c r="I36" s="32">
        <f t="shared" si="10"/>
        <v>187.20000000000002</v>
      </c>
      <c r="J36" s="74">
        <f t="shared" si="10"/>
        <v>546</v>
      </c>
      <c r="K36" s="74">
        <f t="shared" si="10"/>
        <v>78</v>
      </c>
      <c r="L36" s="32">
        <f t="shared" si="10"/>
        <v>85.800000000000011</v>
      </c>
      <c r="M36" s="32">
        <f t="shared" si="10"/>
        <v>117</v>
      </c>
      <c r="N36" s="32">
        <f t="shared" si="10"/>
        <v>36.4</v>
      </c>
      <c r="O36" s="32">
        <f t="shared" si="10"/>
        <v>3.9000000000000004</v>
      </c>
      <c r="P36" s="32">
        <f t="shared" si="10"/>
        <v>0</v>
      </c>
      <c r="Q36" s="32">
        <f t="shared" si="10"/>
        <v>0</v>
      </c>
      <c r="R36" s="32">
        <f t="shared" si="10"/>
        <v>52</v>
      </c>
      <c r="S36" s="32">
        <f t="shared" si="10"/>
        <v>156</v>
      </c>
      <c r="T36" s="32">
        <f t="shared" si="10"/>
        <v>13</v>
      </c>
      <c r="U36" s="32">
        <f t="shared" si="10"/>
        <v>39</v>
      </c>
      <c r="V36" s="32">
        <f t="shared" si="10"/>
        <v>104</v>
      </c>
      <c r="W36" s="32">
        <f t="shared" si="10"/>
        <v>195</v>
      </c>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2"/>
    </row>
    <row r="37" spans="1:106" s="6" customFormat="1" ht="28.8" x14ac:dyDescent="0.3">
      <c r="A37" s="33" t="s">
        <v>76</v>
      </c>
      <c r="B37" s="33">
        <v>3</v>
      </c>
      <c r="C37" s="33" t="s">
        <v>85</v>
      </c>
      <c r="D37" s="18"/>
      <c r="E37" s="18"/>
      <c r="F37" s="24">
        <f>+F36*$B$37</f>
        <v>1111.5</v>
      </c>
      <c r="G37" s="24">
        <f t="shared" ref="G37:W37" si="11">+G36*$B$37</f>
        <v>526.5</v>
      </c>
      <c r="H37" s="24">
        <f t="shared" si="11"/>
        <v>224.64000000000004</v>
      </c>
      <c r="I37" s="24">
        <f t="shared" si="11"/>
        <v>561.6</v>
      </c>
      <c r="J37" s="75">
        <f>+J36</f>
        <v>546</v>
      </c>
      <c r="K37" s="75">
        <f>+K36</f>
        <v>78</v>
      </c>
      <c r="L37" s="24">
        <f t="shared" si="11"/>
        <v>257.40000000000003</v>
      </c>
      <c r="M37" s="24">
        <f t="shared" si="11"/>
        <v>351</v>
      </c>
      <c r="N37" s="24">
        <f>+N36*$B$37/B37</f>
        <v>36.4</v>
      </c>
      <c r="O37" s="24">
        <f t="shared" si="11"/>
        <v>11.700000000000001</v>
      </c>
      <c r="P37" s="24">
        <f t="shared" si="11"/>
        <v>0</v>
      </c>
      <c r="Q37" s="24">
        <f t="shared" si="11"/>
        <v>0</v>
      </c>
      <c r="R37" s="24">
        <f t="shared" si="11"/>
        <v>156</v>
      </c>
      <c r="S37" s="24">
        <f t="shared" si="11"/>
        <v>468</v>
      </c>
      <c r="T37" s="24">
        <f t="shared" si="11"/>
        <v>39</v>
      </c>
      <c r="U37" s="24">
        <f t="shared" si="11"/>
        <v>117</v>
      </c>
      <c r="V37" s="24">
        <f t="shared" si="11"/>
        <v>312</v>
      </c>
      <c r="W37" s="24">
        <f t="shared" si="11"/>
        <v>585</v>
      </c>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2"/>
    </row>
    <row r="38" spans="1:106" s="6" customFormat="1" x14ac:dyDescent="0.3">
      <c r="A38" s="17"/>
      <c r="B38" s="33"/>
      <c r="C38" s="33"/>
      <c r="D38" s="18"/>
      <c r="E38" s="18"/>
      <c r="F38" s="19"/>
      <c r="G38" s="19"/>
      <c r="H38" s="19"/>
      <c r="I38" s="19"/>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2"/>
    </row>
    <row r="39" spans="1:106" s="11" customFormat="1" ht="18" x14ac:dyDescent="0.3">
      <c r="A39" s="17"/>
      <c r="B39" s="17"/>
      <c r="C39" s="17"/>
      <c r="D39" s="21"/>
      <c r="E39" s="21"/>
      <c r="F39" s="19"/>
      <c r="G39" s="77"/>
      <c r="H39" s="77"/>
      <c r="I39" s="56"/>
      <c r="J39" s="56"/>
      <c r="K39" s="56"/>
      <c r="L39" s="56"/>
      <c r="M39" s="56"/>
      <c r="N39" s="56"/>
      <c r="O39" s="56"/>
      <c r="P39" s="56"/>
      <c r="Q39" s="56"/>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3"/>
    </row>
    <row r="40" spans="1:106" s="6" customFormat="1" x14ac:dyDescent="0.3">
      <c r="A40" s="17"/>
      <c r="B40" s="17"/>
      <c r="C40" s="15" t="s">
        <v>78</v>
      </c>
      <c r="D40" s="18"/>
      <c r="E40" s="18"/>
      <c r="F40" s="24">
        <f>+F36+H36+J36+L36+N36+P36+R36+T36+V36</f>
        <v>1282.5800000000002</v>
      </c>
      <c r="G40" s="77"/>
      <c r="H40" s="77"/>
      <c r="I40" s="56"/>
      <c r="J40" s="56"/>
      <c r="K40" s="56"/>
      <c r="L40" s="56"/>
      <c r="M40" s="56"/>
      <c r="N40" s="56"/>
      <c r="O40" s="56"/>
      <c r="P40" s="56"/>
      <c r="Q40" s="56"/>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2"/>
    </row>
    <row r="41" spans="1:106" s="6" customFormat="1" x14ac:dyDescent="0.3">
      <c r="A41" s="17"/>
      <c r="B41" s="17"/>
      <c r="C41" s="15" t="s">
        <v>79</v>
      </c>
      <c r="D41" s="18"/>
      <c r="E41" s="18"/>
      <c r="F41" s="24">
        <f>+G36+I36+K36+M36+O36+Q36+S36+U36+W36</f>
        <v>951.6</v>
      </c>
      <c r="G41" s="77"/>
      <c r="H41" s="77"/>
      <c r="I41" s="56"/>
      <c r="J41" s="56"/>
      <c r="K41" s="56"/>
      <c r="L41" s="56"/>
      <c r="M41" s="56"/>
      <c r="N41" s="56"/>
      <c r="O41" s="56"/>
      <c r="P41" s="56"/>
      <c r="Q41" s="56"/>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2"/>
    </row>
    <row r="42" spans="1:106" s="6" customFormat="1" x14ac:dyDescent="0.3">
      <c r="A42" s="17"/>
      <c r="B42" s="17"/>
      <c r="C42" s="15" t="s">
        <v>80</v>
      </c>
      <c r="D42" s="77"/>
      <c r="E42" s="77"/>
      <c r="F42" s="78">
        <f>+'[1]sarf malzemeleri 1-3wf'!I12</f>
        <v>26.400000000000002</v>
      </c>
      <c r="G42" s="77"/>
      <c r="H42" s="77"/>
      <c r="I42" s="56"/>
      <c r="J42" s="56"/>
      <c r="K42" s="56"/>
      <c r="L42" s="56"/>
      <c r="M42" s="56"/>
      <c r="N42" s="56"/>
      <c r="O42" s="56"/>
      <c r="P42" s="56"/>
      <c r="Q42" s="56"/>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2"/>
    </row>
    <row r="43" spans="1:106" s="11" customFormat="1" x14ac:dyDescent="0.3">
      <c r="A43" s="17"/>
      <c r="B43" s="17"/>
      <c r="C43" s="15" t="s">
        <v>81</v>
      </c>
      <c r="D43" s="77"/>
      <c r="E43" s="77"/>
      <c r="F43" s="77">
        <f>15.6*G43</f>
        <v>312</v>
      </c>
      <c r="G43" s="77">
        <v>20</v>
      </c>
      <c r="H43" s="77"/>
      <c r="I43" s="77"/>
      <c r="J43" s="56"/>
      <c r="K43" s="56"/>
      <c r="L43" s="56"/>
      <c r="M43" s="165"/>
      <c r="N43" s="165"/>
      <c r="O43" s="56"/>
      <c r="P43" s="56"/>
      <c r="Q43" s="56"/>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3"/>
    </row>
    <row r="44" spans="1:106" s="6" customFormat="1" x14ac:dyDescent="0.3">
      <c r="A44" s="17"/>
      <c r="B44" s="17"/>
      <c r="C44" s="15" t="s">
        <v>82</v>
      </c>
      <c r="D44" s="18"/>
      <c r="E44" s="18"/>
      <c r="F44" s="55">
        <f>+F43/2</f>
        <v>156</v>
      </c>
      <c r="G44" s="77">
        <v>20</v>
      </c>
      <c r="H44" s="77"/>
      <c r="I44" s="77"/>
      <c r="J44" s="56"/>
      <c r="K44" s="56"/>
      <c r="L44" s="56"/>
      <c r="M44" s="56"/>
      <c r="N44" s="66"/>
      <c r="O44" s="56"/>
      <c r="P44" s="56"/>
      <c r="Q44" s="56"/>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2"/>
    </row>
    <row r="45" spans="1:106" s="6" customFormat="1" ht="18.75" customHeight="1" x14ac:dyDescent="0.3">
      <c r="A45" s="17"/>
      <c r="B45" s="17"/>
      <c r="C45" s="62" t="s">
        <v>83</v>
      </c>
      <c r="D45" s="21"/>
      <c r="E45" s="21"/>
      <c r="F45" s="24">
        <f>SUM(F40:F44)</f>
        <v>2728.5800000000004</v>
      </c>
      <c r="G45" s="77"/>
      <c r="H45" s="77"/>
      <c r="I45" s="77"/>
      <c r="J45" s="56"/>
      <c r="K45" s="56"/>
      <c r="L45" s="56"/>
      <c r="M45" s="56"/>
      <c r="N45" s="56"/>
      <c r="O45" s="56"/>
      <c r="P45" s="56"/>
      <c r="Q45" s="56"/>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2"/>
    </row>
    <row r="46" spans="1:106" s="11" customFormat="1" x14ac:dyDescent="0.3">
      <c r="A46" s="17"/>
      <c r="B46" s="17"/>
      <c r="C46" s="62" t="s">
        <v>86</v>
      </c>
      <c r="D46" s="18"/>
      <c r="E46" s="18"/>
      <c r="F46" s="55"/>
      <c r="G46" s="19"/>
      <c r="H46" s="19"/>
      <c r="I46" s="19"/>
      <c r="J46" s="14"/>
      <c r="K46" s="14"/>
      <c r="L46" s="14"/>
      <c r="M46" s="56"/>
      <c r="N46" s="56"/>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3"/>
    </row>
    <row r="47" spans="1:106" s="6" customFormat="1" x14ac:dyDescent="0.3">
      <c r="A47" s="17"/>
      <c r="B47" s="17"/>
      <c r="C47" s="71" t="s">
        <v>89</v>
      </c>
      <c r="D47" s="18"/>
      <c r="E47" s="18"/>
      <c r="F47" s="55"/>
      <c r="G47" s="19"/>
      <c r="H47" s="19"/>
      <c r="I47" s="19"/>
      <c r="J47" s="14"/>
      <c r="K47" s="14"/>
      <c r="L47" s="14"/>
      <c r="M47" s="67"/>
      <c r="N47" s="56"/>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2"/>
    </row>
    <row r="48" spans="1:106" s="6" customFormat="1" ht="18" x14ac:dyDescent="0.3">
      <c r="A48" s="17"/>
      <c r="B48" s="17"/>
      <c r="C48" s="17"/>
      <c r="D48" s="21"/>
      <c r="E48" s="21"/>
      <c r="F48" s="55"/>
      <c r="G48" s="19"/>
      <c r="H48" s="19"/>
      <c r="I48" s="19"/>
      <c r="J48" s="14"/>
      <c r="K48" s="14"/>
      <c r="L48" s="14"/>
      <c r="M48" s="67"/>
      <c r="N48" s="15"/>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2"/>
    </row>
    <row r="49" spans="1:106" s="6" customFormat="1" ht="18" x14ac:dyDescent="0.3">
      <c r="A49" s="17"/>
      <c r="B49" s="17"/>
      <c r="C49" s="17"/>
      <c r="D49" s="21"/>
      <c r="E49" s="21"/>
      <c r="F49" s="55"/>
      <c r="G49" s="19"/>
      <c r="H49" s="19"/>
      <c r="I49" s="19"/>
      <c r="J49" s="14"/>
      <c r="K49" s="14"/>
      <c r="L49" s="14"/>
      <c r="M49" s="67"/>
      <c r="N49" s="6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2"/>
    </row>
    <row r="50" spans="1:106" s="11" customFormat="1" ht="18" x14ac:dyDescent="0.3">
      <c r="A50" s="17"/>
      <c r="B50" s="21"/>
      <c r="C50" s="63"/>
      <c r="D50" s="63"/>
      <c r="E50" s="63"/>
      <c r="F50" s="64"/>
      <c r="G50" s="19"/>
      <c r="H50" s="19"/>
      <c r="I50" s="19"/>
      <c r="J50" s="14"/>
      <c r="K50" s="14"/>
      <c r="L50" s="14"/>
      <c r="M50" s="69"/>
      <c r="N50" s="70"/>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3"/>
    </row>
    <row r="51" spans="1:106" s="11" customFormat="1" ht="18" x14ac:dyDescent="0.3">
      <c r="A51" s="17"/>
      <c r="B51" s="21"/>
      <c r="C51" s="17"/>
      <c r="D51" s="18"/>
      <c r="E51" s="18"/>
      <c r="F51" s="24"/>
      <c r="G51" s="24"/>
      <c r="H51" s="19"/>
      <c r="I51" s="19"/>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3"/>
    </row>
    <row r="52" spans="1:106" s="6" customFormat="1" x14ac:dyDescent="0.3">
      <c r="A52" s="17"/>
      <c r="B52" s="18"/>
      <c r="C52" s="17"/>
      <c r="D52" s="18"/>
      <c r="E52" s="18"/>
      <c r="F52" s="24"/>
      <c r="G52" s="65"/>
      <c r="H52" s="65"/>
      <c r="I52" s="19"/>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2"/>
    </row>
    <row r="53" spans="1:106" s="6" customFormat="1" x14ac:dyDescent="0.3">
      <c r="A53" s="17"/>
      <c r="B53" s="18"/>
      <c r="C53" s="17"/>
      <c r="D53" s="18"/>
      <c r="E53" s="18"/>
      <c r="F53" s="19"/>
      <c r="G53" s="19"/>
      <c r="H53" s="19"/>
      <c r="I53" s="19"/>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2"/>
    </row>
    <row r="54" spans="1:106" s="6" customFormat="1" x14ac:dyDescent="0.3">
      <c r="A54" s="17"/>
      <c r="B54" s="18"/>
      <c r="C54" s="17"/>
      <c r="D54" s="18"/>
      <c r="E54" s="18"/>
      <c r="F54" s="19"/>
      <c r="G54" s="19"/>
      <c r="H54" s="19"/>
      <c r="I54" s="19"/>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2"/>
    </row>
    <row r="55" spans="1:106" s="11" customFormat="1" ht="18" x14ac:dyDescent="0.3">
      <c r="A55" s="17"/>
      <c r="B55" s="21"/>
      <c r="C55" s="17"/>
      <c r="D55" s="21"/>
      <c r="E55" s="21"/>
      <c r="F55" s="19"/>
      <c r="G55" s="19"/>
      <c r="H55" s="19"/>
      <c r="I55" s="19"/>
      <c r="J55" s="14"/>
      <c r="K55" s="19"/>
      <c r="L55" s="14"/>
      <c r="M55" s="19"/>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3"/>
    </row>
    <row r="56" spans="1:106" s="6" customFormat="1" x14ac:dyDescent="0.3">
      <c r="A56" s="17"/>
      <c r="B56" s="18"/>
      <c r="C56" s="17"/>
      <c r="D56" s="18"/>
      <c r="E56" s="18"/>
      <c r="F56" s="19"/>
      <c r="G56" s="19"/>
      <c r="H56" s="19"/>
      <c r="I56" s="19"/>
      <c r="J56" s="14"/>
      <c r="K56" s="19"/>
      <c r="L56" s="14"/>
      <c r="M56" s="19"/>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2"/>
    </row>
    <row r="57" spans="1:106" s="6" customFormat="1" x14ac:dyDescent="0.3">
      <c r="A57" s="17"/>
      <c r="B57" s="18"/>
      <c r="C57" s="17"/>
      <c r="D57" s="18"/>
      <c r="E57" s="18"/>
      <c r="F57" s="19"/>
      <c r="G57" s="19"/>
      <c r="H57" s="55"/>
      <c r="I57" s="19"/>
      <c r="J57" s="14"/>
      <c r="K57" s="19"/>
      <c r="L57" s="14"/>
      <c r="M57" s="19"/>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2"/>
    </row>
    <row r="58" spans="1:106" s="6" customFormat="1" x14ac:dyDescent="0.3">
      <c r="A58" s="17"/>
      <c r="B58" s="18"/>
      <c r="C58" s="17"/>
      <c r="D58" s="18"/>
      <c r="E58" s="18"/>
      <c r="F58" s="19"/>
      <c r="G58" s="19"/>
      <c r="H58" s="55"/>
      <c r="I58" s="19"/>
      <c r="J58" s="14"/>
      <c r="K58" s="19"/>
      <c r="L58" s="14"/>
      <c r="M58" s="19"/>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2"/>
    </row>
    <row r="59" spans="1:106" s="11" customFormat="1" ht="18" x14ac:dyDescent="0.3">
      <c r="A59" s="17"/>
      <c r="B59" s="21"/>
      <c r="C59" s="17"/>
      <c r="D59" s="21"/>
      <c r="E59" s="21"/>
      <c r="F59" s="19"/>
      <c r="G59" s="19"/>
      <c r="H59" s="55"/>
      <c r="I59" s="19"/>
      <c r="J59" s="14"/>
      <c r="K59" s="19"/>
      <c r="L59" s="14"/>
      <c r="M59" s="19"/>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3"/>
    </row>
    <row r="60" spans="1:106" s="11" customFormat="1" ht="18" x14ac:dyDescent="0.3">
      <c r="A60" s="17"/>
      <c r="B60" s="21"/>
      <c r="C60" s="17"/>
      <c r="D60" s="21"/>
      <c r="E60" s="21"/>
      <c r="F60" s="19"/>
      <c r="G60" s="19"/>
      <c r="H60" s="55"/>
      <c r="I60" s="19"/>
      <c r="J60" s="14"/>
      <c r="K60" s="19"/>
      <c r="L60" s="14"/>
      <c r="M60" s="19"/>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3"/>
    </row>
    <row r="61" spans="1:106" s="11" customFormat="1" x14ac:dyDescent="0.3">
      <c r="A61" s="20"/>
      <c r="B61" s="20"/>
      <c r="C61" s="17"/>
      <c r="D61" s="20"/>
      <c r="E61" s="20"/>
      <c r="F61" s="20"/>
      <c r="G61" s="20"/>
      <c r="H61" s="55"/>
      <c r="I61" s="20"/>
      <c r="J61" s="14"/>
      <c r="K61" s="19"/>
      <c r="L61" s="14"/>
      <c r="M61" s="19"/>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3"/>
    </row>
    <row r="62" spans="1:106" s="11" customFormat="1" x14ac:dyDescent="0.3">
      <c r="A62" s="20"/>
      <c r="B62" s="20"/>
      <c r="C62" s="17"/>
      <c r="D62" s="20"/>
      <c r="E62" s="20"/>
      <c r="F62" s="20"/>
      <c r="G62" s="20"/>
      <c r="H62" s="20"/>
      <c r="I62" s="20"/>
      <c r="J62" s="14"/>
      <c r="K62" s="19"/>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3"/>
    </row>
    <row r="63" spans="1:106" s="15" customFormat="1" x14ac:dyDescent="0.3">
      <c r="A63" s="22"/>
      <c r="B63" s="22"/>
      <c r="C63" s="34"/>
      <c r="D63" s="22"/>
      <c r="E63" s="22"/>
      <c r="F63" s="22"/>
      <c r="G63" s="22"/>
      <c r="H63" s="22"/>
      <c r="I63" s="22"/>
      <c r="J63" s="22"/>
    </row>
    <row r="64" spans="1:106" s="15" customFormat="1" x14ac:dyDescent="0.3">
      <c r="A64" s="22"/>
      <c r="B64" s="22"/>
      <c r="C64" s="34"/>
      <c r="D64" s="22"/>
      <c r="E64" s="22"/>
      <c r="F64" s="22"/>
      <c r="G64" s="22"/>
      <c r="H64" s="22"/>
      <c r="I64" s="22"/>
      <c r="J64" s="22"/>
    </row>
    <row r="65" spans="1:106" s="15" customFormat="1" ht="19.5" customHeight="1" x14ac:dyDescent="0.3">
      <c r="A65" s="22"/>
      <c r="B65" s="22"/>
      <c r="C65" s="34"/>
      <c r="D65" s="22"/>
      <c r="E65" s="22"/>
      <c r="F65" s="22"/>
      <c r="G65" s="22"/>
      <c r="H65" s="22"/>
      <c r="I65" s="22"/>
      <c r="J65" s="22"/>
    </row>
    <row r="66" spans="1:106" s="11" customFormat="1" x14ac:dyDescent="0.3">
      <c r="A66" s="20"/>
      <c r="B66" s="20"/>
      <c r="C66" s="18"/>
      <c r="D66" s="20"/>
      <c r="E66" s="20"/>
      <c r="F66" s="20"/>
      <c r="G66" s="20"/>
      <c r="H66" s="20"/>
      <c r="I66" s="20"/>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3"/>
    </row>
    <row r="67" spans="1:106" x14ac:dyDescent="0.3">
      <c r="A67" s="20"/>
      <c r="B67" s="20"/>
      <c r="C67" s="18"/>
      <c r="D67" s="20"/>
      <c r="E67" s="20"/>
      <c r="F67" s="20"/>
      <c r="G67" s="20"/>
      <c r="H67" s="20"/>
      <c r="I67" s="20"/>
    </row>
    <row r="68" spans="1:106" x14ac:dyDescent="0.3">
      <c r="A68" s="20"/>
      <c r="B68" s="20"/>
      <c r="C68" s="18"/>
      <c r="D68" s="20"/>
      <c r="E68" s="20"/>
      <c r="F68" s="20"/>
      <c r="G68" s="20"/>
      <c r="H68" s="20"/>
      <c r="I68" s="20"/>
    </row>
    <row r="69" spans="1:106" x14ac:dyDescent="0.3">
      <c r="B69" s="1"/>
      <c r="D69" s="1"/>
      <c r="E69" s="1"/>
      <c r="F69" s="1"/>
      <c r="G69" s="1"/>
      <c r="H69" s="1"/>
      <c r="I69" s="1"/>
    </row>
    <row r="70" spans="1:106" x14ac:dyDescent="0.3">
      <c r="B70" s="1"/>
      <c r="D70" s="1"/>
      <c r="E70" s="1"/>
      <c r="F70" s="1"/>
      <c r="G70" s="1"/>
      <c r="H70" s="1"/>
      <c r="I70" s="1"/>
    </row>
  </sheetData>
  <autoFilter ref="B3:C70"/>
  <mergeCells count="11">
    <mergeCell ref="P3:Q3"/>
    <mergeCell ref="R3:S3"/>
    <mergeCell ref="T3:U3"/>
    <mergeCell ref="V3:W3"/>
    <mergeCell ref="M43:N43"/>
    <mergeCell ref="N3:O3"/>
    <mergeCell ref="B1:C1"/>
    <mergeCell ref="F3:G3"/>
    <mergeCell ref="H3:I3"/>
    <mergeCell ref="J3:K3"/>
    <mergeCell ref="L3:M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79998168889431442"/>
  </sheetPr>
  <dimension ref="A1:L41"/>
  <sheetViews>
    <sheetView workbookViewId="0">
      <selection activeCell="N29" sqref="N29"/>
    </sheetView>
  </sheetViews>
  <sheetFormatPr defaultColWidth="9.109375" defaultRowHeight="14.4" x14ac:dyDescent="0.3"/>
  <cols>
    <col min="1" max="1" width="51" style="15" customWidth="1"/>
    <col min="2" max="2" width="9.109375" style="15"/>
    <col min="3" max="3" width="14" style="15" bestFit="1" customWidth="1"/>
    <col min="4" max="4" width="14" style="15" customWidth="1"/>
    <col min="5" max="6" width="13" style="15" customWidth="1"/>
    <col min="7" max="7" width="19.33203125" style="15" customWidth="1"/>
    <col min="8" max="8" width="14.109375" style="15" bestFit="1" customWidth="1"/>
    <col min="9" max="9" width="13.88671875" style="15" customWidth="1"/>
    <col min="10" max="10" width="14.109375" style="15" bestFit="1" customWidth="1"/>
    <col min="11" max="11" width="13.88671875" style="15" customWidth="1"/>
    <col min="12" max="16384" width="9.109375" style="15"/>
  </cols>
  <sheetData>
    <row r="1" spans="1:12" ht="21" x14ac:dyDescent="0.4">
      <c r="D1" s="87"/>
      <c r="E1" s="88" t="s">
        <v>53</v>
      </c>
      <c r="F1" s="89" t="s">
        <v>53</v>
      </c>
    </row>
    <row r="2" spans="1:12" ht="21.6" thickBot="1" x14ac:dyDescent="0.45">
      <c r="D2" s="90" t="s">
        <v>103</v>
      </c>
      <c r="E2" s="91">
        <f>E3*400</f>
        <v>1600</v>
      </c>
      <c r="F2" s="91">
        <f>F3*400</f>
        <v>2000</v>
      </c>
    </row>
    <row r="3" spans="1:12" ht="21.6" thickBot="1" x14ac:dyDescent="0.45">
      <c r="D3" s="93" t="s">
        <v>104</v>
      </c>
      <c r="E3" s="94">
        <v>4</v>
      </c>
      <c r="F3" s="95">
        <v>5</v>
      </c>
      <c r="H3" s="161" t="s">
        <v>148</v>
      </c>
      <c r="I3" s="162"/>
      <c r="J3" s="163" t="s">
        <v>149</v>
      </c>
      <c r="K3" s="164"/>
    </row>
    <row r="4" spans="1:12" ht="57.6" x14ac:dyDescent="0.3">
      <c r="A4" s="26" t="s">
        <v>8</v>
      </c>
      <c r="B4" s="29" t="s">
        <v>12</v>
      </c>
      <c r="C4" s="29"/>
      <c r="D4" s="96"/>
      <c r="E4" s="97" t="s">
        <v>106</v>
      </c>
      <c r="F4" s="98" t="s">
        <v>107</v>
      </c>
      <c r="G4" s="27" t="s">
        <v>14</v>
      </c>
      <c r="H4" s="97" t="s">
        <v>108</v>
      </c>
      <c r="I4" s="97" t="s">
        <v>151</v>
      </c>
      <c r="J4" s="98" t="s">
        <v>108</v>
      </c>
      <c r="K4" s="98" t="s">
        <v>151</v>
      </c>
    </row>
    <row r="5" spans="1:12" x14ac:dyDescent="0.3">
      <c r="A5" s="6" t="s">
        <v>52</v>
      </c>
      <c r="B5" s="52" t="s">
        <v>53</v>
      </c>
      <c r="C5" s="52" t="s">
        <v>60</v>
      </c>
      <c r="D5" s="52"/>
      <c r="E5" s="113">
        <f>E3</f>
        <v>4</v>
      </c>
      <c r="F5" s="113">
        <f>F3</f>
        <v>5</v>
      </c>
      <c r="G5" s="28">
        <v>160</v>
      </c>
      <c r="H5" s="28">
        <f>E5*G5</f>
        <v>640</v>
      </c>
      <c r="I5" s="59">
        <f>H5*1.12</f>
        <v>716.80000000000007</v>
      </c>
      <c r="J5" s="28">
        <f>G5*F5</f>
        <v>800</v>
      </c>
      <c r="K5" s="59">
        <f>J5*1.12</f>
        <v>896.00000000000011</v>
      </c>
      <c r="L5" s="15" t="s">
        <v>109</v>
      </c>
    </row>
    <row r="6" spans="1:12" x14ac:dyDescent="0.3">
      <c r="A6" s="6" t="s">
        <v>110</v>
      </c>
      <c r="B6" s="31" t="s">
        <v>111</v>
      </c>
      <c r="C6" s="52"/>
      <c r="D6" s="52"/>
      <c r="E6" s="114">
        <f>('[1]Üretim 4-5 wf'!X32-'[1]Üretim 4-5 wf'!N32)*60</f>
        <v>5402</v>
      </c>
      <c r="F6" s="114">
        <f>('[1]Üretim 4-5 wf'!X33-'[1]Üretim 4-5 wf'!N33)*60</f>
        <v>6609.9999999999991</v>
      </c>
      <c r="G6" s="115">
        <v>2.9850746268656717E-3</v>
      </c>
      <c r="H6" s="116">
        <f t="shared" ref="H6:H29" si="0">E6*G6</f>
        <v>16.12537313432836</v>
      </c>
      <c r="I6" s="117">
        <f>H6</f>
        <v>16.12537313432836</v>
      </c>
      <c r="J6" s="116">
        <f t="shared" ref="J6:J29" si="1">G6*F6</f>
        <v>19.731343283582088</v>
      </c>
      <c r="K6" s="117">
        <f>J6</f>
        <v>19.731343283582088</v>
      </c>
    </row>
    <row r="7" spans="1:12" x14ac:dyDescent="0.3">
      <c r="A7" s="6" t="s">
        <v>112</v>
      </c>
      <c r="B7" s="52" t="s">
        <v>113</v>
      </c>
      <c r="C7" s="52"/>
      <c r="D7" s="52"/>
      <c r="E7" s="113">
        <f>'[1]Üretim 4-5 wf'!F20*60</f>
        <v>60</v>
      </c>
      <c r="F7" s="113">
        <f>E7</f>
        <v>60</v>
      </c>
      <c r="G7" s="28">
        <v>0.25341130604288498</v>
      </c>
      <c r="H7" s="28">
        <f t="shared" si="0"/>
        <v>15.204678362573098</v>
      </c>
      <c r="I7" s="59">
        <f t="shared" ref="I7:I9" si="2">H7*1.12</f>
        <v>17.029239766081872</v>
      </c>
      <c r="J7" s="28">
        <f t="shared" si="1"/>
        <v>15.204678362573098</v>
      </c>
      <c r="K7" s="59">
        <f t="shared" ref="K7:K9" si="3">J7*1.12</f>
        <v>17.029239766081872</v>
      </c>
      <c r="L7" s="15" t="s">
        <v>109</v>
      </c>
    </row>
    <row r="8" spans="1:12" x14ac:dyDescent="0.3">
      <c r="A8" s="6" t="s">
        <v>54</v>
      </c>
      <c r="B8" s="31" t="s">
        <v>53</v>
      </c>
      <c r="C8" s="52" t="s">
        <v>60</v>
      </c>
      <c r="D8" s="52"/>
      <c r="E8" s="57">
        <v>1</v>
      </c>
      <c r="F8" s="57">
        <v>1</v>
      </c>
      <c r="G8" s="35">
        <v>25.75</v>
      </c>
      <c r="H8" s="28">
        <f t="shared" si="0"/>
        <v>25.75</v>
      </c>
      <c r="I8" s="59">
        <f t="shared" si="2"/>
        <v>28.840000000000003</v>
      </c>
      <c r="J8" s="28">
        <f t="shared" si="1"/>
        <v>25.75</v>
      </c>
      <c r="K8" s="59">
        <f t="shared" si="3"/>
        <v>28.840000000000003</v>
      </c>
      <c r="L8" s="15" t="s">
        <v>109</v>
      </c>
    </row>
    <row r="9" spans="1:12" x14ac:dyDescent="0.3">
      <c r="A9" s="6" t="s">
        <v>114</v>
      </c>
      <c r="B9" s="31" t="s">
        <v>115</v>
      </c>
      <c r="C9" s="52" t="s">
        <v>60</v>
      </c>
      <c r="D9" s="52"/>
      <c r="E9" s="57">
        <v>10</v>
      </c>
      <c r="F9" s="57">
        <f>$F$3*E9</f>
        <v>50</v>
      </c>
      <c r="G9" s="35">
        <v>1.2302105263157894</v>
      </c>
      <c r="H9" s="28">
        <f t="shared" si="0"/>
        <v>12.302105263157895</v>
      </c>
      <c r="I9" s="59">
        <f t="shared" si="2"/>
        <v>13.778357894736843</v>
      </c>
      <c r="J9" s="28">
        <f t="shared" si="1"/>
        <v>61.51052631578947</v>
      </c>
      <c r="K9" s="59">
        <f t="shared" si="3"/>
        <v>68.891789473684213</v>
      </c>
      <c r="L9" s="15" t="s">
        <v>109</v>
      </c>
    </row>
    <row r="10" spans="1:12" x14ac:dyDescent="0.3">
      <c r="A10" s="6" t="s">
        <v>116</v>
      </c>
      <c r="B10" s="31" t="s">
        <v>115</v>
      </c>
      <c r="C10" s="52"/>
      <c r="D10" s="52"/>
      <c r="E10" s="57">
        <v>10</v>
      </c>
      <c r="F10" s="57">
        <f>$F$3*E10</f>
        <v>50</v>
      </c>
      <c r="G10" s="35">
        <v>0.27</v>
      </c>
      <c r="H10" s="28">
        <f t="shared" si="0"/>
        <v>2.7</v>
      </c>
      <c r="I10" s="59">
        <f>H10*1.12</f>
        <v>3.0240000000000005</v>
      </c>
      <c r="J10" s="28">
        <f t="shared" si="1"/>
        <v>13.5</v>
      </c>
      <c r="K10" s="59">
        <f>J10*1.12</f>
        <v>15.120000000000001</v>
      </c>
      <c r="L10" s="15" t="s">
        <v>109</v>
      </c>
    </row>
    <row r="11" spans="1:12" x14ac:dyDescent="0.3">
      <c r="A11" s="6" t="s">
        <v>117</v>
      </c>
      <c r="B11" s="31" t="s">
        <v>113</v>
      </c>
      <c r="C11" s="52"/>
      <c r="D11" s="52"/>
      <c r="E11" s="57">
        <f>'[1]Üretim 4-5 wf'!V32*60</f>
        <v>1200</v>
      </c>
      <c r="F11" s="57">
        <f>'[1]Üretim 4-5 wf'!V33*60</f>
        <v>1500</v>
      </c>
      <c r="G11" s="35">
        <v>0.44000000000000006</v>
      </c>
      <c r="H11" s="28">
        <f t="shared" si="0"/>
        <v>528.00000000000011</v>
      </c>
      <c r="I11" s="59">
        <f>H11</f>
        <v>528.00000000000011</v>
      </c>
      <c r="J11" s="28">
        <f>G11*F11</f>
        <v>660.00000000000011</v>
      </c>
      <c r="K11" s="59">
        <f>J11</f>
        <v>660.00000000000011</v>
      </c>
      <c r="L11" s="15" t="s">
        <v>109</v>
      </c>
    </row>
    <row r="12" spans="1:12" x14ac:dyDescent="0.3">
      <c r="A12" s="6" t="s">
        <v>118</v>
      </c>
      <c r="B12" s="31" t="s">
        <v>55</v>
      </c>
      <c r="C12" s="52"/>
      <c r="D12" s="52"/>
      <c r="E12" s="57">
        <f>50</f>
        <v>50</v>
      </c>
      <c r="F12" s="57">
        <f>E12</f>
        <v>50</v>
      </c>
      <c r="G12" s="35">
        <v>0.44000000000000006</v>
      </c>
      <c r="H12" s="28">
        <f>E12*G12</f>
        <v>22.000000000000004</v>
      </c>
      <c r="I12" s="59">
        <f t="shared" ref="I12:I13" si="4">H12</f>
        <v>22.000000000000004</v>
      </c>
      <c r="J12" s="28">
        <f>G12*F12</f>
        <v>22.000000000000004</v>
      </c>
      <c r="K12" s="59">
        <f t="shared" ref="K12:K13" si="5">J12</f>
        <v>22.000000000000004</v>
      </c>
      <c r="L12" s="15" t="s">
        <v>109</v>
      </c>
    </row>
    <row r="13" spans="1:12" x14ac:dyDescent="0.3">
      <c r="A13" s="6" t="s">
        <v>56</v>
      </c>
      <c r="B13" s="31" t="s">
        <v>119</v>
      </c>
      <c r="C13" s="52" t="s">
        <v>60</v>
      </c>
      <c r="D13" s="52"/>
      <c r="E13" s="57">
        <f>'[1]07aralık çalışma'!B11*E3</f>
        <v>700</v>
      </c>
      <c r="F13" s="57">
        <f>'[1]07aralık çalışma'!B11*'sarf malzemeleri 4-5wf-melek'!F3</f>
        <v>875</v>
      </c>
      <c r="G13" s="35">
        <v>2.605325E-2</v>
      </c>
      <c r="H13" s="28">
        <f t="shared" si="0"/>
        <v>18.237275</v>
      </c>
      <c r="I13" s="59">
        <f t="shared" si="4"/>
        <v>18.237275</v>
      </c>
      <c r="J13" s="28">
        <f t="shared" si="1"/>
        <v>22.79659375</v>
      </c>
      <c r="K13" s="59">
        <f t="shared" si="5"/>
        <v>22.79659375</v>
      </c>
      <c r="L13" s="15" t="s">
        <v>109</v>
      </c>
    </row>
    <row r="14" spans="1:12" x14ac:dyDescent="0.3">
      <c r="A14" s="6" t="s">
        <v>57</v>
      </c>
      <c r="B14" s="31" t="s">
        <v>119</v>
      </c>
      <c r="C14" s="52" t="s">
        <v>60</v>
      </c>
      <c r="D14" s="52"/>
      <c r="E14" s="57">
        <f>'[1]07aralık çalışma'!B10*'sarf malzemeleri 4-5wf-melek'!E3</f>
        <v>8000</v>
      </c>
      <c r="F14" s="57">
        <f>'[1]07aralık çalışma'!B10*'sarf malzemeleri 4-5wf-melek'!F3</f>
        <v>10000</v>
      </c>
      <c r="G14" s="35">
        <v>1.181309868459916E-2</v>
      </c>
      <c r="H14" s="28">
        <f t="shared" si="0"/>
        <v>94.504789476793277</v>
      </c>
      <c r="I14" s="59">
        <f>H14*1.12</f>
        <v>105.84536421400848</v>
      </c>
      <c r="J14" s="28">
        <f t="shared" si="1"/>
        <v>118.1309868459916</v>
      </c>
      <c r="K14" s="59">
        <f>J14*1.12</f>
        <v>132.30670526751061</v>
      </c>
      <c r="L14" s="15" t="s">
        <v>109</v>
      </c>
    </row>
    <row r="15" spans="1:12" x14ac:dyDescent="0.3">
      <c r="A15" s="6" t="s">
        <v>46</v>
      </c>
      <c r="B15" s="31" t="s">
        <v>119</v>
      </c>
      <c r="C15" s="52" t="s">
        <v>60</v>
      </c>
      <c r="D15" s="52"/>
      <c r="E15" s="57">
        <f>'[1]07aralık çalışma'!B9*'sarf malzemeleri 4-5wf-melek'!E3</f>
        <v>1000</v>
      </c>
      <c r="F15" s="57">
        <f>'[1]07aralık çalışma'!B9*'sarf malzemeleri 4-5wf-melek'!F3</f>
        <v>1250</v>
      </c>
      <c r="G15" s="35">
        <v>1.4552</v>
      </c>
      <c r="H15" s="28">
        <f t="shared" si="0"/>
        <v>1455.2</v>
      </c>
      <c r="I15" s="59">
        <f>H15</f>
        <v>1455.2</v>
      </c>
      <c r="J15" s="28">
        <f t="shared" si="1"/>
        <v>1819</v>
      </c>
      <c r="K15" s="59">
        <f>J15</f>
        <v>1819</v>
      </c>
      <c r="L15" s="15" t="s">
        <v>109</v>
      </c>
    </row>
    <row r="16" spans="1:12" x14ac:dyDescent="0.3">
      <c r="A16" s="6" t="s">
        <v>47</v>
      </c>
      <c r="B16" s="31" t="s">
        <v>120</v>
      </c>
      <c r="C16" s="52" t="s">
        <v>60</v>
      </c>
      <c r="D16" s="52"/>
      <c r="E16" s="57">
        <f>0.04*E3</f>
        <v>0.16</v>
      </c>
      <c r="F16" s="57">
        <f>0.04*F3</f>
        <v>0.2</v>
      </c>
      <c r="G16" s="35">
        <v>56.796667928814848</v>
      </c>
      <c r="H16" s="28">
        <f t="shared" si="0"/>
        <v>9.0874668686103757</v>
      </c>
      <c r="I16" s="59">
        <f>H16*1.12</f>
        <v>10.177962892843622</v>
      </c>
      <c r="J16" s="28">
        <f t="shared" si="1"/>
        <v>11.35933358576297</v>
      </c>
      <c r="K16" s="59">
        <f>J16*1.12</f>
        <v>12.722453616054528</v>
      </c>
    </row>
    <row r="17" spans="1:12" x14ac:dyDescent="0.3">
      <c r="A17" s="6" t="s">
        <v>48</v>
      </c>
      <c r="B17" s="31" t="s">
        <v>55</v>
      </c>
      <c r="C17" s="52" t="s">
        <v>60</v>
      </c>
      <c r="D17" s="52"/>
      <c r="E17" s="57">
        <f>0.08*E3</f>
        <v>0.32</v>
      </c>
      <c r="F17" s="57">
        <f>0.08*F3</f>
        <v>0.4</v>
      </c>
      <c r="G17" s="35">
        <v>48.29</v>
      </c>
      <c r="H17" s="28">
        <f t="shared" si="0"/>
        <v>15.4528</v>
      </c>
      <c r="I17" s="59">
        <f>H17*1.12</f>
        <v>17.307136</v>
      </c>
      <c r="J17" s="28">
        <f t="shared" si="1"/>
        <v>19.316000000000003</v>
      </c>
      <c r="K17" s="59">
        <f>J17*1.12</f>
        <v>21.633920000000003</v>
      </c>
      <c r="L17" s="15" t="s">
        <v>109</v>
      </c>
    </row>
    <row r="18" spans="1:12" x14ac:dyDescent="0.3">
      <c r="A18" s="6" t="s">
        <v>22</v>
      </c>
      <c r="B18" s="31" t="s">
        <v>115</v>
      </c>
      <c r="C18" s="52" t="s">
        <v>60</v>
      </c>
      <c r="D18" s="52"/>
      <c r="E18" s="57">
        <v>1000</v>
      </c>
      <c r="F18" s="57">
        <v>1000</v>
      </c>
      <c r="G18" s="35">
        <v>1.5913983050847499E-2</v>
      </c>
      <c r="H18" s="28">
        <f t="shared" si="0"/>
        <v>15.913983050847499</v>
      </c>
      <c r="I18" s="59">
        <f>H18*1.12</f>
        <v>17.823661016949199</v>
      </c>
      <c r="J18" s="28">
        <f t="shared" si="1"/>
        <v>15.913983050847499</v>
      </c>
      <c r="K18" s="59">
        <f>J18*1.12</f>
        <v>17.823661016949199</v>
      </c>
      <c r="L18" s="15" t="s">
        <v>109</v>
      </c>
    </row>
    <row r="19" spans="1:12" x14ac:dyDescent="0.3">
      <c r="A19" s="6" t="s">
        <v>23</v>
      </c>
      <c r="B19" s="31" t="s">
        <v>115</v>
      </c>
      <c r="C19" s="52" t="s">
        <v>60</v>
      </c>
      <c r="D19" s="52"/>
      <c r="E19" s="57">
        <f>250*E3</f>
        <v>1000</v>
      </c>
      <c r="F19" s="57">
        <f>250*F3</f>
        <v>1250</v>
      </c>
      <c r="G19" s="35">
        <v>1.5913983050847499E-2</v>
      </c>
      <c r="H19" s="28">
        <f t="shared" si="0"/>
        <v>15.913983050847499</v>
      </c>
      <c r="I19" s="59">
        <f>H19*1.12</f>
        <v>17.823661016949199</v>
      </c>
      <c r="J19" s="28">
        <f t="shared" si="1"/>
        <v>19.892478813559375</v>
      </c>
      <c r="K19" s="59">
        <f>J19*1.12</f>
        <v>22.279576271186503</v>
      </c>
      <c r="L19" s="15" t="s">
        <v>109</v>
      </c>
    </row>
    <row r="20" spans="1:12" x14ac:dyDescent="0.3">
      <c r="A20" s="6" t="s">
        <v>121</v>
      </c>
      <c r="B20" s="31" t="s">
        <v>122</v>
      </c>
      <c r="C20" s="52"/>
      <c r="D20" s="52"/>
      <c r="E20" s="57">
        <f>'[1]Üretim 4-5 wf'!N32*60</f>
        <v>240</v>
      </c>
      <c r="F20" s="57">
        <f>E20</f>
        <v>240</v>
      </c>
      <c r="G20" s="35">
        <f>10*0.808*0.2</f>
        <v>1.6160000000000001</v>
      </c>
      <c r="H20" s="28">
        <f>G20*E20</f>
        <v>387.84000000000003</v>
      </c>
      <c r="I20" s="59">
        <f>H20</f>
        <v>387.84000000000003</v>
      </c>
      <c r="J20" s="28">
        <f t="shared" si="1"/>
        <v>387.84000000000003</v>
      </c>
      <c r="K20" s="59">
        <f>J20</f>
        <v>387.84000000000003</v>
      </c>
      <c r="L20" s="15" t="s">
        <v>109</v>
      </c>
    </row>
    <row r="21" spans="1:12" x14ac:dyDescent="0.3">
      <c r="A21" s="6" t="s">
        <v>49</v>
      </c>
      <c r="B21" s="31" t="s">
        <v>53</v>
      </c>
      <c r="C21" s="52" t="s">
        <v>60</v>
      </c>
      <c r="D21" s="52"/>
      <c r="E21" s="57">
        <f>1*E3</f>
        <v>4</v>
      </c>
      <c r="F21" s="57">
        <f>1*F3</f>
        <v>5</v>
      </c>
      <c r="G21" s="35">
        <f>105*1.15</f>
        <v>120.74999999999999</v>
      </c>
      <c r="H21" s="28">
        <f t="shared" si="0"/>
        <v>482.99999999999994</v>
      </c>
      <c r="I21" s="59">
        <f>H21</f>
        <v>482.99999999999994</v>
      </c>
      <c r="J21" s="28">
        <f t="shared" si="1"/>
        <v>603.74999999999989</v>
      </c>
      <c r="K21" s="59">
        <f>J21</f>
        <v>603.74999999999989</v>
      </c>
      <c r="L21" s="15" t="s">
        <v>109</v>
      </c>
    </row>
    <row r="22" spans="1:12" x14ac:dyDescent="0.3">
      <c r="A22" s="6" t="s">
        <v>15</v>
      </c>
      <c r="B22" s="31" t="s">
        <v>53</v>
      </c>
      <c r="C22" s="52" t="s">
        <v>60</v>
      </c>
      <c r="D22" s="52"/>
      <c r="E22" s="57">
        <f>0.01*E3</f>
        <v>0.04</v>
      </c>
      <c r="F22" s="57">
        <f>0.01*F3</f>
        <v>0.05</v>
      </c>
      <c r="G22" s="35">
        <v>23.146588760955492</v>
      </c>
      <c r="H22" s="28">
        <f t="shared" si="0"/>
        <v>0.92586355043821966</v>
      </c>
      <c r="I22" s="59">
        <f>H22*1.12</f>
        <v>1.0369671764908062</v>
      </c>
      <c r="J22" s="28">
        <f t="shared" si="1"/>
        <v>1.1573294380477746</v>
      </c>
      <c r="K22" s="59">
        <f>J22*1.12</f>
        <v>1.2962089706135076</v>
      </c>
    </row>
    <row r="23" spans="1:12" x14ac:dyDescent="0.3">
      <c r="A23" s="6" t="s">
        <v>11</v>
      </c>
      <c r="B23" s="31" t="s">
        <v>58</v>
      </c>
      <c r="C23" s="52" t="s">
        <v>60</v>
      </c>
      <c r="D23" s="52"/>
      <c r="E23" s="57">
        <f>0.1*E3</f>
        <v>0.4</v>
      </c>
      <c r="F23" s="57">
        <f>0.1*F3</f>
        <v>0.5</v>
      </c>
      <c r="G23" s="35">
        <v>45</v>
      </c>
      <c r="H23" s="28">
        <f t="shared" si="0"/>
        <v>18</v>
      </c>
      <c r="I23" s="59">
        <f>H23</f>
        <v>18</v>
      </c>
      <c r="J23" s="28">
        <f t="shared" si="1"/>
        <v>22.5</v>
      </c>
      <c r="K23" s="59">
        <f>J23</f>
        <v>22.5</v>
      </c>
      <c r="L23" s="15" t="s">
        <v>109</v>
      </c>
    </row>
    <row r="24" spans="1:12" x14ac:dyDescent="0.3">
      <c r="A24" s="6" t="s">
        <v>10</v>
      </c>
      <c r="B24" s="31" t="s">
        <v>58</v>
      </c>
      <c r="C24" s="52" t="s">
        <v>60</v>
      </c>
      <c r="D24" s="52"/>
      <c r="E24" s="57">
        <f>0.2*E3</f>
        <v>0.8</v>
      </c>
      <c r="F24" s="57">
        <f>0.2*F3</f>
        <v>1</v>
      </c>
      <c r="G24" s="35">
        <v>35</v>
      </c>
      <c r="H24" s="28">
        <f t="shared" si="0"/>
        <v>28</v>
      </c>
      <c r="I24" s="59">
        <f>H24</f>
        <v>28</v>
      </c>
      <c r="J24" s="28">
        <f t="shared" si="1"/>
        <v>35</v>
      </c>
      <c r="K24" s="59">
        <f>J24</f>
        <v>35</v>
      </c>
      <c r="L24" s="15" t="s">
        <v>109</v>
      </c>
    </row>
    <row r="25" spans="1:12" x14ac:dyDescent="0.3">
      <c r="A25" s="6" t="s">
        <v>13</v>
      </c>
      <c r="B25" s="31" t="s">
        <v>53</v>
      </c>
      <c r="C25" s="52" t="s">
        <v>60</v>
      </c>
      <c r="D25" s="52"/>
      <c r="E25" s="57">
        <f>1*E3</f>
        <v>4</v>
      </c>
      <c r="F25" s="57">
        <f>1*F3</f>
        <v>5</v>
      </c>
      <c r="G25" s="35">
        <v>0.1787</v>
      </c>
      <c r="H25" s="28">
        <f t="shared" si="0"/>
        <v>0.71479999999999999</v>
      </c>
      <c r="I25" s="59">
        <f>H25</f>
        <v>0.71479999999999999</v>
      </c>
      <c r="J25" s="28">
        <f>G25*F25</f>
        <v>0.89349999999999996</v>
      </c>
      <c r="K25" s="59">
        <f>J25</f>
        <v>0.89349999999999996</v>
      </c>
      <c r="L25" s="15" t="s">
        <v>109</v>
      </c>
    </row>
    <row r="26" spans="1:12" x14ac:dyDescent="0.3">
      <c r="A26" s="6" t="s">
        <v>9</v>
      </c>
      <c r="B26" s="31" t="s">
        <v>59</v>
      </c>
      <c r="C26" s="52" t="s">
        <v>61</v>
      </c>
      <c r="D26" s="52"/>
      <c r="E26" s="57">
        <f>0.05*E3</f>
        <v>0.2</v>
      </c>
      <c r="F26" s="57">
        <f>0.05*F3</f>
        <v>0.25</v>
      </c>
      <c r="G26" s="35">
        <v>5</v>
      </c>
      <c r="H26" s="28">
        <f t="shared" si="0"/>
        <v>1</v>
      </c>
      <c r="I26" s="59">
        <f>H26</f>
        <v>1</v>
      </c>
      <c r="J26" s="28">
        <f t="shared" si="1"/>
        <v>1.25</v>
      </c>
      <c r="K26" s="59">
        <f>J26</f>
        <v>1.25</v>
      </c>
      <c r="L26" s="15" t="s">
        <v>109</v>
      </c>
    </row>
    <row r="27" spans="1:12" x14ac:dyDescent="0.3">
      <c r="A27" s="99" t="s">
        <v>123</v>
      </c>
      <c r="B27" s="31" t="s">
        <v>113</v>
      </c>
      <c r="C27" s="52"/>
      <c r="D27" s="52"/>
      <c r="E27" s="57">
        <f>'[1]Üretim 4-5 wf'!J32*60</f>
        <v>560</v>
      </c>
      <c r="F27" s="57">
        <f>'[1]Üretim 4-5 wf'!J33*60</f>
        <v>700</v>
      </c>
      <c r="G27" s="35">
        <v>2.402395397901433E-3</v>
      </c>
      <c r="H27" s="28">
        <f t="shared" si="0"/>
        <v>1.3453414228248024</v>
      </c>
      <c r="I27" s="59">
        <f>H27</f>
        <v>1.3453414228248024</v>
      </c>
      <c r="J27" s="28">
        <f t="shared" si="1"/>
        <v>1.6816767785310032</v>
      </c>
      <c r="K27" s="59">
        <f>J27</f>
        <v>1.6816767785310032</v>
      </c>
      <c r="L27" s="15" t="s">
        <v>109</v>
      </c>
    </row>
    <row r="28" spans="1:12" x14ac:dyDescent="0.3">
      <c r="A28" s="6" t="s">
        <v>50</v>
      </c>
      <c r="B28" s="31" t="s">
        <v>53</v>
      </c>
      <c r="C28" s="52" t="s">
        <v>60</v>
      </c>
      <c r="D28" s="52"/>
      <c r="E28" s="57">
        <v>0</v>
      </c>
      <c r="F28" s="57"/>
      <c r="G28" s="35">
        <v>225</v>
      </c>
      <c r="H28" s="28">
        <f t="shared" si="0"/>
        <v>0</v>
      </c>
      <c r="I28" s="59">
        <f t="shared" ref="I28:I29" si="6">H28*1.12</f>
        <v>0</v>
      </c>
      <c r="J28" s="28">
        <f t="shared" si="1"/>
        <v>0</v>
      </c>
      <c r="K28" s="59">
        <f t="shared" ref="K28:K29" si="7">J28*1.12</f>
        <v>0</v>
      </c>
    </row>
    <row r="29" spans="1:12" ht="15" thickBot="1" x14ac:dyDescent="0.35">
      <c r="A29" s="6" t="s">
        <v>51</v>
      </c>
      <c r="B29" s="31" t="s">
        <v>53</v>
      </c>
      <c r="C29" s="52" t="s">
        <v>60</v>
      </c>
      <c r="D29" s="52"/>
      <c r="E29" s="57">
        <v>0</v>
      </c>
      <c r="F29" s="57"/>
      <c r="G29" s="100">
        <f>8.91*1.05</f>
        <v>9.355500000000001</v>
      </c>
      <c r="H29" s="101">
        <f t="shared" si="0"/>
        <v>0</v>
      </c>
      <c r="I29" s="102">
        <f t="shared" si="6"/>
        <v>0</v>
      </c>
      <c r="J29" s="101">
        <f t="shared" si="1"/>
        <v>0</v>
      </c>
      <c r="K29" s="102">
        <f t="shared" si="7"/>
        <v>0</v>
      </c>
    </row>
    <row r="30" spans="1:12" ht="21" x14ac:dyDescent="0.4">
      <c r="A30" s="61" t="s">
        <v>62</v>
      </c>
      <c r="E30" s="60"/>
      <c r="F30" s="60"/>
      <c r="G30" s="118" t="s">
        <v>124</v>
      </c>
      <c r="H30" s="104">
        <f>SUM(H5:H29)</f>
        <v>3807.2184591804221</v>
      </c>
      <c r="I30" s="104">
        <f>SUM(I5:I29)</f>
        <v>3908.9491395352134</v>
      </c>
      <c r="J30" s="104">
        <f>SUM(J5:J29)</f>
        <v>4698.1784302246851</v>
      </c>
      <c r="K30" s="105">
        <f>SUM(K5:K29)</f>
        <v>4830.3866681941945</v>
      </c>
    </row>
    <row r="31" spans="1:12" ht="55.2" thickBot="1" x14ac:dyDescent="0.45">
      <c r="A31" s="15" t="s">
        <v>64</v>
      </c>
      <c r="C31" s="15" t="s">
        <v>65</v>
      </c>
      <c r="E31" s="60"/>
      <c r="F31" s="60"/>
      <c r="G31" s="119" t="s">
        <v>125</v>
      </c>
      <c r="H31" s="107">
        <f>H30/$E$2</f>
        <v>2.379511536987764</v>
      </c>
      <c r="I31" s="107">
        <f>I30/$E$2</f>
        <v>2.4430932122095084</v>
      </c>
      <c r="J31" s="107">
        <f>J30/$F$2</f>
        <v>2.3490892151123424</v>
      </c>
      <c r="K31" s="108">
        <f>K30/$F$2</f>
        <v>2.4151933340970975</v>
      </c>
    </row>
    <row r="32" spans="1:12" x14ac:dyDescent="0.3">
      <c r="A32" s="15" t="s">
        <v>66</v>
      </c>
      <c r="E32" s="60"/>
      <c r="F32" s="60"/>
    </row>
    <row r="33" spans="1:6" x14ac:dyDescent="0.3">
      <c r="A33" s="15" t="s">
        <v>67</v>
      </c>
      <c r="C33" s="15" t="s">
        <v>68</v>
      </c>
      <c r="E33" s="60"/>
      <c r="F33" s="60"/>
    </row>
    <row r="34" spans="1:6" x14ac:dyDescent="0.3">
      <c r="C34" s="15" t="s">
        <v>69</v>
      </c>
      <c r="E34" s="60"/>
      <c r="F34" s="60"/>
    </row>
    <row r="35" spans="1:6" x14ac:dyDescent="0.3">
      <c r="C35" s="15" t="s">
        <v>70</v>
      </c>
      <c r="E35" s="60"/>
      <c r="F35" s="60"/>
    </row>
    <row r="36" spans="1:6" x14ac:dyDescent="0.3">
      <c r="C36" s="15" t="s">
        <v>71</v>
      </c>
      <c r="E36" s="60">
        <f>0.02*2500</f>
        <v>50</v>
      </c>
      <c r="F36" s="60" t="s">
        <v>72</v>
      </c>
    </row>
    <row r="37" spans="1:6" x14ac:dyDescent="0.3">
      <c r="C37" s="15" t="s">
        <v>73</v>
      </c>
      <c r="E37" s="60">
        <v>53.875500000000002</v>
      </c>
      <c r="F37" s="60" t="s">
        <v>74</v>
      </c>
    </row>
    <row r="38" spans="1:6" x14ac:dyDescent="0.3">
      <c r="C38" s="15" t="s">
        <v>75</v>
      </c>
      <c r="E38" s="60">
        <f>+E36*E37</f>
        <v>2693.7750000000001</v>
      </c>
      <c r="F38" s="60" t="s">
        <v>74</v>
      </c>
    </row>
    <row r="39" spans="1:6" x14ac:dyDescent="0.3">
      <c r="E39" s="60"/>
      <c r="F39" s="60"/>
    </row>
    <row r="41" spans="1:6" x14ac:dyDescent="0.3">
      <c r="A41" s="62" t="s">
        <v>63</v>
      </c>
    </row>
  </sheetData>
  <mergeCells count="2">
    <mergeCell ref="H3:I3"/>
    <mergeCell ref="J3:K3"/>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
  <sheetViews>
    <sheetView zoomScale="220" zoomScaleNormal="220" workbookViewId="0">
      <selection activeCell="G9" sqref="G9"/>
    </sheetView>
  </sheetViews>
  <sheetFormatPr defaultColWidth="9.109375" defaultRowHeight="14.4" x14ac:dyDescent="0.3"/>
  <cols>
    <col min="1" max="1" width="16.33203125" style="15" customWidth="1"/>
    <col min="2" max="2" width="25.88671875" style="15" customWidth="1"/>
    <col min="3" max="3" width="6.44140625" style="15" bestFit="1" customWidth="1"/>
    <col min="4" max="16384" width="9.109375" style="15"/>
  </cols>
  <sheetData>
    <row r="1" spans="1:8" x14ac:dyDescent="0.3">
      <c r="B1" s="15" t="s">
        <v>126</v>
      </c>
      <c r="C1" s="15" t="s">
        <v>127</v>
      </c>
      <c r="E1" s="15" t="s">
        <v>128</v>
      </c>
    </row>
    <row r="2" spans="1:8" x14ac:dyDescent="0.3">
      <c r="A2" s="15" t="s">
        <v>129</v>
      </c>
      <c r="B2" s="15">
        <v>5</v>
      </c>
      <c r="C2" s="15" t="s">
        <v>130</v>
      </c>
      <c r="D2" s="15">
        <v>125</v>
      </c>
      <c r="E2" s="15">
        <f>B2*D2</f>
        <v>625</v>
      </c>
    </row>
    <row r="3" spans="1:8" x14ac:dyDescent="0.3">
      <c r="A3" s="15" t="s">
        <v>131</v>
      </c>
      <c r="B3" s="15">
        <v>5</v>
      </c>
      <c r="C3" s="15" t="s">
        <v>130</v>
      </c>
      <c r="D3" s="15">
        <v>125</v>
      </c>
      <c r="E3" s="15">
        <f t="shared" ref="E3:E8" si="0">B3*D3</f>
        <v>625</v>
      </c>
    </row>
    <row r="4" spans="1:8" x14ac:dyDescent="0.3">
      <c r="A4" s="110" t="s">
        <v>132</v>
      </c>
      <c r="B4" s="110"/>
      <c r="C4" s="110" t="s">
        <v>130</v>
      </c>
      <c r="D4" s="110">
        <v>125</v>
      </c>
      <c r="E4" s="110">
        <f t="shared" si="0"/>
        <v>0</v>
      </c>
      <c r="G4" s="15" t="s">
        <v>133</v>
      </c>
    </row>
    <row r="5" spans="1:8" x14ac:dyDescent="0.3">
      <c r="A5" s="15" t="s">
        <v>134</v>
      </c>
      <c r="B5" s="15">
        <v>10</v>
      </c>
      <c r="C5" s="15" t="s">
        <v>130</v>
      </c>
      <c r="D5" s="15">
        <v>125</v>
      </c>
      <c r="E5" s="15">
        <f t="shared" si="0"/>
        <v>1250</v>
      </c>
    </row>
    <row r="6" spans="1:8" x14ac:dyDescent="0.3">
      <c r="A6" s="111" t="s">
        <v>135</v>
      </c>
      <c r="B6" s="15">
        <v>50</v>
      </c>
      <c r="C6" s="15" t="s">
        <v>130</v>
      </c>
      <c r="D6" s="15">
        <v>125</v>
      </c>
      <c r="E6" s="15">
        <f t="shared" si="0"/>
        <v>6250</v>
      </c>
      <c r="G6" s="15">
        <f>50/750</f>
        <v>6.6666666666666666E-2</v>
      </c>
    </row>
    <row r="7" spans="1:8" x14ac:dyDescent="0.3">
      <c r="A7" s="111" t="s">
        <v>136</v>
      </c>
      <c r="B7" s="15">
        <v>100</v>
      </c>
      <c r="C7" s="15" t="s">
        <v>130</v>
      </c>
      <c r="D7" s="15">
        <v>125</v>
      </c>
      <c r="E7" s="15">
        <f t="shared" si="0"/>
        <v>12500</v>
      </c>
      <c r="G7" s="15">
        <f>50/600</f>
        <v>8.3333333333333329E-2</v>
      </c>
      <c r="H7" s="15" t="s">
        <v>177</v>
      </c>
    </row>
    <row r="8" spans="1:8" x14ac:dyDescent="0.3">
      <c r="A8" s="15" t="s">
        <v>137</v>
      </c>
      <c r="B8" s="15">
        <v>125</v>
      </c>
      <c r="C8" s="15" t="s">
        <v>53</v>
      </c>
      <c r="D8" s="15">
        <v>1</v>
      </c>
      <c r="E8" s="15">
        <f t="shared" si="0"/>
        <v>125</v>
      </c>
      <c r="G8" s="15">
        <f>+G7*2</f>
        <v>0.16666666666666666</v>
      </c>
    </row>
    <row r="9" spans="1:8" x14ac:dyDescent="0.3">
      <c r="A9" s="15" t="s">
        <v>138</v>
      </c>
      <c r="B9" s="15">
        <v>250</v>
      </c>
      <c r="C9" s="15" t="s">
        <v>119</v>
      </c>
      <c r="D9" s="15">
        <v>125</v>
      </c>
      <c r="E9" s="15">
        <f>B9*0.02*D9</f>
        <v>625</v>
      </c>
    </row>
    <row r="10" spans="1:8" x14ac:dyDescent="0.3">
      <c r="A10" s="15" t="s">
        <v>139</v>
      </c>
      <c r="B10" s="15">
        <v>2000</v>
      </c>
      <c r="C10" s="15" t="s">
        <v>119</v>
      </c>
      <c r="D10" s="15">
        <v>125</v>
      </c>
      <c r="E10" s="15">
        <f t="shared" ref="E10:E11" si="1">B10*0.02*D10</f>
        <v>5000</v>
      </c>
    </row>
    <row r="11" spans="1:8" x14ac:dyDescent="0.3">
      <c r="A11" s="15" t="s">
        <v>140</v>
      </c>
      <c r="B11" s="15">
        <v>175</v>
      </c>
      <c r="C11" s="15" t="s">
        <v>119</v>
      </c>
      <c r="D11" s="15">
        <v>125</v>
      </c>
      <c r="E11" s="15">
        <f t="shared" si="1"/>
        <v>437.5</v>
      </c>
    </row>
    <row r="12" spans="1:8" x14ac:dyDescent="0.3">
      <c r="A12" s="15" t="s">
        <v>141</v>
      </c>
      <c r="B12" s="112">
        <v>0.5</v>
      </c>
      <c r="C12" s="15" t="s">
        <v>142</v>
      </c>
    </row>
    <row r="13" spans="1:8" x14ac:dyDescent="0.3">
      <c r="A13" s="15" t="s">
        <v>143</v>
      </c>
      <c r="B13" s="15">
        <v>1</v>
      </c>
      <c r="C13" s="15" t="s">
        <v>53</v>
      </c>
      <c r="D13" s="15">
        <v>125</v>
      </c>
      <c r="E13" s="15">
        <f>B13*D13</f>
        <v>125</v>
      </c>
    </row>
    <row r="14" spans="1:8" x14ac:dyDescent="0.3">
      <c r="A14" s="15" t="s">
        <v>144</v>
      </c>
      <c r="B14" s="112"/>
    </row>
    <row r="15" spans="1:8" x14ac:dyDescent="0.3">
      <c r="A15" s="15" t="s">
        <v>145</v>
      </c>
      <c r="B15" s="112"/>
    </row>
    <row r="16" spans="1:8" x14ac:dyDescent="0.3">
      <c r="A16" s="15" t="s">
        <v>146</v>
      </c>
    </row>
    <row r="17" spans="1:1" x14ac:dyDescent="0.3">
      <c r="A17" s="15" t="s">
        <v>147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roketsan için kırılım</vt:lpstr>
      <vt:lpstr>Üretim </vt:lpstr>
      <vt:lpstr>sarf malzemeleri 1-3wf-melek</vt:lpstr>
      <vt:lpstr>Üretim 1-3_melek</vt:lpstr>
      <vt:lpstr>Üretim 4-5 wf-melek</vt:lpstr>
      <vt:lpstr>sarf malzemeleri 4-5wf-melek</vt:lpstr>
      <vt:lpstr>07aralık çalışma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2024-12-11T20:48:07Z</dcterms:modified>
</cp:coreProperties>
</file>