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3040" windowHeight="9396" tabRatio="668" activeTab="1"/>
  </bookViews>
  <sheets>
    <sheet name="Üretim  (2)" sheetId="15" r:id="rId1"/>
    <sheet name="ÜRETİM (ARKAÖN)(alumina)" sheetId="18" r:id="rId2"/>
    <sheet name="sarf malzemeleri 1 wf alumina" sheetId="10" r:id="rId3"/>
    <sheet name="ÜRETİM (ARKAÖN)(silicon)" sheetId="21" r:id="rId4"/>
    <sheet name="sarf malzemeleri 1 silicon" sheetId="20" r:id="rId5"/>
    <sheet name="MASK MAKING" sheetId="23" r:id="rId6"/>
  </sheets>
  <externalReferences>
    <externalReference r:id="rId7"/>
    <externalReference r:id="rId8"/>
  </externalReferences>
  <definedNames>
    <definedName name="_xlnm._FilterDatabase" localSheetId="0" hidden="1">'Üretim  (2)'!$B$3:$C$52</definedName>
    <definedName name="_xlnm._FilterDatabase" localSheetId="1" hidden="1">'ÜRETİM (ARKAÖN)(alumina)'!$B$3:$C$43</definedName>
    <definedName name="_xlnm._FilterDatabase" localSheetId="3" hidden="1">'ÜRETİM (ARKAÖN)(silicon)'!$B$3:$C$51</definedName>
    <definedName name="_vv" localSheetId="4" hidden="1">'[1]Nakit G-Ç'!#REF!,'[1]Nakit G-Ç'!#REF!</definedName>
    <definedName name="_vv" localSheetId="1" hidden="1">'[1]Nakit G-Ç'!#REF!,'[1]Nakit G-Ç'!#REF!</definedName>
    <definedName name="_vv" localSheetId="3" hidden="1">'[1]Nakit G-Ç'!#REF!,'[1]Nakit G-Ç'!#REF!</definedName>
    <definedName name="_vv" hidden="1">'[1]Nakit G-Ç'!#REF!,'[1]Nakit G-Ç'!#REF!</definedName>
    <definedName name="AVRO">[2]DATA!$G$5</definedName>
    <definedName name="BB" localSheetId="4" hidden="1">'[1]Nakit G-Ç'!#REF!,'[1]Nakit G-Ç'!#REF!</definedName>
    <definedName name="BB" localSheetId="1" hidden="1">'[1]Nakit G-Ç'!#REF!,'[1]Nakit G-Ç'!#REF!</definedName>
    <definedName name="BB" localSheetId="3" hidden="1">'[1]Nakit G-Ç'!#REF!,'[1]Nakit G-Ç'!#REF!</definedName>
    <definedName name="BB" hidden="1">'[1]Nakit G-Ç'!#REF!,'[1]Nakit G-Ç'!#REF!</definedName>
    <definedName name="bbbbbb" localSheetId="4">#REF!</definedName>
    <definedName name="bbbbbb" localSheetId="1">#REF!</definedName>
    <definedName name="bbbbbb" localSheetId="3">#REF!</definedName>
    <definedName name="bbbbbb">#REF!</definedName>
    <definedName name="DDD" localSheetId="4" hidden="1">'[1]Nakit G-Ç'!#REF!,'[1]Nakit G-Ç'!#REF!</definedName>
    <definedName name="DDD" localSheetId="1" hidden="1">'[1]Nakit G-Ç'!#REF!,'[1]Nakit G-Ç'!#REF!</definedName>
    <definedName name="DDD" localSheetId="3" hidden="1">'[1]Nakit G-Ç'!#REF!,'[1]Nakit G-Ç'!#REF!</definedName>
    <definedName name="DDD" hidden="1">'[1]Nakit G-Ç'!#REF!,'[1]Nakit G-Ç'!#REF!</definedName>
    <definedName name="diğer" localSheetId="4" hidden="1">'[1]Nakit G-Ç'!#REF!,'[1]Nakit G-Ç'!#REF!</definedName>
    <definedName name="diğer" localSheetId="1" hidden="1">'[1]Nakit G-Ç'!#REF!,'[1]Nakit G-Ç'!#REF!</definedName>
    <definedName name="diğer" localSheetId="3" hidden="1">'[1]Nakit G-Ç'!#REF!,'[1]Nakit G-Ç'!#REF!</definedName>
    <definedName name="diğer" hidden="1">'[1]Nakit G-Ç'!#REF!,'[1]Nakit G-Ç'!#REF!</definedName>
    <definedName name="DOLAR">[2]DATA!$G$4</definedName>
    <definedName name="EO" localSheetId="4">#REF!</definedName>
    <definedName name="EO" localSheetId="1">#REF!</definedName>
    <definedName name="EO" localSheetId="3">#REF!</definedName>
    <definedName name="EO">#REF!</definedName>
    <definedName name="GBP">[2]DATA!$G$6</definedName>
    <definedName name="işlkjh" localSheetId="4" hidden="1">'[1]Nakit G-Ç'!#REF!,'[1]Nakit G-Ç'!#REF!</definedName>
    <definedName name="işlkjh" localSheetId="1" hidden="1">'[1]Nakit G-Ç'!#REF!,'[1]Nakit G-Ç'!#REF!</definedName>
    <definedName name="işlkjh" localSheetId="3" hidden="1">'[1]Nakit G-Ç'!#REF!,'[1]Nakit G-Ç'!#REF!</definedName>
    <definedName name="işlkjh" hidden="1">'[1]Nakit G-Ç'!#REF!,'[1]Nakit G-Ç'!#REF!</definedName>
    <definedName name="kk" localSheetId="4" hidden="1">'[1]Nakit G-Ç'!#REF!,'[1]Nakit G-Ç'!#REF!</definedName>
    <definedName name="kk" localSheetId="1" hidden="1">'[1]Nakit G-Ç'!#REF!,'[1]Nakit G-Ç'!#REF!</definedName>
    <definedName name="kk" localSheetId="3" hidden="1">'[1]Nakit G-Ç'!#REF!,'[1]Nakit G-Ç'!#REF!</definedName>
    <definedName name="kk" hidden="1">'[1]Nakit G-Ç'!#REF!,'[1]Nakit G-Ç'!#REF!</definedName>
    <definedName name="KKKK" localSheetId="4" hidden="1">'[1]Nakit G-Ç'!#REF!,'[1]Nakit G-Ç'!#REF!</definedName>
    <definedName name="KKKK" localSheetId="1" hidden="1">'[1]Nakit G-Ç'!#REF!,'[1]Nakit G-Ç'!#REF!</definedName>
    <definedName name="KKKK" localSheetId="3" hidden="1">'[1]Nakit G-Ç'!#REF!,'[1]Nakit G-Ç'!#REF!</definedName>
    <definedName name="KKKK" hidden="1">'[1]Nakit G-Ç'!#REF!,'[1]Nakit G-Ç'!#REF!</definedName>
    <definedName name="ll" localSheetId="4" hidden="1">'[1]Nakit G-Ç'!#REF!,'[1]Nakit G-Ç'!#REF!</definedName>
    <definedName name="ll" localSheetId="1" hidden="1">'[1]Nakit G-Ç'!#REF!,'[1]Nakit G-Ç'!#REF!</definedName>
    <definedName name="ll" localSheetId="3" hidden="1">'[1]Nakit G-Ç'!#REF!,'[1]Nakit G-Ç'!#REF!</definedName>
    <definedName name="ll" hidden="1">'[1]Nakit G-Ç'!#REF!,'[1]Nakit G-Ç'!#REF!</definedName>
    <definedName name="lllll" localSheetId="4" hidden="1">'[1]Nakit G-Ç'!#REF!,'[1]Nakit G-Ç'!#REF!</definedName>
    <definedName name="lllll" localSheetId="1" hidden="1">'[1]Nakit G-Ç'!#REF!,'[1]Nakit G-Ç'!#REF!</definedName>
    <definedName name="lllll" localSheetId="3" hidden="1">'[1]Nakit G-Ç'!#REF!,'[1]Nakit G-Ç'!#REF!</definedName>
    <definedName name="lllll" hidden="1">'[1]Nakit G-Ç'!#REF!,'[1]Nakit G-Ç'!#REF!</definedName>
    <definedName name="LLLLLL" localSheetId="4" hidden="1">'[1]Nakit G-Ç'!#REF!,'[1]Nakit G-Ç'!#REF!</definedName>
    <definedName name="LLLLLL" localSheetId="1" hidden="1">'[1]Nakit G-Ç'!#REF!,'[1]Nakit G-Ç'!#REF!</definedName>
    <definedName name="LLLLLL" localSheetId="3" hidden="1">'[1]Nakit G-Ç'!#REF!,'[1]Nakit G-Ç'!#REF!</definedName>
    <definedName name="LLLLLL" hidden="1">'[1]Nakit G-Ç'!#REF!,'[1]Nakit G-Ç'!#REF!</definedName>
    <definedName name="MT" localSheetId="4" hidden="1">'[1]Nakit G-Ç'!#REF!,'[1]Nakit G-Ç'!#REF!</definedName>
    <definedName name="MT" localSheetId="1" hidden="1">'[1]Nakit G-Ç'!#REF!,'[1]Nakit G-Ç'!#REF!</definedName>
    <definedName name="MT" localSheetId="3" hidden="1">'[1]Nakit G-Ç'!#REF!,'[1]Nakit G-Ç'!#REF!</definedName>
    <definedName name="MT" hidden="1">'[1]Nakit G-Ç'!#REF!,'[1]Nakit G-Ç'!#REF!</definedName>
    <definedName name="SAPBEXdnldView" hidden="1">"42O6G2WRDYER7HEQ8QGVJGF8E"</definedName>
    <definedName name="SAPBEXsysID" hidden="1">"BWP"</definedName>
    <definedName name="ss" localSheetId="4" hidden="1">'[1]Nakit G-Ç'!#REF!,'[1]Nakit G-Ç'!#REF!</definedName>
    <definedName name="ss" localSheetId="1" hidden="1">'[1]Nakit G-Ç'!#REF!,'[1]Nakit G-Ç'!#REF!</definedName>
    <definedName name="ss" localSheetId="3" hidden="1">'[1]Nakit G-Ç'!#REF!,'[1]Nakit G-Ç'!#REF!</definedName>
    <definedName name="ss" hidden="1">'[1]Nakit G-Ç'!#REF!,'[1]Nakit G-Ç'!#REF!</definedName>
    <definedName name="Toplam" localSheetId="4">#REF!</definedName>
    <definedName name="Toplam" localSheetId="1">#REF!</definedName>
    <definedName name="Toplam" localSheetId="3">#REF!</definedName>
    <definedName name="Toplam">#REF!</definedName>
    <definedName name="xx" localSheetId="4" hidden="1">'[1]Nakit G-Ç'!#REF!,'[1]Nakit G-Ç'!#REF!</definedName>
    <definedName name="xx" localSheetId="1" hidden="1">'[1]Nakit G-Ç'!#REF!,'[1]Nakit G-Ç'!#REF!</definedName>
    <definedName name="xx" localSheetId="3" hidden="1">'[1]Nakit G-Ç'!#REF!,'[1]Nakit G-Ç'!#REF!</definedName>
    <definedName name="xx" hidden="1">'[1]Nakit G-Ç'!#REF!,'[1]Nakit G-Ç'!#REF!</definedName>
    <definedName name="Z_0EB2AC65_6C2A_43A2_89FB_6DE31DAE3BAA_.wvu.Rows" localSheetId="4" hidden="1">'[1]Nakit G-Ç'!#REF!,'[1]Nakit G-Ç'!#REF!</definedName>
    <definedName name="Z_0EB2AC65_6C2A_43A2_89FB_6DE31DAE3BAA_.wvu.Rows" localSheetId="1" hidden="1">'[1]Nakit G-Ç'!#REF!,'[1]Nakit G-Ç'!#REF!</definedName>
    <definedName name="Z_0EB2AC65_6C2A_43A2_89FB_6DE31DAE3BAA_.wvu.Rows" localSheetId="3" hidden="1">'[1]Nakit G-Ç'!#REF!,'[1]Nakit G-Ç'!#REF!</definedName>
    <definedName name="Z_0EB2AC65_6C2A_43A2_89FB_6DE31DAE3BAA_.wvu.Rows" hidden="1">'[1]Nakit G-Ç'!#REF!,'[1]Nakit G-Ç'!#REF!</definedName>
    <definedName name="Z_E5461D20_470E_11D6_ACD8_0040CA1501F7_.wvu.Rows" localSheetId="4" hidden="1">'[1]Nakit G-Ç'!#REF!,'[1]Nakit G-Ç'!#REF!</definedName>
    <definedName name="Z_E5461D20_470E_11D6_ACD8_0040CA1501F7_.wvu.Rows" localSheetId="1" hidden="1">'[1]Nakit G-Ç'!#REF!,'[1]Nakit G-Ç'!#REF!</definedName>
    <definedName name="Z_E5461D20_470E_11D6_ACD8_0040CA1501F7_.wvu.Rows" localSheetId="3" hidden="1">'[1]Nakit G-Ç'!#REF!,'[1]Nakit G-Ç'!#REF!</definedName>
    <definedName name="Z_E5461D20_470E_11D6_ACD8_0040CA1501F7_.wvu.Rows" hidden="1">'[1]Nakit G-Ç'!#REF!,'[1]Nakit G-Ç'!#REF!</definedName>
    <definedName name="Z_FF54F697_6DB1_437A_B16E_D42B50E3E8CA_.wvu.Rows" localSheetId="4" hidden="1">'[1]Nakit G-Ç'!#REF!,'[1]Nakit G-Ç'!#REF!</definedName>
    <definedName name="Z_FF54F697_6DB1_437A_B16E_D42B50E3E8CA_.wvu.Rows" localSheetId="1" hidden="1">'[1]Nakit G-Ç'!#REF!,'[1]Nakit G-Ç'!#REF!</definedName>
    <definedName name="Z_FF54F697_6DB1_437A_B16E_D42B50E3E8CA_.wvu.Rows" localSheetId="3" hidden="1">'[1]Nakit G-Ç'!#REF!,'[1]Nakit G-Ç'!#REF!</definedName>
    <definedName name="Z_FF54F697_6DB1_437A_B16E_D42B50E3E8CA_.wvu.Rows" hidden="1">'[1]Nakit G-Ç'!#REF!,'[1]Nakit G-Ç'!#REF!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8" l="1"/>
  <c r="G58" i="18"/>
  <c r="I13" i="23"/>
  <c r="I11" i="23"/>
  <c r="G7" i="23" l="1"/>
  <c r="G5" i="23"/>
  <c r="I5" i="23" s="1"/>
  <c r="C5" i="23"/>
  <c r="I7" i="23"/>
  <c r="E7" i="23"/>
  <c r="I6" i="23"/>
  <c r="E6" i="23"/>
  <c r="E5" i="23"/>
  <c r="I9" i="23" l="1"/>
  <c r="E9" i="23"/>
  <c r="I10" i="23" l="1"/>
  <c r="V27" i="21" l="1"/>
  <c r="U27" i="21"/>
  <c r="T27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V22" i="21"/>
  <c r="U22" i="21"/>
  <c r="T22" i="21"/>
  <c r="S22" i="21"/>
  <c r="R22" i="21"/>
  <c r="R31" i="21" s="1"/>
  <c r="R33" i="21" s="1"/>
  <c r="Q22" i="21"/>
  <c r="Q31" i="21" s="1"/>
  <c r="Q33" i="21" s="1"/>
  <c r="P22" i="21"/>
  <c r="O22" i="21"/>
  <c r="N22" i="21"/>
  <c r="M22" i="21"/>
  <c r="L22" i="21"/>
  <c r="K22" i="21"/>
  <c r="J22" i="21"/>
  <c r="I22" i="21"/>
  <c r="H22" i="21"/>
  <c r="G22" i="21"/>
  <c r="F22" i="21"/>
  <c r="E22" i="21"/>
  <c r="V15" i="21"/>
  <c r="U15" i="21"/>
  <c r="T15" i="21"/>
  <c r="S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V12" i="21"/>
  <c r="U12" i="21"/>
  <c r="T12" i="21"/>
  <c r="S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V10" i="21"/>
  <c r="U10" i="21"/>
  <c r="T10" i="21"/>
  <c r="S10" i="21"/>
  <c r="P10" i="21"/>
  <c r="O10" i="21"/>
  <c r="N10" i="21"/>
  <c r="N31" i="21" s="1"/>
  <c r="N33" i="21" s="1"/>
  <c r="M10" i="21"/>
  <c r="M31" i="21" s="1"/>
  <c r="M33" i="21" s="1"/>
  <c r="L10" i="21"/>
  <c r="L31" i="21" s="1"/>
  <c r="L33" i="21" s="1"/>
  <c r="K10" i="21"/>
  <c r="J10" i="21"/>
  <c r="I10" i="21"/>
  <c r="H10" i="21"/>
  <c r="H31" i="21" s="1"/>
  <c r="H33" i="21" s="1"/>
  <c r="G10" i="21"/>
  <c r="G31" i="21" s="1"/>
  <c r="G33" i="21" s="1"/>
  <c r="F10" i="21"/>
  <c r="F31" i="21" s="1"/>
  <c r="F33" i="21" s="1"/>
  <c r="E10" i="21"/>
  <c r="V5" i="21"/>
  <c r="V31" i="21" s="1"/>
  <c r="V33" i="21" s="1"/>
  <c r="U5" i="21"/>
  <c r="U31" i="21" s="1"/>
  <c r="T5" i="21"/>
  <c r="T31" i="21" s="1"/>
  <c r="T33" i="21" s="1"/>
  <c r="S5" i="21"/>
  <c r="S31" i="21" s="1"/>
  <c r="S33" i="21" s="1"/>
  <c r="P5" i="21"/>
  <c r="P31" i="21" s="1"/>
  <c r="P33" i="21" s="1"/>
  <c r="O5" i="21"/>
  <c r="O31" i="21" s="1"/>
  <c r="N5" i="21"/>
  <c r="M5" i="21"/>
  <c r="L5" i="21"/>
  <c r="K5" i="21"/>
  <c r="K31" i="21" s="1"/>
  <c r="K33" i="21" s="1"/>
  <c r="J5" i="21"/>
  <c r="J31" i="21" s="1"/>
  <c r="J33" i="21" s="1"/>
  <c r="I5" i="21"/>
  <c r="I31" i="21" s="1"/>
  <c r="H5" i="21"/>
  <c r="G5" i="21"/>
  <c r="F5" i="21"/>
  <c r="E5" i="21"/>
  <c r="E31" i="21" s="1"/>
  <c r="E33" i="21" s="1"/>
  <c r="F26" i="20"/>
  <c r="G26" i="20" s="1"/>
  <c r="F25" i="20"/>
  <c r="G25" i="20" s="1"/>
  <c r="F24" i="20"/>
  <c r="G24" i="20" s="1"/>
  <c r="F23" i="20"/>
  <c r="G23" i="20" s="1"/>
  <c r="F22" i="20"/>
  <c r="G22" i="20" s="1"/>
  <c r="F21" i="20"/>
  <c r="G21" i="20" s="1"/>
  <c r="F20" i="20"/>
  <c r="G20" i="20" s="1"/>
  <c r="F19" i="20"/>
  <c r="G19" i="20" s="1"/>
  <c r="F18" i="20"/>
  <c r="G18" i="20" s="1"/>
  <c r="F17" i="20"/>
  <c r="G17" i="20" s="1"/>
  <c r="F16" i="20"/>
  <c r="G16" i="20" s="1"/>
  <c r="F15" i="20"/>
  <c r="G15" i="20" s="1"/>
  <c r="F14" i="20"/>
  <c r="G14" i="20" s="1"/>
  <c r="F13" i="20"/>
  <c r="G13" i="20" s="1"/>
  <c r="F12" i="20"/>
  <c r="G12" i="20" s="1"/>
  <c r="F10" i="20"/>
  <c r="G10" i="20" s="1"/>
  <c r="F9" i="20"/>
  <c r="G9" i="20" s="1"/>
  <c r="F8" i="20"/>
  <c r="G8" i="20" s="1"/>
  <c r="F7" i="20"/>
  <c r="G7" i="20" s="1"/>
  <c r="F6" i="20"/>
  <c r="G6" i="20" s="1"/>
  <c r="F5" i="20"/>
  <c r="F8" i="10"/>
  <c r="I33" i="21" l="1"/>
  <c r="E36" i="21" s="1"/>
  <c r="O33" i="21"/>
  <c r="U33" i="21"/>
  <c r="W31" i="21"/>
  <c r="G5" i="20"/>
  <c r="G8" i="10"/>
  <c r="F20" i="10" l="1"/>
  <c r="G20" i="10" s="1"/>
  <c r="F6" i="10"/>
  <c r="G6" i="10" s="1"/>
  <c r="F26" i="10" l="1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19" i="10"/>
  <c r="G19" i="10" s="1"/>
  <c r="F18" i="10"/>
  <c r="G18" i="10" s="1"/>
  <c r="F17" i="10"/>
  <c r="G17" i="10" s="1"/>
  <c r="F16" i="10"/>
  <c r="G16" i="10" s="1"/>
  <c r="F14" i="10"/>
  <c r="G14" i="10" s="1"/>
  <c r="F15" i="10"/>
  <c r="G15" i="10" s="1"/>
  <c r="F13" i="10"/>
  <c r="G13" i="10" s="1"/>
  <c r="F12" i="10" l="1"/>
  <c r="G12" i="10" s="1"/>
  <c r="F10" i="10"/>
  <c r="G10" i="10" s="1"/>
  <c r="F9" i="10"/>
  <c r="G9" i="10" s="1"/>
  <c r="F7" i="10"/>
  <c r="G7" i="10" s="1"/>
  <c r="H43" i="15" l="1"/>
  <c r="H42" i="15"/>
  <c r="H41" i="15"/>
  <c r="H40" i="15"/>
  <c r="N43" i="15"/>
  <c r="O43" i="15" s="1"/>
  <c r="O42" i="15"/>
  <c r="N42" i="15"/>
  <c r="H38" i="15"/>
  <c r="H37" i="15"/>
  <c r="F5" i="10"/>
  <c r="G5" i="10" s="1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V22" i="18"/>
  <c r="U22" i="18"/>
  <c r="T22" i="18"/>
  <c r="S22" i="18"/>
  <c r="R22" i="18"/>
  <c r="R31" i="18" s="1"/>
  <c r="R33" i="18" s="1"/>
  <c r="Q22" i="18"/>
  <c r="Q31" i="18" s="1"/>
  <c r="Q33" i="18" s="1"/>
  <c r="P22" i="18"/>
  <c r="O22" i="18"/>
  <c r="N22" i="18"/>
  <c r="M22" i="18"/>
  <c r="L22" i="18"/>
  <c r="K22" i="18"/>
  <c r="J22" i="18"/>
  <c r="I22" i="18"/>
  <c r="H22" i="18"/>
  <c r="G22" i="18"/>
  <c r="F22" i="18"/>
  <c r="E22" i="18"/>
  <c r="V15" i="18"/>
  <c r="U15" i="18"/>
  <c r="T15" i="18"/>
  <c r="S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V12" i="18"/>
  <c r="U12" i="18"/>
  <c r="T12" i="18"/>
  <c r="S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V10" i="18"/>
  <c r="U10" i="18"/>
  <c r="T10" i="18"/>
  <c r="S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V5" i="18"/>
  <c r="U5" i="18"/>
  <c r="U31" i="18" s="1"/>
  <c r="T5" i="18"/>
  <c r="S5" i="18"/>
  <c r="P5" i="18"/>
  <c r="O5" i="18"/>
  <c r="N5" i="18"/>
  <c r="M5" i="18"/>
  <c r="L5" i="18"/>
  <c r="K5" i="18"/>
  <c r="J5" i="18"/>
  <c r="I5" i="18"/>
  <c r="H5" i="18"/>
  <c r="G5" i="18"/>
  <c r="F5" i="18"/>
  <c r="E5" i="18"/>
  <c r="N31" i="18" l="1"/>
  <c r="N33" i="18" s="1"/>
  <c r="V31" i="18"/>
  <c r="V33" i="18" s="1"/>
  <c r="J31" i="18"/>
  <c r="J33" i="18" s="1"/>
  <c r="P31" i="18"/>
  <c r="P33" i="18" s="1"/>
  <c r="U33" i="18"/>
  <c r="D11" i="20"/>
  <c r="F11" i="20" s="1"/>
  <c r="D11" i="10"/>
  <c r="F11" i="10" s="1"/>
  <c r="G11" i="10" s="1"/>
  <c r="O31" i="18"/>
  <c r="O33" i="18" s="1"/>
  <c r="S31" i="18"/>
  <c r="S33" i="18" s="1"/>
  <c r="T31" i="18"/>
  <c r="T33" i="18" s="1"/>
  <c r="M31" i="18"/>
  <c r="M33" i="18" s="1"/>
  <c r="L31" i="18"/>
  <c r="L33" i="18" s="1"/>
  <c r="K31" i="18"/>
  <c r="K33" i="18" s="1"/>
  <c r="I31" i="18"/>
  <c r="H31" i="18"/>
  <c r="H33" i="18" s="1"/>
  <c r="G31" i="18"/>
  <c r="G33" i="18" s="1"/>
  <c r="F31" i="18"/>
  <c r="F33" i="18" s="1"/>
  <c r="E31" i="18"/>
  <c r="O39" i="15"/>
  <c r="N39" i="15"/>
  <c r="O38" i="15"/>
  <c r="N38" i="15"/>
  <c r="I33" i="18" l="1"/>
  <c r="D27" i="20"/>
  <c r="F27" i="20" s="1"/>
  <c r="G27" i="20" s="1"/>
  <c r="D27" i="10"/>
  <c r="F27" i="10" s="1"/>
  <c r="G27" i="10" s="1"/>
  <c r="E33" i="18"/>
  <c r="E36" i="18" s="1"/>
  <c r="E47" i="18" s="1"/>
  <c r="G11" i="20"/>
  <c r="W31" i="18"/>
  <c r="F30" i="20" l="1"/>
  <c r="G30" i="20"/>
  <c r="E38" i="21" s="1"/>
  <c r="E43" i="21" s="1"/>
  <c r="E42" i="15"/>
  <c r="E43" i="15" s="1"/>
  <c r="R34" i="15" l="1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V22" i="15"/>
  <c r="U22" i="15"/>
  <c r="T22" i="15"/>
  <c r="S22" i="15"/>
  <c r="R22" i="15"/>
  <c r="R31" i="15" s="1"/>
  <c r="R33" i="15" s="1"/>
  <c r="Q22" i="15"/>
  <c r="Q31" i="15" s="1"/>
  <c r="Q33" i="15" s="1"/>
  <c r="Q34" i="15" s="1"/>
  <c r="P22" i="15"/>
  <c r="O22" i="15"/>
  <c r="N22" i="15"/>
  <c r="M22" i="15"/>
  <c r="L22" i="15"/>
  <c r="K22" i="15"/>
  <c r="J22" i="15"/>
  <c r="I22" i="15"/>
  <c r="H22" i="15"/>
  <c r="G22" i="15"/>
  <c r="F22" i="15"/>
  <c r="E22" i="15"/>
  <c r="V15" i="15"/>
  <c r="U15" i="15"/>
  <c r="T15" i="15"/>
  <c r="S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V12" i="15"/>
  <c r="U12" i="15"/>
  <c r="T12" i="15"/>
  <c r="S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V10" i="15"/>
  <c r="U10" i="15"/>
  <c r="T10" i="15"/>
  <c r="S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V5" i="15"/>
  <c r="V31" i="15" s="1"/>
  <c r="V33" i="15" s="1"/>
  <c r="V34" i="15" s="1"/>
  <c r="U5" i="15"/>
  <c r="T5" i="15"/>
  <c r="S5" i="15"/>
  <c r="P5" i="15"/>
  <c r="O5" i="15"/>
  <c r="N5" i="15"/>
  <c r="N31" i="15" s="1"/>
  <c r="N33" i="15" s="1"/>
  <c r="N34" i="15" s="1"/>
  <c r="M5" i="15"/>
  <c r="L5" i="15"/>
  <c r="K5" i="15"/>
  <c r="J5" i="15"/>
  <c r="I5" i="15"/>
  <c r="H5" i="15"/>
  <c r="H31" i="15" s="1"/>
  <c r="H33" i="15" s="1"/>
  <c r="H34" i="15" s="1"/>
  <c r="G5" i="15"/>
  <c r="F5" i="15"/>
  <c r="E5" i="15"/>
  <c r="F31" i="15" l="1"/>
  <c r="F33" i="15" s="1"/>
  <c r="K31" i="15"/>
  <c r="K33" i="15" s="1"/>
  <c r="K34" i="15" s="1"/>
  <c r="S31" i="15"/>
  <c r="S33" i="15" s="1"/>
  <c r="S34" i="15" s="1"/>
  <c r="T31" i="15"/>
  <c r="T33" i="15" s="1"/>
  <c r="T34" i="15" s="1"/>
  <c r="J31" i="15"/>
  <c r="J33" i="15" s="1"/>
  <c r="J34" i="15" s="1"/>
  <c r="P31" i="15"/>
  <c r="P33" i="15" s="1"/>
  <c r="P34" i="15" s="1"/>
  <c r="L31" i="15"/>
  <c r="L33" i="15" s="1"/>
  <c r="L34" i="15" s="1"/>
  <c r="E31" i="15"/>
  <c r="E40" i="15" s="1"/>
  <c r="E41" i="15" s="1"/>
  <c r="G31" i="15"/>
  <c r="G33" i="15" s="1"/>
  <c r="G34" i="15" s="1"/>
  <c r="M31" i="15"/>
  <c r="M33" i="15" s="1"/>
  <c r="M34" i="15" s="1"/>
  <c r="U31" i="15"/>
  <c r="U33" i="15" s="1"/>
  <c r="U34" i="15" s="1"/>
  <c r="I31" i="15"/>
  <c r="I33" i="15" s="1"/>
  <c r="I34" i="15" s="1"/>
  <c r="O31" i="15"/>
  <c r="O33" i="15" s="1"/>
  <c r="O34" i="15" s="1"/>
  <c r="W31" i="15"/>
  <c r="E38" i="15" l="1"/>
  <c r="F34" i="15"/>
  <c r="E33" i="15"/>
  <c r="E34" i="15" l="1"/>
  <c r="E37" i="15"/>
  <c r="F30" i="10" l="1"/>
  <c r="G30" i="10"/>
  <c r="E38" i="18" s="1"/>
  <c r="E49" i="18" l="1"/>
  <c r="E54" i="18" s="1"/>
  <c r="E43" i="18"/>
</calcChain>
</file>

<file path=xl/comments1.xml><?xml version="1.0" encoding="utf-8"?>
<comments xmlns="http://schemas.openxmlformats.org/spreadsheetml/2006/main">
  <authors>
    <author>Yazar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Yazar:</t>
        </r>
        <r>
          <rPr>
            <sz val="9"/>
            <color indexed="81"/>
            <rFont val="Tahoma"/>
            <family val="2"/>
          </rPr>
          <t xml:space="preserve">
1 şişe yaklaşık 1 lt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fiyatı melek hanımın eski hesaplamasından aldım . 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güncelde fiyat 35.09 ama Melek Hanımın fiyatı yüksek olduğu için onu dikkate aldım 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0.01 olabilir 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0.01 olabilir 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gökhan Bey den güncel fiyat alındı 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testaş zamanından kalma kullanıldığı için Melek Hanımın fiyatı dikkate alındı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Yazar:</t>
        </r>
        <r>
          <rPr>
            <sz val="9"/>
            <color indexed="81"/>
            <rFont val="Tahoma"/>
            <family val="2"/>
          </rPr>
          <t xml:space="preserve">
AJA-1 kullanımı esnasında tükeiliyor</t>
        </r>
      </text>
    </comment>
  </commentList>
</comments>
</file>

<file path=xl/comments2.xml><?xml version="1.0" encoding="utf-8"?>
<comments xmlns="http://schemas.openxmlformats.org/spreadsheetml/2006/main">
  <authors>
    <author>Yazar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Yazar:</t>
        </r>
        <r>
          <rPr>
            <sz val="9"/>
            <color indexed="81"/>
            <rFont val="Tahoma"/>
            <family val="2"/>
          </rPr>
          <t xml:space="preserve">
1 şişe yaklaşık 1 lt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fiyatı melek hanımın eski hesaplamasından aldım . 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güncelde fiyat 35.09 ama Melek Hanımın fiyatı yüksek olduğu için onu dikkate aldım 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0.01 olabilir 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0.01 olabilir 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gökhan Bey den güncel fiyat alındı 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testaş zamanından kalma kullanıldığı için Melek Hanımın fiyatı dikkate alındı
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Yazar:</t>
        </r>
        <r>
          <rPr>
            <sz val="9"/>
            <color indexed="81"/>
            <rFont val="Tahoma"/>
            <family val="2"/>
          </rPr>
          <t xml:space="preserve">
AJA-1 kullanımı esnasında tükeiliyor</t>
        </r>
      </text>
    </comment>
  </commentList>
</comments>
</file>

<file path=xl/sharedStrings.xml><?xml version="1.0" encoding="utf-8"?>
<sst xmlns="http://schemas.openxmlformats.org/spreadsheetml/2006/main" count="470" uniqueCount="137">
  <si>
    <t>Process Name</t>
  </si>
  <si>
    <t>Process Type</t>
  </si>
  <si>
    <t>Sub</t>
  </si>
  <si>
    <t>Step</t>
  </si>
  <si>
    <t>Labor</t>
  </si>
  <si>
    <t>Machine</t>
  </si>
  <si>
    <t>*ALL in HOUR</t>
  </si>
  <si>
    <t>*ALL in 1 WAFER (except release)</t>
  </si>
  <si>
    <t>Sarf Malzemeleri</t>
  </si>
  <si>
    <t>Aluminum Folyo</t>
  </si>
  <si>
    <t>Eldiven</t>
  </si>
  <si>
    <t>Wiper</t>
  </si>
  <si>
    <t>Birim</t>
  </si>
  <si>
    <t>Pipet Resist Steril</t>
  </si>
  <si>
    <t>Birim fiyatı  ($)</t>
  </si>
  <si>
    <t>Metal Tweezer 135 mm</t>
  </si>
  <si>
    <t xml:space="preserve">Main </t>
  </si>
  <si>
    <t>Test and Characterization</t>
  </si>
  <si>
    <t>Manual
SPINNER (SÜSS)</t>
  </si>
  <si>
    <t>WET Bench</t>
  </si>
  <si>
    <t>inspecton</t>
  </si>
  <si>
    <t>Optic Mikroskop</t>
  </si>
  <si>
    <t xml:space="preserve">ASETON </t>
  </si>
  <si>
    <t>ALCOHOL IPA</t>
  </si>
  <si>
    <t>Lift-off PR Coating&amp;Developing</t>
  </si>
  <si>
    <t>PR coating</t>
  </si>
  <si>
    <t>Metal Deposition</t>
  </si>
  <si>
    <t>Metal Lift-off</t>
  </si>
  <si>
    <t>Acetone lift-off</t>
  </si>
  <si>
    <t>PR expose</t>
  </si>
  <si>
    <t>PR developed</t>
  </si>
  <si>
    <t>Metal etch</t>
  </si>
  <si>
    <t>PR strip</t>
  </si>
  <si>
    <t>Electrode metal deposition (TiW, Cu, Au)</t>
  </si>
  <si>
    <t>PI coating&amp;developing</t>
  </si>
  <si>
    <t>PI coat</t>
  </si>
  <si>
    <t>PI develop</t>
  </si>
  <si>
    <t>PI expose</t>
  </si>
  <si>
    <t>PI cure</t>
  </si>
  <si>
    <t>Thickness measurements</t>
  </si>
  <si>
    <t>Dimension measurements</t>
  </si>
  <si>
    <t>AJA</t>
  </si>
  <si>
    <t>Dektak</t>
  </si>
  <si>
    <t>Fresenberger Oven</t>
  </si>
  <si>
    <t>Mask Aligner EVG 620</t>
  </si>
  <si>
    <t>Hirox</t>
  </si>
  <si>
    <t>Au</t>
  </si>
  <si>
    <t>Etchant (Commercial gold etchant, Transene)</t>
  </si>
  <si>
    <t>Developer (MF24A)</t>
  </si>
  <si>
    <t>Dicing Blade</t>
  </si>
  <si>
    <t>Dicing Tape</t>
  </si>
  <si>
    <t>Kasnak</t>
  </si>
  <si>
    <t>Alumina Wafer (Wafer 4" Alumina DSP 500 µm±50µm, %96)</t>
  </si>
  <si>
    <t>adet</t>
  </si>
  <si>
    <t>Silicone Wafer</t>
  </si>
  <si>
    <t>lt</t>
  </si>
  <si>
    <t>TiW (4")</t>
  </si>
  <si>
    <t>Cu (4")</t>
  </si>
  <si>
    <t>paket</t>
  </si>
  <si>
    <t>rulo</t>
  </si>
  <si>
    <t>wafer number</t>
  </si>
  <si>
    <t>Toplam Süre</t>
  </si>
  <si>
    <t xml:space="preserve">1 wafer cihaz bedeli </t>
  </si>
  <si>
    <t xml:space="preserve">1 wafer personel bedeli </t>
  </si>
  <si>
    <t xml:space="preserve">1 wafer sarf bedeli </t>
  </si>
  <si>
    <t>Temizalan giriş ücreti</t>
  </si>
  <si>
    <t>Temizalan giriş sarf ücreti</t>
  </si>
  <si>
    <t>Toplam</t>
  </si>
  <si>
    <t>Cihaz/personel birim saati ($)</t>
  </si>
  <si>
    <t>Cihaz/personel bedeli ($)</t>
  </si>
  <si>
    <t>Öngörülmeyen ile birlikte toplam</t>
  </si>
  <si>
    <t>DISCO DAD- 3350</t>
  </si>
  <si>
    <t>Dicing</t>
  </si>
  <si>
    <t>1 die bedeli</t>
  </si>
  <si>
    <t>1 wf</t>
  </si>
  <si>
    <t>die sayısı</t>
  </si>
  <si>
    <t>wf sayısı</t>
  </si>
  <si>
    <t>Planlanan Kullanım 1 wafer için</t>
  </si>
  <si>
    <t>Toplam Fiyat ($)</t>
  </si>
  <si>
    <t>toplam MT cihaz kullanım süresi sıvı azot fırın yok</t>
  </si>
  <si>
    <t>kg/dk</t>
  </si>
  <si>
    <t>MLO7</t>
  </si>
  <si>
    <t>dk</t>
  </si>
  <si>
    <t>Photoresist SPR 220-7 (akışta 2 kez/wf-5*2 mlt/wf)</t>
  </si>
  <si>
    <t>mlt</t>
  </si>
  <si>
    <t>HMDS (akışta 2 kez/wf-5*2 mlt/wf)</t>
  </si>
  <si>
    <t>Dicer, DAD DI SU/ pr strip</t>
  </si>
  <si>
    <t>DI SU/ pr strip 5 cycle 5*10 lt</t>
  </si>
  <si>
    <t>nm</t>
  </si>
  <si>
    <t>lt/wf</t>
  </si>
  <si>
    <t>azot (10 lt için 0,808 kg*10 kg azot) İmperial fırın</t>
  </si>
  <si>
    <t>lt/wafer</t>
  </si>
  <si>
    <t>Argon</t>
  </si>
  <si>
    <t>toplam</t>
  </si>
  <si>
    <t>Toplam (Gümrük+Navlun* ($)) KDV HARİÇ</t>
  </si>
  <si>
    <t>4incin 3 katını yaptık</t>
  </si>
  <si>
    <t>Testalanı giriş ücreti</t>
  </si>
  <si>
    <t>Testalanı giriş sarf ücreti</t>
  </si>
  <si>
    <t>TEST</t>
  </si>
  <si>
    <t xml:space="preserve">8 İNÇ </t>
  </si>
  <si>
    <t xml:space="preserve">TOPLAM CİHAZ KUL. SÜR. </t>
  </si>
  <si>
    <t>HOUR</t>
  </si>
  <si>
    <t xml:space="preserve">MİN. </t>
  </si>
  <si>
    <t xml:space="preserve">OVEN </t>
  </si>
  <si>
    <t xml:space="preserve">3 wafer cihaz bedeli </t>
  </si>
  <si>
    <t xml:space="preserve">3 wafer personel bedeli </t>
  </si>
  <si>
    <t xml:space="preserve">3 wafer sarf bedeli </t>
  </si>
  <si>
    <t xml:space="preserve">1 WAFER </t>
  </si>
  <si>
    <t xml:space="preserve">3 WAFER </t>
  </si>
  <si>
    <t>Wafer 8" SSP Prime CZ P/B &lt;100&gt; 725±25µm 5-30 Ωcm</t>
  </si>
  <si>
    <t xml:space="preserve">silicon wafer </t>
  </si>
  <si>
    <t xml:space="preserve">2 wafer cihaz bedeli </t>
  </si>
  <si>
    <t xml:space="preserve">2 wafer personel bedeli </t>
  </si>
  <si>
    <t xml:space="preserve">2 wafer sarf bedeli </t>
  </si>
  <si>
    <t>TOPLAM (2 AL+1 SİL)</t>
  </si>
  <si>
    <t>SYSTEM / PROCESS</t>
  </si>
  <si>
    <t>Est. Sys. 
Time (hr)</t>
  </si>
  <si>
    <t>Hourly 
Rate</t>
  </si>
  <si>
    <t>Sub
Total</t>
  </si>
  <si>
    <t>Est. Pers 
Time (hr)</t>
  </si>
  <si>
    <t>MASK MAKING</t>
  </si>
  <si>
    <t>Device / System</t>
  </si>
  <si>
    <t>System Usage Cost</t>
  </si>
  <si>
    <t>Personel Cost</t>
  </si>
  <si>
    <t>System - Process</t>
  </si>
  <si>
    <t>Time</t>
  </si>
  <si>
    <t>Hourly R.</t>
  </si>
  <si>
    <t>Sub Tot</t>
  </si>
  <si>
    <t>DWL200 Mask Maker - Mask Exposure</t>
  </si>
  <si>
    <t>WB#11 DEXON -Development / Cr etch</t>
  </si>
  <si>
    <t>WB#5 - Mask PR Strip</t>
  </si>
  <si>
    <t>CİHAZ/PERSONEL ARA TOPLAMI</t>
  </si>
  <si>
    <t>TOTAL</t>
  </si>
  <si>
    <t>(2x9" Mask  - Estimated time)</t>
  </si>
  <si>
    <t xml:space="preserve">2 adet maske camı </t>
  </si>
  <si>
    <t xml:space="preserve">TOTAL </t>
  </si>
  <si>
    <t>TOPLAM (2 AL+1 SİL+2MASK)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</si>
</sst>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[$€-2]\ #,##0.00"/>
    <numFmt numFmtId="168" formatCode="&quot;$&quot;#,##0"/>
    <numFmt numFmtId="169" formatCode="_-[$$-409]* #,##0.00_ ;_-[$$-409]* \-#,##0.00\ ;_-[$$-409]* &quot;-&quot;??_ ;_-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6"/>
      <color rgb="FFFFFF00"/>
      <name val="Calibri"/>
      <family val="2"/>
      <scheme val="minor"/>
    </font>
    <font>
      <b/>
      <u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1FD7E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8" xfId="0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39" fontId="0" fillId="0" borderId="0" xfId="1" applyNumberFormat="1" applyFont="1" applyFill="1" applyBorder="1" applyAlignment="1">
      <alignment vertical="center" wrapText="1"/>
    </xf>
    <xf numFmtId="164" fontId="0" fillId="0" borderId="0" xfId="0" applyNumberForma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 applyBorder="1" applyAlignment="1">
      <alignment vertical="center" wrapText="1"/>
    </xf>
    <xf numFmtId="0" fontId="13" fillId="0" borderId="0" xfId="0" applyFont="1"/>
    <xf numFmtId="0" fontId="0" fillId="4" borderId="0" xfId="0" applyFill="1" applyBorder="1" applyAlignment="1">
      <alignment vertical="center" wrapText="1"/>
    </xf>
    <xf numFmtId="39" fontId="0" fillId="4" borderId="0" xfId="1" applyNumberFormat="1" applyFont="1" applyFill="1" applyBorder="1" applyAlignment="1">
      <alignment vertical="center" wrapText="1"/>
    </xf>
    <xf numFmtId="166" fontId="0" fillId="4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68" fontId="2" fillId="0" borderId="0" xfId="0" applyNumberFormat="1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/>
    </xf>
    <xf numFmtId="0" fontId="18" fillId="8" borderId="4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8" borderId="10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1" fillId="4" borderId="14" xfId="0" applyFont="1" applyFill="1" applyBorder="1" applyAlignment="1">
      <alignment vertical="center" wrapText="1"/>
    </xf>
    <xf numFmtId="0" fontId="11" fillId="4" borderId="14" xfId="0" applyFont="1" applyFill="1" applyBorder="1" applyAlignment="1">
      <alignment horizontal="center" vertical="center" wrapText="1"/>
    </xf>
    <xf numFmtId="43" fontId="0" fillId="0" borderId="0" xfId="0" applyNumberFormat="1"/>
    <xf numFmtId="0" fontId="0" fillId="10" borderId="8" xfId="0" applyFill="1" applyBorder="1" applyAlignment="1">
      <alignment wrapText="1"/>
    </xf>
    <xf numFmtId="0" fontId="0" fillId="10" borderId="0" xfId="0" applyFill="1" applyBorder="1" applyAlignment="1">
      <alignment vertical="center" wrapText="1"/>
    </xf>
    <xf numFmtId="164" fontId="0" fillId="10" borderId="0" xfId="0" applyNumberFormat="1" applyFill="1" applyBorder="1" applyAlignment="1">
      <alignment vertical="center" wrapText="1"/>
    </xf>
    <xf numFmtId="0" fontId="9" fillId="10" borderId="0" xfId="0" applyFont="1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168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/>
    </xf>
    <xf numFmtId="0" fontId="0" fillId="0" borderId="0" xfId="0" applyFill="1"/>
    <xf numFmtId="0" fontId="0" fillId="7" borderId="1" xfId="0" applyFill="1" applyBorder="1"/>
    <xf numFmtId="0" fontId="0" fillId="0" borderId="1" xfId="0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164" fontId="15" fillId="0" borderId="1" xfId="1" applyFont="1" applyFill="1" applyBorder="1" applyAlignment="1">
      <alignment vertical="center"/>
    </xf>
    <xf numFmtId="164" fontId="15" fillId="0" borderId="1" xfId="1" applyFon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164" fontId="0" fillId="0" borderId="1" xfId="1" applyFont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164" fontId="0" fillId="7" borderId="1" xfId="1" applyFont="1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164" fontId="0" fillId="7" borderId="1" xfId="1" applyFont="1" applyFill="1" applyBorder="1"/>
    <xf numFmtId="164" fontId="0" fillId="0" borderId="1" xfId="1" applyFont="1" applyBorder="1"/>
    <xf numFmtId="164" fontId="0" fillId="0" borderId="1" xfId="1" applyFont="1" applyFill="1" applyBorder="1" applyAlignment="1">
      <alignment vertical="center"/>
    </xf>
    <xf numFmtId="0" fontId="1" fillId="7" borderId="1" xfId="3" applyFill="1" applyBorder="1"/>
    <xf numFmtId="164" fontId="0" fillId="7" borderId="15" xfId="1" applyFont="1" applyFill="1" applyBorder="1"/>
    <xf numFmtId="164" fontId="0" fillId="7" borderId="15" xfId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164" fontId="0" fillId="0" borderId="1" xfId="1" applyFont="1" applyFill="1" applyBorder="1"/>
    <xf numFmtId="0" fontId="18" fillId="0" borderId="17" xfId="0" applyFont="1" applyBorder="1"/>
    <xf numFmtId="43" fontId="18" fillId="0" borderId="18" xfId="0" applyNumberFormat="1" applyFont="1" applyBorder="1"/>
    <xf numFmtId="43" fontId="18" fillId="10" borderId="18" xfId="0" applyNumberFormat="1" applyFont="1" applyFill="1" applyBorder="1"/>
    <xf numFmtId="0" fontId="2" fillId="10" borderId="12" xfId="0" applyFont="1" applyFill="1" applyBorder="1"/>
    <xf numFmtId="0" fontId="0" fillId="10" borderId="16" xfId="0" applyFill="1" applyBorder="1" applyAlignment="1">
      <alignment vertical="center" wrapText="1"/>
    </xf>
    <xf numFmtId="164" fontId="0" fillId="0" borderId="0" xfId="1" applyFont="1" applyFill="1" applyBorder="1" applyAlignment="1">
      <alignment horizontal="center" vertical="center"/>
    </xf>
    <xf numFmtId="164" fontId="0" fillId="10" borderId="13" xfId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0" borderId="1" xfId="0" applyFont="1" applyFill="1" applyBorder="1"/>
    <xf numFmtId="164" fontId="0" fillId="10" borderId="1" xfId="0" applyNumberFormat="1" applyFill="1" applyBorder="1" applyAlignment="1">
      <alignment horizontal="center" vertical="center"/>
    </xf>
    <xf numFmtId="169" fontId="0" fillId="11" borderId="0" xfId="2" applyNumberFormat="1" applyFont="1" applyFill="1"/>
    <xf numFmtId="169" fontId="0" fillId="0" borderId="0" xfId="2" applyNumberFormat="1" applyFont="1"/>
    <xf numFmtId="0" fontId="4" fillId="7" borderId="0" xfId="3" applyFont="1" applyFill="1" applyAlignment="1">
      <alignment horizontal="left" vertical="center"/>
    </xf>
    <xf numFmtId="0" fontId="2" fillId="0" borderId="0" xfId="3" applyFont="1" applyAlignment="1">
      <alignment vertical="center"/>
    </xf>
    <xf numFmtId="2" fontId="2" fillId="0" borderId="0" xfId="3" applyNumberFormat="1" applyFont="1" applyAlignment="1">
      <alignment horizontal="center" vertical="center" wrapText="1"/>
    </xf>
    <xf numFmtId="169" fontId="2" fillId="0" borderId="0" xfId="3" applyNumberFormat="1" applyFont="1" applyAlignment="1">
      <alignment horizontal="center" vertical="center" wrapText="1"/>
    </xf>
    <xf numFmtId="0" fontId="2" fillId="0" borderId="0" xfId="3" applyFont="1" applyFill="1" applyAlignment="1">
      <alignment vertical="center"/>
    </xf>
    <xf numFmtId="0" fontId="1" fillId="11" borderId="0" xfId="3" applyFill="1"/>
    <xf numFmtId="2" fontId="1" fillId="11" borderId="0" xfId="3" applyNumberFormat="1" applyFill="1" applyAlignment="1">
      <alignment horizontal="center"/>
    </xf>
    <xf numFmtId="169" fontId="1" fillId="11" borderId="0" xfId="3" applyNumberFormat="1" applyFill="1"/>
    <xf numFmtId="0" fontId="1" fillId="0" borderId="0" xfId="3" applyFill="1"/>
    <xf numFmtId="0" fontId="1" fillId="0" borderId="0" xfId="3"/>
    <xf numFmtId="0" fontId="2" fillId="0" borderId="0" xfId="3" applyFont="1"/>
    <xf numFmtId="169" fontId="1" fillId="0" borderId="0" xfId="3" applyNumberFormat="1"/>
    <xf numFmtId="2" fontId="1" fillId="0" borderId="0" xfId="3" applyNumberFormat="1" applyAlignment="1">
      <alignment horizontal="center"/>
    </xf>
    <xf numFmtId="0" fontId="1" fillId="0" borderId="0" xfId="3" applyAlignment="1">
      <alignment horizontal="left"/>
    </xf>
    <xf numFmtId="0" fontId="24" fillId="12" borderId="1" xfId="3" applyFont="1" applyFill="1" applyBorder="1"/>
    <xf numFmtId="2" fontId="24" fillId="12" borderId="1" xfId="3" applyNumberFormat="1" applyFont="1" applyFill="1" applyBorder="1" applyAlignment="1">
      <alignment horizontal="center"/>
    </xf>
    <xf numFmtId="169" fontId="24" fillId="12" borderId="1" xfId="2" applyNumberFormat="1" applyFont="1" applyFill="1" applyBorder="1" applyAlignment="1">
      <alignment horizontal="center"/>
    </xf>
    <xf numFmtId="169" fontId="24" fillId="12" borderId="1" xfId="3" applyNumberFormat="1" applyFont="1" applyFill="1" applyBorder="1"/>
    <xf numFmtId="0" fontId="1" fillId="0" borderId="1" xfId="3" applyFill="1" applyBorder="1"/>
    <xf numFmtId="2" fontId="1" fillId="12" borderId="1" xfId="3" applyNumberFormat="1" applyFill="1" applyBorder="1" applyAlignment="1">
      <alignment horizontal="center"/>
    </xf>
    <xf numFmtId="169" fontId="24" fillId="12" borderId="1" xfId="3" applyNumberFormat="1" applyFont="1" applyFill="1" applyBorder="1" applyAlignment="1">
      <alignment horizontal="center"/>
    </xf>
    <xf numFmtId="169" fontId="1" fillId="12" borderId="1" xfId="3" applyNumberFormat="1" applyFill="1" applyBorder="1"/>
    <xf numFmtId="0" fontId="1" fillId="13" borderId="1" xfId="3" applyFill="1" applyBorder="1"/>
    <xf numFmtId="2" fontId="1" fillId="13" borderId="1" xfId="3" applyNumberFormat="1" applyFill="1" applyBorder="1" applyAlignment="1">
      <alignment horizontal="center"/>
    </xf>
    <xf numFmtId="169" fontId="0" fillId="13" borderId="1" xfId="2" applyNumberFormat="1" applyFont="1" applyFill="1" applyBorder="1"/>
    <xf numFmtId="169" fontId="1" fillId="13" borderId="1" xfId="3" applyNumberFormat="1" applyFill="1" applyBorder="1"/>
    <xf numFmtId="0" fontId="1" fillId="0" borderId="1" xfId="3" applyBorder="1"/>
    <xf numFmtId="2" fontId="1" fillId="7" borderId="1" xfId="3" applyNumberFormat="1" applyFill="1" applyBorder="1" applyAlignment="1">
      <alignment horizontal="center"/>
    </xf>
    <xf numFmtId="169" fontId="0" fillId="0" borderId="1" xfId="2" applyNumberFormat="1" applyFont="1" applyBorder="1"/>
    <xf numFmtId="169" fontId="1" fillId="0" borderId="1" xfId="3" applyNumberFormat="1" applyBorder="1"/>
    <xf numFmtId="2" fontId="1" fillId="0" borderId="1" xfId="3" applyNumberFormat="1" applyBorder="1" applyAlignment="1">
      <alignment horizontal="center"/>
    </xf>
    <xf numFmtId="0" fontId="2" fillId="0" borderId="1" xfId="3" applyFont="1" applyBorder="1"/>
    <xf numFmtId="2" fontId="2" fillId="0" borderId="1" xfId="3" applyNumberFormat="1" applyFont="1" applyBorder="1" applyAlignment="1">
      <alignment horizontal="center"/>
    </xf>
    <xf numFmtId="169" fontId="2" fillId="0" borderId="1" xfId="2" applyNumberFormat="1" applyFont="1" applyBorder="1"/>
    <xf numFmtId="169" fontId="2" fillId="0" borderId="1" xfId="3" applyNumberFormat="1" applyFont="1" applyBorder="1"/>
    <xf numFmtId="0" fontId="2" fillId="0" borderId="1" xfId="3" applyFont="1" applyFill="1" applyBorder="1"/>
    <xf numFmtId="169" fontId="4" fillId="0" borderId="1" xfId="3" applyNumberFormat="1" applyFont="1" applyBorder="1"/>
    <xf numFmtId="2" fontId="2" fillId="0" borderId="7" xfId="3" applyNumberFormat="1" applyFont="1" applyBorder="1" applyAlignment="1">
      <alignment horizontal="center"/>
    </xf>
    <xf numFmtId="0" fontId="25" fillId="0" borderId="1" xfId="3" applyFont="1" applyBorder="1"/>
    <xf numFmtId="169" fontId="19" fillId="0" borderId="1" xfId="3" applyNumberFormat="1" applyFont="1" applyBorder="1"/>
    <xf numFmtId="164" fontId="18" fillId="0" borderId="18" xfId="1" applyFont="1" applyBorder="1"/>
    <xf numFmtId="164" fontId="18" fillId="10" borderId="18" xfId="1" applyFont="1" applyFill="1" applyBorder="1"/>
    <xf numFmtId="166" fontId="0" fillId="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166" fontId="0" fillId="10" borderId="1" xfId="0" applyNumberForma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/>
    </xf>
    <xf numFmtId="0" fontId="19" fillId="9" borderId="13" xfId="0" applyFont="1" applyFill="1" applyBorder="1" applyAlignment="1">
      <alignment horizontal="center"/>
    </xf>
  </cellXfs>
  <cellStyles count="9">
    <cellStyle name="Comma 2" xfId="4"/>
    <cellStyle name="Comma 2 2" xfId="5"/>
    <cellStyle name="Comma 2 3" xfId="7"/>
    <cellStyle name="Comma 3" xfId="8"/>
    <cellStyle name="Currency 2" xfId="2"/>
    <cellStyle name="Normal" xfId="0" builtinId="0"/>
    <cellStyle name="Normal 2" xfId="3"/>
    <cellStyle name="Normal 3" xfId="6"/>
    <cellStyle name="ParaBirimi" xfId="1" builtinId="4"/>
  </cellStyles>
  <dxfs count="0"/>
  <tableStyles count="0" defaultTableStyle="TableStyleMedium2" defaultPivotStyle="PivotStyleLight16"/>
  <colors>
    <mruColors>
      <color rgb="FF51FD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delen\bilgi\Documents%20and%20Settings\eeti\Local%20Settings\Temporary%20Internet%20Files\OLK4\TIHA%20PROJESI%20MXF-795-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20.4\Yon_Des\Raporlar\Performans_izleme\HedeflereIliskinPerformansGostergeleri_2019\Butce%202019%20s14.3.10_ERP_I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ler"/>
      <sheetName val="Nakit G-Ç"/>
      <sheetName val="Yedekler"/>
      <sheetName val="veri"/>
      <sheetName val="Kur"/>
      <sheetName val="Masraf Çeşidi"/>
      <sheetName val="Validation"/>
      <sheetName val="Sheet1"/>
      <sheetName val="Yı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HARCAMA GEREKÇE"/>
      <sheetName val="GELİR"/>
      <sheetName val="GİDER"/>
      <sheetName val="OZET"/>
      <sheetName val="2019 BÜTÇE"/>
      <sheetName val="2017-2021 BUTCE"/>
      <sheetName val="PERS.BAGLI"/>
      <sheetName val="GEN. GİD."/>
      <sheetName val="06-ALTYAPI-YATIRIM (2)"/>
      <sheetName val="TOPLAM 2020"/>
      <sheetName val="03.2 Tüketime Yönelik .. FAB"/>
      <sheetName val="03.7. Menkul Mal ... FAB"/>
      <sheetName val=" Gay. Büy.Yeni TA"/>
      <sheetName val="03.2 Tüketime Yönelik .. TD"/>
      <sheetName val="03.2 d.gaz, elk, su"/>
      <sheetName val="03.05. Hizmet Alımı TD"/>
      <sheetName val="03.7. Menkul Mal .... TD"/>
      <sheetName val="06.1 Mamul Mal Alım TD"/>
      <sheetName val="06.7 Gay. Büy. Onarım TD"/>
      <sheetName val="03.2 Tüketime Yönelik .. İMİ"/>
      <sheetName val="KB 2020-2021 BUTCE (2)"/>
      <sheetName val="12 um 2019 BÜTÇE"/>
      <sheetName val="MWL SLS 2019 BÜTÇE"/>
      <sheetName val="MIMO 2020-2021 BUTCE"/>
      <sheetName val="CARDIO 2020-2021 BUTCE"/>
      <sheetName val="KB 2020-2021 BUTCE"/>
      <sheetName val="KB Bütçe Eski"/>
      <sheetName val="GELİRLER"/>
      <sheetName val="06-ALTYAPI-YATIRIM (2)-1"/>
      <sheetName val="Laboratuvar Malz.ve Kimyasal-1"/>
      <sheetName val="Borsen-Swagelog"/>
      <sheetName val="CİHAZ BO-1"/>
      <sheetName val="Demirbaş -1"/>
      <sheetName val="BT-1 "/>
      <sheetName val="Borsen-Swagelog-1"/>
    </sheetNames>
    <sheetDataSet>
      <sheetData sheetId="0">
        <row r="4">
          <cell r="G4">
            <v>6.3707000000000003</v>
          </cell>
        </row>
        <row r="5">
          <cell r="G5">
            <v>7.1235999999999997</v>
          </cell>
        </row>
        <row r="6">
          <cell r="G6">
            <v>8.3105781499999996</v>
          </cell>
        </row>
      </sheetData>
      <sheetData sheetId="1"/>
      <sheetData sheetId="2"/>
      <sheetData sheetId="3"/>
      <sheetData sheetId="4"/>
      <sheetData sheetId="5">
        <row r="14">
          <cell r="A14" t="str">
            <v>03.4.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1FD7E"/>
  </sheetPr>
  <dimension ref="A1:DA71"/>
  <sheetViews>
    <sheetView zoomScale="89" zoomScaleNormal="89" workbookViewId="0">
      <pane xSplit="3" ySplit="4" topLeftCell="D32" activePane="bottomRight" state="frozen"/>
      <selection pane="topRight" activeCell="D1" sqref="D1"/>
      <selection pane="bottomLeft" activeCell="A5" sqref="A5"/>
      <selection pane="bottomRight" activeCell="E38" sqref="E38"/>
    </sheetView>
  </sheetViews>
  <sheetFormatPr defaultColWidth="9.109375" defaultRowHeight="14.4" x14ac:dyDescent="0.3"/>
  <cols>
    <col min="1" max="1" width="7.5546875" style="1" customWidth="1"/>
    <col min="2" max="2" width="8.88671875" style="2" customWidth="1"/>
    <col min="3" max="3" width="32.33203125" style="2" customWidth="1"/>
    <col min="4" max="4" width="2.33203125" style="2" customWidth="1"/>
    <col min="5" max="5" width="13.88671875" style="16" bestFit="1" customWidth="1"/>
    <col min="6" max="6" width="21.33203125" style="16" customWidth="1"/>
    <col min="7" max="7" width="24.5546875" style="16" bestFit="1" customWidth="1"/>
    <col min="8" max="8" width="13.33203125" style="16" customWidth="1"/>
    <col min="9" max="9" width="11.6640625" style="14" customWidth="1"/>
    <col min="10" max="10" width="12" style="14" customWidth="1"/>
    <col min="11" max="11" width="15.109375" style="14" customWidth="1"/>
    <col min="12" max="12" width="13.5546875" style="14" customWidth="1"/>
    <col min="13" max="13" width="23.6640625" style="14" bestFit="1" customWidth="1"/>
    <col min="14" max="14" width="12" style="14" customWidth="1"/>
    <col min="15" max="15" width="11" style="14" customWidth="1"/>
    <col min="16" max="16" width="9.6640625" style="14" customWidth="1"/>
    <col min="17" max="17" width="9" style="14" customWidth="1"/>
    <col min="18" max="18" width="10.88671875" style="14" customWidth="1"/>
    <col min="19" max="19" width="9.88671875" style="14" customWidth="1"/>
    <col min="20" max="20" width="8.88671875" style="14" customWidth="1"/>
    <col min="21" max="21" width="10.5546875" style="14" customWidth="1"/>
    <col min="22" max="22" width="11.44140625" style="14" customWidth="1"/>
    <col min="23" max="104" width="9.109375" style="14"/>
    <col min="105" max="16384" width="9.109375" style="1"/>
  </cols>
  <sheetData>
    <row r="1" spans="1:105" ht="15" customHeight="1" x14ac:dyDescent="0.3">
      <c r="B1" s="170" t="s">
        <v>7</v>
      </c>
      <c r="C1" s="170"/>
    </row>
    <row r="2" spans="1:105" ht="21.6" thickBot="1" x14ac:dyDescent="0.35">
      <c r="C2" s="22" t="s">
        <v>6</v>
      </c>
      <c r="O2" s="175"/>
      <c r="P2" s="175"/>
      <c r="S2" s="174"/>
      <c r="T2" s="174"/>
      <c r="U2" s="173" t="s">
        <v>98</v>
      </c>
      <c r="V2" s="173"/>
    </row>
    <row r="3" spans="1:105" s="6" customFormat="1" ht="72.75" customHeight="1" x14ac:dyDescent="0.3">
      <c r="A3" s="8" t="s">
        <v>3</v>
      </c>
      <c r="B3" s="9" t="s">
        <v>1</v>
      </c>
      <c r="C3" s="10" t="s">
        <v>0</v>
      </c>
      <c r="D3" s="7"/>
      <c r="E3" s="171" t="s">
        <v>19</v>
      </c>
      <c r="F3" s="172"/>
      <c r="G3" s="171" t="s">
        <v>18</v>
      </c>
      <c r="H3" s="172"/>
      <c r="I3" s="171" t="s">
        <v>41</v>
      </c>
      <c r="J3" s="172"/>
      <c r="K3" s="177" t="s">
        <v>44</v>
      </c>
      <c r="L3" s="172"/>
      <c r="M3" s="177" t="s">
        <v>43</v>
      </c>
      <c r="N3" s="172"/>
      <c r="O3" s="176" t="s">
        <v>21</v>
      </c>
      <c r="P3" s="176"/>
      <c r="Q3" s="176" t="s">
        <v>42</v>
      </c>
      <c r="R3" s="176"/>
      <c r="S3" s="176" t="s">
        <v>45</v>
      </c>
      <c r="T3" s="176"/>
      <c r="U3" s="171" t="s">
        <v>71</v>
      </c>
      <c r="V3" s="172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2"/>
    </row>
    <row r="4" spans="1:105" s="6" customFormat="1" ht="21" x14ac:dyDescent="0.3">
      <c r="A4" s="28"/>
      <c r="B4" s="3"/>
      <c r="C4" s="3"/>
      <c r="D4" s="3"/>
      <c r="E4" s="4" t="s">
        <v>5</v>
      </c>
      <c r="F4" s="5" t="s">
        <v>4</v>
      </c>
      <c r="G4" s="4" t="s">
        <v>5</v>
      </c>
      <c r="H4" s="5" t="s">
        <v>4</v>
      </c>
      <c r="I4" s="4" t="s">
        <v>5</v>
      </c>
      <c r="J4" s="5" t="s">
        <v>4</v>
      </c>
      <c r="K4" s="4" t="s">
        <v>5</v>
      </c>
      <c r="L4" s="5" t="s">
        <v>4</v>
      </c>
      <c r="M4" s="4" t="s">
        <v>5</v>
      </c>
      <c r="N4" s="5" t="s">
        <v>4</v>
      </c>
      <c r="O4" s="4" t="s">
        <v>5</v>
      </c>
      <c r="P4" s="5" t="s">
        <v>4</v>
      </c>
      <c r="Q4" s="4" t="s">
        <v>5</v>
      </c>
      <c r="R4" s="5" t="s">
        <v>4</v>
      </c>
      <c r="S4" s="4" t="s">
        <v>5</v>
      </c>
      <c r="T4" s="5" t="s">
        <v>4</v>
      </c>
      <c r="U4" s="4" t="s">
        <v>5</v>
      </c>
      <c r="V4" s="5" t="s">
        <v>4</v>
      </c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2"/>
    </row>
    <row r="5" spans="1:105" s="36" customFormat="1" ht="36" x14ac:dyDescent="0.3">
      <c r="A5" s="33">
        <v>1</v>
      </c>
      <c r="B5" s="31" t="s">
        <v>16</v>
      </c>
      <c r="C5" s="31" t="s">
        <v>24</v>
      </c>
      <c r="D5" s="31"/>
      <c r="E5" s="31">
        <f>SUM(E6:E9)</f>
        <v>1</v>
      </c>
      <c r="F5" s="31">
        <f t="shared" ref="F5:V5" si="0">SUM(F6:F9)</f>
        <v>1</v>
      </c>
      <c r="G5" s="31">
        <f t="shared" si="0"/>
        <v>1.1000000000000001</v>
      </c>
      <c r="H5" s="31">
        <f t="shared" si="0"/>
        <v>1.1000000000000001</v>
      </c>
      <c r="I5" s="31">
        <f t="shared" si="0"/>
        <v>0</v>
      </c>
      <c r="J5" s="31">
        <f t="shared" si="0"/>
        <v>0</v>
      </c>
      <c r="K5" s="31">
        <f t="shared" si="0"/>
        <v>1</v>
      </c>
      <c r="L5" s="31">
        <f t="shared" si="0"/>
        <v>1</v>
      </c>
      <c r="M5" s="31">
        <f t="shared" si="0"/>
        <v>0</v>
      </c>
      <c r="N5" s="31">
        <f t="shared" si="0"/>
        <v>0</v>
      </c>
      <c r="O5" s="31">
        <f t="shared" si="0"/>
        <v>0</v>
      </c>
      <c r="P5" s="31">
        <f t="shared" si="0"/>
        <v>0</v>
      </c>
      <c r="Q5" s="31"/>
      <c r="R5" s="31"/>
      <c r="S5" s="31">
        <f t="shared" si="0"/>
        <v>0</v>
      </c>
      <c r="T5" s="31">
        <f t="shared" si="0"/>
        <v>0</v>
      </c>
      <c r="U5" s="31">
        <f t="shared" si="0"/>
        <v>0</v>
      </c>
      <c r="V5" s="31">
        <f t="shared" si="0"/>
        <v>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5"/>
    </row>
    <row r="6" spans="1:105" s="38" customFormat="1" ht="18" x14ac:dyDescent="0.3">
      <c r="A6" s="32">
        <v>2</v>
      </c>
      <c r="B6" s="37" t="s">
        <v>2</v>
      </c>
      <c r="C6" s="37" t="s">
        <v>25</v>
      </c>
      <c r="E6" s="32"/>
      <c r="F6" s="32"/>
      <c r="G6" s="32">
        <v>1</v>
      </c>
      <c r="H6" s="32">
        <v>1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</row>
    <row r="7" spans="1:105" s="38" customFormat="1" ht="18" x14ac:dyDescent="0.3">
      <c r="A7" s="32">
        <v>3</v>
      </c>
      <c r="B7" s="37" t="s">
        <v>2</v>
      </c>
      <c r="C7" s="37" t="s">
        <v>29</v>
      </c>
      <c r="E7" s="32"/>
      <c r="F7" s="32"/>
      <c r="G7" s="32"/>
      <c r="H7" s="32"/>
      <c r="I7" s="32"/>
      <c r="J7" s="32"/>
      <c r="K7" s="32">
        <v>1</v>
      </c>
      <c r="L7" s="32">
        <v>1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</row>
    <row r="8" spans="1:105" s="38" customFormat="1" ht="18" x14ac:dyDescent="0.3">
      <c r="A8" s="32">
        <v>4</v>
      </c>
      <c r="B8" s="37" t="s">
        <v>2</v>
      </c>
      <c r="C8" s="37" t="s">
        <v>30</v>
      </c>
      <c r="E8" s="32">
        <v>1</v>
      </c>
      <c r="F8" s="32">
        <v>1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40"/>
    </row>
    <row r="9" spans="1:105" s="24" customFormat="1" ht="18" x14ac:dyDescent="0.3">
      <c r="A9" s="32">
        <v>5</v>
      </c>
      <c r="B9" s="37" t="s">
        <v>2</v>
      </c>
      <c r="C9" s="37" t="s">
        <v>20</v>
      </c>
      <c r="D9" s="38"/>
      <c r="E9" s="46"/>
      <c r="F9" s="46"/>
      <c r="G9" s="46">
        <v>0.1</v>
      </c>
      <c r="H9" s="46">
        <v>0.1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41"/>
    </row>
    <row r="10" spans="1:105" s="36" customFormat="1" ht="18" x14ac:dyDescent="0.3">
      <c r="A10" s="42">
        <v>6</v>
      </c>
      <c r="B10" s="31" t="s">
        <v>16</v>
      </c>
      <c r="C10" s="31" t="s">
        <v>26</v>
      </c>
      <c r="D10" s="31"/>
      <c r="E10" s="31">
        <f>SUM(E11)</f>
        <v>0</v>
      </c>
      <c r="F10" s="31">
        <f t="shared" ref="F10:V10" si="1">SUM(F11)</f>
        <v>0</v>
      </c>
      <c r="G10" s="31">
        <f t="shared" si="1"/>
        <v>0</v>
      </c>
      <c r="H10" s="31">
        <f t="shared" si="1"/>
        <v>0</v>
      </c>
      <c r="I10" s="31">
        <f t="shared" si="1"/>
        <v>7</v>
      </c>
      <c r="J10" s="31">
        <f t="shared" si="1"/>
        <v>2</v>
      </c>
      <c r="K10" s="31">
        <f t="shared" si="1"/>
        <v>0</v>
      </c>
      <c r="L10" s="31">
        <f t="shared" si="1"/>
        <v>0</v>
      </c>
      <c r="M10" s="31">
        <f t="shared" si="1"/>
        <v>0</v>
      </c>
      <c r="N10" s="31">
        <f t="shared" si="1"/>
        <v>0</v>
      </c>
      <c r="O10" s="31">
        <f t="shared" si="1"/>
        <v>0</v>
      </c>
      <c r="P10" s="31">
        <f t="shared" si="1"/>
        <v>0</v>
      </c>
      <c r="Q10" s="31"/>
      <c r="R10" s="31"/>
      <c r="S10" s="31">
        <f t="shared" si="1"/>
        <v>0</v>
      </c>
      <c r="T10" s="31">
        <f t="shared" si="1"/>
        <v>0</v>
      </c>
      <c r="U10" s="31">
        <f t="shared" si="1"/>
        <v>0</v>
      </c>
      <c r="V10" s="31">
        <f t="shared" si="1"/>
        <v>0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5"/>
    </row>
    <row r="11" spans="1:105" s="24" customFormat="1" ht="28.8" x14ac:dyDescent="0.3">
      <c r="A11" s="43">
        <v>7</v>
      </c>
      <c r="B11" s="37" t="s">
        <v>2</v>
      </c>
      <c r="C11" s="37" t="s">
        <v>33</v>
      </c>
      <c r="D11" s="38"/>
      <c r="E11" s="46"/>
      <c r="F11" s="46"/>
      <c r="G11" s="46"/>
      <c r="H11" s="46"/>
      <c r="I11" s="46">
        <v>7</v>
      </c>
      <c r="J11" s="46">
        <v>2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41"/>
    </row>
    <row r="12" spans="1:105" s="36" customFormat="1" ht="18" x14ac:dyDescent="0.3">
      <c r="A12" s="42">
        <v>8</v>
      </c>
      <c r="B12" s="31" t="s">
        <v>16</v>
      </c>
      <c r="C12" s="31" t="s">
        <v>27</v>
      </c>
      <c r="D12" s="31"/>
      <c r="E12" s="31">
        <f>SUM(E13,E14)</f>
        <v>5</v>
      </c>
      <c r="F12" s="31">
        <f t="shared" ref="F12:V12" si="2">SUM(F13,F14)</f>
        <v>0.5</v>
      </c>
      <c r="G12" s="31">
        <f t="shared" si="2"/>
        <v>0.1</v>
      </c>
      <c r="H12" s="31">
        <f t="shared" si="2"/>
        <v>0.1</v>
      </c>
      <c r="I12" s="31">
        <f t="shared" si="2"/>
        <v>0</v>
      </c>
      <c r="J12" s="31">
        <f t="shared" si="2"/>
        <v>0</v>
      </c>
      <c r="K12" s="31">
        <f t="shared" si="2"/>
        <v>0</v>
      </c>
      <c r="L12" s="31">
        <f t="shared" si="2"/>
        <v>0</v>
      </c>
      <c r="M12" s="31">
        <f t="shared" si="2"/>
        <v>0</v>
      </c>
      <c r="N12" s="31">
        <f t="shared" si="2"/>
        <v>0</v>
      </c>
      <c r="O12" s="31">
        <f t="shared" si="2"/>
        <v>0</v>
      </c>
      <c r="P12" s="31">
        <f t="shared" si="2"/>
        <v>0</v>
      </c>
      <c r="Q12" s="31"/>
      <c r="R12" s="31"/>
      <c r="S12" s="31">
        <f t="shared" si="2"/>
        <v>0</v>
      </c>
      <c r="T12" s="31">
        <f t="shared" si="2"/>
        <v>0</v>
      </c>
      <c r="U12" s="31">
        <f t="shared" si="2"/>
        <v>0</v>
      </c>
      <c r="V12" s="31">
        <f t="shared" si="2"/>
        <v>0</v>
      </c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5"/>
    </row>
    <row r="13" spans="1:105" s="24" customFormat="1" ht="18" x14ac:dyDescent="0.3">
      <c r="A13" s="43">
        <v>9</v>
      </c>
      <c r="B13" s="37" t="s">
        <v>2</v>
      </c>
      <c r="C13" s="37" t="s">
        <v>28</v>
      </c>
      <c r="D13" s="38"/>
      <c r="E13" s="46">
        <v>5</v>
      </c>
      <c r="F13" s="46">
        <v>0.5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41"/>
    </row>
    <row r="14" spans="1:105" s="24" customFormat="1" ht="18" x14ac:dyDescent="0.3">
      <c r="A14" s="32">
        <v>10</v>
      </c>
      <c r="B14" s="37" t="s">
        <v>2</v>
      </c>
      <c r="C14" s="37" t="s">
        <v>20</v>
      </c>
      <c r="D14" s="38"/>
      <c r="E14" s="46"/>
      <c r="F14" s="46"/>
      <c r="G14" s="46">
        <v>0.1</v>
      </c>
      <c r="H14" s="46">
        <v>0.1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41"/>
    </row>
    <row r="15" spans="1:105" s="36" customFormat="1" ht="18" x14ac:dyDescent="0.3">
      <c r="A15" s="33">
        <v>11</v>
      </c>
      <c r="B15" s="31" t="s">
        <v>16</v>
      </c>
      <c r="C15" s="31" t="s">
        <v>31</v>
      </c>
      <c r="D15" s="31"/>
      <c r="E15" s="31">
        <f>SUM(E16:E21)</f>
        <v>3.5</v>
      </c>
      <c r="F15" s="31">
        <f t="shared" ref="F15:V15" si="3">SUM(F16:F21)</f>
        <v>3</v>
      </c>
      <c r="G15" s="31">
        <f t="shared" si="3"/>
        <v>1.1000000000000001</v>
      </c>
      <c r="H15" s="31">
        <f t="shared" si="3"/>
        <v>1.1000000000000001</v>
      </c>
      <c r="I15" s="31">
        <f t="shared" si="3"/>
        <v>0</v>
      </c>
      <c r="J15" s="31">
        <f t="shared" si="3"/>
        <v>0</v>
      </c>
      <c r="K15" s="31">
        <f t="shared" si="3"/>
        <v>1</v>
      </c>
      <c r="L15" s="31">
        <f t="shared" si="3"/>
        <v>1</v>
      </c>
      <c r="M15" s="31">
        <f t="shared" si="3"/>
        <v>0</v>
      </c>
      <c r="N15" s="31">
        <f t="shared" si="3"/>
        <v>0</v>
      </c>
      <c r="O15" s="31">
        <f t="shared" si="3"/>
        <v>0</v>
      </c>
      <c r="P15" s="31">
        <f t="shared" si="3"/>
        <v>0</v>
      </c>
      <c r="Q15" s="31"/>
      <c r="R15" s="31"/>
      <c r="S15" s="31">
        <f t="shared" si="3"/>
        <v>0</v>
      </c>
      <c r="T15" s="31">
        <f t="shared" si="3"/>
        <v>0</v>
      </c>
      <c r="U15" s="31">
        <f t="shared" si="3"/>
        <v>0</v>
      </c>
      <c r="V15" s="31">
        <f t="shared" si="3"/>
        <v>0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5"/>
    </row>
    <row r="16" spans="1:105" s="24" customFormat="1" ht="18" x14ac:dyDescent="0.3">
      <c r="A16" s="32">
        <v>12</v>
      </c>
      <c r="B16" s="37" t="s">
        <v>2</v>
      </c>
      <c r="C16" s="44" t="s">
        <v>25</v>
      </c>
      <c r="D16" s="38"/>
      <c r="E16" s="46"/>
      <c r="F16" s="46"/>
      <c r="G16" s="46">
        <v>1</v>
      </c>
      <c r="H16" s="46">
        <v>1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41"/>
    </row>
    <row r="17" spans="1:105" s="24" customFormat="1" ht="18" x14ac:dyDescent="0.3">
      <c r="A17" s="43">
        <v>13</v>
      </c>
      <c r="B17" s="37"/>
      <c r="C17" s="37" t="s">
        <v>29</v>
      </c>
      <c r="D17" s="38"/>
      <c r="E17" s="46"/>
      <c r="F17" s="46"/>
      <c r="G17" s="46"/>
      <c r="H17" s="46"/>
      <c r="I17" s="46"/>
      <c r="J17" s="46"/>
      <c r="K17" s="46">
        <v>1</v>
      </c>
      <c r="L17" s="46">
        <v>1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41"/>
    </row>
    <row r="18" spans="1:105" s="24" customFormat="1" ht="18" x14ac:dyDescent="0.3">
      <c r="A18" s="45">
        <v>14</v>
      </c>
      <c r="B18" s="37"/>
      <c r="C18" s="37" t="s">
        <v>30</v>
      </c>
      <c r="D18" s="38"/>
      <c r="E18" s="46">
        <v>1</v>
      </c>
      <c r="F18" s="46">
        <v>1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41"/>
    </row>
    <row r="19" spans="1:105" s="24" customFormat="1" ht="18" x14ac:dyDescent="0.3">
      <c r="A19" s="43">
        <v>15</v>
      </c>
      <c r="B19" s="37"/>
      <c r="C19" s="37" t="s">
        <v>31</v>
      </c>
      <c r="D19" s="38"/>
      <c r="E19" s="46">
        <v>1.5</v>
      </c>
      <c r="F19" s="46">
        <v>1.5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41"/>
    </row>
    <row r="20" spans="1:105" s="24" customFormat="1" ht="18" x14ac:dyDescent="0.3">
      <c r="A20" s="45">
        <v>16</v>
      </c>
      <c r="B20" s="37" t="s">
        <v>2</v>
      </c>
      <c r="C20" s="37" t="s">
        <v>32</v>
      </c>
      <c r="D20" s="38"/>
      <c r="E20" s="46">
        <v>1</v>
      </c>
      <c r="F20" s="46">
        <v>0.5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41"/>
    </row>
    <row r="21" spans="1:105" s="24" customFormat="1" ht="18" x14ac:dyDescent="0.3">
      <c r="A21" s="43">
        <v>17</v>
      </c>
      <c r="B21" s="37" t="s">
        <v>2</v>
      </c>
      <c r="C21" s="37" t="s">
        <v>20</v>
      </c>
      <c r="D21" s="38"/>
      <c r="E21" s="46"/>
      <c r="F21" s="46"/>
      <c r="G21" s="46">
        <v>0.1</v>
      </c>
      <c r="H21" s="46">
        <v>0.1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41"/>
    </row>
    <row r="22" spans="1:105" s="36" customFormat="1" ht="18" x14ac:dyDescent="0.3">
      <c r="A22" s="42">
        <v>18</v>
      </c>
      <c r="B22" s="31" t="s">
        <v>16</v>
      </c>
      <c r="C22" s="31" t="s">
        <v>34</v>
      </c>
      <c r="D22" s="31"/>
      <c r="E22" s="31">
        <f>SUM(E23:E26)</f>
        <v>0</v>
      </c>
      <c r="F22" s="31">
        <f t="shared" ref="F22:V22" si="4">SUM(F23:F26)</f>
        <v>0</v>
      </c>
      <c r="G22" s="31">
        <f t="shared" si="4"/>
        <v>2.5</v>
      </c>
      <c r="H22" s="31">
        <f t="shared" si="4"/>
        <v>2.5</v>
      </c>
      <c r="I22" s="31">
        <f t="shared" si="4"/>
        <v>0</v>
      </c>
      <c r="J22" s="31">
        <f t="shared" si="4"/>
        <v>0</v>
      </c>
      <c r="K22" s="31">
        <f t="shared" si="4"/>
        <v>1</v>
      </c>
      <c r="L22" s="31">
        <f t="shared" si="4"/>
        <v>1</v>
      </c>
      <c r="M22" s="31">
        <f t="shared" si="4"/>
        <v>4</v>
      </c>
      <c r="N22" s="31">
        <f t="shared" si="4"/>
        <v>0.1</v>
      </c>
      <c r="O22" s="31">
        <f t="shared" si="4"/>
        <v>0</v>
      </c>
      <c r="P22" s="31">
        <f t="shared" si="4"/>
        <v>0</v>
      </c>
      <c r="Q22" s="31">
        <f t="shared" si="4"/>
        <v>0</v>
      </c>
      <c r="R22" s="31">
        <f t="shared" si="4"/>
        <v>0</v>
      </c>
      <c r="S22" s="31">
        <f t="shared" si="4"/>
        <v>0</v>
      </c>
      <c r="T22" s="31">
        <f t="shared" si="4"/>
        <v>0</v>
      </c>
      <c r="U22" s="31">
        <f t="shared" si="4"/>
        <v>0</v>
      </c>
      <c r="V22" s="31">
        <f t="shared" si="4"/>
        <v>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5"/>
    </row>
    <row r="23" spans="1:105" s="24" customFormat="1" ht="18" x14ac:dyDescent="0.3">
      <c r="A23" s="43">
        <v>19</v>
      </c>
      <c r="B23" s="37" t="s">
        <v>2</v>
      </c>
      <c r="C23" s="37" t="s">
        <v>35</v>
      </c>
      <c r="D23" s="38"/>
      <c r="E23" s="46"/>
      <c r="F23" s="46"/>
      <c r="G23" s="46">
        <v>1.5</v>
      </c>
      <c r="H23" s="46">
        <v>1.5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41"/>
    </row>
    <row r="24" spans="1:105" s="24" customFormat="1" ht="18" x14ac:dyDescent="0.3">
      <c r="A24" s="45">
        <v>20</v>
      </c>
      <c r="B24" s="37" t="s">
        <v>2</v>
      </c>
      <c r="C24" s="37" t="s">
        <v>37</v>
      </c>
      <c r="D24" s="38"/>
      <c r="E24" s="46"/>
      <c r="F24" s="46"/>
      <c r="G24" s="46"/>
      <c r="H24" s="46"/>
      <c r="I24" s="46"/>
      <c r="J24" s="46"/>
      <c r="K24" s="46">
        <v>1</v>
      </c>
      <c r="L24" s="46">
        <v>1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41"/>
    </row>
    <row r="25" spans="1:105" s="24" customFormat="1" ht="18" x14ac:dyDescent="0.3">
      <c r="A25" s="43">
        <v>21</v>
      </c>
      <c r="B25" s="37" t="s">
        <v>2</v>
      </c>
      <c r="C25" s="37" t="s">
        <v>36</v>
      </c>
      <c r="D25" s="38"/>
      <c r="E25" s="46"/>
      <c r="F25" s="46"/>
      <c r="G25" s="46">
        <v>1</v>
      </c>
      <c r="H25" s="46">
        <v>1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41"/>
    </row>
    <row r="26" spans="1:105" s="24" customFormat="1" ht="18" x14ac:dyDescent="0.3">
      <c r="A26" s="45">
        <v>22</v>
      </c>
      <c r="B26" s="37" t="s">
        <v>2</v>
      </c>
      <c r="C26" s="37" t="s">
        <v>38</v>
      </c>
      <c r="D26" s="38"/>
      <c r="E26" s="46"/>
      <c r="F26" s="46"/>
      <c r="G26" s="46"/>
      <c r="H26" s="46"/>
      <c r="I26" s="46"/>
      <c r="J26" s="46"/>
      <c r="K26" s="46"/>
      <c r="L26" s="46"/>
      <c r="M26" s="46">
        <v>4</v>
      </c>
      <c r="N26" s="46">
        <v>0.1</v>
      </c>
      <c r="O26" s="46"/>
      <c r="P26" s="46"/>
      <c r="Q26" s="46"/>
      <c r="R26" s="46"/>
      <c r="S26" s="46"/>
      <c r="T26" s="46"/>
      <c r="U26" s="46"/>
      <c r="V26" s="46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41"/>
    </row>
    <row r="27" spans="1:105" s="36" customFormat="1" ht="18" x14ac:dyDescent="0.3">
      <c r="A27" s="33">
        <v>23</v>
      </c>
      <c r="B27" s="31" t="s">
        <v>16</v>
      </c>
      <c r="C27" s="31" t="s">
        <v>17</v>
      </c>
      <c r="D27" s="31"/>
      <c r="E27" s="31">
        <f>SUM(E28:E29)</f>
        <v>0</v>
      </c>
      <c r="F27" s="31">
        <f t="shared" ref="F27:T27" si="5">SUM(F28:F29)</f>
        <v>0</v>
      </c>
      <c r="G27" s="31">
        <f t="shared" si="5"/>
        <v>0</v>
      </c>
      <c r="H27" s="31">
        <f t="shared" si="5"/>
        <v>0</v>
      </c>
      <c r="I27" s="31">
        <f t="shared" si="5"/>
        <v>0</v>
      </c>
      <c r="J27" s="31">
        <f t="shared" si="5"/>
        <v>0</v>
      </c>
      <c r="K27" s="31">
        <f t="shared" si="5"/>
        <v>0</v>
      </c>
      <c r="L27" s="31">
        <f t="shared" si="5"/>
        <v>0</v>
      </c>
      <c r="M27" s="31">
        <f t="shared" si="5"/>
        <v>0</v>
      </c>
      <c r="N27" s="31">
        <f t="shared" si="5"/>
        <v>0</v>
      </c>
      <c r="O27" s="31">
        <f t="shared" si="5"/>
        <v>0</v>
      </c>
      <c r="P27" s="31">
        <f t="shared" si="5"/>
        <v>0</v>
      </c>
      <c r="Q27" s="31">
        <f t="shared" si="5"/>
        <v>8</v>
      </c>
      <c r="R27" s="31">
        <f t="shared" si="5"/>
        <v>8</v>
      </c>
      <c r="S27" s="31">
        <f t="shared" si="5"/>
        <v>2</v>
      </c>
      <c r="T27" s="31">
        <f t="shared" si="5"/>
        <v>2</v>
      </c>
      <c r="U27" s="31">
        <f>SUM(U28:U30)</f>
        <v>15</v>
      </c>
      <c r="V27" s="31">
        <f>SUM(V28:V30)</f>
        <v>15</v>
      </c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5"/>
    </row>
    <row r="28" spans="1:105" s="24" customFormat="1" ht="32.25" customHeight="1" x14ac:dyDescent="0.3">
      <c r="A28" s="45">
        <v>24</v>
      </c>
      <c r="B28" s="37" t="s">
        <v>2</v>
      </c>
      <c r="C28" s="37" t="s">
        <v>39</v>
      </c>
      <c r="D28" s="3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>
        <v>8</v>
      </c>
      <c r="R28" s="46">
        <v>8</v>
      </c>
      <c r="S28" s="46"/>
      <c r="T28" s="46"/>
      <c r="U28" s="46"/>
      <c r="V28" s="46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41"/>
    </row>
    <row r="29" spans="1:105" s="24" customFormat="1" ht="37.5" customHeight="1" x14ac:dyDescent="0.3">
      <c r="A29" s="43">
        <v>25</v>
      </c>
      <c r="B29" s="37" t="s">
        <v>2</v>
      </c>
      <c r="C29" s="37" t="s">
        <v>40</v>
      </c>
      <c r="D29" s="38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>
        <v>2</v>
      </c>
      <c r="T29" s="46">
        <v>2</v>
      </c>
      <c r="U29" s="46"/>
      <c r="V29" s="46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41"/>
    </row>
    <row r="30" spans="1:105" s="11" customFormat="1" ht="18" x14ac:dyDescent="0.3">
      <c r="A30" s="43">
        <v>25</v>
      </c>
      <c r="B30" s="37" t="s">
        <v>2</v>
      </c>
      <c r="C30" s="37" t="s">
        <v>72</v>
      </c>
      <c r="D30" s="38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>
        <v>15</v>
      </c>
      <c r="V30" s="46">
        <v>15</v>
      </c>
      <c r="W30" s="81" t="s">
        <v>95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3"/>
    </row>
    <row r="31" spans="1:105" s="6" customFormat="1" ht="31.2" x14ac:dyDescent="0.3">
      <c r="A31" s="17"/>
      <c r="B31" s="82" t="s">
        <v>61</v>
      </c>
      <c r="C31" s="21"/>
      <c r="D31" s="18"/>
      <c r="E31" s="18">
        <f>+E5+E10+E12+E15+E22+E27</f>
        <v>9.5</v>
      </c>
      <c r="F31" s="18">
        <f>+F5+F10+F12+F15+F22+F27</f>
        <v>4.5</v>
      </c>
      <c r="G31" s="18">
        <f>+G5+G10+G12+G15+G22+G27</f>
        <v>4.8000000000000007</v>
      </c>
      <c r="H31" s="18">
        <f>+H5+H10+H12+H15+H22+H27</f>
        <v>4.8000000000000007</v>
      </c>
      <c r="I31" s="58">
        <f>+(I5+I10+I12+I15+I22+I27)</f>
        <v>7</v>
      </c>
      <c r="J31" s="58">
        <f>+(J5+J10+J12+J15+J22+J27)</f>
        <v>2</v>
      </c>
      <c r="K31" s="18">
        <f t="shared" ref="K31:T31" si="6">+K5+K10+K12+K15+K22+K27</f>
        <v>3</v>
      </c>
      <c r="L31" s="18">
        <f t="shared" si="6"/>
        <v>3</v>
      </c>
      <c r="M31" s="18">
        <f t="shared" si="6"/>
        <v>4</v>
      </c>
      <c r="N31" s="18">
        <f t="shared" si="6"/>
        <v>0.1</v>
      </c>
      <c r="O31" s="18">
        <f t="shared" si="6"/>
        <v>0</v>
      </c>
      <c r="P31" s="18">
        <f t="shared" si="6"/>
        <v>0</v>
      </c>
      <c r="Q31" s="18">
        <f t="shared" si="6"/>
        <v>8</v>
      </c>
      <c r="R31" s="18">
        <f t="shared" si="6"/>
        <v>8</v>
      </c>
      <c r="S31" s="18">
        <f t="shared" si="6"/>
        <v>2</v>
      </c>
      <c r="T31" s="18">
        <f t="shared" si="6"/>
        <v>2</v>
      </c>
      <c r="U31" s="61">
        <f>+U5+U10+U12+U15+U22+U27</f>
        <v>15</v>
      </c>
      <c r="V31" s="51">
        <f>+V5+V10+V12+V15+V22+V27</f>
        <v>15</v>
      </c>
      <c r="W31" s="18">
        <f>SUM(E31:V31)</f>
        <v>92.7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2"/>
    </row>
    <row r="32" spans="1:105" s="6" customFormat="1" x14ac:dyDescent="0.3">
      <c r="A32" s="17"/>
      <c r="B32" s="30"/>
      <c r="C32" s="30" t="s">
        <v>68</v>
      </c>
      <c r="D32" s="18"/>
      <c r="E32" s="49">
        <v>33</v>
      </c>
      <c r="F32" s="49">
        <v>33</v>
      </c>
      <c r="G32" s="49">
        <v>15.6</v>
      </c>
      <c r="H32" s="49">
        <v>33</v>
      </c>
      <c r="I32" s="59">
        <v>66</v>
      </c>
      <c r="J32" s="59">
        <v>33</v>
      </c>
      <c r="K32" s="49">
        <v>24.2</v>
      </c>
      <c r="L32" s="49">
        <v>33</v>
      </c>
      <c r="M32" s="49">
        <v>7.7</v>
      </c>
      <c r="N32" s="49">
        <v>33</v>
      </c>
      <c r="O32" s="49">
        <v>11</v>
      </c>
      <c r="P32" s="49">
        <v>33</v>
      </c>
      <c r="Q32" s="49">
        <v>11</v>
      </c>
      <c r="R32" s="49">
        <v>33</v>
      </c>
      <c r="S32" s="49">
        <v>11</v>
      </c>
      <c r="T32" s="49">
        <v>33</v>
      </c>
      <c r="U32" s="49">
        <v>17.600000000000001</v>
      </c>
      <c r="V32" s="49">
        <v>33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2"/>
    </row>
    <row r="33" spans="1:105" s="77" customFormat="1" ht="28.8" x14ac:dyDescent="0.3">
      <c r="A33" s="72" t="s">
        <v>60</v>
      </c>
      <c r="B33" s="72">
        <v>1</v>
      </c>
      <c r="C33" s="72" t="s">
        <v>69</v>
      </c>
      <c r="D33" s="73"/>
      <c r="E33" s="74">
        <f>+E31*E32</f>
        <v>313.5</v>
      </c>
      <c r="F33" s="74">
        <f>+F31*F32</f>
        <v>148.5</v>
      </c>
      <c r="G33" s="74">
        <f t="shared" ref="G33:V33" si="7">+G31*G32</f>
        <v>74.88000000000001</v>
      </c>
      <c r="H33" s="74">
        <f t="shared" si="7"/>
        <v>158.40000000000003</v>
      </c>
      <c r="I33" s="74">
        <f>+I31*I32</f>
        <v>462</v>
      </c>
      <c r="J33" s="74">
        <f t="shared" si="7"/>
        <v>66</v>
      </c>
      <c r="K33" s="74">
        <f t="shared" si="7"/>
        <v>72.599999999999994</v>
      </c>
      <c r="L33" s="74">
        <f t="shared" si="7"/>
        <v>99</v>
      </c>
      <c r="M33" s="74">
        <f t="shared" si="7"/>
        <v>30.8</v>
      </c>
      <c r="N33" s="74">
        <f t="shared" si="7"/>
        <v>3.3000000000000003</v>
      </c>
      <c r="O33" s="74">
        <f t="shared" si="7"/>
        <v>0</v>
      </c>
      <c r="P33" s="74">
        <f t="shared" si="7"/>
        <v>0</v>
      </c>
      <c r="Q33" s="74">
        <f t="shared" si="7"/>
        <v>88</v>
      </c>
      <c r="R33" s="74">
        <f t="shared" si="7"/>
        <v>264</v>
      </c>
      <c r="S33" s="74">
        <f t="shared" si="7"/>
        <v>22</v>
      </c>
      <c r="T33" s="74">
        <f t="shared" si="7"/>
        <v>66</v>
      </c>
      <c r="U33" s="74">
        <f t="shared" si="7"/>
        <v>264</v>
      </c>
      <c r="V33" s="74">
        <f t="shared" si="7"/>
        <v>495</v>
      </c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6"/>
    </row>
    <row r="34" spans="1:105" s="6" customFormat="1" ht="28.8" x14ac:dyDescent="0.3">
      <c r="A34" s="30" t="s">
        <v>60</v>
      </c>
      <c r="B34" s="30">
        <v>3</v>
      </c>
      <c r="C34" s="30" t="s">
        <v>69</v>
      </c>
      <c r="D34" s="18"/>
      <c r="E34" s="23">
        <f>E33*$B$34</f>
        <v>940.5</v>
      </c>
      <c r="F34" s="23">
        <f>F33*$B$34</f>
        <v>445.5</v>
      </c>
      <c r="G34" s="23">
        <f t="shared" ref="G34:H34" si="8">G33*$B$34</f>
        <v>224.64000000000004</v>
      </c>
      <c r="H34" s="23">
        <f t="shared" si="8"/>
        <v>475.2000000000001</v>
      </c>
      <c r="I34" s="60">
        <f>+I33</f>
        <v>462</v>
      </c>
      <c r="J34" s="60">
        <f>+J33</f>
        <v>66</v>
      </c>
      <c r="K34" s="23">
        <f>K33*$B$34</f>
        <v>217.79999999999998</v>
      </c>
      <c r="L34" s="23">
        <f t="shared" ref="L34:V34" si="9">L33*$B$34</f>
        <v>297</v>
      </c>
      <c r="M34" s="23">
        <f t="shared" si="9"/>
        <v>92.4</v>
      </c>
      <c r="N34" s="23">
        <f t="shared" si="9"/>
        <v>9.9</v>
      </c>
      <c r="O34" s="23">
        <f t="shared" si="9"/>
        <v>0</v>
      </c>
      <c r="P34" s="23">
        <f t="shared" si="9"/>
        <v>0</v>
      </c>
      <c r="Q34" s="23">
        <f t="shared" si="9"/>
        <v>264</v>
      </c>
      <c r="R34" s="23">
        <f t="shared" si="9"/>
        <v>792</v>
      </c>
      <c r="S34" s="23">
        <f t="shared" si="9"/>
        <v>66</v>
      </c>
      <c r="T34" s="23">
        <f t="shared" si="9"/>
        <v>198</v>
      </c>
      <c r="U34" s="23">
        <f t="shared" si="9"/>
        <v>792</v>
      </c>
      <c r="V34" s="23">
        <f t="shared" si="9"/>
        <v>1485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2"/>
    </row>
    <row r="35" spans="1:105" s="6" customFormat="1" x14ac:dyDescent="0.3">
      <c r="A35" s="17"/>
      <c r="B35" s="30"/>
      <c r="C35" s="30"/>
      <c r="D35" s="18"/>
      <c r="E35" s="19"/>
      <c r="F35" s="19"/>
      <c r="G35" s="19"/>
      <c r="H35" s="19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2"/>
    </row>
    <row r="36" spans="1:105" s="11" customFormat="1" ht="18" x14ac:dyDescent="0.3">
      <c r="A36" s="17"/>
      <c r="B36" s="17"/>
      <c r="C36" s="17"/>
      <c r="D36" s="21"/>
      <c r="E36" s="19"/>
      <c r="F36" s="80"/>
      <c r="G36" s="17"/>
      <c r="H36" s="51"/>
      <c r="I36" s="51"/>
      <c r="J36" s="51"/>
      <c r="K36" s="51"/>
      <c r="L36" s="51"/>
      <c r="M36" s="51"/>
      <c r="N36" s="51"/>
      <c r="O36" s="51"/>
      <c r="P36" s="51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3"/>
    </row>
    <row r="37" spans="1:105" s="6" customFormat="1" x14ac:dyDescent="0.3">
      <c r="A37" s="17"/>
      <c r="B37" s="17"/>
      <c r="C37" s="29" t="s">
        <v>62</v>
      </c>
      <c r="D37" s="86"/>
      <c r="E37" s="91">
        <f>E33+G33+I33+K33+M33+O33+Q33+S33+U33</f>
        <v>1327.78</v>
      </c>
      <c r="F37" s="80"/>
      <c r="G37" s="29" t="s">
        <v>104</v>
      </c>
      <c r="H37" s="89">
        <f>E34+G34+I34+K34+M34+O34+Q34+S34+U34</f>
        <v>3059.34</v>
      </c>
      <c r="I37" s="51"/>
      <c r="J37" s="51"/>
      <c r="K37" s="51"/>
      <c r="L37" s="51"/>
      <c r="M37" s="83" t="s">
        <v>107</v>
      </c>
      <c r="N37" s="83" t="s">
        <v>101</v>
      </c>
      <c r="O37" s="83" t="s">
        <v>102</v>
      </c>
      <c r="P37" s="51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2"/>
    </row>
    <row r="38" spans="1:105" s="6" customFormat="1" x14ac:dyDescent="0.3">
      <c r="A38" s="17"/>
      <c r="B38" s="17"/>
      <c r="C38" s="29" t="s">
        <v>63</v>
      </c>
      <c r="D38" s="86"/>
      <c r="E38" s="91">
        <f>F33+H33+J33+L33+N33+P33+R33+T33+V33</f>
        <v>1300.2</v>
      </c>
      <c r="F38" s="80"/>
      <c r="G38" s="29" t="s">
        <v>105</v>
      </c>
      <c r="H38" s="89">
        <f>F34+H34+J34+L34+N34+P34+R34+T34+V34</f>
        <v>3768.6000000000004</v>
      </c>
      <c r="I38" s="51"/>
      <c r="J38" s="51"/>
      <c r="K38" s="51"/>
      <c r="L38" s="51"/>
      <c r="M38" s="83" t="s">
        <v>100</v>
      </c>
      <c r="N38" s="83">
        <f>E31+G31+I31+K31+M31+O31+Q31+S31+U31</f>
        <v>53.3</v>
      </c>
      <c r="O38" s="83">
        <f>N38*60</f>
        <v>3198</v>
      </c>
      <c r="P38" s="51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2"/>
    </row>
    <row r="39" spans="1:105" s="6" customFormat="1" x14ac:dyDescent="0.3">
      <c r="A39" s="17"/>
      <c r="B39" s="17"/>
      <c r="C39" s="29" t="s">
        <v>64</v>
      </c>
      <c r="D39" s="87"/>
      <c r="E39" s="91"/>
      <c r="F39" s="80"/>
      <c r="G39" s="29" t="s">
        <v>106</v>
      </c>
      <c r="H39" s="89"/>
      <c r="I39" s="51"/>
      <c r="J39" s="51"/>
      <c r="K39" s="51"/>
      <c r="L39" s="51"/>
      <c r="M39" s="83" t="s">
        <v>103</v>
      </c>
      <c r="N39" s="83">
        <f>+M31</f>
        <v>4</v>
      </c>
      <c r="O39" s="83">
        <f>N39*60</f>
        <v>240</v>
      </c>
      <c r="P39" s="51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2"/>
    </row>
    <row r="40" spans="1:105" s="11" customFormat="1" x14ac:dyDescent="0.3">
      <c r="A40" s="17"/>
      <c r="B40" s="17"/>
      <c r="C40" s="29" t="s">
        <v>65</v>
      </c>
      <c r="D40" s="87"/>
      <c r="E40" s="91">
        <f>((E31+G31+I31+K31+M31+O31+Q31+S31)/6)*13.2</f>
        <v>84.259999999999991</v>
      </c>
      <c r="F40" s="80"/>
      <c r="G40" s="29" t="s">
        <v>65</v>
      </c>
      <c r="H40" s="90">
        <f>((3*(E31+G31+K31+M31+O31+Q31+S31+U31)+7)/6)*13.2</f>
        <v>320.9799999999999</v>
      </c>
      <c r="I40" s="51"/>
      <c r="J40" s="51"/>
      <c r="K40" s="51"/>
      <c r="L40" s="51"/>
      <c r="M40" s="51"/>
      <c r="N40" s="51"/>
      <c r="O40" s="51"/>
      <c r="P40" s="51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3"/>
    </row>
    <row r="41" spans="1:105" s="6" customFormat="1" x14ac:dyDescent="0.3">
      <c r="A41" s="17"/>
      <c r="B41" s="17"/>
      <c r="C41" s="29" t="s">
        <v>66</v>
      </c>
      <c r="D41" s="86"/>
      <c r="E41" s="91">
        <f>E40/2</f>
        <v>42.129999999999995</v>
      </c>
      <c r="F41" s="80"/>
      <c r="G41" s="29" t="s">
        <v>66</v>
      </c>
      <c r="H41" s="90">
        <f>H40/2</f>
        <v>160.48999999999995</v>
      </c>
      <c r="I41" s="51"/>
      <c r="J41" s="51"/>
      <c r="K41" s="51"/>
      <c r="L41" s="51"/>
      <c r="M41" s="83" t="s">
        <v>108</v>
      </c>
      <c r="N41" s="83" t="s">
        <v>101</v>
      </c>
      <c r="O41" s="83" t="s">
        <v>102</v>
      </c>
      <c r="P41" s="51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2"/>
    </row>
    <row r="42" spans="1:105" s="6" customFormat="1" ht="18.75" customHeight="1" x14ac:dyDescent="0.3">
      <c r="A42" s="17"/>
      <c r="B42" s="17"/>
      <c r="C42" s="29" t="s">
        <v>96</v>
      </c>
      <c r="D42" s="88"/>
      <c r="E42" s="91">
        <f>(U30/6)*2.75</f>
        <v>6.875</v>
      </c>
      <c r="F42" s="80"/>
      <c r="G42" s="29" t="s">
        <v>96</v>
      </c>
      <c r="H42" s="90">
        <f>(15*3/6)*2.75</f>
        <v>20.625</v>
      </c>
      <c r="I42" s="51"/>
      <c r="J42" s="51"/>
      <c r="K42" s="51"/>
      <c r="L42" s="51"/>
      <c r="M42" s="83" t="s">
        <v>100</v>
      </c>
      <c r="N42" s="83">
        <f>E35+G35+I35+K35+M35+O35+Q35+S35+U35</f>
        <v>0</v>
      </c>
      <c r="O42" s="83">
        <f>N42*60</f>
        <v>0</v>
      </c>
      <c r="P42" s="51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2"/>
    </row>
    <row r="43" spans="1:105" s="11" customFormat="1" x14ac:dyDescent="0.3">
      <c r="A43" s="17"/>
      <c r="B43" s="17"/>
      <c r="C43" s="29" t="s">
        <v>97</v>
      </c>
      <c r="D43" s="86"/>
      <c r="E43" s="91">
        <f>E42/2</f>
        <v>3.4375</v>
      </c>
      <c r="F43" s="19"/>
      <c r="G43" s="29" t="s">
        <v>97</v>
      </c>
      <c r="H43" s="91">
        <f>H42/2</f>
        <v>10.3125</v>
      </c>
      <c r="I43" s="14"/>
      <c r="J43" s="14"/>
      <c r="K43" s="51"/>
      <c r="L43" s="51"/>
      <c r="M43" s="83" t="s">
        <v>103</v>
      </c>
      <c r="N43" s="83">
        <f>+M35</f>
        <v>0</v>
      </c>
      <c r="O43" s="83">
        <f>N43*60</f>
        <v>0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3"/>
    </row>
    <row r="44" spans="1:105" s="6" customFormat="1" x14ac:dyDescent="0.3">
      <c r="A44" s="17"/>
      <c r="B44" s="17"/>
      <c r="C44" s="55" t="s">
        <v>67</v>
      </c>
      <c r="D44" s="18"/>
      <c r="E44" s="23"/>
      <c r="F44" s="19"/>
      <c r="G44" s="19"/>
      <c r="H44" s="19"/>
      <c r="I44" s="14"/>
      <c r="J44" s="14"/>
      <c r="K44" s="51"/>
      <c r="L44" s="51"/>
      <c r="M44" s="51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2"/>
    </row>
    <row r="45" spans="1:105" s="6" customFormat="1" ht="18" x14ac:dyDescent="0.3">
      <c r="A45" s="17"/>
      <c r="B45" s="17"/>
      <c r="C45" s="55" t="s">
        <v>70</v>
      </c>
      <c r="D45" s="21"/>
      <c r="E45" s="23"/>
      <c r="F45" s="19"/>
      <c r="G45" s="19"/>
      <c r="H45" s="23"/>
      <c r="I45" s="14"/>
      <c r="J45" s="14"/>
      <c r="K45" s="51"/>
      <c r="L45" s="51"/>
      <c r="M45" s="51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2"/>
    </row>
    <row r="46" spans="1:105" s="6" customFormat="1" ht="18" x14ac:dyDescent="0.3">
      <c r="A46" s="17"/>
      <c r="B46" s="17"/>
      <c r="C46" s="57" t="s">
        <v>73</v>
      </c>
      <c r="D46" s="21"/>
      <c r="E46" s="50"/>
      <c r="F46" s="19"/>
      <c r="G46" s="168"/>
      <c r="H46" s="168"/>
      <c r="I46" s="14"/>
      <c r="J46" s="14"/>
      <c r="K46" s="51"/>
      <c r="L46" s="51"/>
      <c r="M46" s="51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2"/>
    </row>
    <row r="47" spans="1:105" s="11" customFormat="1" ht="18" x14ac:dyDescent="0.3">
      <c r="A47" s="17"/>
      <c r="B47" s="21"/>
      <c r="C47" s="57"/>
      <c r="D47" s="56"/>
      <c r="E47" s="62"/>
      <c r="F47" s="23"/>
      <c r="G47" s="78"/>
      <c r="H47" s="79"/>
      <c r="I47" s="14"/>
      <c r="J47" s="14"/>
      <c r="K47" s="51"/>
      <c r="L47" s="51"/>
      <c r="M47" s="51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3"/>
    </row>
    <row r="48" spans="1:105" s="11" customFormat="1" ht="18" x14ac:dyDescent="0.3">
      <c r="A48" s="17"/>
      <c r="B48" s="21"/>
      <c r="C48" s="17"/>
      <c r="D48" s="18"/>
      <c r="E48" s="23"/>
      <c r="F48" s="23"/>
      <c r="G48" s="78"/>
      <c r="H48" s="19"/>
      <c r="I48" s="14"/>
      <c r="J48" s="14"/>
      <c r="K48" s="51"/>
      <c r="L48" s="51"/>
      <c r="M48" s="51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3"/>
    </row>
    <row r="49" spans="1:105" s="6" customFormat="1" ht="57" customHeight="1" x14ac:dyDescent="0.3">
      <c r="A49" s="17"/>
      <c r="B49" s="18"/>
      <c r="C49" s="17"/>
      <c r="D49" s="18"/>
      <c r="E49" s="23"/>
      <c r="F49" s="169"/>
      <c r="G49" s="169"/>
      <c r="H49" s="19"/>
      <c r="I49" s="14"/>
      <c r="J49" s="14"/>
      <c r="K49" s="51"/>
      <c r="L49" s="51"/>
      <c r="M49" s="51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2"/>
    </row>
    <row r="50" spans="1:105" s="14" customFormat="1" x14ac:dyDescent="0.3">
      <c r="A50" s="20"/>
      <c r="B50" s="20"/>
      <c r="C50" s="18"/>
      <c r="D50" s="20"/>
      <c r="E50" s="20"/>
      <c r="F50" s="20"/>
      <c r="G50" s="20"/>
      <c r="H50" s="20"/>
      <c r="DA50" s="1"/>
    </row>
    <row r="51" spans="1:105" s="14" customFormat="1" x14ac:dyDescent="0.3">
      <c r="A51" s="1"/>
      <c r="B51" s="1"/>
      <c r="C51" s="2"/>
      <c r="D51" s="1"/>
      <c r="E51" s="1"/>
      <c r="F51" s="1"/>
      <c r="G51" s="1"/>
      <c r="H51" s="1"/>
      <c r="DA51" s="1"/>
    </row>
    <row r="52" spans="1:105" s="14" customFormat="1" ht="56.25" customHeight="1" x14ac:dyDescent="0.3">
      <c r="A52" s="1"/>
      <c r="B52" s="1"/>
      <c r="C52" s="2"/>
      <c r="D52" s="1"/>
      <c r="E52" s="16"/>
      <c r="F52" s="16"/>
      <c r="G52" s="16"/>
      <c r="H52" s="16"/>
      <c r="O52" s="15"/>
      <c r="DA52" s="1"/>
    </row>
    <row r="53" spans="1:105" s="14" customFormat="1" x14ac:dyDescent="0.3">
      <c r="A53" s="1"/>
      <c r="B53" s="2"/>
      <c r="C53" s="2"/>
      <c r="D53" s="2"/>
      <c r="E53" s="16"/>
      <c r="F53" s="16"/>
      <c r="G53" s="16"/>
      <c r="H53" s="16"/>
      <c r="O53" s="15"/>
      <c r="P53" s="15"/>
      <c r="Q53" s="15"/>
      <c r="R53" s="15"/>
      <c r="S53" s="15"/>
      <c r="T53" s="15"/>
      <c r="U53" s="15"/>
      <c r="V53" s="15"/>
      <c r="W53" s="15"/>
      <c r="DA53" s="1"/>
    </row>
    <row r="54" spans="1:105" s="14" customFormat="1" x14ac:dyDescent="0.3">
      <c r="A54" s="1"/>
      <c r="B54" s="2"/>
      <c r="C54" s="2"/>
      <c r="D54" s="2"/>
      <c r="E54" s="16"/>
      <c r="F54" s="16"/>
      <c r="G54" s="16"/>
      <c r="H54" s="16"/>
      <c r="O54" s="15"/>
      <c r="P54" s="15"/>
      <c r="Q54" s="15"/>
      <c r="R54" s="15"/>
      <c r="S54" s="15"/>
      <c r="T54" s="15"/>
      <c r="U54" s="15"/>
      <c r="V54" s="15"/>
      <c r="W54" s="15"/>
      <c r="DA54" s="1"/>
    </row>
    <row r="56" spans="1:105" s="14" customFormat="1" x14ac:dyDescent="0.3">
      <c r="A56" s="1"/>
      <c r="B56" s="2"/>
      <c r="C56" s="2"/>
      <c r="D56" s="2"/>
      <c r="E56" s="20"/>
      <c r="F56" s="18"/>
      <c r="G56" s="20"/>
      <c r="H56" s="20"/>
      <c r="I56" s="20"/>
      <c r="J56" s="20"/>
      <c r="K56" s="20"/>
      <c r="DA56" s="1"/>
    </row>
    <row r="59" spans="1:105" s="14" customFormat="1" x14ac:dyDescent="0.3">
      <c r="A59" s="1"/>
      <c r="B59" s="2"/>
      <c r="C59" s="2"/>
      <c r="D59" s="2"/>
      <c r="E59" s="16"/>
      <c r="F59" s="16"/>
      <c r="G59" s="16"/>
      <c r="H59" s="16"/>
      <c r="L59" s="51"/>
      <c r="M59" s="51"/>
      <c r="DA59" s="1"/>
    </row>
    <row r="67" spans="1:105" s="14" customFormat="1" ht="18.75" customHeight="1" x14ac:dyDescent="0.3">
      <c r="A67" s="1"/>
      <c r="B67" s="2"/>
      <c r="C67" s="2"/>
      <c r="D67" s="2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DA67" s="1"/>
    </row>
    <row r="68" spans="1:105" s="14" customFormat="1" x14ac:dyDescent="0.3">
      <c r="A68" s="1"/>
      <c r="B68" s="2"/>
      <c r="C68" s="2"/>
      <c r="D68" s="2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DA68" s="1"/>
    </row>
    <row r="69" spans="1:105" s="14" customFormat="1" x14ac:dyDescent="0.3">
      <c r="A69" s="1"/>
      <c r="B69" s="2"/>
      <c r="C69" s="2"/>
      <c r="D69" s="2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DA69" s="1"/>
    </row>
    <row r="70" spans="1:105" s="14" customFormat="1" x14ac:dyDescent="0.3">
      <c r="A70" s="1"/>
      <c r="B70" s="2"/>
      <c r="C70" s="2"/>
      <c r="D70" s="2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DA70" s="1"/>
    </row>
    <row r="71" spans="1:105" s="14" customFormat="1" x14ac:dyDescent="0.3">
      <c r="A71" s="1"/>
      <c r="B71" s="2"/>
      <c r="C71" s="2"/>
      <c r="D71" s="2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DA71" s="1"/>
    </row>
  </sheetData>
  <autoFilter ref="B3:C52"/>
  <mergeCells count="15">
    <mergeCell ref="I3:J3"/>
    <mergeCell ref="K3:L3"/>
    <mergeCell ref="M3:N3"/>
    <mergeCell ref="U2:V2"/>
    <mergeCell ref="S2:T2"/>
    <mergeCell ref="O2:P2"/>
    <mergeCell ref="O3:P3"/>
    <mergeCell ref="Q3:R3"/>
    <mergeCell ref="S3:T3"/>
    <mergeCell ref="U3:V3"/>
    <mergeCell ref="G46:H46"/>
    <mergeCell ref="F49:G49"/>
    <mergeCell ref="B1:C1"/>
    <mergeCell ref="E3:F3"/>
    <mergeCell ref="G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1FD7E"/>
  </sheetPr>
  <dimension ref="A1:DA59"/>
  <sheetViews>
    <sheetView tabSelected="1" zoomScale="89" zoomScaleNormal="89" workbookViewId="0">
      <pane xSplit="3" ySplit="4" topLeftCell="D41" activePane="bottomRight" state="frozen"/>
      <selection pane="topRight" activeCell="D1" sqref="D1"/>
      <selection pane="bottomLeft" activeCell="A5" sqref="A5"/>
      <selection pane="bottomRight" activeCell="G58" sqref="G58"/>
    </sheetView>
  </sheetViews>
  <sheetFormatPr defaultColWidth="9.109375" defaultRowHeight="14.4" x14ac:dyDescent="0.3"/>
  <cols>
    <col min="1" max="1" width="7.5546875" style="1" customWidth="1"/>
    <col min="2" max="2" width="8.88671875" style="2" customWidth="1"/>
    <col min="3" max="3" width="32.33203125" style="2" customWidth="1"/>
    <col min="4" max="4" width="2.33203125" style="2" customWidth="1"/>
    <col min="5" max="5" width="13.88671875" style="16" bestFit="1" customWidth="1"/>
    <col min="6" max="6" width="26.44140625" style="16" bestFit="1" customWidth="1"/>
    <col min="7" max="7" width="24.5546875" style="16" bestFit="1" customWidth="1"/>
    <col min="8" max="8" width="13.33203125" style="16" customWidth="1"/>
    <col min="9" max="9" width="11.6640625" style="14" customWidth="1"/>
    <col min="10" max="10" width="12" style="14" customWidth="1"/>
    <col min="11" max="11" width="15.109375" style="14" customWidth="1"/>
    <col min="12" max="12" width="13.5546875" style="14" customWidth="1"/>
    <col min="13" max="13" width="23.6640625" style="14" bestFit="1" customWidth="1"/>
    <col min="14" max="14" width="12" style="14" customWidth="1"/>
    <col min="15" max="15" width="11" style="14" customWidth="1"/>
    <col min="16" max="16" width="9.6640625" style="14" customWidth="1"/>
    <col min="17" max="17" width="9" style="14" customWidth="1"/>
    <col min="18" max="18" width="10.88671875" style="14" customWidth="1"/>
    <col min="19" max="19" width="9.88671875" style="14" customWidth="1"/>
    <col min="20" max="20" width="9.33203125" style="14" bestFit="1" customWidth="1"/>
    <col min="21" max="21" width="10.5546875" style="14" customWidth="1"/>
    <col min="22" max="22" width="11.44140625" style="14" customWidth="1"/>
    <col min="23" max="104" width="9.109375" style="14"/>
    <col min="105" max="16384" width="9.109375" style="1"/>
  </cols>
  <sheetData>
    <row r="1" spans="1:105" ht="15" customHeight="1" x14ac:dyDescent="0.3">
      <c r="B1" s="170" t="s">
        <v>7</v>
      </c>
      <c r="C1" s="170"/>
    </row>
    <row r="2" spans="1:105" ht="21.6" thickBot="1" x14ac:dyDescent="0.35">
      <c r="C2" s="22" t="s">
        <v>6</v>
      </c>
      <c r="O2" s="175"/>
      <c r="P2" s="175"/>
      <c r="S2" s="174"/>
      <c r="T2" s="174"/>
      <c r="U2" s="173" t="s">
        <v>98</v>
      </c>
      <c r="V2" s="173"/>
    </row>
    <row r="3" spans="1:105" s="6" customFormat="1" ht="72.75" customHeight="1" x14ac:dyDescent="0.3">
      <c r="A3" s="8" t="s">
        <v>3</v>
      </c>
      <c r="B3" s="9" t="s">
        <v>1</v>
      </c>
      <c r="C3" s="10" t="s">
        <v>0</v>
      </c>
      <c r="D3" s="7"/>
      <c r="E3" s="171" t="s">
        <v>19</v>
      </c>
      <c r="F3" s="172"/>
      <c r="G3" s="171" t="s">
        <v>18</v>
      </c>
      <c r="H3" s="172"/>
      <c r="I3" s="171" t="s">
        <v>41</v>
      </c>
      <c r="J3" s="172"/>
      <c r="K3" s="177" t="s">
        <v>44</v>
      </c>
      <c r="L3" s="172"/>
      <c r="M3" s="177" t="s">
        <v>43</v>
      </c>
      <c r="N3" s="172"/>
      <c r="O3" s="176" t="s">
        <v>21</v>
      </c>
      <c r="P3" s="176"/>
      <c r="Q3" s="176" t="s">
        <v>42</v>
      </c>
      <c r="R3" s="176"/>
      <c r="S3" s="176" t="s">
        <v>45</v>
      </c>
      <c r="T3" s="176"/>
      <c r="U3" s="171" t="s">
        <v>71</v>
      </c>
      <c r="V3" s="172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2"/>
    </row>
    <row r="4" spans="1:105" s="6" customFormat="1" ht="21" x14ac:dyDescent="0.3">
      <c r="A4" s="28"/>
      <c r="B4" s="3"/>
      <c r="C4" s="3"/>
      <c r="D4" s="3"/>
      <c r="E4" s="4" t="s">
        <v>5</v>
      </c>
      <c r="F4" s="5" t="s">
        <v>4</v>
      </c>
      <c r="G4" s="4" t="s">
        <v>5</v>
      </c>
      <c r="H4" s="5" t="s">
        <v>4</v>
      </c>
      <c r="I4" s="4" t="s">
        <v>5</v>
      </c>
      <c r="J4" s="5" t="s">
        <v>4</v>
      </c>
      <c r="K4" s="4" t="s">
        <v>5</v>
      </c>
      <c r="L4" s="5" t="s">
        <v>4</v>
      </c>
      <c r="M4" s="4" t="s">
        <v>5</v>
      </c>
      <c r="N4" s="5" t="s">
        <v>4</v>
      </c>
      <c r="O4" s="4" t="s">
        <v>5</v>
      </c>
      <c r="P4" s="5" t="s">
        <v>4</v>
      </c>
      <c r="Q4" s="4" t="s">
        <v>5</v>
      </c>
      <c r="R4" s="5" t="s">
        <v>4</v>
      </c>
      <c r="S4" s="4" t="s">
        <v>5</v>
      </c>
      <c r="T4" s="5" t="s">
        <v>4</v>
      </c>
      <c r="U4" s="4" t="s">
        <v>5</v>
      </c>
      <c r="V4" s="5" t="s">
        <v>4</v>
      </c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2"/>
    </row>
    <row r="5" spans="1:105" s="36" customFormat="1" ht="36" x14ac:dyDescent="0.3">
      <c r="A5" s="33">
        <v>1</v>
      </c>
      <c r="B5" s="31" t="s">
        <v>16</v>
      </c>
      <c r="C5" s="31" t="s">
        <v>24</v>
      </c>
      <c r="D5" s="31"/>
      <c r="E5" s="31">
        <f>SUM(E6:E9)</f>
        <v>2</v>
      </c>
      <c r="F5" s="31">
        <f t="shared" ref="F5:V5" si="0">SUM(F6:F9)</f>
        <v>2</v>
      </c>
      <c r="G5" s="31">
        <f t="shared" si="0"/>
        <v>2.2000000000000002</v>
      </c>
      <c r="H5" s="31">
        <f t="shared" si="0"/>
        <v>2.2000000000000002</v>
      </c>
      <c r="I5" s="31">
        <f t="shared" si="0"/>
        <v>0</v>
      </c>
      <c r="J5" s="31">
        <f t="shared" si="0"/>
        <v>0</v>
      </c>
      <c r="K5" s="31">
        <f t="shared" si="0"/>
        <v>2</v>
      </c>
      <c r="L5" s="31">
        <f t="shared" si="0"/>
        <v>2</v>
      </c>
      <c r="M5" s="31">
        <f t="shared" si="0"/>
        <v>0</v>
      </c>
      <c r="N5" s="31">
        <f t="shared" si="0"/>
        <v>0</v>
      </c>
      <c r="O5" s="31">
        <f t="shared" si="0"/>
        <v>0</v>
      </c>
      <c r="P5" s="31">
        <f t="shared" si="0"/>
        <v>0</v>
      </c>
      <c r="Q5" s="31"/>
      <c r="R5" s="31"/>
      <c r="S5" s="31">
        <f t="shared" si="0"/>
        <v>0</v>
      </c>
      <c r="T5" s="31">
        <f t="shared" si="0"/>
        <v>0</v>
      </c>
      <c r="U5" s="31">
        <f t="shared" si="0"/>
        <v>0</v>
      </c>
      <c r="V5" s="31">
        <f t="shared" si="0"/>
        <v>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5"/>
    </row>
    <row r="6" spans="1:105" s="38" customFormat="1" ht="18" x14ac:dyDescent="0.3">
      <c r="A6" s="32">
        <v>2</v>
      </c>
      <c r="B6" s="37" t="s">
        <v>2</v>
      </c>
      <c r="C6" s="37" t="s">
        <v>25</v>
      </c>
      <c r="E6" s="32"/>
      <c r="F6" s="32"/>
      <c r="G6" s="32">
        <v>2</v>
      </c>
      <c r="H6" s="32">
        <v>2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</row>
    <row r="7" spans="1:105" s="38" customFormat="1" ht="18" x14ac:dyDescent="0.3">
      <c r="A7" s="32">
        <v>3</v>
      </c>
      <c r="B7" s="37" t="s">
        <v>2</v>
      </c>
      <c r="C7" s="37" t="s">
        <v>29</v>
      </c>
      <c r="E7" s="32"/>
      <c r="F7" s="32"/>
      <c r="G7" s="32"/>
      <c r="H7" s="32"/>
      <c r="I7" s="32"/>
      <c r="J7" s="32"/>
      <c r="K7" s="32">
        <v>2</v>
      </c>
      <c r="L7" s="32">
        <v>2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</row>
    <row r="8" spans="1:105" s="38" customFormat="1" ht="18" x14ac:dyDescent="0.3">
      <c r="A8" s="32">
        <v>4</v>
      </c>
      <c r="B8" s="37" t="s">
        <v>2</v>
      </c>
      <c r="C8" s="37" t="s">
        <v>30</v>
      </c>
      <c r="E8" s="32">
        <v>2</v>
      </c>
      <c r="F8" s="32">
        <v>2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40"/>
    </row>
    <row r="9" spans="1:105" s="24" customFormat="1" ht="18" x14ac:dyDescent="0.3">
      <c r="A9" s="32">
        <v>5</v>
      </c>
      <c r="B9" s="37" t="s">
        <v>2</v>
      </c>
      <c r="C9" s="37" t="s">
        <v>20</v>
      </c>
      <c r="D9" s="38"/>
      <c r="E9" s="46"/>
      <c r="F9" s="46"/>
      <c r="G9" s="46">
        <v>0.2</v>
      </c>
      <c r="H9" s="46">
        <v>0.2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41"/>
    </row>
    <row r="10" spans="1:105" s="36" customFormat="1" ht="18" x14ac:dyDescent="0.3">
      <c r="A10" s="42">
        <v>6</v>
      </c>
      <c r="B10" s="31" t="s">
        <v>16</v>
      </c>
      <c r="C10" s="31" t="s">
        <v>26</v>
      </c>
      <c r="D10" s="31"/>
      <c r="E10" s="31">
        <f>SUM(E11)</f>
        <v>0</v>
      </c>
      <c r="F10" s="31">
        <f t="shared" ref="F10:V10" si="1">SUM(F11)</f>
        <v>0</v>
      </c>
      <c r="G10" s="31">
        <f t="shared" si="1"/>
        <v>0</v>
      </c>
      <c r="H10" s="31">
        <f t="shared" si="1"/>
        <v>0</v>
      </c>
      <c r="I10" s="31">
        <f t="shared" si="1"/>
        <v>14</v>
      </c>
      <c r="J10" s="31">
        <f t="shared" si="1"/>
        <v>4</v>
      </c>
      <c r="K10" s="31">
        <f t="shared" si="1"/>
        <v>0</v>
      </c>
      <c r="L10" s="31">
        <f t="shared" si="1"/>
        <v>0</v>
      </c>
      <c r="M10" s="31">
        <f t="shared" si="1"/>
        <v>0</v>
      </c>
      <c r="N10" s="31">
        <f t="shared" si="1"/>
        <v>0</v>
      </c>
      <c r="O10" s="31">
        <f t="shared" si="1"/>
        <v>0</v>
      </c>
      <c r="P10" s="31">
        <f t="shared" si="1"/>
        <v>0</v>
      </c>
      <c r="Q10" s="31"/>
      <c r="R10" s="31"/>
      <c r="S10" s="31">
        <f t="shared" si="1"/>
        <v>0</v>
      </c>
      <c r="T10" s="31">
        <f t="shared" si="1"/>
        <v>0</v>
      </c>
      <c r="U10" s="31">
        <f t="shared" si="1"/>
        <v>0</v>
      </c>
      <c r="V10" s="31">
        <f t="shared" si="1"/>
        <v>0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5"/>
    </row>
    <row r="11" spans="1:105" s="24" customFormat="1" ht="28.8" x14ac:dyDescent="0.3">
      <c r="A11" s="43">
        <v>7</v>
      </c>
      <c r="B11" s="37" t="s">
        <v>2</v>
      </c>
      <c r="C11" s="37" t="s">
        <v>33</v>
      </c>
      <c r="D11" s="38"/>
      <c r="E11" s="46"/>
      <c r="F11" s="46"/>
      <c r="G11" s="46"/>
      <c r="H11" s="46"/>
      <c r="I11" s="46">
        <v>14</v>
      </c>
      <c r="J11" s="46">
        <v>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41"/>
    </row>
    <row r="12" spans="1:105" s="36" customFormat="1" ht="18" x14ac:dyDescent="0.3">
      <c r="A12" s="42">
        <v>8</v>
      </c>
      <c r="B12" s="31" t="s">
        <v>16</v>
      </c>
      <c r="C12" s="31" t="s">
        <v>27</v>
      </c>
      <c r="D12" s="31"/>
      <c r="E12" s="31">
        <f>SUM(E13,E14)</f>
        <v>10</v>
      </c>
      <c r="F12" s="31">
        <f t="shared" ref="F12:V12" si="2">SUM(F13,F14)</f>
        <v>1</v>
      </c>
      <c r="G12" s="31">
        <f t="shared" si="2"/>
        <v>0.2</v>
      </c>
      <c r="H12" s="31">
        <f t="shared" si="2"/>
        <v>0.2</v>
      </c>
      <c r="I12" s="31">
        <f t="shared" si="2"/>
        <v>0</v>
      </c>
      <c r="J12" s="31">
        <f t="shared" si="2"/>
        <v>0</v>
      </c>
      <c r="K12" s="31">
        <f t="shared" si="2"/>
        <v>0</v>
      </c>
      <c r="L12" s="31">
        <f t="shared" si="2"/>
        <v>0</v>
      </c>
      <c r="M12" s="31">
        <f t="shared" si="2"/>
        <v>0</v>
      </c>
      <c r="N12" s="31">
        <f t="shared" si="2"/>
        <v>0</v>
      </c>
      <c r="O12" s="31">
        <f t="shared" si="2"/>
        <v>0</v>
      </c>
      <c r="P12" s="31">
        <f t="shared" si="2"/>
        <v>0</v>
      </c>
      <c r="Q12" s="31"/>
      <c r="R12" s="31"/>
      <c r="S12" s="31">
        <f t="shared" si="2"/>
        <v>0</v>
      </c>
      <c r="T12" s="31">
        <f t="shared" si="2"/>
        <v>0</v>
      </c>
      <c r="U12" s="31">
        <f t="shared" si="2"/>
        <v>0</v>
      </c>
      <c r="V12" s="31">
        <f t="shared" si="2"/>
        <v>0</v>
      </c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5"/>
    </row>
    <row r="13" spans="1:105" s="24" customFormat="1" ht="18" x14ac:dyDescent="0.3">
      <c r="A13" s="43">
        <v>9</v>
      </c>
      <c r="B13" s="37" t="s">
        <v>2</v>
      </c>
      <c r="C13" s="37" t="s">
        <v>28</v>
      </c>
      <c r="D13" s="38"/>
      <c r="E13" s="46">
        <v>10</v>
      </c>
      <c r="F13" s="46">
        <v>1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41"/>
    </row>
    <row r="14" spans="1:105" s="24" customFormat="1" ht="18" x14ac:dyDescent="0.3">
      <c r="A14" s="32">
        <v>10</v>
      </c>
      <c r="B14" s="37" t="s">
        <v>2</v>
      </c>
      <c r="C14" s="37" t="s">
        <v>20</v>
      </c>
      <c r="D14" s="38"/>
      <c r="E14" s="46"/>
      <c r="F14" s="46"/>
      <c r="G14" s="46">
        <v>0.2</v>
      </c>
      <c r="H14" s="46">
        <v>0.2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41"/>
    </row>
    <row r="15" spans="1:105" s="36" customFormat="1" ht="18" x14ac:dyDescent="0.3">
      <c r="A15" s="33">
        <v>11</v>
      </c>
      <c r="B15" s="31" t="s">
        <v>16</v>
      </c>
      <c r="C15" s="31" t="s">
        <v>31</v>
      </c>
      <c r="D15" s="31"/>
      <c r="E15" s="31">
        <f>SUM(E16:E21)</f>
        <v>7</v>
      </c>
      <c r="F15" s="31">
        <f t="shared" ref="F15:V15" si="3">SUM(F16:F21)</f>
        <v>6</v>
      </c>
      <c r="G15" s="31">
        <f t="shared" si="3"/>
        <v>2.2000000000000002</v>
      </c>
      <c r="H15" s="31">
        <f t="shared" si="3"/>
        <v>2.2000000000000002</v>
      </c>
      <c r="I15" s="31">
        <f t="shared" si="3"/>
        <v>0</v>
      </c>
      <c r="J15" s="31">
        <f t="shared" si="3"/>
        <v>0</v>
      </c>
      <c r="K15" s="31">
        <f t="shared" si="3"/>
        <v>2</v>
      </c>
      <c r="L15" s="31">
        <f t="shared" si="3"/>
        <v>2</v>
      </c>
      <c r="M15" s="31">
        <f t="shared" si="3"/>
        <v>0</v>
      </c>
      <c r="N15" s="31">
        <f t="shared" si="3"/>
        <v>0</v>
      </c>
      <c r="O15" s="31">
        <f t="shared" si="3"/>
        <v>0</v>
      </c>
      <c r="P15" s="31">
        <f t="shared" si="3"/>
        <v>0</v>
      </c>
      <c r="Q15" s="31"/>
      <c r="R15" s="31"/>
      <c r="S15" s="31">
        <f t="shared" si="3"/>
        <v>0</v>
      </c>
      <c r="T15" s="31">
        <f t="shared" si="3"/>
        <v>0</v>
      </c>
      <c r="U15" s="31">
        <f t="shared" si="3"/>
        <v>0</v>
      </c>
      <c r="V15" s="31">
        <f t="shared" si="3"/>
        <v>0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5"/>
    </row>
    <row r="16" spans="1:105" s="24" customFormat="1" ht="18" x14ac:dyDescent="0.3">
      <c r="A16" s="32">
        <v>12</v>
      </c>
      <c r="B16" s="37" t="s">
        <v>2</v>
      </c>
      <c r="C16" s="44" t="s">
        <v>25</v>
      </c>
      <c r="D16" s="38"/>
      <c r="E16" s="46"/>
      <c r="F16" s="46"/>
      <c r="G16" s="46">
        <v>2</v>
      </c>
      <c r="H16" s="46">
        <v>2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41"/>
    </row>
    <row r="17" spans="1:105" s="24" customFormat="1" ht="18" x14ac:dyDescent="0.3">
      <c r="A17" s="43">
        <v>13</v>
      </c>
      <c r="B17" s="37"/>
      <c r="C17" s="37" t="s">
        <v>29</v>
      </c>
      <c r="D17" s="38"/>
      <c r="E17" s="46"/>
      <c r="F17" s="46"/>
      <c r="G17" s="46"/>
      <c r="H17" s="46"/>
      <c r="I17" s="46"/>
      <c r="J17" s="46"/>
      <c r="K17" s="46">
        <v>2</v>
      </c>
      <c r="L17" s="46">
        <v>2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41"/>
    </row>
    <row r="18" spans="1:105" s="24" customFormat="1" ht="18" x14ac:dyDescent="0.3">
      <c r="A18" s="45">
        <v>14</v>
      </c>
      <c r="B18" s="37"/>
      <c r="C18" s="37" t="s">
        <v>30</v>
      </c>
      <c r="D18" s="38"/>
      <c r="E18" s="46">
        <v>2</v>
      </c>
      <c r="F18" s="46">
        <v>2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41"/>
    </row>
    <row r="19" spans="1:105" s="24" customFormat="1" ht="18" x14ac:dyDescent="0.3">
      <c r="A19" s="43">
        <v>15</v>
      </c>
      <c r="B19" s="37"/>
      <c r="C19" s="37" t="s">
        <v>31</v>
      </c>
      <c r="D19" s="38"/>
      <c r="E19" s="46">
        <v>3</v>
      </c>
      <c r="F19" s="46">
        <v>3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41"/>
    </row>
    <row r="20" spans="1:105" s="24" customFormat="1" ht="18" x14ac:dyDescent="0.3">
      <c r="A20" s="45">
        <v>16</v>
      </c>
      <c r="B20" s="37" t="s">
        <v>2</v>
      </c>
      <c r="C20" s="37" t="s">
        <v>32</v>
      </c>
      <c r="D20" s="38"/>
      <c r="E20" s="46">
        <v>2</v>
      </c>
      <c r="F20" s="46">
        <v>1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41"/>
    </row>
    <row r="21" spans="1:105" s="24" customFormat="1" ht="18" x14ac:dyDescent="0.3">
      <c r="A21" s="43">
        <v>17</v>
      </c>
      <c r="B21" s="37" t="s">
        <v>2</v>
      </c>
      <c r="C21" s="37" t="s">
        <v>20</v>
      </c>
      <c r="D21" s="38"/>
      <c r="E21" s="46"/>
      <c r="F21" s="46"/>
      <c r="G21" s="46">
        <v>0.2</v>
      </c>
      <c r="H21" s="46">
        <v>0.2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41"/>
    </row>
    <row r="22" spans="1:105" s="36" customFormat="1" ht="18" x14ac:dyDescent="0.3">
      <c r="A22" s="42">
        <v>18</v>
      </c>
      <c r="B22" s="31" t="s">
        <v>16</v>
      </c>
      <c r="C22" s="31" t="s">
        <v>34</v>
      </c>
      <c r="D22" s="31"/>
      <c r="E22" s="31">
        <f>SUM(E23:E26)</f>
        <v>0</v>
      </c>
      <c r="F22" s="31">
        <f t="shared" ref="F22:V22" si="4">SUM(F23:F26)</f>
        <v>0</v>
      </c>
      <c r="G22" s="31">
        <f t="shared" si="4"/>
        <v>5</v>
      </c>
      <c r="H22" s="31">
        <f t="shared" si="4"/>
        <v>5</v>
      </c>
      <c r="I22" s="31">
        <f t="shared" si="4"/>
        <v>0</v>
      </c>
      <c r="J22" s="31">
        <f t="shared" si="4"/>
        <v>0</v>
      </c>
      <c r="K22" s="31">
        <f t="shared" si="4"/>
        <v>2</v>
      </c>
      <c r="L22" s="31">
        <f t="shared" si="4"/>
        <v>2</v>
      </c>
      <c r="M22" s="31">
        <f t="shared" si="4"/>
        <v>8</v>
      </c>
      <c r="N22" s="31">
        <f t="shared" si="4"/>
        <v>0.2</v>
      </c>
      <c r="O22" s="31">
        <f t="shared" si="4"/>
        <v>0</v>
      </c>
      <c r="P22" s="31">
        <f t="shared" si="4"/>
        <v>0</v>
      </c>
      <c r="Q22" s="31">
        <f t="shared" si="4"/>
        <v>0</v>
      </c>
      <c r="R22" s="31">
        <f t="shared" si="4"/>
        <v>0</v>
      </c>
      <c r="S22" s="31">
        <f t="shared" si="4"/>
        <v>0</v>
      </c>
      <c r="T22" s="31">
        <f t="shared" si="4"/>
        <v>0</v>
      </c>
      <c r="U22" s="31">
        <f t="shared" si="4"/>
        <v>0</v>
      </c>
      <c r="V22" s="31">
        <f t="shared" si="4"/>
        <v>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5"/>
    </row>
    <row r="23" spans="1:105" s="24" customFormat="1" ht="18" x14ac:dyDescent="0.3">
      <c r="A23" s="43">
        <v>19</v>
      </c>
      <c r="B23" s="37" t="s">
        <v>2</v>
      </c>
      <c r="C23" s="37" t="s">
        <v>35</v>
      </c>
      <c r="D23" s="38"/>
      <c r="E23" s="46"/>
      <c r="F23" s="46"/>
      <c r="G23" s="46">
        <v>3</v>
      </c>
      <c r="H23" s="46">
        <v>3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41"/>
    </row>
    <row r="24" spans="1:105" s="24" customFormat="1" ht="18" x14ac:dyDescent="0.3">
      <c r="A24" s="45">
        <v>20</v>
      </c>
      <c r="B24" s="37" t="s">
        <v>2</v>
      </c>
      <c r="C24" s="37" t="s">
        <v>37</v>
      </c>
      <c r="D24" s="38"/>
      <c r="E24" s="46"/>
      <c r="F24" s="46"/>
      <c r="G24" s="46"/>
      <c r="H24" s="46"/>
      <c r="I24" s="46"/>
      <c r="J24" s="46"/>
      <c r="K24" s="46">
        <v>2</v>
      </c>
      <c r="L24" s="46">
        <v>2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41"/>
    </row>
    <row r="25" spans="1:105" s="24" customFormat="1" ht="18" x14ac:dyDescent="0.3">
      <c r="A25" s="43">
        <v>21</v>
      </c>
      <c r="B25" s="37" t="s">
        <v>2</v>
      </c>
      <c r="C25" s="37" t="s">
        <v>36</v>
      </c>
      <c r="D25" s="38"/>
      <c r="E25" s="46"/>
      <c r="F25" s="46"/>
      <c r="G25" s="46">
        <v>2</v>
      </c>
      <c r="H25" s="46">
        <v>2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41"/>
    </row>
    <row r="26" spans="1:105" s="24" customFormat="1" ht="18" x14ac:dyDescent="0.3">
      <c r="A26" s="45">
        <v>22</v>
      </c>
      <c r="B26" s="37" t="s">
        <v>2</v>
      </c>
      <c r="C26" s="37" t="s">
        <v>38</v>
      </c>
      <c r="D26" s="38"/>
      <c r="E26" s="46"/>
      <c r="F26" s="46"/>
      <c r="G26" s="46"/>
      <c r="H26" s="46"/>
      <c r="I26" s="46"/>
      <c r="J26" s="46"/>
      <c r="K26" s="46"/>
      <c r="L26" s="46"/>
      <c r="M26" s="46">
        <v>8</v>
      </c>
      <c r="N26" s="46">
        <v>0.2</v>
      </c>
      <c r="O26" s="46"/>
      <c r="P26" s="46"/>
      <c r="Q26" s="46"/>
      <c r="R26" s="46"/>
      <c r="S26" s="46"/>
      <c r="T26" s="46"/>
      <c r="U26" s="46"/>
      <c r="V26" s="46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41"/>
    </row>
    <row r="27" spans="1:105" s="36" customFormat="1" ht="18" x14ac:dyDescent="0.3">
      <c r="A27" s="33">
        <v>23</v>
      </c>
      <c r="B27" s="31" t="s">
        <v>16</v>
      </c>
      <c r="C27" s="31" t="s">
        <v>17</v>
      </c>
      <c r="D27" s="31"/>
      <c r="E27" s="31">
        <f>SUM(E28:E29)</f>
        <v>0</v>
      </c>
      <c r="F27" s="31">
        <f t="shared" ref="F27:T27" si="5">SUM(F28:F29)</f>
        <v>0</v>
      </c>
      <c r="G27" s="31">
        <f t="shared" si="5"/>
        <v>0</v>
      </c>
      <c r="H27" s="31">
        <f t="shared" si="5"/>
        <v>0</v>
      </c>
      <c r="I27" s="31">
        <f t="shared" si="5"/>
        <v>0</v>
      </c>
      <c r="J27" s="31">
        <f t="shared" si="5"/>
        <v>0</v>
      </c>
      <c r="K27" s="31">
        <f t="shared" si="5"/>
        <v>0</v>
      </c>
      <c r="L27" s="31">
        <f t="shared" si="5"/>
        <v>0</v>
      </c>
      <c r="M27" s="31">
        <f t="shared" si="5"/>
        <v>0</v>
      </c>
      <c r="N27" s="31">
        <f t="shared" si="5"/>
        <v>0</v>
      </c>
      <c r="O27" s="31">
        <f t="shared" si="5"/>
        <v>0</v>
      </c>
      <c r="P27" s="31">
        <f t="shared" si="5"/>
        <v>0</v>
      </c>
      <c r="Q27" s="31">
        <f t="shared" si="5"/>
        <v>16</v>
      </c>
      <c r="R27" s="31">
        <f t="shared" si="5"/>
        <v>16</v>
      </c>
      <c r="S27" s="31">
        <f t="shared" si="5"/>
        <v>4</v>
      </c>
      <c r="T27" s="31">
        <f t="shared" si="5"/>
        <v>4</v>
      </c>
      <c r="U27" s="31">
        <f>SUM(U28:U30)</f>
        <v>15</v>
      </c>
      <c r="V27" s="31">
        <f>SUM(V28:V30)</f>
        <v>15</v>
      </c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5"/>
    </row>
    <row r="28" spans="1:105" s="24" customFormat="1" ht="32.25" customHeight="1" x14ac:dyDescent="0.3">
      <c r="A28" s="45">
        <v>24</v>
      </c>
      <c r="B28" s="37" t="s">
        <v>2</v>
      </c>
      <c r="C28" s="37" t="s">
        <v>39</v>
      </c>
      <c r="D28" s="3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>
        <v>16</v>
      </c>
      <c r="R28" s="46">
        <v>16</v>
      </c>
      <c r="S28" s="46"/>
      <c r="T28" s="46"/>
      <c r="U28" s="46"/>
      <c r="V28" s="46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41"/>
    </row>
    <row r="29" spans="1:105" s="24" customFormat="1" ht="37.5" customHeight="1" x14ac:dyDescent="0.3">
      <c r="A29" s="43">
        <v>25</v>
      </c>
      <c r="B29" s="37" t="s">
        <v>2</v>
      </c>
      <c r="C29" s="37" t="s">
        <v>40</v>
      </c>
      <c r="D29" s="38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>
        <v>4</v>
      </c>
      <c r="T29" s="46">
        <v>4</v>
      </c>
      <c r="U29" s="46"/>
      <c r="V29" s="46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41"/>
    </row>
    <row r="30" spans="1:105" s="11" customFormat="1" ht="18" x14ac:dyDescent="0.3">
      <c r="A30" s="43">
        <v>25</v>
      </c>
      <c r="B30" s="37" t="s">
        <v>2</v>
      </c>
      <c r="C30" s="37" t="s">
        <v>72</v>
      </c>
      <c r="D30" s="38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>
        <v>15</v>
      </c>
      <c r="V30" s="46">
        <v>15</v>
      </c>
      <c r="W30" s="81" t="s">
        <v>95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3"/>
    </row>
    <row r="31" spans="1:105" s="6" customFormat="1" ht="31.2" x14ac:dyDescent="0.3">
      <c r="A31" s="17"/>
      <c r="B31" s="82" t="s">
        <v>61</v>
      </c>
      <c r="C31" s="21"/>
      <c r="D31" s="18"/>
      <c r="E31" s="18">
        <f>+E5+E10+E12+E15+E22+E27</f>
        <v>19</v>
      </c>
      <c r="F31" s="18">
        <f>+F5+F10+F12+F15+F22+F27</f>
        <v>9</v>
      </c>
      <c r="G31" s="18">
        <f>+G5+G10+G12+G15+G22+G27</f>
        <v>9.6000000000000014</v>
      </c>
      <c r="H31" s="18">
        <f>+H5+H10+H12+H15+H22+H27</f>
        <v>9.6000000000000014</v>
      </c>
      <c r="I31" s="58">
        <f>+(I5+I10+I12+I15+I22+I27)</f>
        <v>14</v>
      </c>
      <c r="J31" s="58">
        <f>+(J5+J10+J12+J15+J22+J27)</f>
        <v>4</v>
      </c>
      <c r="K31" s="18">
        <f t="shared" ref="K31:T31" si="6">+K5+K10+K12+K15+K22+K27</f>
        <v>6</v>
      </c>
      <c r="L31" s="18">
        <f t="shared" si="6"/>
        <v>6</v>
      </c>
      <c r="M31" s="18">
        <f t="shared" si="6"/>
        <v>8</v>
      </c>
      <c r="N31" s="18">
        <f t="shared" si="6"/>
        <v>0.2</v>
      </c>
      <c r="O31" s="18">
        <f t="shared" si="6"/>
        <v>0</v>
      </c>
      <c r="P31" s="18">
        <f t="shared" si="6"/>
        <v>0</v>
      </c>
      <c r="Q31" s="18">
        <f t="shared" si="6"/>
        <v>16</v>
      </c>
      <c r="R31" s="18">
        <f t="shared" si="6"/>
        <v>16</v>
      </c>
      <c r="S31" s="18">
        <f t="shared" si="6"/>
        <v>4</v>
      </c>
      <c r="T31" s="18">
        <f t="shared" si="6"/>
        <v>4</v>
      </c>
      <c r="U31" s="61">
        <f>+U5+U10+U12+U15+U22+U27</f>
        <v>15</v>
      </c>
      <c r="V31" s="51">
        <f>+V5+V10+V12+V15+V22+V27</f>
        <v>15</v>
      </c>
      <c r="W31" s="18">
        <f>SUM(E31:V31)</f>
        <v>155.4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2"/>
    </row>
    <row r="32" spans="1:105" s="6" customFormat="1" x14ac:dyDescent="0.3">
      <c r="A32" s="17"/>
      <c r="B32" s="30"/>
      <c r="C32" s="30" t="s">
        <v>68</v>
      </c>
      <c r="D32" s="18"/>
      <c r="E32" s="49">
        <v>33</v>
      </c>
      <c r="F32" s="49">
        <v>33</v>
      </c>
      <c r="G32" s="49">
        <v>15.6</v>
      </c>
      <c r="H32" s="49">
        <v>33</v>
      </c>
      <c r="I32" s="59">
        <v>66</v>
      </c>
      <c r="J32" s="59">
        <v>33</v>
      </c>
      <c r="K32" s="49">
        <v>24.2</v>
      </c>
      <c r="L32" s="49">
        <v>33</v>
      </c>
      <c r="M32" s="49">
        <v>7.7</v>
      </c>
      <c r="N32" s="49">
        <v>33</v>
      </c>
      <c r="O32" s="49">
        <v>11</v>
      </c>
      <c r="P32" s="49">
        <v>33</v>
      </c>
      <c r="Q32" s="49">
        <v>11</v>
      </c>
      <c r="R32" s="49">
        <v>33</v>
      </c>
      <c r="S32" s="49">
        <v>11</v>
      </c>
      <c r="T32" s="49">
        <v>33</v>
      </c>
      <c r="U32" s="49">
        <v>17.600000000000001</v>
      </c>
      <c r="V32" s="49">
        <v>33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2"/>
    </row>
    <row r="33" spans="1:105" s="77" customFormat="1" ht="28.8" x14ac:dyDescent="0.3">
      <c r="A33" s="72" t="s">
        <v>60</v>
      </c>
      <c r="B33" s="72">
        <v>1</v>
      </c>
      <c r="C33" s="72" t="s">
        <v>69</v>
      </c>
      <c r="D33" s="73"/>
      <c r="E33" s="74">
        <f>+E31*E32</f>
        <v>627</v>
      </c>
      <c r="F33" s="74">
        <f>+F31*F32</f>
        <v>297</v>
      </c>
      <c r="G33" s="74">
        <f t="shared" ref="G33:V33" si="7">+G31*G32</f>
        <v>149.76000000000002</v>
      </c>
      <c r="H33" s="74">
        <f t="shared" si="7"/>
        <v>316.80000000000007</v>
      </c>
      <c r="I33" s="74">
        <f>+I31*I32</f>
        <v>924</v>
      </c>
      <c r="J33" s="74">
        <f t="shared" si="7"/>
        <v>132</v>
      </c>
      <c r="K33" s="74">
        <f t="shared" si="7"/>
        <v>145.19999999999999</v>
      </c>
      <c r="L33" s="74">
        <f t="shared" si="7"/>
        <v>198</v>
      </c>
      <c r="M33" s="74">
        <f t="shared" si="7"/>
        <v>61.6</v>
      </c>
      <c r="N33" s="74">
        <f t="shared" si="7"/>
        <v>6.6000000000000005</v>
      </c>
      <c r="O33" s="74">
        <f t="shared" si="7"/>
        <v>0</v>
      </c>
      <c r="P33" s="74">
        <f t="shared" si="7"/>
        <v>0</v>
      </c>
      <c r="Q33" s="74">
        <f t="shared" si="7"/>
        <v>176</v>
      </c>
      <c r="R33" s="74">
        <f t="shared" si="7"/>
        <v>528</v>
      </c>
      <c r="S33" s="74">
        <f t="shared" si="7"/>
        <v>44</v>
      </c>
      <c r="T33" s="74">
        <f t="shared" si="7"/>
        <v>132</v>
      </c>
      <c r="U33" s="74">
        <f t="shared" si="7"/>
        <v>264</v>
      </c>
      <c r="V33" s="74">
        <f t="shared" si="7"/>
        <v>495</v>
      </c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6"/>
    </row>
    <row r="34" spans="1:105" s="6" customFormat="1" x14ac:dyDescent="0.3">
      <c r="A34" s="17"/>
      <c r="B34" s="30"/>
      <c r="C34" s="30"/>
      <c r="D34" s="18"/>
      <c r="E34" s="19"/>
      <c r="F34" s="19"/>
      <c r="G34" s="19"/>
      <c r="H34" s="19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2"/>
    </row>
    <row r="35" spans="1:105" s="11" customFormat="1" ht="18" x14ac:dyDescent="0.3">
      <c r="A35" s="17"/>
      <c r="B35" s="17"/>
      <c r="C35" s="17"/>
      <c r="D35" s="21"/>
      <c r="E35" s="19"/>
      <c r="F35" s="80"/>
      <c r="G35" s="80"/>
      <c r="H35" s="51"/>
      <c r="I35" s="51"/>
      <c r="J35" s="51"/>
      <c r="K35" s="51"/>
      <c r="L35" s="51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3"/>
    </row>
    <row r="36" spans="1:105" s="6" customFormat="1" x14ac:dyDescent="0.3">
      <c r="A36" s="17"/>
      <c r="B36" s="17"/>
      <c r="C36" s="15" t="s">
        <v>62</v>
      </c>
      <c r="D36" s="18"/>
      <c r="E36" s="114">
        <f>E33+G33+I33+K33+M33+O33+Q33+S33+U33</f>
        <v>2391.56</v>
      </c>
      <c r="F36" s="80"/>
      <c r="G36" s="14"/>
      <c r="H36" s="14"/>
      <c r="I36" s="51"/>
      <c r="J36" s="51"/>
      <c r="K36" s="51"/>
      <c r="L36" s="51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2"/>
    </row>
    <row r="37" spans="1:105" s="6" customFormat="1" x14ac:dyDescent="0.3">
      <c r="A37" s="17"/>
      <c r="B37" s="17"/>
      <c r="C37" s="15" t="s">
        <v>63</v>
      </c>
      <c r="D37" s="18"/>
      <c r="E37" s="114"/>
      <c r="F37" s="80"/>
      <c r="G37" s="14"/>
      <c r="H37" s="14"/>
      <c r="I37" s="51"/>
      <c r="J37" s="51"/>
      <c r="K37" s="51"/>
      <c r="L37" s="51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2"/>
    </row>
    <row r="38" spans="1:105" s="6" customFormat="1" x14ac:dyDescent="0.3">
      <c r="A38" s="17"/>
      <c r="B38" s="17"/>
      <c r="C38" s="15" t="s">
        <v>64</v>
      </c>
      <c r="D38" s="80"/>
      <c r="E38" s="114">
        <f>'sarf malzemeleri 1 wf alumina'!G30</f>
        <v>2095.0769760000003</v>
      </c>
      <c r="F38" s="80"/>
      <c r="G38" s="14"/>
      <c r="H38" s="14"/>
      <c r="I38" s="51"/>
      <c r="J38" s="51"/>
      <c r="K38" s="51"/>
      <c r="L38" s="51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2"/>
    </row>
    <row r="39" spans="1:105" s="11" customFormat="1" x14ac:dyDescent="0.3">
      <c r="A39" s="17"/>
      <c r="B39" s="17"/>
      <c r="C39" s="15" t="s">
        <v>65</v>
      </c>
      <c r="D39" s="80"/>
      <c r="E39" s="114"/>
      <c r="F39" s="80"/>
      <c r="G39" s="14"/>
      <c r="H39" s="14"/>
      <c r="I39" s="51"/>
      <c r="J39" s="51"/>
      <c r="K39" s="51"/>
      <c r="L39" s="51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3"/>
    </row>
    <row r="40" spans="1:105" s="6" customFormat="1" x14ac:dyDescent="0.3">
      <c r="A40" s="17"/>
      <c r="B40" s="17"/>
      <c r="C40" s="15" t="s">
        <v>66</v>
      </c>
      <c r="D40" s="18"/>
      <c r="E40" s="114"/>
      <c r="F40" s="80"/>
      <c r="G40" s="14"/>
      <c r="H40" s="14"/>
      <c r="I40" s="51"/>
      <c r="J40" s="51"/>
      <c r="K40" s="51"/>
      <c r="L40" s="51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2"/>
    </row>
    <row r="41" spans="1:105" s="6" customFormat="1" ht="18.75" customHeight="1" x14ac:dyDescent="0.3">
      <c r="A41" s="17"/>
      <c r="B41" s="17"/>
      <c r="C41" s="15" t="s">
        <v>96</v>
      </c>
      <c r="D41" s="21"/>
      <c r="E41" s="114"/>
      <c r="F41" s="80"/>
      <c r="G41" s="14"/>
      <c r="H41" s="14"/>
      <c r="I41" s="51"/>
      <c r="J41" s="51"/>
      <c r="K41" s="51"/>
      <c r="L41" s="5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2"/>
    </row>
    <row r="42" spans="1:105" s="11" customFormat="1" ht="15" thickBot="1" x14ac:dyDescent="0.35">
      <c r="A42" s="17"/>
      <c r="B42" s="17"/>
      <c r="C42" s="15" t="s">
        <v>97</v>
      </c>
      <c r="D42" s="18"/>
      <c r="E42" s="114"/>
      <c r="F42" s="19"/>
      <c r="G42" s="14"/>
      <c r="H42" s="14"/>
      <c r="I42" s="14"/>
      <c r="J42" s="14"/>
      <c r="K42" s="51"/>
      <c r="L42" s="51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3"/>
    </row>
    <row r="43" spans="1:105" s="6" customFormat="1" ht="15" thickBot="1" x14ac:dyDescent="0.35">
      <c r="A43" s="17"/>
      <c r="B43" s="17"/>
      <c r="C43" s="112" t="s">
        <v>67</v>
      </c>
      <c r="D43" s="113"/>
      <c r="E43" s="115">
        <f>SUM(E36:E42)</f>
        <v>4486.6369759999998</v>
      </c>
      <c r="F43" s="19"/>
      <c r="G43" s="14"/>
      <c r="H43" s="14"/>
      <c r="I43" s="14"/>
      <c r="J43" s="14"/>
      <c r="K43" s="51"/>
      <c r="L43" s="51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2"/>
    </row>
    <row r="44" spans="1:105" s="14" customFormat="1" x14ac:dyDescent="0.3">
      <c r="A44" s="1"/>
      <c r="B44" s="2"/>
      <c r="C44" s="2"/>
      <c r="D44" s="2"/>
      <c r="E44" s="16"/>
      <c r="F44" s="16"/>
      <c r="I44" s="16"/>
      <c r="J44" s="16"/>
      <c r="K44" s="16"/>
      <c r="L44" s="16"/>
      <c r="Q44" s="16"/>
      <c r="R44" s="16"/>
      <c r="S44" s="16"/>
      <c r="T44" s="16"/>
      <c r="U44" s="16"/>
      <c r="V44" s="16"/>
      <c r="DA44" s="1"/>
    </row>
    <row r="45" spans="1:105" s="14" customFormat="1" x14ac:dyDescent="0.3">
      <c r="A45" s="1"/>
      <c r="B45" s="2"/>
      <c r="C45" s="2"/>
      <c r="D45" s="2"/>
      <c r="E45" s="16"/>
      <c r="F45" s="16"/>
      <c r="I45" s="16"/>
      <c r="J45" s="16"/>
      <c r="K45" s="16"/>
      <c r="L45" s="16"/>
      <c r="Q45" s="16"/>
      <c r="R45" s="16"/>
      <c r="S45" s="16"/>
      <c r="T45" s="16"/>
      <c r="U45" s="16"/>
      <c r="V45" s="16"/>
      <c r="DA45" s="1"/>
    </row>
    <row r="46" spans="1:105" s="14" customFormat="1" x14ac:dyDescent="0.3">
      <c r="A46" s="1"/>
      <c r="B46" s="2"/>
      <c r="C46" s="2"/>
      <c r="D46" s="2"/>
      <c r="E46" s="16"/>
      <c r="F46" s="16"/>
      <c r="I46" s="16"/>
      <c r="J46" s="16"/>
      <c r="K46" s="16"/>
      <c r="L46" s="16"/>
      <c r="Q46" s="16"/>
      <c r="R46" s="16"/>
      <c r="S46" s="16"/>
      <c r="T46" s="16"/>
      <c r="U46" s="16"/>
      <c r="V46" s="16"/>
      <c r="DA46" s="1"/>
    </row>
    <row r="47" spans="1:105" s="14" customFormat="1" x14ac:dyDescent="0.3">
      <c r="A47" s="1"/>
      <c r="B47" s="2"/>
      <c r="C47" s="29" t="s">
        <v>111</v>
      </c>
      <c r="D47" s="116"/>
      <c r="E47" s="117">
        <f>E36*2</f>
        <v>4783.12</v>
      </c>
      <c r="F47" s="16"/>
      <c r="I47" s="16"/>
      <c r="J47" s="16"/>
      <c r="K47" s="16"/>
      <c r="L47" s="16"/>
      <c r="Q47" s="16"/>
      <c r="R47" s="16"/>
      <c r="S47" s="16"/>
      <c r="T47" s="16"/>
      <c r="U47" s="16"/>
      <c r="V47" s="16"/>
      <c r="DA47" s="1"/>
    </row>
    <row r="48" spans="1:105" x14ac:dyDescent="0.3">
      <c r="C48" s="29" t="s">
        <v>112</v>
      </c>
      <c r="D48" s="116"/>
      <c r="E48" s="118"/>
      <c r="G48" s="14"/>
      <c r="H48" s="14"/>
    </row>
    <row r="49" spans="3:7" x14ac:dyDescent="0.3">
      <c r="C49" s="29" t="s">
        <v>113</v>
      </c>
      <c r="D49" s="116"/>
      <c r="E49" s="117">
        <f>E38*2</f>
        <v>4190.1539520000006</v>
      </c>
    </row>
    <row r="50" spans="3:7" x14ac:dyDescent="0.3">
      <c r="C50" s="29" t="s">
        <v>65</v>
      </c>
      <c r="D50" s="116"/>
      <c r="E50" s="118"/>
    </row>
    <row r="51" spans="3:7" x14ac:dyDescent="0.3">
      <c r="C51" s="29" t="s">
        <v>66</v>
      </c>
      <c r="D51" s="116"/>
      <c r="E51" s="118"/>
    </row>
    <row r="52" spans="3:7" x14ac:dyDescent="0.3">
      <c r="C52" s="29" t="s">
        <v>96</v>
      </c>
      <c r="D52" s="116"/>
      <c r="E52" s="118"/>
    </row>
    <row r="53" spans="3:7" x14ac:dyDescent="0.3">
      <c r="C53" s="29" t="s">
        <v>97</v>
      </c>
      <c r="D53" s="116"/>
      <c r="E53" s="118"/>
    </row>
    <row r="54" spans="3:7" x14ac:dyDescent="0.3">
      <c r="C54" s="119" t="s">
        <v>67</v>
      </c>
      <c r="D54" s="116"/>
      <c r="E54" s="117">
        <f>SUM(E47:E53)</f>
        <v>8973.2739519999996</v>
      </c>
    </row>
    <row r="58" spans="3:7" x14ac:dyDescent="0.3">
      <c r="F58" s="118" t="s">
        <v>114</v>
      </c>
      <c r="G58" s="120">
        <f>E54+'ÜRETİM (ARKAÖN)(silicon)'!E43</f>
        <v>12752.283727999999</v>
      </c>
    </row>
    <row r="59" spans="3:7" x14ac:dyDescent="0.3">
      <c r="F59" s="118" t="s">
        <v>136</v>
      </c>
      <c r="G59" s="120">
        <f>E54+'ÜRETİM (ARKAÖN)(silicon)'!E43+'MASK MAKING'!I13</f>
        <v>15144.943727999998</v>
      </c>
    </row>
  </sheetData>
  <autoFilter ref="B3:C43"/>
  <mergeCells count="13">
    <mergeCell ref="Q3:R3"/>
    <mergeCell ref="S3:T3"/>
    <mergeCell ref="U3:V3"/>
    <mergeCell ref="B1:C1"/>
    <mergeCell ref="O2:P2"/>
    <mergeCell ref="S2:T2"/>
    <mergeCell ref="U2:V2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1FD7E"/>
  </sheetPr>
  <dimension ref="A1:G38"/>
  <sheetViews>
    <sheetView workbookViewId="0">
      <selection activeCell="G30" sqref="G30"/>
    </sheetView>
  </sheetViews>
  <sheetFormatPr defaultColWidth="9.109375" defaultRowHeight="14.4" x14ac:dyDescent="0.3"/>
  <cols>
    <col min="1" max="1" width="51" style="15" customWidth="1"/>
    <col min="2" max="2" width="12.6640625" style="15" bestFit="1" customWidth="1"/>
    <col min="3" max="3" width="14" style="15" customWidth="1"/>
    <col min="4" max="4" width="13" style="15" customWidth="1"/>
    <col min="5" max="5" width="13.109375" style="15" customWidth="1"/>
    <col min="6" max="7" width="16" style="15" bestFit="1" customWidth="1"/>
    <col min="8" max="16384" width="9.109375" style="15"/>
  </cols>
  <sheetData>
    <row r="1" spans="1:7" ht="21" x14ac:dyDescent="0.4">
      <c r="C1" s="63" t="s">
        <v>99</v>
      </c>
      <c r="D1" s="64" t="s">
        <v>53</v>
      </c>
    </row>
    <row r="2" spans="1:7" ht="21.6" thickBot="1" x14ac:dyDescent="0.45">
      <c r="C2" s="65" t="s">
        <v>75</v>
      </c>
      <c r="D2" s="66"/>
    </row>
    <row r="3" spans="1:7" ht="21.6" thickBot="1" x14ac:dyDescent="0.45">
      <c r="C3" s="67" t="s">
        <v>76</v>
      </c>
      <c r="D3" s="68">
        <v>1</v>
      </c>
      <c r="F3" s="178" t="s">
        <v>74</v>
      </c>
      <c r="G3" s="179"/>
    </row>
    <row r="4" spans="1:7" ht="43.2" x14ac:dyDescent="0.3">
      <c r="A4" s="25" t="s">
        <v>8</v>
      </c>
      <c r="B4" s="27" t="s">
        <v>12</v>
      </c>
      <c r="C4" s="69"/>
      <c r="D4" s="70" t="s">
        <v>77</v>
      </c>
      <c r="E4" s="26" t="s">
        <v>14</v>
      </c>
      <c r="F4" s="70" t="s">
        <v>78</v>
      </c>
      <c r="G4" s="70" t="s">
        <v>94</v>
      </c>
    </row>
    <row r="5" spans="1:7" x14ac:dyDescent="0.3">
      <c r="A5" s="6" t="s">
        <v>52</v>
      </c>
      <c r="B5" s="47" t="s">
        <v>53</v>
      </c>
      <c r="C5" s="47"/>
      <c r="D5" s="48">
        <v>1</v>
      </c>
      <c r="E5" s="92">
        <v>678</v>
      </c>
      <c r="F5" s="92">
        <f>E5*D5</f>
        <v>678</v>
      </c>
      <c r="G5" s="92">
        <f>F5*1.12</f>
        <v>759.36000000000013</v>
      </c>
    </row>
    <row r="6" spans="1:7" ht="15.75" customHeight="1" x14ac:dyDescent="0.3">
      <c r="A6" s="104" t="s">
        <v>79</v>
      </c>
      <c r="B6" s="105" t="s">
        <v>80</v>
      </c>
      <c r="C6" s="106"/>
      <c r="D6" s="107">
        <v>5496</v>
      </c>
      <c r="E6" s="108">
        <v>3.4000000000000002E-2</v>
      </c>
      <c r="F6" s="100">
        <f>D6*E6</f>
        <v>186.864</v>
      </c>
      <c r="G6" s="92">
        <f>F6</f>
        <v>186.864</v>
      </c>
    </row>
    <row r="7" spans="1:7" ht="14.25" customHeight="1" x14ac:dyDescent="0.3">
      <c r="A7" s="93" t="s">
        <v>81</v>
      </c>
      <c r="B7" s="94" t="s">
        <v>82</v>
      </c>
      <c r="C7" s="94"/>
      <c r="D7" s="95">
        <v>120</v>
      </c>
      <c r="E7" s="96">
        <v>0.25</v>
      </c>
      <c r="F7" s="96">
        <f>E7*D7</f>
        <v>30</v>
      </c>
      <c r="G7" s="96">
        <f t="shared" ref="G7:G10" si="0">F7*1.12</f>
        <v>33.6</v>
      </c>
    </row>
    <row r="8" spans="1:7" x14ac:dyDescent="0.3">
      <c r="A8" s="6" t="s">
        <v>54</v>
      </c>
      <c r="B8" s="29" t="s">
        <v>53</v>
      </c>
      <c r="C8" s="47"/>
      <c r="D8" s="52">
        <v>1</v>
      </c>
      <c r="E8" s="99"/>
      <c r="F8" s="92">
        <f>E8*D8</f>
        <v>0</v>
      </c>
      <c r="G8" s="92">
        <f t="shared" si="0"/>
        <v>0</v>
      </c>
    </row>
    <row r="9" spans="1:7" x14ac:dyDescent="0.3">
      <c r="A9" s="6" t="s">
        <v>83</v>
      </c>
      <c r="B9" s="29" t="s">
        <v>84</v>
      </c>
      <c r="C9" s="47"/>
      <c r="D9" s="52">
        <v>40</v>
      </c>
      <c r="E9" s="99">
        <v>1.23</v>
      </c>
      <c r="F9" s="92">
        <f>E9*D9</f>
        <v>49.2</v>
      </c>
      <c r="G9" s="92">
        <f t="shared" si="0"/>
        <v>55.104000000000006</v>
      </c>
    </row>
    <row r="10" spans="1:7" x14ac:dyDescent="0.3">
      <c r="A10" s="6" t="s">
        <v>85</v>
      </c>
      <c r="B10" s="29" t="s">
        <v>84</v>
      </c>
      <c r="C10" s="47"/>
      <c r="D10" s="52">
        <v>40</v>
      </c>
      <c r="E10" s="99">
        <v>0.27</v>
      </c>
      <c r="F10" s="92">
        <f>E10*D10</f>
        <v>10.8</v>
      </c>
      <c r="G10" s="92">
        <f t="shared" si="0"/>
        <v>12.096000000000002</v>
      </c>
    </row>
    <row r="11" spans="1:7" s="84" customFormat="1" x14ac:dyDescent="0.3">
      <c r="A11" s="104" t="s">
        <v>86</v>
      </c>
      <c r="B11" s="105" t="s">
        <v>82</v>
      </c>
      <c r="C11" s="106"/>
      <c r="D11" s="107">
        <f>'ÜRETİM (ARKAÖN)(alumina)'!U31*60</f>
        <v>900</v>
      </c>
      <c r="E11" s="108">
        <v>0.44</v>
      </c>
      <c r="F11" s="100">
        <f>D11*E11</f>
        <v>396</v>
      </c>
      <c r="G11" s="100">
        <f>F11</f>
        <v>396</v>
      </c>
    </row>
    <row r="12" spans="1:7" x14ac:dyDescent="0.3">
      <c r="A12" s="6" t="s">
        <v>87</v>
      </c>
      <c r="B12" s="29" t="s">
        <v>55</v>
      </c>
      <c r="C12" s="47"/>
      <c r="D12" s="52">
        <v>50</v>
      </c>
      <c r="E12" s="99">
        <v>0.44</v>
      </c>
      <c r="F12" s="92">
        <f t="shared" ref="F12:F20" si="1">E12*D12</f>
        <v>22</v>
      </c>
      <c r="G12" s="92">
        <f>F12</f>
        <v>22</v>
      </c>
    </row>
    <row r="13" spans="1:7" x14ac:dyDescent="0.3">
      <c r="A13" s="93" t="s">
        <v>56</v>
      </c>
      <c r="B13" s="85" t="s">
        <v>88</v>
      </c>
      <c r="C13" s="94"/>
      <c r="D13" s="97">
        <v>175</v>
      </c>
      <c r="E13" s="98">
        <v>0.04</v>
      </c>
      <c r="F13" s="96">
        <f t="shared" si="1"/>
        <v>7</v>
      </c>
      <c r="G13" s="96">
        <f t="shared" ref="G13:G15" si="2">F13</f>
        <v>7</v>
      </c>
    </row>
    <row r="14" spans="1:7" x14ac:dyDescent="0.3">
      <c r="A14" s="93" t="s">
        <v>57</v>
      </c>
      <c r="B14" s="85" t="s">
        <v>88</v>
      </c>
      <c r="C14" s="94"/>
      <c r="D14" s="97">
        <v>2000</v>
      </c>
      <c r="E14" s="98">
        <v>0.01</v>
      </c>
      <c r="F14" s="96">
        <f t="shared" si="1"/>
        <v>20</v>
      </c>
      <c r="G14" s="96">
        <f t="shared" si="2"/>
        <v>20</v>
      </c>
    </row>
    <row r="15" spans="1:7" x14ac:dyDescent="0.3">
      <c r="A15" s="93" t="s">
        <v>46</v>
      </c>
      <c r="B15" s="85" t="s">
        <v>88</v>
      </c>
      <c r="C15" s="94"/>
      <c r="D15" s="97">
        <v>250</v>
      </c>
      <c r="E15" s="98">
        <v>1.46</v>
      </c>
      <c r="F15" s="96">
        <f t="shared" si="1"/>
        <v>365</v>
      </c>
      <c r="G15" s="96">
        <f t="shared" si="2"/>
        <v>365</v>
      </c>
    </row>
    <row r="16" spans="1:7" x14ac:dyDescent="0.3">
      <c r="A16" s="93" t="s">
        <v>47</v>
      </c>
      <c r="B16" s="85" t="s">
        <v>89</v>
      </c>
      <c r="C16" s="94"/>
      <c r="D16" s="97">
        <v>0.16</v>
      </c>
      <c r="E16" s="98">
        <v>56.8</v>
      </c>
      <c r="F16" s="96">
        <f t="shared" si="1"/>
        <v>9.0879999999999992</v>
      </c>
      <c r="G16" s="96">
        <f>F16*1.12</f>
        <v>10.178560000000001</v>
      </c>
    </row>
    <row r="17" spans="1:7" x14ac:dyDescent="0.3">
      <c r="A17" s="93" t="s">
        <v>48</v>
      </c>
      <c r="B17" s="85" t="s">
        <v>55</v>
      </c>
      <c r="C17" s="94"/>
      <c r="D17" s="97">
        <v>0.32</v>
      </c>
      <c r="E17" s="98">
        <v>48.29</v>
      </c>
      <c r="F17" s="96">
        <f t="shared" si="1"/>
        <v>15.4528</v>
      </c>
      <c r="G17" s="96">
        <f t="shared" ref="G17:G19" si="3">F17*1.12</f>
        <v>17.307136</v>
      </c>
    </row>
    <row r="18" spans="1:7" x14ac:dyDescent="0.3">
      <c r="A18" s="6" t="s">
        <v>22</v>
      </c>
      <c r="B18" s="29" t="s">
        <v>84</v>
      </c>
      <c r="C18" s="47"/>
      <c r="D18" s="52">
        <v>1000</v>
      </c>
      <c r="E18" s="99">
        <v>0.02</v>
      </c>
      <c r="F18" s="92">
        <f t="shared" si="1"/>
        <v>20</v>
      </c>
      <c r="G18" s="100">
        <f t="shared" si="3"/>
        <v>22.400000000000002</v>
      </c>
    </row>
    <row r="19" spans="1:7" x14ac:dyDescent="0.3">
      <c r="A19" s="6" t="s">
        <v>23</v>
      </c>
      <c r="B19" s="29" t="s">
        <v>84</v>
      </c>
      <c r="C19" s="47"/>
      <c r="D19" s="52">
        <v>250</v>
      </c>
      <c r="E19" s="99">
        <v>0.02</v>
      </c>
      <c r="F19" s="92">
        <f t="shared" si="1"/>
        <v>5</v>
      </c>
      <c r="G19" s="100">
        <f t="shared" si="3"/>
        <v>5.6000000000000005</v>
      </c>
    </row>
    <row r="20" spans="1:7" x14ac:dyDescent="0.3">
      <c r="A20" s="6" t="s">
        <v>90</v>
      </c>
      <c r="B20" s="29" t="s">
        <v>91</v>
      </c>
      <c r="C20" s="47"/>
      <c r="D20" s="52">
        <v>480</v>
      </c>
      <c r="E20" s="99">
        <v>9.1999999999999998E-2</v>
      </c>
      <c r="F20" s="92">
        <f t="shared" si="1"/>
        <v>44.16</v>
      </c>
      <c r="G20" s="92">
        <f>F20</f>
        <v>44.16</v>
      </c>
    </row>
    <row r="21" spans="1:7" ht="15.75" customHeight="1" x14ac:dyDescent="0.3">
      <c r="A21" s="93" t="s">
        <v>49</v>
      </c>
      <c r="B21" s="85" t="s">
        <v>53</v>
      </c>
      <c r="C21" s="94"/>
      <c r="D21" s="97">
        <v>1</v>
      </c>
      <c r="E21" s="98">
        <v>108.45</v>
      </c>
      <c r="F21" s="96">
        <f t="shared" ref="F21:F27" si="4">D21*E21</f>
        <v>108.45</v>
      </c>
      <c r="G21" s="96">
        <f>F21</f>
        <v>108.45</v>
      </c>
    </row>
    <row r="22" spans="1:7" x14ac:dyDescent="0.3">
      <c r="A22" s="93" t="s">
        <v>15</v>
      </c>
      <c r="B22" s="85" t="s">
        <v>53</v>
      </c>
      <c r="C22" s="94"/>
      <c r="D22" s="97">
        <v>0.01</v>
      </c>
      <c r="E22" s="98">
        <v>23.15</v>
      </c>
      <c r="F22" s="96">
        <f t="shared" si="4"/>
        <v>0.23149999999999998</v>
      </c>
      <c r="G22" s="96">
        <f>F22*1.12</f>
        <v>0.25928000000000001</v>
      </c>
    </row>
    <row r="23" spans="1:7" ht="15.75" customHeight="1" x14ac:dyDescent="0.3">
      <c r="A23" s="93" t="s">
        <v>11</v>
      </c>
      <c r="B23" s="85" t="s">
        <v>58</v>
      </c>
      <c r="C23" s="94"/>
      <c r="D23" s="97">
        <v>0.1</v>
      </c>
      <c r="E23" s="98">
        <v>44.11</v>
      </c>
      <c r="F23" s="96">
        <f t="shared" si="4"/>
        <v>4.4110000000000005</v>
      </c>
      <c r="G23" s="96">
        <f>F23</f>
        <v>4.4110000000000005</v>
      </c>
    </row>
    <row r="24" spans="1:7" x14ac:dyDescent="0.3">
      <c r="A24" s="93" t="s">
        <v>10</v>
      </c>
      <c r="B24" s="85" t="s">
        <v>58</v>
      </c>
      <c r="C24" s="94"/>
      <c r="D24" s="97">
        <v>0.2</v>
      </c>
      <c r="E24" s="98">
        <v>40.96</v>
      </c>
      <c r="F24" s="96">
        <f t="shared" si="4"/>
        <v>8.1920000000000002</v>
      </c>
      <c r="G24" s="96">
        <f>F24</f>
        <v>8.1920000000000002</v>
      </c>
    </row>
    <row r="25" spans="1:7" x14ac:dyDescent="0.3">
      <c r="A25" s="93" t="s">
        <v>13</v>
      </c>
      <c r="B25" s="85" t="s">
        <v>53</v>
      </c>
      <c r="C25" s="94"/>
      <c r="D25" s="97">
        <v>1</v>
      </c>
      <c r="E25" s="98">
        <v>0.18</v>
      </c>
      <c r="F25" s="96">
        <f t="shared" si="4"/>
        <v>0.18</v>
      </c>
      <c r="G25" s="96">
        <f>F25</f>
        <v>0.18</v>
      </c>
    </row>
    <row r="26" spans="1:7" x14ac:dyDescent="0.3">
      <c r="A26" s="93" t="s">
        <v>9</v>
      </c>
      <c r="B26" s="85" t="s">
        <v>59</v>
      </c>
      <c r="C26" s="94"/>
      <c r="D26" s="97">
        <v>0.05</v>
      </c>
      <c r="E26" s="98">
        <v>2.2999999999999998</v>
      </c>
      <c r="F26" s="96">
        <f t="shared" si="4"/>
        <v>0.11499999999999999</v>
      </c>
      <c r="G26" s="96">
        <f>F26</f>
        <v>0.11499999999999999</v>
      </c>
    </row>
    <row r="27" spans="1:7" x14ac:dyDescent="0.3">
      <c r="A27" s="101" t="s">
        <v>92</v>
      </c>
      <c r="B27" s="85" t="s">
        <v>82</v>
      </c>
      <c r="C27" s="94"/>
      <c r="D27" s="97">
        <f>'ÜRETİM (ARKAÖN)(alumina)'!I31*60</f>
        <v>840</v>
      </c>
      <c r="E27" s="98">
        <v>0.02</v>
      </c>
      <c r="F27" s="96">
        <f t="shared" si="4"/>
        <v>16.8</v>
      </c>
      <c r="G27" s="96">
        <f>F27</f>
        <v>16.8</v>
      </c>
    </row>
    <row r="28" spans="1:7" x14ac:dyDescent="0.3">
      <c r="A28" s="93" t="s">
        <v>50</v>
      </c>
      <c r="B28" s="85" t="s">
        <v>53</v>
      </c>
      <c r="C28" s="94"/>
      <c r="D28" s="97"/>
      <c r="E28" s="98">
        <v>0</v>
      </c>
      <c r="F28" s="96">
        <v>0</v>
      </c>
      <c r="G28" s="96"/>
    </row>
    <row r="29" spans="1:7" ht="15" thickBot="1" x14ac:dyDescent="0.35">
      <c r="A29" s="93" t="s">
        <v>51</v>
      </c>
      <c r="B29" s="85" t="s">
        <v>53</v>
      </c>
      <c r="C29" s="94"/>
      <c r="D29" s="97"/>
      <c r="E29" s="102">
        <v>0</v>
      </c>
      <c r="F29" s="103">
        <v>0</v>
      </c>
      <c r="G29" s="103"/>
    </row>
    <row r="30" spans="1:7" ht="21.6" thickBot="1" x14ac:dyDescent="0.45">
      <c r="A30" s="54"/>
      <c r="D30" s="53"/>
      <c r="E30" s="109" t="s">
        <v>93</v>
      </c>
      <c r="F30" s="163">
        <f>SUM(F5:F29)</f>
        <v>1996.9443000000003</v>
      </c>
      <c r="G30" s="164">
        <f>SUM(G5:G29)</f>
        <v>2095.0769760000003</v>
      </c>
    </row>
    <row r="31" spans="1:7" x14ac:dyDescent="0.3">
      <c r="D31" s="53"/>
      <c r="F31" s="71"/>
    </row>
    <row r="32" spans="1:7" x14ac:dyDescent="0.3">
      <c r="D32" s="53"/>
    </row>
    <row r="33" spans="1:4" x14ac:dyDescent="0.3">
      <c r="D33" s="53"/>
    </row>
    <row r="34" spans="1:4" x14ac:dyDescent="0.3">
      <c r="D34" s="53"/>
    </row>
    <row r="35" spans="1:4" x14ac:dyDescent="0.3">
      <c r="D35" s="53"/>
    </row>
    <row r="36" spans="1:4" x14ac:dyDescent="0.3">
      <c r="D36" s="53"/>
    </row>
    <row r="37" spans="1:4" x14ac:dyDescent="0.3">
      <c r="D37" s="53"/>
    </row>
    <row r="38" spans="1:4" x14ac:dyDescent="0.3">
      <c r="A38" s="85" t="s">
        <v>109</v>
      </c>
      <c r="B38" s="85" t="s">
        <v>110</v>
      </c>
      <c r="D38" s="53"/>
    </row>
  </sheetData>
  <mergeCells count="1">
    <mergeCell ref="F3:G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1FD7E"/>
  </sheetPr>
  <dimension ref="A1:DA70"/>
  <sheetViews>
    <sheetView zoomScale="89" zoomScaleNormal="89" workbookViewId="0">
      <pane xSplit="3" ySplit="4" topLeftCell="D23" activePane="bottomRight" state="frozen"/>
      <selection pane="topRight" activeCell="D1" sqref="D1"/>
      <selection pane="bottomLeft" activeCell="A5" sqref="A5"/>
      <selection pane="bottomRight" activeCell="E43" sqref="E43"/>
    </sheetView>
  </sheetViews>
  <sheetFormatPr defaultColWidth="9.109375" defaultRowHeight="14.4" x14ac:dyDescent="0.3"/>
  <cols>
    <col min="1" max="1" width="7.5546875" style="1" customWidth="1"/>
    <col min="2" max="2" width="8.88671875" style="2" customWidth="1"/>
    <col min="3" max="3" width="32.33203125" style="2" customWidth="1"/>
    <col min="4" max="4" width="2.33203125" style="2" customWidth="1"/>
    <col min="5" max="5" width="13.88671875" style="16" bestFit="1" customWidth="1"/>
    <col min="6" max="6" width="21.33203125" style="16" customWidth="1"/>
    <col min="7" max="7" width="24.5546875" style="16" bestFit="1" customWidth="1"/>
    <col min="8" max="8" width="13.33203125" style="16" customWidth="1"/>
    <col min="9" max="9" width="11.6640625" style="14" customWidth="1"/>
    <col min="10" max="10" width="12" style="14" customWidth="1"/>
    <col min="11" max="11" width="15.109375" style="14" customWidth="1"/>
    <col min="12" max="12" width="13.5546875" style="14" customWidth="1"/>
    <col min="13" max="13" width="23.6640625" style="14" bestFit="1" customWidth="1"/>
    <col min="14" max="14" width="12" style="14" customWidth="1"/>
    <col min="15" max="15" width="11" style="14" customWidth="1"/>
    <col min="16" max="16" width="9.6640625" style="14" customWidth="1"/>
    <col min="17" max="17" width="9" style="14" customWidth="1"/>
    <col min="18" max="18" width="10.88671875" style="14" customWidth="1"/>
    <col min="19" max="19" width="9.88671875" style="14" customWidth="1"/>
    <col min="20" max="20" width="9.33203125" style="14" bestFit="1" customWidth="1"/>
    <col min="21" max="21" width="10.5546875" style="14" customWidth="1"/>
    <col min="22" max="22" width="11.44140625" style="14" customWidth="1"/>
    <col min="23" max="104" width="9.109375" style="14"/>
    <col min="105" max="16384" width="9.109375" style="1"/>
  </cols>
  <sheetData>
    <row r="1" spans="1:105" ht="15" customHeight="1" x14ac:dyDescent="0.3">
      <c r="B1" s="170" t="s">
        <v>7</v>
      </c>
      <c r="C1" s="170"/>
    </row>
    <row r="2" spans="1:105" ht="21.6" thickBot="1" x14ac:dyDescent="0.35">
      <c r="C2" s="22" t="s">
        <v>6</v>
      </c>
      <c r="O2" s="175"/>
      <c r="P2" s="175"/>
      <c r="S2" s="174"/>
      <c r="T2" s="174"/>
      <c r="U2" s="173" t="s">
        <v>98</v>
      </c>
      <c r="V2" s="173"/>
    </row>
    <row r="3" spans="1:105" s="6" customFormat="1" ht="72.75" customHeight="1" x14ac:dyDescent="0.3">
      <c r="A3" s="8" t="s">
        <v>3</v>
      </c>
      <c r="B3" s="9" t="s">
        <v>1</v>
      </c>
      <c r="C3" s="10" t="s">
        <v>0</v>
      </c>
      <c r="D3" s="7"/>
      <c r="E3" s="171" t="s">
        <v>19</v>
      </c>
      <c r="F3" s="172"/>
      <c r="G3" s="171" t="s">
        <v>18</v>
      </c>
      <c r="H3" s="172"/>
      <c r="I3" s="171" t="s">
        <v>41</v>
      </c>
      <c r="J3" s="172"/>
      <c r="K3" s="177" t="s">
        <v>44</v>
      </c>
      <c r="L3" s="172"/>
      <c r="M3" s="177" t="s">
        <v>43</v>
      </c>
      <c r="N3" s="172"/>
      <c r="O3" s="176" t="s">
        <v>21</v>
      </c>
      <c r="P3" s="176"/>
      <c r="Q3" s="176" t="s">
        <v>42</v>
      </c>
      <c r="R3" s="176"/>
      <c r="S3" s="176" t="s">
        <v>45</v>
      </c>
      <c r="T3" s="176"/>
      <c r="U3" s="171" t="s">
        <v>71</v>
      </c>
      <c r="V3" s="172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2"/>
    </row>
    <row r="4" spans="1:105" s="6" customFormat="1" ht="21" x14ac:dyDescent="0.3">
      <c r="A4" s="28"/>
      <c r="B4" s="3"/>
      <c r="C4" s="3"/>
      <c r="D4" s="3"/>
      <c r="E4" s="4" t="s">
        <v>5</v>
      </c>
      <c r="F4" s="5" t="s">
        <v>4</v>
      </c>
      <c r="G4" s="4" t="s">
        <v>5</v>
      </c>
      <c r="H4" s="5" t="s">
        <v>4</v>
      </c>
      <c r="I4" s="4" t="s">
        <v>5</v>
      </c>
      <c r="J4" s="5" t="s">
        <v>4</v>
      </c>
      <c r="K4" s="4" t="s">
        <v>5</v>
      </c>
      <c r="L4" s="5" t="s">
        <v>4</v>
      </c>
      <c r="M4" s="4" t="s">
        <v>5</v>
      </c>
      <c r="N4" s="5" t="s">
        <v>4</v>
      </c>
      <c r="O4" s="4" t="s">
        <v>5</v>
      </c>
      <c r="P4" s="5" t="s">
        <v>4</v>
      </c>
      <c r="Q4" s="4" t="s">
        <v>5</v>
      </c>
      <c r="R4" s="5" t="s">
        <v>4</v>
      </c>
      <c r="S4" s="4" t="s">
        <v>5</v>
      </c>
      <c r="T4" s="5" t="s">
        <v>4</v>
      </c>
      <c r="U4" s="4" t="s">
        <v>5</v>
      </c>
      <c r="V4" s="5" t="s">
        <v>4</v>
      </c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2"/>
    </row>
    <row r="5" spans="1:105" s="36" customFormat="1" ht="36" x14ac:dyDescent="0.3">
      <c r="A5" s="33">
        <v>1</v>
      </c>
      <c r="B5" s="31" t="s">
        <v>16</v>
      </c>
      <c r="C5" s="31" t="s">
        <v>24</v>
      </c>
      <c r="D5" s="31"/>
      <c r="E5" s="31">
        <f>SUM(E6:E9)</f>
        <v>2</v>
      </c>
      <c r="F5" s="31">
        <f t="shared" ref="F5:V5" si="0">SUM(F6:F9)</f>
        <v>2</v>
      </c>
      <c r="G5" s="31">
        <f t="shared" si="0"/>
        <v>2.2000000000000002</v>
      </c>
      <c r="H5" s="31">
        <f t="shared" si="0"/>
        <v>2.2000000000000002</v>
      </c>
      <c r="I5" s="31">
        <f t="shared" si="0"/>
        <v>0</v>
      </c>
      <c r="J5" s="31">
        <f t="shared" si="0"/>
        <v>0</v>
      </c>
      <c r="K5" s="31">
        <f t="shared" si="0"/>
        <v>2</v>
      </c>
      <c r="L5" s="31">
        <f t="shared" si="0"/>
        <v>2</v>
      </c>
      <c r="M5" s="31">
        <f t="shared" si="0"/>
        <v>0</v>
      </c>
      <c r="N5" s="31">
        <f t="shared" si="0"/>
        <v>0</v>
      </c>
      <c r="O5" s="31">
        <f t="shared" si="0"/>
        <v>0</v>
      </c>
      <c r="P5" s="31">
        <f t="shared" si="0"/>
        <v>0</v>
      </c>
      <c r="Q5" s="31"/>
      <c r="R5" s="31"/>
      <c r="S5" s="31">
        <f t="shared" si="0"/>
        <v>0</v>
      </c>
      <c r="T5" s="31">
        <f t="shared" si="0"/>
        <v>0</v>
      </c>
      <c r="U5" s="31">
        <f t="shared" si="0"/>
        <v>0</v>
      </c>
      <c r="V5" s="31">
        <f t="shared" si="0"/>
        <v>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5"/>
    </row>
    <row r="6" spans="1:105" s="38" customFormat="1" ht="18" x14ac:dyDescent="0.3">
      <c r="A6" s="32">
        <v>2</v>
      </c>
      <c r="B6" s="37" t="s">
        <v>2</v>
      </c>
      <c r="C6" s="37" t="s">
        <v>25</v>
      </c>
      <c r="E6" s="32"/>
      <c r="F6" s="32"/>
      <c r="G6" s="32">
        <v>2</v>
      </c>
      <c r="H6" s="32">
        <v>2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</row>
    <row r="7" spans="1:105" s="38" customFormat="1" ht="18" x14ac:dyDescent="0.3">
      <c r="A7" s="32">
        <v>3</v>
      </c>
      <c r="B7" s="37" t="s">
        <v>2</v>
      </c>
      <c r="C7" s="37" t="s">
        <v>29</v>
      </c>
      <c r="E7" s="32"/>
      <c r="F7" s="32"/>
      <c r="G7" s="32"/>
      <c r="H7" s="32"/>
      <c r="I7" s="32"/>
      <c r="J7" s="32"/>
      <c r="K7" s="32">
        <v>2</v>
      </c>
      <c r="L7" s="32">
        <v>2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</row>
    <row r="8" spans="1:105" s="38" customFormat="1" ht="18" x14ac:dyDescent="0.3">
      <c r="A8" s="32">
        <v>4</v>
      </c>
      <c r="B8" s="37" t="s">
        <v>2</v>
      </c>
      <c r="C8" s="37" t="s">
        <v>30</v>
      </c>
      <c r="E8" s="32">
        <v>2</v>
      </c>
      <c r="F8" s="32">
        <v>2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40"/>
    </row>
    <row r="9" spans="1:105" s="24" customFormat="1" ht="18" x14ac:dyDescent="0.3">
      <c r="A9" s="32">
        <v>5</v>
      </c>
      <c r="B9" s="37" t="s">
        <v>2</v>
      </c>
      <c r="C9" s="37" t="s">
        <v>20</v>
      </c>
      <c r="D9" s="38"/>
      <c r="E9" s="46"/>
      <c r="F9" s="46"/>
      <c r="G9" s="46">
        <v>0.2</v>
      </c>
      <c r="H9" s="46">
        <v>0.2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41"/>
    </row>
    <row r="10" spans="1:105" s="36" customFormat="1" ht="18" x14ac:dyDescent="0.3">
      <c r="A10" s="42">
        <v>6</v>
      </c>
      <c r="B10" s="31" t="s">
        <v>16</v>
      </c>
      <c r="C10" s="31" t="s">
        <v>26</v>
      </c>
      <c r="D10" s="31"/>
      <c r="E10" s="31">
        <f>SUM(E11)</f>
        <v>0</v>
      </c>
      <c r="F10" s="31">
        <f t="shared" ref="F10:V10" si="1">SUM(F11)</f>
        <v>0</v>
      </c>
      <c r="G10" s="31">
        <f t="shared" si="1"/>
        <v>0</v>
      </c>
      <c r="H10" s="31">
        <f t="shared" si="1"/>
        <v>0</v>
      </c>
      <c r="I10" s="31">
        <f t="shared" si="1"/>
        <v>14</v>
      </c>
      <c r="J10" s="31">
        <f t="shared" si="1"/>
        <v>4</v>
      </c>
      <c r="K10" s="31">
        <f t="shared" si="1"/>
        <v>0</v>
      </c>
      <c r="L10" s="31">
        <f t="shared" si="1"/>
        <v>0</v>
      </c>
      <c r="M10" s="31">
        <f t="shared" si="1"/>
        <v>0</v>
      </c>
      <c r="N10" s="31">
        <f t="shared" si="1"/>
        <v>0</v>
      </c>
      <c r="O10" s="31">
        <f t="shared" si="1"/>
        <v>0</v>
      </c>
      <c r="P10" s="31">
        <f t="shared" si="1"/>
        <v>0</v>
      </c>
      <c r="Q10" s="31"/>
      <c r="R10" s="31"/>
      <c r="S10" s="31">
        <f t="shared" si="1"/>
        <v>0</v>
      </c>
      <c r="T10" s="31">
        <f t="shared" si="1"/>
        <v>0</v>
      </c>
      <c r="U10" s="31">
        <f t="shared" si="1"/>
        <v>0</v>
      </c>
      <c r="V10" s="31">
        <f t="shared" si="1"/>
        <v>0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5"/>
    </row>
    <row r="11" spans="1:105" s="24" customFormat="1" ht="28.8" x14ac:dyDescent="0.3">
      <c r="A11" s="43">
        <v>7</v>
      </c>
      <c r="B11" s="37" t="s">
        <v>2</v>
      </c>
      <c r="C11" s="37" t="s">
        <v>33</v>
      </c>
      <c r="D11" s="38"/>
      <c r="E11" s="46"/>
      <c r="F11" s="46"/>
      <c r="G11" s="46"/>
      <c r="H11" s="46"/>
      <c r="I11" s="46">
        <v>14</v>
      </c>
      <c r="J11" s="46">
        <v>4</v>
      </c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41"/>
    </row>
    <row r="12" spans="1:105" s="36" customFormat="1" ht="18" x14ac:dyDescent="0.3">
      <c r="A12" s="42">
        <v>8</v>
      </c>
      <c r="B12" s="31" t="s">
        <v>16</v>
      </c>
      <c r="C12" s="31" t="s">
        <v>27</v>
      </c>
      <c r="D12" s="31"/>
      <c r="E12" s="31">
        <f>SUM(E13,E14)</f>
        <v>10</v>
      </c>
      <c r="F12" s="31">
        <f t="shared" ref="F12:V12" si="2">SUM(F13,F14)</f>
        <v>1</v>
      </c>
      <c r="G12" s="31">
        <f t="shared" si="2"/>
        <v>0.2</v>
      </c>
      <c r="H12" s="31">
        <f t="shared" si="2"/>
        <v>0.2</v>
      </c>
      <c r="I12" s="31">
        <f t="shared" si="2"/>
        <v>0</v>
      </c>
      <c r="J12" s="31">
        <f t="shared" si="2"/>
        <v>0</v>
      </c>
      <c r="K12" s="31">
        <f t="shared" si="2"/>
        <v>0</v>
      </c>
      <c r="L12" s="31">
        <f t="shared" si="2"/>
        <v>0</v>
      </c>
      <c r="M12" s="31">
        <f t="shared" si="2"/>
        <v>0</v>
      </c>
      <c r="N12" s="31">
        <f t="shared" si="2"/>
        <v>0</v>
      </c>
      <c r="O12" s="31">
        <f t="shared" si="2"/>
        <v>0</v>
      </c>
      <c r="P12" s="31">
        <f t="shared" si="2"/>
        <v>0</v>
      </c>
      <c r="Q12" s="31"/>
      <c r="R12" s="31"/>
      <c r="S12" s="31">
        <f t="shared" si="2"/>
        <v>0</v>
      </c>
      <c r="T12" s="31">
        <f t="shared" si="2"/>
        <v>0</v>
      </c>
      <c r="U12" s="31">
        <f t="shared" si="2"/>
        <v>0</v>
      </c>
      <c r="V12" s="31">
        <f t="shared" si="2"/>
        <v>0</v>
      </c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5"/>
    </row>
    <row r="13" spans="1:105" s="24" customFormat="1" ht="18" x14ac:dyDescent="0.3">
      <c r="A13" s="43">
        <v>9</v>
      </c>
      <c r="B13" s="37" t="s">
        <v>2</v>
      </c>
      <c r="C13" s="37" t="s">
        <v>28</v>
      </c>
      <c r="D13" s="38"/>
      <c r="E13" s="46">
        <v>10</v>
      </c>
      <c r="F13" s="46">
        <v>1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41"/>
    </row>
    <row r="14" spans="1:105" s="24" customFormat="1" ht="18" x14ac:dyDescent="0.3">
      <c r="A14" s="32">
        <v>10</v>
      </c>
      <c r="B14" s="37" t="s">
        <v>2</v>
      </c>
      <c r="C14" s="37" t="s">
        <v>20</v>
      </c>
      <c r="D14" s="38"/>
      <c r="E14" s="46"/>
      <c r="F14" s="46"/>
      <c r="G14" s="46">
        <v>0.2</v>
      </c>
      <c r="H14" s="46">
        <v>0.2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41"/>
    </row>
    <row r="15" spans="1:105" s="36" customFormat="1" ht="18" x14ac:dyDescent="0.3">
      <c r="A15" s="33">
        <v>11</v>
      </c>
      <c r="B15" s="31" t="s">
        <v>16</v>
      </c>
      <c r="C15" s="31" t="s">
        <v>31</v>
      </c>
      <c r="D15" s="31"/>
      <c r="E15" s="31">
        <f>SUM(E16:E21)</f>
        <v>7</v>
      </c>
      <c r="F15" s="31">
        <f t="shared" ref="F15:V15" si="3">SUM(F16:F21)</f>
        <v>6</v>
      </c>
      <c r="G15" s="31">
        <f t="shared" si="3"/>
        <v>2.2000000000000002</v>
      </c>
      <c r="H15" s="31">
        <f t="shared" si="3"/>
        <v>2.2000000000000002</v>
      </c>
      <c r="I15" s="31">
        <f t="shared" si="3"/>
        <v>0</v>
      </c>
      <c r="J15" s="31">
        <f t="shared" si="3"/>
        <v>0</v>
      </c>
      <c r="K15" s="31">
        <f t="shared" si="3"/>
        <v>2</v>
      </c>
      <c r="L15" s="31">
        <f t="shared" si="3"/>
        <v>2</v>
      </c>
      <c r="M15" s="31">
        <f t="shared" si="3"/>
        <v>0</v>
      </c>
      <c r="N15" s="31">
        <f t="shared" si="3"/>
        <v>0</v>
      </c>
      <c r="O15" s="31">
        <f t="shared" si="3"/>
        <v>0</v>
      </c>
      <c r="P15" s="31">
        <f t="shared" si="3"/>
        <v>0</v>
      </c>
      <c r="Q15" s="31"/>
      <c r="R15" s="31"/>
      <c r="S15" s="31">
        <f t="shared" si="3"/>
        <v>0</v>
      </c>
      <c r="T15" s="31">
        <f t="shared" si="3"/>
        <v>0</v>
      </c>
      <c r="U15" s="31">
        <f t="shared" si="3"/>
        <v>0</v>
      </c>
      <c r="V15" s="31">
        <f t="shared" si="3"/>
        <v>0</v>
      </c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5"/>
    </row>
    <row r="16" spans="1:105" s="24" customFormat="1" ht="18" x14ac:dyDescent="0.3">
      <c r="A16" s="32">
        <v>12</v>
      </c>
      <c r="B16" s="37" t="s">
        <v>2</v>
      </c>
      <c r="C16" s="44" t="s">
        <v>25</v>
      </c>
      <c r="D16" s="38"/>
      <c r="E16" s="46"/>
      <c r="F16" s="46"/>
      <c r="G16" s="46">
        <v>2</v>
      </c>
      <c r="H16" s="46">
        <v>2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41"/>
    </row>
    <row r="17" spans="1:105" s="24" customFormat="1" ht="18" x14ac:dyDescent="0.3">
      <c r="A17" s="43">
        <v>13</v>
      </c>
      <c r="B17" s="37"/>
      <c r="C17" s="37" t="s">
        <v>29</v>
      </c>
      <c r="D17" s="38"/>
      <c r="E17" s="46"/>
      <c r="F17" s="46"/>
      <c r="G17" s="46"/>
      <c r="H17" s="46"/>
      <c r="I17" s="46"/>
      <c r="J17" s="46"/>
      <c r="K17" s="46">
        <v>2</v>
      </c>
      <c r="L17" s="46">
        <v>2</v>
      </c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41"/>
    </row>
    <row r="18" spans="1:105" s="24" customFormat="1" ht="18" x14ac:dyDescent="0.3">
      <c r="A18" s="45">
        <v>14</v>
      </c>
      <c r="B18" s="37"/>
      <c r="C18" s="37" t="s">
        <v>30</v>
      </c>
      <c r="D18" s="38"/>
      <c r="E18" s="46">
        <v>2</v>
      </c>
      <c r="F18" s="46">
        <v>2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41"/>
    </row>
    <row r="19" spans="1:105" s="24" customFormat="1" ht="18" x14ac:dyDescent="0.3">
      <c r="A19" s="43">
        <v>15</v>
      </c>
      <c r="B19" s="37"/>
      <c r="C19" s="37" t="s">
        <v>31</v>
      </c>
      <c r="D19" s="38"/>
      <c r="E19" s="46">
        <v>3</v>
      </c>
      <c r="F19" s="46">
        <v>3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41"/>
    </row>
    <row r="20" spans="1:105" s="24" customFormat="1" ht="18" x14ac:dyDescent="0.3">
      <c r="A20" s="45">
        <v>16</v>
      </c>
      <c r="B20" s="37" t="s">
        <v>2</v>
      </c>
      <c r="C20" s="37" t="s">
        <v>32</v>
      </c>
      <c r="D20" s="38"/>
      <c r="E20" s="46">
        <v>2</v>
      </c>
      <c r="F20" s="46">
        <v>1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41"/>
    </row>
    <row r="21" spans="1:105" s="24" customFormat="1" ht="18" x14ac:dyDescent="0.3">
      <c r="A21" s="43">
        <v>17</v>
      </c>
      <c r="B21" s="37" t="s">
        <v>2</v>
      </c>
      <c r="C21" s="37" t="s">
        <v>20</v>
      </c>
      <c r="D21" s="38"/>
      <c r="E21" s="46"/>
      <c r="F21" s="46"/>
      <c r="G21" s="46">
        <v>0.2</v>
      </c>
      <c r="H21" s="46">
        <v>0.2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41"/>
    </row>
    <row r="22" spans="1:105" s="36" customFormat="1" ht="18" x14ac:dyDescent="0.3">
      <c r="A22" s="42">
        <v>18</v>
      </c>
      <c r="B22" s="31" t="s">
        <v>16</v>
      </c>
      <c r="C22" s="31" t="s">
        <v>34</v>
      </c>
      <c r="D22" s="31"/>
      <c r="E22" s="31">
        <f>SUM(E23:E26)</f>
        <v>0</v>
      </c>
      <c r="F22" s="31">
        <f t="shared" ref="F22:V22" si="4">SUM(F23:F26)</f>
        <v>0</v>
      </c>
      <c r="G22" s="31">
        <f t="shared" si="4"/>
        <v>5</v>
      </c>
      <c r="H22" s="31">
        <f t="shared" si="4"/>
        <v>5</v>
      </c>
      <c r="I22" s="31">
        <f t="shared" si="4"/>
        <v>0</v>
      </c>
      <c r="J22" s="31">
        <f t="shared" si="4"/>
        <v>0</v>
      </c>
      <c r="K22" s="31">
        <f t="shared" si="4"/>
        <v>2</v>
      </c>
      <c r="L22" s="31">
        <f t="shared" si="4"/>
        <v>2</v>
      </c>
      <c r="M22" s="31">
        <f t="shared" si="4"/>
        <v>8</v>
      </c>
      <c r="N22" s="31">
        <f t="shared" si="4"/>
        <v>0.2</v>
      </c>
      <c r="O22" s="31">
        <f t="shared" si="4"/>
        <v>0</v>
      </c>
      <c r="P22" s="31">
        <f t="shared" si="4"/>
        <v>0</v>
      </c>
      <c r="Q22" s="31">
        <f t="shared" si="4"/>
        <v>0</v>
      </c>
      <c r="R22" s="31">
        <f t="shared" si="4"/>
        <v>0</v>
      </c>
      <c r="S22" s="31">
        <f t="shared" si="4"/>
        <v>0</v>
      </c>
      <c r="T22" s="31">
        <f t="shared" si="4"/>
        <v>0</v>
      </c>
      <c r="U22" s="31">
        <f t="shared" si="4"/>
        <v>0</v>
      </c>
      <c r="V22" s="31">
        <f t="shared" si="4"/>
        <v>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5"/>
    </row>
    <row r="23" spans="1:105" s="24" customFormat="1" ht="18" x14ac:dyDescent="0.3">
      <c r="A23" s="43">
        <v>19</v>
      </c>
      <c r="B23" s="37" t="s">
        <v>2</v>
      </c>
      <c r="C23" s="37" t="s">
        <v>35</v>
      </c>
      <c r="D23" s="38"/>
      <c r="E23" s="46"/>
      <c r="F23" s="46"/>
      <c r="G23" s="46">
        <v>3</v>
      </c>
      <c r="H23" s="46">
        <v>3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41"/>
    </row>
    <row r="24" spans="1:105" s="24" customFormat="1" ht="18" x14ac:dyDescent="0.3">
      <c r="A24" s="45">
        <v>20</v>
      </c>
      <c r="B24" s="37" t="s">
        <v>2</v>
      </c>
      <c r="C24" s="37" t="s">
        <v>37</v>
      </c>
      <c r="D24" s="38"/>
      <c r="E24" s="46"/>
      <c r="F24" s="46"/>
      <c r="G24" s="46"/>
      <c r="H24" s="46"/>
      <c r="I24" s="46"/>
      <c r="J24" s="46"/>
      <c r="K24" s="46">
        <v>2</v>
      </c>
      <c r="L24" s="46">
        <v>2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41"/>
    </row>
    <row r="25" spans="1:105" s="24" customFormat="1" ht="18" x14ac:dyDescent="0.3">
      <c r="A25" s="43">
        <v>21</v>
      </c>
      <c r="B25" s="37" t="s">
        <v>2</v>
      </c>
      <c r="C25" s="37" t="s">
        <v>36</v>
      </c>
      <c r="D25" s="38"/>
      <c r="E25" s="46"/>
      <c r="F25" s="46"/>
      <c r="G25" s="46">
        <v>2</v>
      </c>
      <c r="H25" s="46">
        <v>2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41"/>
    </row>
    <row r="26" spans="1:105" s="24" customFormat="1" ht="18" x14ac:dyDescent="0.3">
      <c r="A26" s="45">
        <v>22</v>
      </c>
      <c r="B26" s="37" t="s">
        <v>2</v>
      </c>
      <c r="C26" s="37" t="s">
        <v>38</v>
      </c>
      <c r="D26" s="38"/>
      <c r="E26" s="46"/>
      <c r="F26" s="46"/>
      <c r="G26" s="46"/>
      <c r="H26" s="46"/>
      <c r="I26" s="46"/>
      <c r="J26" s="46"/>
      <c r="K26" s="46"/>
      <c r="L26" s="46"/>
      <c r="M26" s="46">
        <v>8</v>
      </c>
      <c r="N26" s="46">
        <v>0.2</v>
      </c>
      <c r="O26" s="46"/>
      <c r="P26" s="46"/>
      <c r="Q26" s="46"/>
      <c r="R26" s="46"/>
      <c r="S26" s="46"/>
      <c r="T26" s="46"/>
      <c r="U26" s="46"/>
      <c r="V26" s="46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41"/>
    </row>
    <row r="27" spans="1:105" s="36" customFormat="1" ht="18" x14ac:dyDescent="0.3">
      <c r="A27" s="33">
        <v>23</v>
      </c>
      <c r="B27" s="31" t="s">
        <v>16</v>
      </c>
      <c r="C27" s="31" t="s">
        <v>17</v>
      </c>
      <c r="D27" s="31"/>
      <c r="E27" s="31">
        <f>SUM(E28:E29)</f>
        <v>0</v>
      </c>
      <c r="F27" s="31">
        <f t="shared" ref="F27:T27" si="5">SUM(F28:F29)</f>
        <v>0</v>
      </c>
      <c r="G27" s="31">
        <f t="shared" si="5"/>
        <v>0</v>
      </c>
      <c r="H27" s="31">
        <f t="shared" si="5"/>
        <v>0</v>
      </c>
      <c r="I27" s="31">
        <f t="shared" si="5"/>
        <v>0</v>
      </c>
      <c r="J27" s="31">
        <f t="shared" si="5"/>
        <v>0</v>
      </c>
      <c r="K27" s="31">
        <f t="shared" si="5"/>
        <v>0</v>
      </c>
      <c r="L27" s="31">
        <f t="shared" si="5"/>
        <v>0</v>
      </c>
      <c r="M27" s="31">
        <f t="shared" si="5"/>
        <v>0</v>
      </c>
      <c r="N27" s="31">
        <f t="shared" si="5"/>
        <v>0</v>
      </c>
      <c r="O27" s="31">
        <f t="shared" si="5"/>
        <v>0</v>
      </c>
      <c r="P27" s="31">
        <f t="shared" si="5"/>
        <v>0</v>
      </c>
      <c r="Q27" s="31">
        <f t="shared" si="5"/>
        <v>16</v>
      </c>
      <c r="R27" s="31">
        <f t="shared" si="5"/>
        <v>16</v>
      </c>
      <c r="S27" s="31">
        <f t="shared" si="5"/>
        <v>4</v>
      </c>
      <c r="T27" s="31">
        <f t="shared" si="5"/>
        <v>4</v>
      </c>
      <c r="U27" s="31">
        <f>SUM(U28:U30)</f>
        <v>15</v>
      </c>
      <c r="V27" s="31">
        <f>SUM(V28:V30)</f>
        <v>15</v>
      </c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5"/>
    </row>
    <row r="28" spans="1:105" s="24" customFormat="1" ht="32.25" customHeight="1" x14ac:dyDescent="0.3">
      <c r="A28" s="45">
        <v>24</v>
      </c>
      <c r="B28" s="37" t="s">
        <v>2</v>
      </c>
      <c r="C28" s="37" t="s">
        <v>39</v>
      </c>
      <c r="D28" s="38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>
        <v>16</v>
      </c>
      <c r="R28" s="46">
        <v>16</v>
      </c>
      <c r="S28" s="46"/>
      <c r="T28" s="46"/>
      <c r="U28" s="46"/>
      <c r="V28" s="46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41"/>
    </row>
    <row r="29" spans="1:105" s="24" customFormat="1" ht="37.5" customHeight="1" x14ac:dyDescent="0.3">
      <c r="A29" s="43">
        <v>25</v>
      </c>
      <c r="B29" s="37" t="s">
        <v>2</v>
      </c>
      <c r="C29" s="37" t="s">
        <v>40</v>
      </c>
      <c r="D29" s="38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>
        <v>4</v>
      </c>
      <c r="T29" s="46">
        <v>4</v>
      </c>
      <c r="U29" s="46"/>
      <c r="V29" s="46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41"/>
    </row>
    <row r="30" spans="1:105" s="11" customFormat="1" ht="18" x14ac:dyDescent="0.3">
      <c r="A30" s="43">
        <v>25</v>
      </c>
      <c r="B30" s="37" t="s">
        <v>2</v>
      </c>
      <c r="C30" s="37" t="s">
        <v>72</v>
      </c>
      <c r="D30" s="38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>
        <v>15</v>
      </c>
      <c r="V30" s="46">
        <v>15</v>
      </c>
      <c r="W30" s="81" t="s">
        <v>95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3"/>
    </row>
    <row r="31" spans="1:105" s="6" customFormat="1" ht="31.2" x14ac:dyDescent="0.3">
      <c r="A31" s="17"/>
      <c r="B31" s="82" t="s">
        <v>61</v>
      </c>
      <c r="C31" s="21"/>
      <c r="D31" s="18"/>
      <c r="E31" s="18">
        <f>+E5+E10+E12+E15+E22+E27</f>
        <v>19</v>
      </c>
      <c r="F31" s="18">
        <f>+F5+F10+F12+F15+F22+F27</f>
        <v>9</v>
      </c>
      <c r="G31" s="18">
        <f>+G5+G10+G12+G15+G22+G27</f>
        <v>9.6000000000000014</v>
      </c>
      <c r="H31" s="18">
        <f>+H5+H10+H12+H15+H22+H27</f>
        <v>9.6000000000000014</v>
      </c>
      <c r="I31" s="58">
        <f>+(I5+I10+I12+I15+I22+I27)</f>
        <v>14</v>
      </c>
      <c r="J31" s="58">
        <f>+(J5+J10+J12+J15+J22+J27)</f>
        <v>4</v>
      </c>
      <c r="K31" s="18">
        <f t="shared" ref="K31:T31" si="6">+K5+K10+K12+K15+K22+K27</f>
        <v>6</v>
      </c>
      <c r="L31" s="18">
        <f t="shared" si="6"/>
        <v>6</v>
      </c>
      <c r="M31" s="18">
        <f t="shared" si="6"/>
        <v>8</v>
      </c>
      <c r="N31" s="18">
        <f t="shared" si="6"/>
        <v>0.2</v>
      </c>
      <c r="O31" s="18">
        <f t="shared" si="6"/>
        <v>0</v>
      </c>
      <c r="P31" s="18">
        <f t="shared" si="6"/>
        <v>0</v>
      </c>
      <c r="Q31" s="18">
        <f t="shared" si="6"/>
        <v>16</v>
      </c>
      <c r="R31" s="18">
        <f t="shared" si="6"/>
        <v>16</v>
      </c>
      <c r="S31" s="18">
        <f t="shared" si="6"/>
        <v>4</v>
      </c>
      <c r="T31" s="18">
        <f t="shared" si="6"/>
        <v>4</v>
      </c>
      <c r="U31" s="61">
        <f>+U5+U10+U12+U15+U22+U27</f>
        <v>15</v>
      </c>
      <c r="V31" s="51">
        <f>+V5+V10+V12+V15+V22+V27</f>
        <v>15</v>
      </c>
      <c r="W31" s="18">
        <f>SUM(E31:V31)</f>
        <v>155.4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2"/>
    </row>
    <row r="32" spans="1:105" s="6" customFormat="1" x14ac:dyDescent="0.3">
      <c r="A32" s="17"/>
      <c r="B32" s="30"/>
      <c r="C32" s="30" t="s">
        <v>68</v>
      </c>
      <c r="D32" s="18"/>
      <c r="E32" s="49">
        <v>33</v>
      </c>
      <c r="F32" s="49">
        <v>33</v>
      </c>
      <c r="G32" s="49">
        <v>15.6</v>
      </c>
      <c r="H32" s="49">
        <v>33</v>
      </c>
      <c r="I32" s="59">
        <v>66</v>
      </c>
      <c r="J32" s="59">
        <v>33</v>
      </c>
      <c r="K32" s="49">
        <v>24.2</v>
      </c>
      <c r="L32" s="49">
        <v>33</v>
      </c>
      <c r="M32" s="49">
        <v>7.7</v>
      </c>
      <c r="N32" s="49">
        <v>33</v>
      </c>
      <c r="O32" s="49">
        <v>11</v>
      </c>
      <c r="P32" s="49">
        <v>33</v>
      </c>
      <c r="Q32" s="49">
        <v>11</v>
      </c>
      <c r="R32" s="49">
        <v>33</v>
      </c>
      <c r="S32" s="49">
        <v>11</v>
      </c>
      <c r="T32" s="49">
        <v>33</v>
      </c>
      <c r="U32" s="49">
        <v>17.600000000000001</v>
      </c>
      <c r="V32" s="49">
        <v>33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2"/>
    </row>
    <row r="33" spans="1:105" s="77" customFormat="1" ht="28.8" x14ac:dyDescent="0.3">
      <c r="A33" s="72" t="s">
        <v>60</v>
      </c>
      <c r="B33" s="72">
        <v>1</v>
      </c>
      <c r="C33" s="72" t="s">
        <v>69</v>
      </c>
      <c r="D33" s="73"/>
      <c r="E33" s="74">
        <f>+E31*E32</f>
        <v>627</v>
      </c>
      <c r="F33" s="74">
        <f>+F31*F32</f>
        <v>297</v>
      </c>
      <c r="G33" s="74">
        <f t="shared" ref="G33:V33" si="7">+G31*G32</f>
        <v>149.76000000000002</v>
      </c>
      <c r="H33" s="74">
        <f t="shared" si="7"/>
        <v>316.80000000000007</v>
      </c>
      <c r="I33" s="74">
        <f>+I31*I32</f>
        <v>924</v>
      </c>
      <c r="J33" s="74">
        <f t="shared" si="7"/>
        <v>132</v>
      </c>
      <c r="K33" s="74">
        <f t="shared" si="7"/>
        <v>145.19999999999999</v>
      </c>
      <c r="L33" s="74">
        <f t="shared" si="7"/>
        <v>198</v>
      </c>
      <c r="M33" s="74">
        <f t="shared" si="7"/>
        <v>61.6</v>
      </c>
      <c r="N33" s="74">
        <f t="shared" si="7"/>
        <v>6.6000000000000005</v>
      </c>
      <c r="O33" s="74">
        <f t="shared" si="7"/>
        <v>0</v>
      </c>
      <c r="P33" s="74">
        <f t="shared" si="7"/>
        <v>0</v>
      </c>
      <c r="Q33" s="74">
        <f t="shared" si="7"/>
        <v>176</v>
      </c>
      <c r="R33" s="74">
        <f t="shared" si="7"/>
        <v>528</v>
      </c>
      <c r="S33" s="74">
        <f t="shared" si="7"/>
        <v>44</v>
      </c>
      <c r="T33" s="74">
        <f t="shared" si="7"/>
        <v>132</v>
      </c>
      <c r="U33" s="74">
        <f t="shared" si="7"/>
        <v>264</v>
      </c>
      <c r="V33" s="74">
        <f t="shared" si="7"/>
        <v>495</v>
      </c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75"/>
      <c r="CY33" s="75"/>
      <c r="CZ33" s="75"/>
      <c r="DA33" s="76"/>
    </row>
    <row r="34" spans="1:105" s="6" customFormat="1" x14ac:dyDescent="0.3">
      <c r="A34" s="17"/>
      <c r="B34" s="30"/>
      <c r="C34" s="30"/>
      <c r="D34" s="18"/>
      <c r="E34" s="19"/>
      <c r="F34" s="19"/>
      <c r="G34" s="19"/>
      <c r="H34" s="19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2"/>
    </row>
    <row r="35" spans="1:105" s="11" customFormat="1" ht="18" x14ac:dyDescent="0.3">
      <c r="A35" s="17"/>
      <c r="B35" s="17"/>
      <c r="C35" s="17"/>
      <c r="D35" s="21"/>
      <c r="E35" s="19"/>
      <c r="F35" s="14"/>
      <c r="G35" s="14"/>
      <c r="H35" s="14"/>
      <c r="I35" s="14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3"/>
    </row>
    <row r="36" spans="1:105" s="6" customFormat="1" x14ac:dyDescent="0.3">
      <c r="A36" s="17"/>
      <c r="B36" s="17"/>
      <c r="C36" s="29" t="s">
        <v>62</v>
      </c>
      <c r="D36" s="86"/>
      <c r="E36" s="165">
        <f>E33+G33+I33+K33+M33+O33+Q33+S33+U33</f>
        <v>2391.56</v>
      </c>
      <c r="F36" s="14"/>
      <c r="G36" s="14"/>
      <c r="H36" s="14"/>
      <c r="I36" s="14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2"/>
    </row>
    <row r="37" spans="1:105" s="6" customFormat="1" x14ac:dyDescent="0.3">
      <c r="A37" s="17"/>
      <c r="B37" s="17"/>
      <c r="C37" s="29" t="s">
        <v>63</v>
      </c>
      <c r="D37" s="86"/>
      <c r="E37" s="165"/>
      <c r="F37" s="14"/>
      <c r="G37" s="14"/>
      <c r="H37" s="14"/>
      <c r="I37" s="14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2"/>
    </row>
    <row r="38" spans="1:105" s="6" customFormat="1" x14ac:dyDescent="0.3">
      <c r="A38" s="17"/>
      <c r="B38" s="17"/>
      <c r="C38" s="29" t="s">
        <v>64</v>
      </c>
      <c r="D38" s="87"/>
      <c r="E38" s="165">
        <f>'sarf malzemeleri 1 silicon'!G30</f>
        <v>1387.4497760000002</v>
      </c>
      <c r="F38" s="14"/>
      <c r="G38" s="14"/>
      <c r="H38" s="14"/>
      <c r="I38" s="14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2"/>
    </row>
    <row r="39" spans="1:105" s="11" customFormat="1" x14ac:dyDescent="0.3">
      <c r="A39" s="17"/>
      <c r="B39" s="17"/>
      <c r="C39" s="29" t="s">
        <v>65</v>
      </c>
      <c r="D39" s="87"/>
      <c r="E39" s="165"/>
      <c r="F39" s="14"/>
      <c r="G39" s="14"/>
      <c r="H39" s="14"/>
      <c r="I39" s="14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3"/>
    </row>
    <row r="40" spans="1:105" s="6" customFormat="1" x14ac:dyDescent="0.3">
      <c r="A40" s="17"/>
      <c r="B40" s="17"/>
      <c r="C40" s="29" t="s">
        <v>66</v>
      </c>
      <c r="D40" s="86"/>
      <c r="E40" s="165"/>
      <c r="F40" s="14"/>
      <c r="G40" s="14"/>
      <c r="H40" s="14"/>
      <c r="I40" s="14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2"/>
    </row>
    <row r="41" spans="1:105" s="6" customFormat="1" ht="18.75" customHeight="1" x14ac:dyDescent="0.3">
      <c r="A41" s="17"/>
      <c r="B41" s="17"/>
      <c r="C41" s="29" t="s">
        <v>96</v>
      </c>
      <c r="D41" s="88"/>
      <c r="E41" s="165"/>
      <c r="F41" s="14"/>
      <c r="G41" s="14"/>
      <c r="H41" s="14"/>
      <c r="I41" s="14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2"/>
    </row>
    <row r="42" spans="1:105" s="11" customFormat="1" x14ac:dyDescent="0.3">
      <c r="A42" s="17"/>
      <c r="B42" s="17"/>
      <c r="C42" s="29" t="s">
        <v>97</v>
      </c>
      <c r="D42" s="86"/>
      <c r="E42" s="165"/>
      <c r="F42" s="14"/>
      <c r="G42" s="14"/>
      <c r="H42" s="14"/>
      <c r="I42" s="14"/>
      <c r="J42" s="14"/>
      <c r="K42" s="51"/>
      <c r="L42" s="51"/>
      <c r="M42" s="51"/>
      <c r="N42" s="51"/>
      <c r="O42" s="51"/>
      <c r="P42" s="51"/>
      <c r="Q42" s="51"/>
      <c r="R42" s="51"/>
      <c r="S42" s="51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3"/>
    </row>
    <row r="43" spans="1:105" s="6" customFormat="1" x14ac:dyDescent="0.3">
      <c r="A43" s="17"/>
      <c r="B43" s="17"/>
      <c r="C43" s="119" t="s">
        <v>67</v>
      </c>
      <c r="D43" s="166"/>
      <c r="E43" s="167">
        <f>SUM(E36:E42)</f>
        <v>3779.0097759999999</v>
      </c>
      <c r="F43" s="14"/>
      <c r="G43" s="14"/>
      <c r="H43" s="14"/>
      <c r="I43" s="14"/>
      <c r="J43" s="14"/>
      <c r="K43" s="51"/>
      <c r="L43" s="51"/>
      <c r="M43" s="51"/>
      <c r="N43" s="51"/>
      <c r="O43" s="51"/>
      <c r="P43" s="51"/>
      <c r="Q43" s="51"/>
      <c r="R43" s="51"/>
      <c r="S43" s="51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2"/>
    </row>
    <row r="44" spans="1:105" s="6" customFormat="1" ht="18" x14ac:dyDescent="0.3">
      <c r="A44" s="17"/>
      <c r="B44" s="17"/>
      <c r="C44" s="55"/>
      <c r="D44" s="21"/>
      <c r="E44" s="23"/>
      <c r="F44" s="14"/>
      <c r="G44" s="14"/>
      <c r="H44" s="14"/>
      <c r="I44" s="14"/>
      <c r="J44" s="14"/>
      <c r="L44" s="51"/>
      <c r="M44" s="51"/>
      <c r="N44" s="51"/>
      <c r="O44" s="51"/>
      <c r="P44" s="51"/>
      <c r="Q44" s="51"/>
      <c r="R44" s="51"/>
      <c r="S44" s="51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2"/>
    </row>
    <row r="45" spans="1:105" s="6" customFormat="1" ht="18" x14ac:dyDescent="0.3">
      <c r="A45" s="17"/>
      <c r="B45" s="17"/>
      <c r="C45" s="57"/>
      <c r="D45" s="21"/>
      <c r="E45" s="50"/>
      <c r="F45" s="14"/>
      <c r="G45" s="14"/>
      <c r="H45" s="14"/>
      <c r="I45" s="14"/>
      <c r="J45" s="14"/>
      <c r="K45" s="51"/>
      <c r="L45" s="51"/>
      <c r="M45" s="51"/>
      <c r="N45" s="51"/>
      <c r="O45" s="51"/>
      <c r="P45" s="51"/>
      <c r="Q45" s="51"/>
      <c r="R45" s="51"/>
      <c r="S45" s="51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2"/>
    </row>
    <row r="46" spans="1:105" s="11" customFormat="1" ht="18" x14ac:dyDescent="0.3">
      <c r="A46" s="17"/>
      <c r="B46" s="21"/>
      <c r="C46" s="57"/>
      <c r="D46" s="56"/>
      <c r="E46" s="62"/>
      <c r="F46" s="14"/>
      <c r="G46" s="14"/>
      <c r="H46" s="14"/>
      <c r="I46" s="14"/>
      <c r="J46" s="14"/>
      <c r="K46" s="51"/>
      <c r="L46" s="51"/>
      <c r="M46" s="51"/>
      <c r="N46" s="51"/>
      <c r="O46" s="51"/>
      <c r="P46" s="51"/>
      <c r="Q46" s="51"/>
      <c r="R46" s="51"/>
      <c r="S46" s="51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3"/>
    </row>
    <row r="47" spans="1:105" s="11" customFormat="1" ht="18" x14ac:dyDescent="0.3">
      <c r="A47" s="17"/>
      <c r="B47" s="21"/>
      <c r="C47" s="17"/>
      <c r="D47" s="18"/>
      <c r="E47" s="23"/>
      <c r="F47" s="23"/>
      <c r="G47" s="78"/>
      <c r="H47" s="19"/>
      <c r="I47" s="14"/>
      <c r="J47" s="14"/>
      <c r="K47" s="51"/>
      <c r="L47" s="51"/>
      <c r="M47" s="51"/>
      <c r="N47" s="51"/>
      <c r="O47" s="51"/>
      <c r="P47" s="51"/>
      <c r="Q47" s="51"/>
      <c r="R47" s="51"/>
      <c r="S47" s="51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3"/>
    </row>
    <row r="48" spans="1:105" s="6" customFormat="1" ht="57" customHeight="1" x14ac:dyDescent="0.3">
      <c r="A48" s="17"/>
      <c r="B48" s="18"/>
      <c r="C48" s="17"/>
      <c r="D48" s="18"/>
      <c r="E48" s="23"/>
      <c r="F48" s="169"/>
      <c r="G48" s="169"/>
      <c r="H48" s="19"/>
      <c r="I48" s="14"/>
      <c r="J48" s="14"/>
      <c r="K48" s="51"/>
      <c r="L48" s="51"/>
      <c r="M48" s="51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2"/>
    </row>
    <row r="49" spans="1:105" s="14" customFormat="1" x14ac:dyDescent="0.3">
      <c r="A49" s="20"/>
      <c r="B49" s="20"/>
      <c r="C49" s="18"/>
      <c r="D49" s="20"/>
      <c r="E49" s="20"/>
      <c r="F49" s="20"/>
      <c r="G49" s="20"/>
      <c r="H49" s="20"/>
      <c r="DA49" s="1"/>
    </row>
    <row r="50" spans="1:105" s="14" customFormat="1" x14ac:dyDescent="0.3">
      <c r="A50" s="1"/>
      <c r="B50" s="1"/>
      <c r="C50" s="2"/>
      <c r="D50" s="1"/>
      <c r="E50" s="1"/>
      <c r="F50" s="1"/>
      <c r="G50" s="1"/>
      <c r="H50" s="1"/>
      <c r="DA50" s="1"/>
    </row>
    <row r="51" spans="1:105" s="14" customFormat="1" ht="56.25" customHeight="1" x14ac:dyDescent="0.3">
      <c r="A51" s="1"/>
      <c r="B51" s="1"/>
      <c r="C51" s="2"/>
      <c r="D51" s="1"/>
      <c r="E51" s="16"/>
      <c r="F51" s="16"/>
      <c r="G51" s="16"/>
      <c r="H51" s="16"/>
      <c r="O51" s="15"/>
      <c r="DA51" s="1"/>
    </row>
    <row r="52" spans="1:105" s="14" customFormat="1" x14ac:dyDescent="0.3">
      <c r="A52" s="1"/>
      <c r="B52" s="2"/>
      <c r="C52" s="2"/>
      <c r="D52" s="2"/>
      <c r="E52" s="16"/>
      <c r="F52" s="16"/>
      <c r="G52" s="16"/>
      <c r="H52" s="16"/>
      <c r="O52" s="15"/>
      <c r="P52" s="15"/>
      <c r="Q52" s="15"/>
      <c r="R52" s="15"/>
      <c r="S52" s="15"/>
      <c r="T52" s="15"/>
      <c r="U52" s="15"/>
      <c r="V52" s="15"/>
      <c r="W52" s="15"/>
      <c r="DA52" s="1"/>
    </row>
    <row r="53" spans="1:105" s="14" customFormat="1" x14ac:dyDescent="0.3">
      <c r="A53" s="1"/>
      <c r="B53" s="2"/>
      <c r="C53" s="2"/>
      <c r="D53" s="2"/>
      <c r="E53" s="16"/>
      <c r="F53" s="16"/>
      <c r="G53" s="16"/>
      <c r="H53" s="16"/>
      <c r="O53" s="15"/>
      <c r="P53" s="15"/>
      <c r="Q53" s="15"/>
      <c r="R53" s="15"/>
      <c r="S53" s="15"/>
      <c r="T53" s="15"/>
      <c r="U53" s="15"/>
      <c r="V53" s="15"/>
      <c r="W53" s="15"/>
      <c r="DA53" s="1"/>
    </row>
    <row r="55" spans="1:105" s="14" customFormat="1" x14ac:dyDescent="0.3">
      <c r="A55" s="1"/>
      <c r="B55" s="2"/>
      <c r="C55" s="2"/>
      <c r="D55" s="2"/>
      <c r="E55" s="20"/>
      <c r="F55" s="18"/>
      <c r="G55" s="20"/>
      <c r="H55" s="20"/>
      <c r="I55" s="20"/>
      <c r="J55" s="20"/>
      <c r="K55" s="20"/>
      <c r="DA55" s="1"/>
    </row>
    <row r="58" spans="1:105" s="14" customFormat="1" x14ac:dyDescent="0.3">
      <c r="A58" s="1"/>
      <c r="B58" s="2"/>
      <c r="C58" s="2"/>
      <c r="D58" s="2"/>
      <c r="E58" s="16"/>
      <c r="F58" s="16"/>
      <c r="G58" s="16"/>
      <c r="H58" s="16"/>
      <c r="L58" s="51"/>
      <c r="M58" s="51"/>
      <c r="DA58" s="1"/>
    </row>
    <row r="66" spans="1:105" s="14" customFormat="1" ht="18.75" customHeight="1" x14ac:dyDescent="0.3">
      <c r="A66" s="1"/>
      <c r="B66" s="2"/>
      <c r="C66" s="2"/>
      <c r="D66" s="2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DA66" s="1"/>
    </row>
    <row r="67" spans="1:105" s="14" customFormat="1" x14ac:dyDescent="0.3">
      <c r="A67" s="1"/>
      <c r="B67" s="2"/>
      <c r="C67" s="2"/>
      <c r="D67" s="2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DA67" s="1"/>
    </row>
    <row r="68" spans="1:105" s="14" customFormat="1" x14ac:dyDescent="0.3">
      <c r="A68" s="1"/>
      <c r="B68" s="2"/>
      <c r="C68" s="2"/>
      <c r="D68" s="2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DA68" s="1"/>
    </row>
    <row r="69" spans="1:105" s="14" customFormat="1" x14ac:dyDescent="0.3">
      <c r="A69" s="1"/>
      <c r="B69" s="2"/>
      <c r="C69" s="2"/>
      <c r="D69" s="2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DA69" s="1"/>
    </row>
    <row r="70" spans="1:105" s="14" customFormat="1" x14ac:dyDescent="0.3">
      <c r="A70" s="1"/>
      <c r="B70" s="2"/>
      <c r="C70" s="2"/>
      <c r="D70" s="2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DA70" s="1"/>
    </row>
  </sheetData>
  <autoFilter ref="B3:C51"/>
  <mergeCells count="14">
    <mergeCell ref="F48:G48"/>
    <mergeCell ref="B1:C1"/>
    <mergeCell ref="O2:P2"/>
    <mergeCell ref="S2:T2"/>
    <mergeCell ref="U2:V2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51FD7E"/>
  </sheetPr>
  <dimension ref="A1:G38"/>
  <sheetViews>
    <sheetView workbookViewId="0">
      <selection activeCell="F30" sqref="F30"/>
    </sheetView>
  </sheetViews>
  <sheetFormatPr defaultColWidth="9.109375" defaultRowHeight="14.4" x14ac:dyDescent="0.3"/>
  <cols>
    <col min="1" max="1" width="51" style="15" customWidth="1"/>
    <col min="2" max="2" width="12.6640625" style="15" bestFit="1" customWidth="1"/>
    <col min="3" max="3" width="14" style="15" customWidth="1"/>
    <col min="4" max="4" width="13" style="15" customWidth="1"/>
    <col min="5" max="5" width="13.109375" style="15" customWidth="1"/>
    <col min="6" max="6" width="14.109375" style="15" bestFit="1" customWidth="1"/>
    <col min="7" max="7" width="13.88671875" style="15" customWidth="1"/>
    <col min="8" max="16384" width="9.109375" style="15"/>
  </cols>
  <sheetData>
    <row r="1" spans="1:7" ht="21" x14ac:dyDescent="0.4">
      <c r="C1" s="63" t="s">
        <v>99</v>
      </c>
      <c r="D1" s="64" t="s">
        <v>53</v>
      </c>
    </row>
    <row r="2" spans="1:7" ht="21.6" thickBot="1" x14ac:dyDescent="0.45">
      <c r="C2" s="65" t="s">
        <v>75</v>
      </c>
      <c r="D2" s="66"/>
    </row>
    <row r="3" spans="1:7" ht="21.6" thickBot="1" x14ac:dyDescent="0.45">
      <c r="C3" s="67" t="s">
        <v>76</v>
      </c>
      <c r="D3" s="68">
        <v>1</v>
      </c>
      <c r="F3" s="178" t="s">
        <v>74</v>
      </c>
      <c r="G3" s="179"/>
    </row>
    <row r="4" spans="1:7" ht="57.6" x14ac:dyDescent="0.3">
      <c r="A4" s="25" t="s">
        <v>8</v>
      </c>
      <c r="B4" s="27" t="s">
        <v>12</v>
      </c>
      <c r="C4" s="69"/>
      <c r="D4" s="70" t="s">
        <v>77</v>
      </c>
      <c r="E4" s="26" t="s">
        <v>14</v>
      </c>
      <c r="F4" s="70" t="s">
        <v>78</v>
      </c>
      <c r="G4" s="70" t="s">
        <v>94</v>
      </c>
    </row>
    <row r="5" spans="1:7" x14ac:dyDescent="0.3">
      <c r="A5" s="6" t="s">
        <v>52</v>
      </c>
      <c r="B5" s="47" t="s">
        <v>53</v>
      </c>
      <c r="C5" s="47"/>
      <c r="D5" s="48">
        <v>1</v>
      </c>
      <c r="E5" s="92"/>
      <c r="F5" s="92">
        <f>E5*D5</f>
        <v>0</v>
      </c>
      <c r="G5" s="92">
        <f>F5*1.12</f>
        <v>0</v>
      </c>
    </row>
    <row r="6" spans="1:7" ht="15.75" customHeight="1" x14ac:dyDescent="0.3">
      <c r="A6" s="104" t="s">
        <v>79</v>
      </c>
      <c r="B6" s="105" t="s">
        <v>80</v>
      </c>
      <c r="C6" s="106"/>
      <c r="D6" s="107">
        <v>5496</v>
      </c>
      <c r="E6" s="108">
        <v>3.4000000000000002E-2</v>
      </c>
      <c r="F6" s="100">
        <f>D6*E6</f>
        <v>186.864</v>
      </c>
      <c r="G6" s="92">
        <f>F6</f>
        <v>186.864</v>
      </c>
    </row>
    <row r="7" spans="1:7" ht="14.25" customHeight="1" x14ac:dyDescent="0.3">
      <c r="A7" s="93" t="s">
        <v>81</v>
      </c>
      <c r="B7" s="94" t="s">
        <v>82</v>
      </c>
      <c r="C7" s="94"/>
      <c r="D7" s="95">
        <v>120</v>
      </c>
      <c r="E7" s="96">
        <v>0.25</v>
      </c>
      <c r="F7" s="96">
        <f>E7*D7</f>
        <v>30</v>
      </c>
      <c r="G7" s="96">
        <f t="shared" ref="G7:G10" si="0">F7*1.12</f>
        <v>33.6</v>
      </c>
    </row>
    <row r="8" spans="1:7" x14ac:dyDescent="0.3">
      <c r="A8" s="6" t="s">
        <v>54</v>
      </c>
      <c r="B8" s="29" t="s">
        <v>53</v>
      </c>
      <c r="C8" s="47"/>
      <c r="D8" s="52">
        <v>1</v>
      </c>
      <c r="E8" s="99">
        <v>46.19</v>
      </c>
      <c r="F8" s="92">
        <f>E8*D8</f>
        <v>46.19</v>
      </c>
      <c r="G8" s="92">
        <f t="shared" si="0"/>
        <v>51.732800000000005</v>
      </c>
    </row>
    <row r="9" spans="1:7" x14ac:dyDescent="0.3">
      <c r="A9" s="6" t="s">
        <v>83</v>
      </c>
      <c r="B9" s="29" t="s">
        <v>84</v>
      </c>
      <c r="C9" s="47"/>
      <c r="D9" s="52">
        <v>40</v>
      </c>
      <c r="E9" s="99">
        <v>1.23</v>
      </c>
      <c r="F9" s="92">
        <f>E9*D9</f>
        <v>49.2</v>
      </c>
      <c r="G9" s="92">
        <f t="shared" si="0"/>
        <v>55.104000000000006</v>
      </c>
    </row>
    <row r="10" spans="1:7" x14ac:dyDescent="0.3">
      <c r="A10" s="6" t="s">
        <v>85</v>
      </c>
      <c r="B10" s="29" t="s">
        <v>84</v>
      </c>
      <c r="C10" s="47"/>
      <c r="D10" s="52">
        <v>40</v>
      </c>
      <c r="E10" s="99">
        <v>0.27</v>
      </c>
      <c r="F10" s="92">
        <f>E10*D10</f>
        <v>10.8</v>
      </c>
      <c r="G10" s="92">
        <f t="shared" si="0"/>
        <v>12.096000000000002</v>
      </c>
    </row>
    <row r="11" spans="1:7" s="84" customFormat="1" x14ac:dyDescent="0.3">
      <c r="A11" s="104" t="s">
        <v>86</v>
      </c>
      <c r="B11" s="105" t="s">
        <v>82</v>
      </c>
      <c r="C11" s="106"/>
      <c r="D11" s="107">
        <f>'ÜRETİM (ARKAÖN)(alumina)'!U31*60</f>
        <v>900</v>
      </c>
      <c r="E11" s="108">
        <v>0.44</v>
      </c>
      <c r="F11" s="100">
        <f>D11*E11</f>
        <v>396</v>
      </c>
      <c r="G11" s="100">
        <f>F11</f>
        <v>396</v>
      </c>
    </row>
    <row r="12" spans="1:7" x14ac:dyDescent="0.3">
      <c r="A12" s="6" t="s">
        <v>87</v>
      </c>
      <c r="B12" s="29" t="s">
        <v>55</v>
      </c>
      <c r="C12" s="47"/>
      <c r="D12" s="52">
        <v>50</v>
      </c>
      <c r="E12" s="99">
        <v>0.44</v>
      </c>
      <c r="F12" s="92">
        <f t="shared" ref="F12:F20" si="1">E12*D12</f>
        <v>22</v>
      </c>
      <c r="G12" s="92">
        <f>F12</f>
        <v>22</v>
      </c>
    </row>
    <row r="13" spans="1:7" x14ac:dyDescent="0.3">
      <c r="A13" s="93" t="s">
        <v>56</v>
      </c>
      <c r="B13" s="85" t="s">
        <v>88</v>
      </c>
      <c r="C13" s="94"/>
      <c r="D13" s="97">
        <v>175</v>
      </c>
      <c r="E13" s="98">
        <v>0.04</v>
      </c>
      <c r="F13" s="96">
        <f t="shared" si="1"/>
        <v>7</v>
      </c>
      <c r="G13" s="96">
        <f t="shared" ref="G13:G15" si="2">F13</f>
        <v>7</v>
      </c>
    </row>
    <row r="14" spans="1:7" x14ac:dyDescent="0.3">
      <c r="A14" s="93" t="s">
        <v>57</v>
      </c>
      <c r="B14" s="85" t="s">
        <v>88</v>
      </c>
      <c r="C14" s="94"/>
      <c r="D14" s="97">
        <v>2000</v>
      </c>
      <c r="E14" s="98">
        <v>0.01</v>
      </c>
      <c r="F14" s="96">
        <f t="shared" si="1"/>
        <v>20</v>
      </c>
      <c r="G14" s="96">
        <f t="shared" si="2"/>
        <v>20</v>
      </c>
    </row>
    <row r="15" spans="1:7" x14ac:dyDescent="0.3">
      <c r="A15" s="93" t="s">
        <v>46</v>
      </c>
      <c r="B15" s="85" t="s">
        <v>88</v>
      </c>
      <c r="C15" s="94"/>
      <c r="D15" s="97">
        <v>250</v>
      </c>
      <c r="E15" s="98">
        <v>1.46</v>
      </c>
      <c r="F15" s="96">
        <f t="shared" si="1"/>
        <v>365</v>
      </c>
      <c r="G15" s="96">
        <f t="shared" si="2"/>
        <v>365</v>
      </c>
    </row>
    <row r="16" spans="1:7" x14ac:dyDescent="0.3">
      <c r="A16" s="93" t="s">
        <v>47</v>
      </c>
      <c r="B16" s="85" t="s">
        <v>89</v>
      </c>
      <c r="C16" s="94"/>
      <c r="D16" s="97">
        <v>0.16</v>
      </c>
      <c r="E16" s="98">
        <v>56.8</v>
      </c>
      <c r="F16" s="96">
        <f t="shared" si="1"/>
        <v>9.0879999999999992</v>
      </c>
      <c r="G16" s="96">
        <f>F16*1.12</f>
        <v>10.178560000000001</v>
      </c>
    </row>
    <row r="17" spans="1:7" x14ac:dyDescent="0.3">
      <c r="A17" s="93" t="s">
        <v>48</v>
      </c>
      <c r="B17" s="85" t="s">
        <v>55</v>
      </c>
      <c r="C17" s="94"/>
      <c r="D17" s="97">
        <v>0.32</v>
      </c>
      <c r="E17" s="98">
        <v>48.29</v>
      </c>
      <c r="F17" s="96">
        <f t="shared" si="1"/>
        <v>15.4528</v>
      </c>
      <c r="G17" s="96">
        <f t="shared" ref="G17:G19" si="3">F17*1.12</f>
        <v>17.307136</v>
      </c>
    </row>
    <row r="18" spans="1:7" x14ac:dyDescent="0.3">
      <c r="A18" s="6" t="s">
        <v>22</v>
      </c>
      <c r="B18" s="29" t="s">
        <v>84</v>
      </c>
      <c r="C18" s="47"/>
      <c r="D18" s="52">
        <v>1000</v>
      </c>
      <c r="E18" s="99">
        <v>0.02</v>
      </c>
      <c r="F18" s="92">
        <f t="shared" si="1"/>
        <v>20</v>
      </c>
      <c r="G18" s="100">
        <f t="shared" si="3"/>
        <v>22.400000000000002</v>
      </c>
    </row>
    <row r="19" spans="1:7" x14ac:dyDescent="0.3">
      <c r="A19" s="6" t="s">
        <v>23</v>
      </c>
      <c r="B19" s="29" t="s">
        <v>84</v>
      </c>
      <c r="C19" s="47"/>
      <c r="D19" s="52">
        <v>250</v>
      </c>
      <c r="E19" s="99">
        <v>0.02</v>
      </c>
      <c r="F19" s="92">
        <f t="shared" si="1"/>
        <v>5</v>
      </c>
      <c r="G19" s="100">
        <f t="shared" si="3"/>
        <v>5.6000000000000005</v>
      </c>
    </row>
    <row r="20" spans="1:7" x14ac:dyDescent="0.3">
      <c r="A20" s="6" t="s">
        <v>90</v>
      </c>
      <c r="B20" s="29" t="s">
        <v>91</v>
      </c>
      <c r="C20" s="47"/>
      <c r="D20" s="52">
        <v>480</v>
      </c>
      <c r="E20" s="99">
        <v>9.1999999999999998E-2</v>
      </c>
      <c r="F20" s="92">
        <f t="shared" si="1"/>
        <v>44.16</v>
      </c>
      <c r="G20" s="92">
        <f>F20</f>
        <v>44.16</v>
      </c>
    </row>
    <row r="21" spans="1:7" ht="15.75" customHeight="1" x14ac:dyDescent="0.3">
      <c r="A21" s="93" t="s">
        <v>49</v>
      </c>
      <c r="B21" s="85" t="s">
        <v>53</v>
      </c>
      <c r="C21" s="94"/>
      <c r="D21" s="97">
        <v>1</v>
      </c>
      <c r="E21" s="98">
        <v>108.45</v>
      </c>
      <c r="F21" s="96">
        <f t="shared" ref="F21:F27" si="4">D21*E21</f>
        <v>108.45</v>
      </c>
      <c r="G21" s="96">
        <f>F21</f>
        <v>108.45</v>
      </c>
    </row>
    <row r="22" spans="1:7" x14ac:dyDescent="0.3">
      <c r="A22" s="93" t="s">
        <v>15</v>
      </c>
      <c r="B22" s="85" t="s">
        <v>53</v>
      </c>
      <c r="C22" s="94"/>
      <c r="D22" s="97">
        <v>0.01</v>
      </c>
      <c r="E22" s="98">
        <v>23.15</v>
      </c>
      <c r="F22" s="96">
        <f t="shared" si="4"/>
        <v>0.23149999999999998</v>
      </c>
      <c r="G22" s="96">
        <f>F22*1.12</f>
        <v>0.25928000000000001</v>
      </c>
    </row>
    <row r="23" spans="1:7" ht="15.75" customHeight="1" x14ac:dyDescent="0.3">
      <c r="A23" s="93" t="s">
        <v>11</v>
      </c>
      <c r="B23" s="85" t="s">
        <v>58</v>
      </c>
      <c r="C23" s="94"/>
      <c r="D23" s="97">
        <v>0.1</v>
      </c>
      <c r="E23" s="98">
        <v>44.11</v>
      </c>
      <c r="F23" s="96">
        <f t="shared" si="4"/>
        <v>4.4110000000000005</v>
      </c>
      <c r="G23" s="96">
        <f>F23</f>
        <v>4.4110000000000005</v>
      </c>
    </row>
    <row r="24" spans="1:7" x14ac:dyDescent="0.3">
      <c r="A24" s="93" t="s">
        <v>10</v>
      </c>
      <c r="B24" s="85" t="s">
        <v>58</v>
      </c>
      <c r="C24" s="94"/>
      <c r="D24" s="97">
        <v>0.2</v>
      </c>
      <c r="E24" s="98">
        <v>40.96</v>
      </c>
      <c r="F24" s="96">
        <f t="shared" si="4"/>
        <v>8.1920000000000002</v>
      </c>
      <c r="G24" s="96">
        <f>F24</f>
        <v>8.1920000000000002</v>
      </c>
    </row>
    <row r="25" spans="1:7" x14ac:dyDescent="0.3">
      <c r="A25" s="93" t="s">
        <v>13</v>
      </c>
      <c r="B25" s="85" t="s">
        <v>53</v>
      </c>
      <c r="C25" s="94"/>
      <c r="D25" s="97">
        <v>1</v>
      </c>
      <c r="E25" s="98">
        <v>0.18</v>
      </c>
      <c r="F25" s="96">
        <f t="shared" si="4"/>
        <v>0.18</v>
      </c>
      <c r="G25" s="96">
        <f>F25</f>
        <v>0.18</v>
      </c>
    </row>
    <row r="26" spans="1:7" x14ac:dyDescent="0.3">
      <c r="A26" s="93" t="s">
        <v>9</v>
      </c>
      <c r="B26" s="85" t="s">
        <v>59</v>
      </c>
      <c r="C26" s="94"/>
      <c r="D26" s="97">
        <v>0.05</v>
      </c>
      <c r="E26" s="98">
        <v>2.2999999999999998</v>
      </c>
      <c r="F26" s="96">
        <f t="shared" si="4"/>
        <v>0.11499999999999999</v>
      </c>
      <c r="G26" s="96">
        <f>F26</f>
        <v>0.11499999999999999</v>
      </c>
    </row>
    <row r="27" spans="1:7" x14ac:dyDescent="0.3">
      <c r="A27" s="101" t="s">
        <v>92</v>
      </c>
      <c r="B27" s="85" t="s">
        <v>82</v>
      </c>
      <c r="C27" s="94"/>
      <c r="D27" s="97">
        <f>'ÜRETİM (ARKAÖN)(alumina)'!I31*60</f>
        <v>840</v>
      </c>
      <c r="E27" s="98">
        <v>0.02</v>
      </c>
      <c r="F27" s="96">
        <f t="shared" si="4"/>
        <v>16.8</v>
      </c>
      <c r="G27" s="96">
        <f>F27</f>
        <v>16.8</v>
      </c>
    </row>
    <row r="28" spans="1:7" x14ac:dyDescent="0.3">
      <c r="A28" s="93" t="s">
        <v>50</v>
      </c>
      <c r="B28" s="85" t="s">
        <v>53</v>
      </c>
      <c r="C28" s="94"/>
      <c r="D28" s="97"/>
      <c r="E28" s="98">
        <v>0</v>
      </c>
      <c r="F28" s="96">
        <v>0</v>
      </c>
      <c r="G28" s="96"/>
    </row>
    <row r="29" spans="1:7" ht="15" thickBot="1" x14ac:dyDescent="0.35">
      <c r="A29" s="93" t="s">
        <v>51</v>
      </c>
      <c r="B29" s="85" t="s">
        <v>53</v>
      </c>
      <c r="C29" s="94"/>
      <c r="D29" s="97"/>
      <c r="E29" s="102">
        <v>0</v>
      </c>
      <c r="F29" s="103">
        <v>0</v>
      </c>
      <c r="G29" s="103"/>
    </row>
    <row r="30" spans="1:7" ht="21.6" thickBot="1" x14ac:dyDescent="0.45">
      <c r="A30" s="54"/>
      <c r="D30" s="53"/>
      <c r="E30" s="109" t="s">
        <v>93</v>
      </c>
      <c r="F30" s="110">
        <f>SUM(F5:F29)</f>
        <v>1365.1343000000004</v>
      </c>
      <c r="G30" s="111">
        <f>SUM(G5:G29)</f>
        <v>1387.4497760000002</v>
      </c>
    </row>
    <row r="31" spans="1:7" x14ac:dyDescent="0.3">
      <c r="D31" s="53"/>
      <c r="F31" s="71"/>
    </row>
    <row r="32" spans="1:7" x14ac:dyDescent="0.3">
      <c r="D32" s="53"/>
    </row>
    <row r="33" spans="1:4" x14ac:dyDescent="0.3">
      <c r="D33" s="53"/>
    </row>
    <row r="34" spans="1:4" x14ac:dyDescent="0.3">
      <c r="D34" s="53"/>
    </row>
    <row r="35" spans="1:4" x14ac:dyDescent="0.3">
      <c r="D35" s="53"/>
    </row>
    <row r="36" spans="1:4" x14ac:dyDescent="0.3">
      <c r="D36" s="53"/>
    </row>
    <row r="37" spans="1:4" x14ac:dyDescent="0.3">
      <c r="D37" s="53"/>
    </row>
    <row r="38" spans="1:4" x14ac:dyDescent="0.3">
      <c r="A38" s="85" t="s">
        <v>109</v>
      </c>
      <c r="B38" s="85" t="s">
        <v>110</v>
      </c>
      <c r="D38" s="53"/>
    </row>
  </sheetData>
  <mergeCells count="1">
    <mergeCell ref="F3:G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85" zoomScaleNormal="85" workbookViewId="0">
      <selection activeCell="I13" sqref="I13"/>
    </sheetView>
  </sheetViews>
  <sheetFormatPr defaultColWidth="9.109375" defaultRowHeight="14.4" x14ac:dyDescent="0.3"/>
  <cols>
    <col min="1" max="1" width="40.88671875" style="136" customWidth="1"/>
    <col min="2" max="2" width="39.88671875" style="132" customWidth="1"/>
    <col min="3" max="3" width="12.5546875" style="135" bestFit="1" customWidth="1"/>
    <col min="4" max="4" width="10.88671875" style="122" bestFit="1" customWidth="1"/>
    <col min="5" max="5" width="12" style="134" bestFit="1" customWidth="1"/>
    <col min="6" max="6" width="1.5546875" style="131" customWidth="1"/>
    <col min="7" max="7" width="12" style="135" bestFit="1" customWidth="1"/>
    <col min="8" max="8" width="20.109375" style="134" bestFit="1" customWidth="1"/>
    <col min="9" max="9" width="17.6640625" style="134" customWidth="1"/>
    <col min="10" max="10" width="13.5546875" style="132" customWidth="1"/>
    <col min="11" max="11" width="15.33203125" style="132" customWidth="1"/>
    <col min="12" max="12" width="15.109375" style="132" customWidth="1"/>
    <col min="13" max="16384" width="9.109375" style="132"/>
  </cols>
  <sheetData>
    <row r="1" spans="1:9" s="124" customFormat="1" ht="28.8" x14ac:dyDescent="0.3">
      <c r="A1" s="123">
        <v>2185</v>
      </c>
      <c r="B1" s="124" t="s">
        <v>115</v>
      </c>
      <c r="C1" s="125" t="s">
        <v>116</v>
      </c>
      <c r="D1" s="125" t="s">
        <v>117</v>
      </c>
      <c r="E1" s="126" t="s">
        <v>118</v>
      </c>
      <c r="F1" s="127"/>
      <c r="G1" s="125" t="s">
        <v>119</v>
      </c>
      <c r="H1" s="125" t="s">
        <v>117</v>
      </c>
      <c r="I1" s="126" t="s">
        <v>118</v>
      </c>
    </row>
    <row r="2" spans="1:9" x14ac:dyDescent="0.3">
      <c r="A2" s="128"/>
      <c r="B2" s="128"/>
      <c r="C2" s="129"/>
      <c r="D2" s="121"/>
      <c r="E2" s="130"/>
      <c r="G2" s="129"/>
      <c r="H2" s="130"/>
      <c r="I2" s="130"/>
    </row>
    <row r="3" spans="1:9" x14ac:dyDescent="0.3">
      <c r="A3" s="132" t="s">
        <v>120</v>
      </c>
      <c r="B3" s="137" t="s">
        <v>121</v>
      </c>
      <c r="C3" s="138"/>
      <c r="D3" s="139" t="s">
        <v>122</v>
      </c>
      <c r="E3" s="140"/>
      <c r="F3" s="141"/>
      <c r="G3" s="142"/>
      <c r="H3" s="143" t="s">
        <v>123</v>
      </c>
      <c r="I3" s="144"/>
    </row>
    <row r="4" spans="1:9" x14ac:dyDescent="0.3">
      <c r="A4" s="133" t="s">
        <v>133</v>
      </c>
      <c r="B4" s="145" t="s">
        <v>124</v>
      </c>
      <c r="C4" s="146" t="s">
        <v>125</v>
      </c>
      <c r="D4" s="147" t="s">
        <v>126</v>
      </c>
      <c r="E4" s="148" t="s">
        <v>127</v>
      </c>
      <c r="F4" s="141"/>
      <c r="G4" s="146" t="s">
        <v>125</v>
      </c>
      <c r="H4" s="147" t="s">
        <v>126</v>
      </c>
      <c r="I4" s="148" t="s">
        <v>127</v>
      </c>
    </row>
    <row r="5" spans="1:9" x14ac:dyDescent="0.3">
      <c r="A5" s="132"/>
      <c r="B5" s="149" t="s">
        <v>128</v>
      </c>
      <c r="C5" s="150">
        <f>11.5*2</f>
        <v>23</v>
      </c>
      <c r="D5" s="151">
        <v>60.5</v>
      </c>
      <c r="E5" s="152">
        <f>D5*C5</f>
        <v>1391.5</v>
      </c>
      <c r="F5" s="141"/>
      <c r="G5" s="150">
        <f>0.25*2</f>
        <v>0.5</v>
      </c>
      <c r="H5" s="151">
        <v>33</v>
      </c>
      <c r="I5" s="152">
        <f>H5*G5</f>
        <v>16.5</v>
      </c>
    </row>
    <row r="6" spans="1:9" x14ac:dyDescent="0.3">
      <c r="A6" s="132"/>
      <c r="B6" s="149" t="s">
        <v>129</v>
      </c>
      <c r="C6" s="150">
        <v>0.5</v>
      </c>
      <c r="D6" s="151">
        <v>22</v>
      </c>
      <c r="E6" s="152">
        <f>D6*C6</f>
        <v>11</v>
      </c>
      <c r="F6" s="141"/>
      <c r="G6" s="150">
        <v>0.5</v>
      </c>
      <c r="H6" s="151">
        <v>33</v>
      </c>
      <c r="I6" s="152">
        <f>H6*G6</f>
        <v>16.5</v>
      </c>
    </row>
    <row r="7" spans="1:9" x14ac:dyDescent="0.3">
      <c r="A7" s="132"/>
      <c r="B7" s="149" t="s">
        <v>130</v>
      </c>
      <c r="C7" s="150">
        <v>1.5</v>
      </c>
      <c r="D7" s="151">
        <v>33</v>
      </c>
      <c r="E7" s="152">
        <f>D7*C7</f>
        <v>49.5</v>
      </c>
      <c r="F7" s="141"/>
      <c r="G7" s="150">
        <f>0.5*2</f>
        <v>1</v>
      </c>
      <c r="H7" s="151">
        <v>33</v>
      </c>
      <c r="I7" s="152">
        <f>H7*G7</f>
        <v>33</v>
      </c>
    </row>
    <row r="8" spans="1:9" x14ac:dyDescent="0.3">
      <c r="A8" s="132"/>
      <c r="B8" s="149"/>
      <c r="C8" s="153"/>
      <c r="D8" s="151"/>
      <c r="E8" s="152"/>
      <c r="F8" s="141"/>
      <c r="G8" s="153"/>
      <c r="H8" s="151"/>
      <c r="I8" s="152"/>
    </row>
    <row r="9" spans="1:9" x14ac:dyDescent="0.3">
      <c r="A9" s="132"/>
      <c r="B9" s="149" t="s">
        <v>131</v>
      </c>
      <c r="C9" s="153"/>
      <c r="D9" s="151"/>
      <c r="E9" s="152">
        <f>SUM(E5:E8)</f>
        <v>1452</v>
      </c>
      <c r="F9" s="141"/>
      <c r="G9" s="153"/>
      <c r="H9" s="152"/>
      <c r="I9" s="152">
        <f>SUM(I5:I8)</f>
        <v>66</v>
      </c>
    </row>
    <row r="10" spans="1:9" ht="18" x14ac:dyDescent="0.35">
      <c r="A10" s="132"/>
      <c r="B10" s="154"/>
      <c r="C10" s="155"/>
      <c r="D10" s="156"/>
      <c r="E10" s="157"/>
      <c r="F10" s="158"/>
      <c r="G10" s="160"/>
      <c r="H10" s="161" t="s">
        <v>132</v>
      </c>
      <c r="I10" s="159">
        <f>I9+E9</f>
        <v>1518</v>
      </c>
    </row>
    <row r="11" spans="1:9" x14ac:dyDescent="0.3">
      <c r="H11" s="152" t="s">
        <v>134</v>
      </c>
      <c r="I11" s="152">
        <f>437.33*2</f>
        <v>874.66</v>
      </c>
    </row>
    <row r="13" spans="1:9" x14ac:dyDescent="0.3">
      <c r="H13" s="162" t="s">
        <v>135</v>
      </c>
      <c r="I13" s="162">
        <f>SUM(I10:I12)</f>
        <v>2392.66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Üretim  (2)</vt:lpstr>
      <vt:lpstr>ÜRETİM (ARKAÖN)(alumina)</vt:lpstr>
      <vt:lpstr>sarf malzemeleri 1 wf alumina</vt:lpstr>
      <vt:lpstr>ÜRETİM (ARKAÖN)(silicon)</vt:lpstr>
      <vt:lpstr>sarf malzemeleri 1 silicon</vt:lpstr>
      <vt:lpstr>MASK MAKING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2024-12-05T20:30:54Z</dcterms:modified>
</cp:coreProperties>
</file>