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396" tabRatio="668" activeTab="1"/>
  </bookViews>
  <sheets>
    <sheet name="Üretim  (2)" sheetId="15" r:id="rId1"/>
    <sheet name="ÜRETİM (ARKAÖN)(alumina)" sheetId="18" r:id="rId2"/>
    <sheet name="sarf malzemeleri 1-3wf alumina" sheetId="10" r:id="rId3"/>
    <sheet name="ÜRETİM (ARKAÖN)(silicon)" sheetId="21" r:id="rId4"/>
    <sheet name="sarf malzemeleri 1-3wf silicon" sheetId="20" r:id="rId5"/>
  </sheets>
  <externalReferences>
    <externalReference r:id="rId6"/>
  </externalReferences>
  <definedNames>
    <definedName name="_xlnm._FilterDatabase" localSheetId="0" hidden="1">'Üretim  (2)'!$B$3:$C$52</definedName>
    <definedName name="_xlnm._FilterDatabase" localSheetId="1" hidden="1">'ÜRETİM (ARKAÖN)(alumina)'!$B$3:$C$44</definedName>
    <definedName name="_xlnm._FilterDatabase" localSheetId="3" hidden="1">'ÜRETİM (ARKAÖN)(silicon)'!$B$3:$C$52</definedName>
    <definedName name="_vv" localSheetId="4" hidden="1">'[1]Nakit G-Ç'!#REF!,'[1]Nakit G-Ç'!#REF!</definedName>
    <definedName name="_vv" localSheetId="1" hidden="1">'[1]Nakit G-Ç'!#REF!,'[1]Nakit G-Ç'!#REF!</definedName>
    <definedName name="_vv" localSheetId="3" hidden="1">'[1]Nakit G-Ç'!#REF!,'[1]Nakit G-Ç'!#REF!</definedName>
    <definedName name="_vv" hidden="1">'[1]Nakit G-Ç'!#REF!,'[1]Nakit G-Ç'!#REF!</definedName>
    <definedName name="BB" localSheetId="4" hidden="1">'[1]Nakit G-Ç'!#REF!,'[1]Nakit G-Ç'!#REF!</definedName>
    <definedName name="BB" localSheetId="1" hidden="1">'[1]Nakit G-Ç'!#REF!,'[1]Nakit G-Ç'!#REF!</definedName>
    <definedName name="BB" localSheetId="3" hidden="1">'[1]Nakit G-Ç'!#REF!,'[1]Nakit G-Ç'!#REF!</definedName>
    <definedName name="BB" hidden="1">'[1]Nakit G-Ç'!#REF!,'[1]Nakit G-Ç'!#REF!</definedName>
    <definedName name="bbbbbb" localSheetId="4">#REF!</definedName>
    <definedName name="bbbbbb" localSheetId="1">#REF!</definedName>
    <definedName name="bbbbbb" localSheetId="3">#REF!</definedName>
    <definedName name="bbbbbb">#REF!</definedName>
    <definedName name="DDD" localSheetId="4" hidden="1">'[1]Nakit G-Ç'!#REF!,'[1]Nakit G-Ç'!#REF!</definedName>
    <definedName name="DDD" localSheetId="1" hidden="1">'[1]Nakit G-Ç'!#REF!,'[1]Nakit G-Ç'!#REF!</definedName>
    <definedName name="DDD" localSheetId="3" hidden="1">'[1]Nakit G-Ç'!#REF!,'[1]Nakit G-Ç'!#REF!</definedName>
    <definedName name="DDD" hidden="1">'[1]Nakit G-Ç'!#REF!,'[1]Nakit G-Ç'!#REF!</definedName>
    <definedName name="diğer" localSheetId="4" hidden="1">'[1]Nakit G-Ç'!#REF!,'[1]Nakit G-Ç'!#REF!</definedName>
    <definedName name="diğer" localSheetId="1" hidden="1">'[1]Nakit G-Ç'!#REF!,'[1]Nakit G-Ç'!#REF!</definedName>
    <definedName name="diğer" localSheetId="3" hidden="1">'[1]Nakit G-Ç'!#REF!,'[1]Nakit G-Ç'!#REF!</definedName>
    <definedName name="diğer" hidden="1">'[1]Nakit G-Ç'!#REF!,'[1]Nakit G-Ç'!#REF!</definedName>
    <definedName name="EO" localSheetId="4">#REF!</definedName>
    <definedName name="EO" localSheetId="1">#REF!</definedName>
    <definedName name="EO" localSheetId="3">#REF!</definedName>
    <definedName name="EO">#REF!</definedName>
    <definedName name="işlkjh" localSheetId="4" hidden="1">'[1]Nakit G-Ç'!#REF!,'[1]Nakit G-Ç'!#REF!</definedName>
    <definedName name="işlkjh" localSheetId="1" hidden="1">'[1]Nakit G-Ç'!#REF!,'[1]Nakit G-Ç'!#REF!</definedName>
    <definedName name="işlkjh" localSheetId="3" hidden="1">'[1]Nakit G-Ç'!#REF!,'[1]Nakit G-Ç'!#REF!</definedName>
    <definedName name="işlkjh" hidden="1">'[1]Nakit G-Ç'!#REF!,'[1]Nakit G-Ç'!#REF!</definedName>
    <definedName name="kk" localSheetId="4" hidden="1">'[1]Nakit G-Ç'!#REF!,'[1]Nakit G-Ç'!#REF!</definedName>
    <definedName name="kk" localSheetId="1" hidden="1">'[1]Nakit G-Ç'!#REF!,'[1]Nakit G-Ç'!#REF!</definedName>
    <definedName name="kk" localSheetId="3" hidden="1">'[1]Nakit G-Ç'!#REF!,'[1]Nakit G-Ç'!#REF!</definedName>
    <definedName name="kk" hidden="1">'[1]Nakit G-Ç'!#REF!,'[1]Nakit G-Ç'!#REF!</definedName>
    <definedName name="KKKK" localSheetId="4" hidden="1">'[1]Nakit G-Ç'!#REF!,'[1]Nakit G-Ç'!#REF!</definedName>
    <definedName name="KKKK" localSheetId="1" hidden="1">'[1]Nakit G-Ç'!#REF!,'[1]Nakit G-Ç'!#REF!</definedName>
    <definedName name="KKKK" localSheetId="3" hidden="1">'[1]Nakit G-Ç'!#REF!,'[1]Nakit G-Ç'!#REF!</definedName>
    <definedName name="KKKK" hidden="1">'[1]Nakit G-Ç'!#REF!,'[1]Nakit G-Ç'!#REF!</definedName>
    <definedName name="ll" localSheetId="4" hidden="1">'[1]Nakit G-Ç'!#REF!,'[1]Nakit G-Ç'!#REF!</definedName>
    <definedName name="ll" localSheetId="1" hidden="1">'[1]Nakit G-Ç'!#REF!,'[1]Nakit G-Ç'!#REF!</definedName>
    <definedName name="ll" localSheetId="3" hidden="1">'[1]Nakit G-Ç'!#REF!,'[1]Nakit G-Ç'!#REF!</definedName>
    <definedName name="ll" hidden="1">'[1]Nakit G-Ç'!#REF!,'[1]Nakit G-Ç'!#REF!</definedName>
    <definedName name="lllll" localSheetId="4" hidden="1">'[1]Nakit G-Ç'!#REF!,'[1]Nakit G-Ç'!#REF!</definedName>
    <definedName name="lllll" localSheetId="1" hidden="1">'[1]Nakit G-Ç'!#REF!,'[1]Nakit G-Ç'!#REF!</definedName>
    <definedName name="lllll" localSheetId="3" hidden="1">'[1]Nakit G-Ç'!#REF!,'[1]Nakit G-Ç'!#REF!</definedName>
    <definedName name="lllll" hidden="1">'[1]Nakit G-Ç'!#REF!,'[1]Nakit G-Ç'!#REF!</definedName>
    <definedName name="LLLLLL" localSheetId="4" hidden="1">'[1]Nakit G-Ç'!#REF!,'[1]Nakit G-Ç'!#REF!</definedName>
    <definedName name="LLLLLL" localSheetId="1" hidden="1">'[1]Nakit G-Ç'!#REF!,'[1]Nakit G-Ç'!#REF!</definedName>
    <definedName name="LLLLLL" localSheetId="3" hidden="1">'[1]Nakit G-Ç'!#REF!,'[1]Nakit G-Ç'!#REF!</definedName>
    <definedName name="LLLLLL" hidden="1">'[1]Nakit G-Ç'!#REF!,'[1]Nakit G-Ç'!#REF!</definedName>
    <definedName name="MT" localSheetId="4" hidden="1">'[1]Nakit G-Ç'!#REF!,'[1]Nakit G-Ç'!#REF!</definedName>
    <definedName name="MT" localSheetId="1" hidden="1">'[1]Nakit G-Ç'!#REF!,'[1]Nakit G-Ç'!#REF!</definedName>
    <definedName name="MT" localSheetId="3" hidden="1">'[1]Nakit G-Ç'!#REF!,'[1]Nakit G-Ç'!#REF!</definedName>
    <definedName name="MT" hidden="1">'[1]Nakit G-Ç'!#REF!,'[1]Nakit G-Ç'!#REF!</definedName>
    <definedName name="SAPBEXdnldView" hidden="1">"42O6G2WRDYER7HEQ8QGVJGF8E"</definedName>
    <definedName name="SAPBEXsysID" hidden="1">"BWP"</definedName>
    <definedName name="ss" localSheetId="4" hidden="1">'[1]Nakit G-Ç'!#REF!,'[1]Nakit G-Ç'!#REF!</definedName>
    <definedName name="ss" localSheetId="1" hidden="1">'[1]Nakit G-Ç'!#REF!,'[1]Nakit G-Ç'!#REF!</definedName>
    <definedName name="ss" localSheetId="3" hidden="1">'[1]Nakit G-Ç'!#REF!,'[1]Nakit G-Ç'!#REF!</definedName>
    <definedName name="ss" hidden="1">'[1]Nakit G-Ç'!#REF!,'[1]Nakit G-Ç'!#REF!</definedName>
    <definedName name="Toplam" localSheetId="4">#REF!</definedName>
    <definedName name="Toplam" localSheetId="1">#REF!</definedName>
    <definedName name="Toplam" localSheetId="3">#REF!</definedName>
    <definedName name="Toplam">#REF!</definedName>
    <definedName name="xx" localSheetId="4" hidden="1">'[1]Nakit G-Ç'!#REF!,'[1]Nakit G-Ç'!#REF!</definedName>
    <definedName name="xx" localSheetId="1" hidden="1">'[1]Nakit G-Ç'!#REF!,'[1]Nakit G-Ç'!#REF!</definedName>
    <definedName name="xx" localSheetId="3" hidden="1">'[1]Nakit G-Ç'!#REF!,'[1]Nakit G-Ç'!#REF!</definedName>
    <definedName name="xx" hidden="1">'[1]Nakit G-Ç'!#REF!,'[1]Nakit G-Ç'!#REF!</definedName>
    <definedName name="Z_0EB2AC65_6C2A_43A2_89FB_6DE31DAE3BAA_.wvu.Rows" localSheetId="4" hidden="1">'[1]Nakit G-Ç'!#REF!,'[1]Nakit G-Ç'!#REF!</definedName>
    <definedName name="Z_0EB2AC65_6C2A_43A2_89FB_6DE31DAE3BAA_.wvu.Rows" localSheetId="1" hidden="1">'[1]Nakit G-Ç'!#REF!,'[1]Nakit G-Ç'!#REF!</definedName>
    <definedName name="Z_0EB2AC65_6C2A_43A2_89FB_6DE31DAE3BAA_.wvu.Rows" localSheetId="3" hidden="1">'[1]Nakit G-Ç'!#REF!,'[1]Nakit G-Ç'!#REF!</definedName>
    <definedName name="Z_0EB2AC65_6C2A_43A2_89FB_6DE31DAE3BAA_.wvu.Rows" hidden="1">'[1]Nakit G-Ç'!#REF!,'[1]Nakit G-Ç'!#REF!</definedName>
    <definedName name="Z_E5461D20_470E_11D6_ACD8_0040CA1501F7_.wvu.Rows" localSheetId="4" hidden="1">'[1]Nakit G-Ç'!#REF!,'[1]Nakit G-Ç'!#REF!</definedName>
    <definedName name="Z_E5461D20_470E_11D6_ACD8_0040CA1501F7_.wvu.Rows" localSheetId="1" hidden="1">'[1]Nakit G-Ç'!#REF!,'[1]Nakit G-Ç'!#REF!</definedName>
    <definedName name="Z_E5461D20_470E_11D6_ACD8_0040CA1501F7_.wvu.Rows" localSheetId="3" hidden="1">'[1]Nakit G-Ç'!#REF!,'[1]Nakit G-Ç'!#REF!</definedName>
    <definedName name="Z_E5461D20_470E_11D6_ACD8_0040CA1501F7_.wvu.Rows" hidden="1">'[1]Nakit G-Ç'!#REF!,'[1]Nakit G-Ç'!#REF!</definedName>
    <definedName name="Z_FF54F697_6DB1_437A_B16E_D42B50E3E8CA_.wvu.Rows" localSheetId="4" hidden="1">'[1]Nakit G-Ç'!#REF!,'[1]Nakit G-Ç'!#REF!</definedName>
    <definedName name="Z_FF54F697_6DB1_437A_B16E_D42B50E3E8CA_.wvu.Rows" localSheetId="1" hidden="1">'[1]Nakit G-Ç'!#REF!,'[1]Nakit G-Ç'!#REF!</definedName>
    <definedName name="Z_FF54F697_6DB1_437A_B16E_D42B50E3E8CA_.wvu.Rows" localSheetId="3" hidden="1">'[1]Nakit G-Ç'!#REF!,'[1]Nakit G-Ç'!#REF!</definedName>
    <definedName name="Z_FF54F697_6DB1_437A_B16E_D42B50E3E8CA_.wvu.Rows" hidden="1">'[1]Nakit G-Ç'!#REF!,'[1]Nakit G-Ç'!#REF!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8" l="1"/>
  <c r="G59" i="18" l="1"/>
  <c r="E55" i="18"/>
  <c r="E50" i="18"/>
  <c r="E48" i="18"/>
  <c r="J30" i="20"/>
  <c r="I30" i="10"/>
  <c r="E39" i="18" s="1"/>
  <c r="E39" i="21"/>
  <c r="H44" i="21"/>
  <c r="H39" i="21"/>
  <c r="N44" i="21"/>
  <c r="O44" i="21" s="1"/>
  <c r="T33" i="21"/>
  <c r="T34" i="21" s="1"/>
  <c r="Q33" i="21"/>
  <c r="Q34" i="21" s="1"/>
  <c r="N33" i="21"/>
  <c r="N34" i="21" s="1"/>
  <c r="K33" i="21"/>
  <c r="K34" i="21" s="1"/>
  <c r="H33" i="21"/>
  <c r="H34" i="21" s="1"/>
  <c r="E33" i="21"/>
  <c r="E34" i="21" s="1"/>
  <c r="V31" i="21"/>
  <c r="V33" i="21" s="1"/>
  <c r="V34" i="21" s="1"/>
  <c r="U31" i="21"/>
  <c r="H42" i="21" s="1"/>
  <c r="H43" i="21" s="1"/>
  <c r="T31" i="21"/>
  <c r="S31" i="21"/>
  <c r="S33" i="21" s="1"/>
  <c r="S34" i="21" s="1"/>
  <c r="R31" i="21"/>
  <c r="R33" i="21" s="1"/>
  <c r="R34" i="21" s="1"/>
  <c r="Q31" i="21"/>
  <c r="P31" i="21"/>
  <c r="P33" i="21" s="1"/>
  <c r="P34" i="21" s="1"/>
  <c r="O31" i="21"/>
  <c r="N43" i="21" s="1"/>
  <c r="O43" i="21" s="1"/>
  <c r="N31" i="21"/>
  <c r="M31" i="21"/>
  <c r="M33" i="21" s="1"/>
  <c r="M34" i="21" s="1"/>
  <c r="L31" i="21"/>
  <c r="L33" i="21" s="1"/>
  <c r="L34" i="21" s="1"/>
  <c r="K31" i="21"/>
  <c r="J31" i="21"/>
  <c r="J33" i="21" s="1"/>
  <c r="J34" i="21" s="1"/>
  <c r="I31" i="21"/>
  <c r="N38" i="21" s="1"/>
  <c r="O38" i="21" s="1"/>
  <c r="H31" i="21"/>
  <c r="G31" i="21"/>
  <c r="G33" i="21" s="1"/>
  <c r="G34" i="21" s="1"/>
  <c r="F31" i="21"/>
  <c r="F33" i="21" s="1"/>
  <c r="E31" i="21"/>
  <c r="H40" i="21" s="1"/>
  <c r="H41" i="21" s="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V15" i="21"/>
  <c r="U15" i="21"/>
  <c r="T15" i="21"/>
  <c r="S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V12" i="21"/>
  <c r="U12" i="21"/>
  <c r="T12" i="21"/>
  <c r="S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V10" i="21"/>
  <c r="U10" i="21"/>
  <c r="T10" i="21"/>
  <c r="S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V5" i="21"/>
  <c r="U5" i="21"/>
  <c r="T5" i="21"/>
  <c r="S5" i="21"/>
  <c r="P5" i="21"/>
  <c r="O5" i="21"/>
  <c r="N5" i="21"/>
  <c r="M5" i="21"/>
  <c r="L5" i="21"/>
  <c r="K5" i="21"/>
  <c r="J5" i="21"/>
  <c r="I5" i="21"/>
  <c r="H5" i="21"/>
  <c r="G5" i="21"/>
  <c r="F5" i="21"/>
  <c r="E5" i="21"/>
  <c r="K26" i="20"/>
  <c r="L26" i="20" s="1"/>
  <c r="H26" i="20"/>
  <c r="I26" i="20" s="1"/>
  <c r="L25" i="20"/>
  <c r="K25" i="20"/>
  <c r="H25" i="20"/>
  <c r="I25" i="20" s="1"/>
  <c r="K24" i="20"/>
  <c r="L24" i="20" s="1"/>
  <c r="I24" i="20"/>
  <c r="H24" i="20"/>
  <c r="K23" i="20"/>
  <c r="L23" i="20" s="1"/>
  <c r="H23" i="20"/>
  <c r="I23" i="20" s="1"/>
  <c r="L22" i="20"/>
  <c r="K22" i="20"/>
  <c r="H22" i="20"/>
  <c r="I22" i="20" s="1"/>
  <c r="K21" i="20"/>
  <c r="L21" i="20" s="1"/>
  <c r="I21" i="20"/>
  <c r="H21" i="20"/>
  <c r="H20" i="20"/>
  <c r="I20" i="20" s="1"/>
  <c r="F20" i="20"/>
  <c r="K20" i="20" s="1"/>
  <c r="L20" i="20" s="1"/>
  <c r="L19" i="20"/>
  <c r="K19" i="20"/>
  <c r="H19" i="20"/>
  <c r="I19" i="20" s="1"/>
  <c r="K18" i="20"/>
  <c r="L18" i="20" s="1"/>
  <c r="I18" i="20"/>
  <c r="H18" i="20"/>
  <c r="H17" i="20"/>
  <c r="I17" i="20" s="1"/>
  <c r="F17" i="20"/>
  <c r="K17" i="20" s="1"/>
  <c r="H16" i="20"/>
  <c r="I16" i="20" s="1"/>
  <c r="F16" i="20"/>
  <c r="K16" i="20" s="1"/>
  <c r="K15" i="20"/>
  <c r="L15" i="20" s="1"/>
  <c r="I15" i="20"/>
  <c r="H15" i="20"/>
  <c r="K14" i="20"/>
  <c r="L14" i="20" s="1"/>
  <c r="H14" i="20"/>
  <c r="I14" i="20" s="1"/>
  <c r="L13" i="20"/>
  <c r="K13" i="20"/>
  <c r="H13" i="20"/>
  <c r="I13" i="20" s="1"/>
  <c r="K12" i="20"/>
  <c r="I12" i="20"/>
  <c r="H12" i="20"/>
  <c r="K10" i="20"/>
  <c r="L10" i="20" s="1"/>
  <c r="H10" i="20"/>
  <c r="I10" i="20" s="1"/>
  <c r="L9" i="20"/>
  <c r="K9" i="20"/>
  <c r="H9" i="20"/>
  <c r="I9" i="20" s="1"/>
  <c r="K8" i="20"/>
  <c r="L8" i="20" s="1"/>
  <c r="I8" i="20"/>
  <c r="H8" i="20"/>
  <c r="K7" i="20"/>
  <c r="L7" i="20" s="1"/>
  <c r="H7" i="20"/>
  <c r="I7" i="20" s="1"/>
  <c r="L6" i="20"/>
  <c r="K6" i="20"/>
  <c r="H6" i="20"/>
  <c r="I6" i="20" s="1"/>
  <c r="K5" i="20"/>
  <c r="H5" i="20"/>
  <c r="G8" i="10"/>
  <c r="J8" i="10" s="1"/>
  <c r="K8" i="10" s="1"/>
  <c r="H37" i="21" l="1"/>
  <c r="F34" i="21"/>
  <c r="H38" i="21" s="1"/>
  <c r="I33" i="21"/>
  <c r="I34" i="21" s="1"/>
  <c r="O33" i="21"/>
  <c r="O34" i="21" s="1"/>
  <c r="U33" i="21"/>
  <c r="U34" i="21" s="1"/>
  <c r="W31" i="21"/>
  <c r="E37" i="21"/>
  <c r="E44" i="21" s="1"/>
  <c r="N39" i="21"/>
  <c r="O39" i="21" s="1"/>
  <c r="I5" i="20"/>
  <c r="L5" i="20"/>
  <c r="H8" i="10"/>
  <c r="G20" i="10" l="1"/>
  <c r="H20" i="10" s="1"/>
  <c r="E20" i="10"/>
  <c r="J20" i="10" s="1"/>
  <c r="K20" i="10" s="1"/>
  <c r="J6" i="10"/>
  <c r="K6" i="10" s="1"/>
  <c r="G6" i="10"/>
  <c r="H6" i="10" s="1"/>
  <c r="J26" i="10" l="1"/>
  <c r="K26" i="10" s="1"/>
  <c r="G26" i="10"/>
  <c r="H26" i="10" s="1"/>
  <c r="J25" i="10"/>
  <c r="K25" i="10" s="1"/>
  <c r="G25" i="10"/>
  <c r="H25" i="10" s="1"/>
  <c r="J24" i="10"/>
  <c r="K24" i="10" s="1"/>
  <c r="G24" i="10"/>
  <c r="H24" i="10" s="1"/>
  <c r="J23" i="10"/>
  <c r="K23" i="10" s="1"/>
  <c r="G23" i="10"/>
  <c r="H23" i="10" s="1"/>
  <c r="J22" i="10"/>
  <c r="K22" i="10" s="1"/>
  <c r="G22" i="10"/>
  <c r="H22" i="10" s="1"/>
  <c r="J21" i="10"/>
  <c r="K21" i="10" s="1"/>
  <c r="G21" i="10"/>
  <c r="H21" i="10" s="1"/>
  <c r="G19" i="10"/>
  <c r="H19" i="10" s="1"/>
  <c r="J19" i="10"/>
  <c r="K19" i="10" s="1"/>
  <c r="J18" i="10"/>
  <c r="K18" i="10" s="1"/>
  <c r="G18" i="10"/>
  <c r="H18" i="10" s="1"/>
  <c r="G17" i="10"/>
  <c r="H17" i="10" s="1"/>
  <c r="E17" i="10"/>
  <c r="J17" i="10" s="1"/>
  <c r="G16" i="10"/>
  <c r="H16" i="10" s="1"/>
  <c r="E16" i="10"/>
  <c r="J16" i="10" s="1"/>
  <c r="J14" i="10"/>
  <c r="K14" i="10" s="1"/>
  <c r="J15" i="10"/>
  <c r="K15" i="10" s="1"/>
  <c r="J13" i="10"/>
  <c r="K13" i="10" s="1"/>
  <c r="G14" i="10"/>
  <c r="H14" i="10" s="1"/>
  <c r="G15" i="10"/>
  <c r="H15" i="10" s="1"/>
  <c r="G13" i="10"/>
  <c r="H13" i="10" s="1"/>
  <c r="J12" i="10" l="1"/>
  <c r="G12" i="10"/>
  <c r="H12" i="10" s="1"/>
  <c r="J10" i="10"/>
  <c r="K10" i="10" s="1"/>
  <c r="G10" i="10"/>
  <c r="H10" i="10" s="1"/>
  <c r="J9" i="10"/>
  <c r="K9" i="10" s="1"/>
  <c r="G9" i="10"/>
  <c r="H9" i="10" s="1"/>
  <c r="J7" i="10"/>
  <c r="K7" i="10" s="1"/>
  <c r="G7" i="10"/>
  <c r="H7" i="10" s="1"/>
  <c r="H43" i="15" l="1"/>
  <c r="H42" i="15"/>
  <c r="H41" i="15"/>
  <c r="H40" i="15"/>
  <c r="N43" i="15"/>
  <c r="O43" i="15" s="1"/>
  <c r="O42" i="15"/>
  <c r="N42" i="15"/>
  <c r="H38" i="15"/>
  <c r="H37" i="15"/>
  <c r="J5" i="10"/>
  <c r="K5" i="10" s="1"/>
  <c r="G5" i="10"/>
  <c r="H5" i="10" s="1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V22" i="18"/>
  <c r="U22" i="18"/>
  <c r="T22" i="18"/>
  <c r="S22" i="18"/>
  <c r="R22" i="18"/>
  <c r="R31" i="18" s="1"/>
  <c r="R33" i="18" s="1"/>
  <c r="R34" i="18" s="1"/>
  <c r="Q22" i="18"/>
  <c r="Q31" i="18" s="1"/>
  <c r="Q33" i="18" s="1"/>
  <c r="Q34" i="18" s="1"/>
  <c r="P22" i="18"/>
  <c r="O22" i="18"/>
  <c r="N22" i="18"/>
  <c r="M22" i="18"/>
  <c r="L22" i="18"/>
  <c r="K22" i="18"/>
  <c r="J22" i="18"/>
  <c r="I22" i="18"/>
  <c r="H22" i="18"/>
  <c r="G22" i="18"/>
  <c r="F22" i="18"/>
  <c r="E22" i="18"/>
  <c r="V15" i="18"/>
  <c r="U15" i="18"/>
  <c r="T15" i="18"/>
  <c r="S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V12" i="18"/>
  <c r="U12" i="18"/>
  <c r="T12" i="18"/>
  <c r="S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V10" i="18"/>
  <c r="U10" i="18"/>
  <c r="T10" i="18"/>
  <c r="S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V5" i="18"/>
  <c r="U5" i="18"/>
  <c r="U31" i="18" s="1"/>
  <c r="H42" i="18" s="1"/>
  <c r="H43" i="18" s="1"/>
  <c r="T5" i="18"/>
  <c r="S5" i="18"/>
  <c r="P5" i="18"/>
  <c r="O5" i="18"/>
  <c r="N5" i="18"/>
  <c r="M5" i="18"/>
  <c r="L5" i="18"/>
  <c r="K5" i="18"/>
  <c r="J5" i="18"/>
  <c r="I5" i="18"/>
  <c r="H5" i="18"/>
  <c r="G5" i="18"/>
  <c r="F5" i="18"/>
  <c r="E5" i="18"/>
  <c r="N31" i="18" l="1"/>
  <c r="N33" i="18" s="1"/>
  <c r="N34" i="18" s="1"/>
  <c r="V31" i="18"/>
  <c r="V33" i="18" s="1"/>
  <c r="V34" i="18" s="1"/>
  <c r="J31" i="18"/>
  <c r="J33" i="18" s="1"/>
  <c r="J34" i="18" s="1"/>
  <c r="P31" i="18"/>
  <c r="P33" i="18" s="1"/>
  <c r="P34" i="18" s="1"/>
  <c r="U33" i="18"/>
  <c r="U34" i="18" s="1"/>
  <c r="F11" i="20"/>
  <c r="K11" i="20" s="1"/>
  <c r="E11" i="20"/>
  <c r="H11" i="20" s="1"/>
  <c r="E11" i="10"/>
  <c r="J11" i="10" s="1"/>
  <c r="K11" i="10" s="1"/>
  <c r="D11" i="10"/>
  <c r="G11" i="10" s="1"/>
  <c r="H11" i="10" s="1"/>
  <c r="O31" i="18"/>
  <c r="O33" i="18" s="1"/>
  <c r="O34" i="18" s="1"/>
  <c r="S31" i="18"/>
  <c r="S33" i="18" s="1"/>
  <c r="S34" i="18" s="1"/>
  <c r="T31" i="18"/>
  <c r="T33" i="18" s="1"/>
  <c r="T34" i="18" s="1"/>
  <c r="M31" i="18"/>
  <c r="L31" i="18"/>
  <c r="L33" i="18" s="1"/>
  <c r="L34" i="18" s="1"/>
  <c r="K31" i="18"/>
  <c r="K33" i="18" s="1"/>
  <c r="K34" i="18" s="1"/>
  <c r="I31" i="18"/>
  <c r="H31" i="18"/>
  <c r="H33" i="18" s="1"/>
  <c r="H34" i="18" s="1"/>
  <c r="G31" i="18"/>
  <c r="G33" i="18" s="1"/>
  <c r="G34" i="18" s="1"/>
  <c r="F31" i="18"/>
  <c r="F33" i="18" s="1"/>
  <c r="E31" i="18"/>
  <c r="M33" i="18"/>
  <c r="M34" i="18" s="1"/>
  <c r="O39" i="15"/>
  <c r="N39" i="15"/>
  <c r="O38" i="15"/>
  <c r="N38" i="15"/>
  <c r="I33" i="18" l="1"/>
  <c r="I34" i="18" s="1"/>
  <c r="F27" i="20"/>
  <c r="K27" i="20" s="1"/>
  <c r="L27" i="20" s="1"/>
  <c r="E27" i="20"/>
  <c r="H27" i="20" s="1"/>
  <c r="I27" i="20" s="1"/>
  <c r="E27" i="10"/>
  <c r="J27" i="10" s="1"/>
  <c r="K27" i="10" s="1"/>
  <c r="D27" i="10"/>
  <c r="G27" i="10" s="1"/>
  <c r="H27" i="10" s="1"/>
  <c r="L11" i="20"/>
  <c r="L30" i="20" s="1"/>
  <c r="E33" i="18"/>
  <c r="H40" i="18"/>
  <c r="H41" i="18" s="1"/>
  <c r="N43" i="18"/>
  <c r="O43" i="18" s="1"/>
  <c r="N39" i="18"/>
  <c r="O39" i="18" s="1"/>
  <c r="N44" i="18"/>
  <c r="O44" i="18" s="1"/>
  <c r="I11" i="20"/>
  <c r="H30" i="20"/>
  <c r="N38" i="18"/>
  <c r="O38" i="18" s="1"/>
  <c r="F34" i="18"/>
  <c r="H38" i="18" s="1"/>
  <c r="W31" i="18"/>
  <c r="E34" i="18"/>
  <c r="H37" i="18" s="1"/>
  <c r="I30" i="20" l="1"/>
  <c r="K30" i="20"/>
  <c r="E42" i="15"/>
  <c r="E43" i="15" s="1"/>
  <c r="R34" i="15" l="1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V22" i="15"/>
  <c r="U22" i="15"/>
  <c r="T22" i="15"/>
  <c r="S22" i="15"/>
  <c r="R22" i="15"/>
  <c r="R31" i="15" s="1"/>
  <c r="R33" i="15" s="1"/>
  <c r="Q22" i="15"/>
  <c r="Q31" i="15" s="1"/>
  <c r="Q33" i="15" s="1"/>
  <c r="Q34" i="15" s="1"/>
  <c r="P22" i="15"/>
  <c r="O22" i="15"/>
  <c r="N22" i="15"/>
  <c r="M22" i="15"/>
  <c r="L22" i="15"/>
  <c r="K22" i="15"/>
  <c r="J22" i="15"/>
  <c r="I22" i="15"/>
  <c r="H22" i="15"/>
  <c r="G22" i="15"/>
  <c r="F22" i="15"/>
  <c r="E22" i="15"/>
  <c r="V15" i="15"/>
  <c r="U15" i="15"/>
  <c r="T15" i="15"/>
  <c r="S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V12" i="15"/>
  <c r="U12" i="15"/>
  <c r="T12" i="15"/>
  <c r="S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V10" i="15"/>
  <c r="U10" i="15"/>
  <c r="T10" i="15"/>
  <c r="S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V5" i="15"/>
  <c r="V31" i="15" s="1"/>
  <c r="V33" i="15" s="1"/>
  <c r="V34" i="15" s="1"/>
  <c r="U5" i="15"/>
  <c r="T5" i="15"/>
  <c r="S5" i="15"/>
  <c r="P5" i="15"/>
  <c r="O5" i="15"/>
  <c r="N5" i="15"/>
  <c r="N31" i="15" s="1"/>
  <c r="N33" i="15" s="1"/>
  <c r="N34" i="15" s="1"/>
  <c r="M5" i="15"/>
  <c r="L5" i="15"/>
  <c r="K5" i="15"/>
  <c r="J5" i="15"/>
  <c r="I5" i="15"/>
  <c r="H5" i="15"/>
  <c r="H31" i="15" s="1"/>
  <c r="H33" i="15" s="1"/>
  <c r="H34" i="15" s="1"/>
  <c r="G5" i="15"/>
  <c r="F5" i="15"/>
  <c r="E5" i="15"/>
  <c r="F31" i="15" l="1"/>
  <c r="F33" i="15" s="1"/>
  <c r="K31" i="15"/>
  <c r="K33" i="15" s="1"/>
  <c r="K34" i="15" s="1"/>
  <c r="S31" i="15"/>
  <c r="S33" i="15" s="1"/>
  <c r="S34" i="15" s="1"/>
  <c r="T31" i="15"/>
  <c r="T33" i="15" s="1"/>
  <c r="T34" i="15" s="1"/>
  <c r="J31" i="15"/>
  <c r="J33" i="15" s="1"/>
  <c r="J34" i="15" s="1"/>
  <c r="P31" i="15"/>
  <c r="P33" i="15" s="1"/>
  <c r="P34" i="15" s="1"/>
  <c r="L31" i="15"/>
  <c r="L33" i="15" s="1"/>
  <c r="L34" i="15" s="1"/>
  <c r="E31" i="15"/>
  <c r="E40" i="15" s="1"/>
  <c r="E41" i="15" s="1"/>
  <c r="G31" i="15"/>
  <c r="G33" i="15" s="1"/>
  <c r="G34" i="15" s="1"/>
  <c r="M31" i="15"/>
  <c r="M33" i="15" s="1"/>
  <c r="M34" i="15" s="1"/>
  <c r="U31" i="15"/>
  <c r="U33" i="15" s="1"/>
  <c r="U34" i="15" s="1"/>
  <c r="I31" i="15"/>
  <c r="I33" i="15" s="1"/>
  <c r="I34" i="15" s="1"/>
  <c r="O31" i="15"/>
  <c r="O33" i="15" s="1"/>
  <c r="O34" i="15" s="1"/>
  <c r="W31" i="15"/>
  <c r="E38" i="15" l="1"/>
  <c r="F34" i="15"/>
  <c r="E33" i="15"/>
  <c r="E34" i="15" l="1"/>
  <c r="E37" i="15"/>
  <c r="K30" i="10" l="1"/>
  <c r="H39" i="18" s="1"/>
  <c r="H44" i="18" s="1"/>
  <c r="G30" i="10"/>
  <c r="H30" i="10"/>
  <c r="E44" i="18" s="1"/>
  <c r="J30" i="10"/>
</calcChain>
</file>

<file path=xl/comments1.xml><?xml version="1.0" encoding="utf-8"?>
<comments xmlns="http://schemas.openxmlformats.org/spreadsheetml/2006/main">
  <authors>
    <author>Yazar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360 OLABİLİR Mİ ?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1 şişe yaklaşık 1 lt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1WAFER VE 3 WAFER DA NM HESABI DEĞİŞMEMESİ GEREKMİYOR MU ?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fiyatı melek hanımın eski hesaplamasından aldım . 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güncelde fiyat 35.09 ama Melek Hanımın fiyatı yüksek olduğu için onu dikkate aldım 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gökhan Bey den güncel fiyat alındı 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testaş zamanından kalma kullanıldığı için Melek Hanımın fiyatı dikkate alındı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AJA-1 kullanımı esnasında tükeiliyor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360 OLABİLİR Mİ ?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1 şişe yaklaşık 1 lt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1WAFER VE 3 WAFER DA NM HESABI DEĞİŞMEMESİ GEREKMİYOR MU ?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fiyatı melek hanımın eski hesaplamasından aldım . 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güncelde fiyat 35.09 ama Melek Hanımın fiyatı yüksek olduğu için onu dikkate aldım 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gökhan Bey den güncel fiyat alındı 
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testaş zamanından kalma kullanıldığı için Melek Hanımın fiyatı dikkate alındı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AJA-1 kullanımı esnasında tükeiliyor</t>
        </r>
      </text>
    </comment>
  </commentList>
</comments>
</file>

<file path=xl/sharedStrings.xml><?xml version="1.0" encoding="utf-8"?>
<sst xmlns="http://schemas.openxmlformats.org/spreadsheetml/2006/main" count="532" uniqueCount="122">
  <si>
    <t>Process Name</t>
  </si>
  <si>
    <t>Process Type</t>
  </si>
  <si>
    <t>Sub</t>
  </si>
  <si>
    <t>Step</t>
  </si>
  <si>
    <t>Labor</t>
  </si>
  <si>
    <t>Machine</t>
  </si>
  <si>
    <t>*ALL in HOUR</t>
  </si>
  <si>
    <t>*ALL in 1 WAFER (except release)</t>
  </si>
  <si>
    <t>Sarf Malzemeleri</t>
  </si>
  <si>
    <t>Aluminum Folyo</t>
  </si>
  <si>
    <t>Eldiven</t>
  </si>
  <si>
    <t>Wiper</t>
  </si>
  <si>
    <t>Birim</t>
  </si>
  <si>
    <t>Pipet Resist Steril</t>
  </si>
  <si>
    <t>Birim fiyatı  ($)</t>
  </si>
  <si>
    <t>Metal Tweezer 135 mm</t>
  </si>
  <si>
    <t xml:space="preserve">Main </t>
  </si>
  <si>
    <t>Test and Characterization</t>
  </si>
  <si>
    <t>Manual
SPINNER (SÜSS)</t>
  </si>
  <si>
    <t>WET Bench</t>
  </si>
  <si>
    <t>inspecton</t>
  </si>
  <si>
    <t>Optic Mikroskop</t>
  </si>
  <si>
    <t xml:space="preserve">ASETON </t>
  </si>
  <si>
    <t>ALCOHOL IPA</t>
  </si>
  <si>
    <t>Lift-off PR Coating&amp;Developing</t>
  </si>
  <si>
    <t>PR coating</t>
  </si>
  <si>
    <t>Metal Deposition</t>
  </si>
  <si>
    <t>Metal Lift-off</t>
  </si>
  <si>
    <t>Acetone lift-off</t>
  </si>
  <si>
    <t>PR expose</t>
  </si>
  <si>
    <t>PR developed</t>
  </si>
  <si>
    <t>Metal etch</t>
  </si>
  <si>
    <t>PR strip</t>
  </si>
  <si>
    <t>Electrode metal deposition (TiW, Cu, Au)</t>
  </si>
  <si>
    <t>PI coating&amp;developing</t>
  </si>
  <si>
    <t>PI coat</t>
  </si>
  <si>
    <t>PI develop</t>
  </si>
  <si>
    <t>PI expose</t>
  </si>
  <si>
    <t>PI cure</t>
  </si>
  <si>
    <t>Thickness measurements</t>
  </si>
  <si>
    <t>Dimension measurements</t>
  </si>
  <si>
    <t>AJA</t>
  </si>
  <si>
    <t>Dektak</t>
  </si>
  <si>
    <t>Fresenberger Oven</t>
  </si>
  <si>
    <t>Mask Aligner EVG 620</t>
  </si>
  <si>
    <t>Hirox</t>
  </si>
  <si>
    <t>Au</t>
  </si>
  <si>
    <t>Etchant (Commercial gold etchant, Transene)</t>
  </si>
  <si>
    <t>Developer (MF24A)</t>
  </si>
  <si>
    <t>Dicing Blade</t>
  </si>
  <si>
    <t>Dicing Tape</t>
  </si>
  <si>
    <t>Kasnak</t>
  </si>
  <si>
    <t>Alumina Wafer (Wafer 4" Alumina DSP 500 µm±50µm, %96)</t>
  </si>
  <si>
    <t>adet</t>
  </si>
  <si>
    <t>Silicone Wafer</t>
  </si>
  <si>
    <t>lt</t>
  </si>
  <si>
    <t>TiW (4")</t>
  </si>
  <si>
    <t>Cu (4")</t>
  </si>
  <si>
    <t>paket</t>
  </si>
  <si>
    <t>rulo</t>
  </si>
  <si>
    <t>6000 adet için</t>
  </si>
  <si>
    <t>6000adet için</t>
  </si>
  <si>
    <t>wafer number</t>
  </si>
  <si>
    <t>Toplam Süre</t>
  </si>
  <si>
    <t xml:space="preserve">1 wafer cihaz bedeli </t>
  </si>
  <si>
    <t xml:space="preserve">1 wafer personel bedeli </t>
  </si>
  <si>
    <t xml:space="preserve">1 wafer sarf bedeli </t>
  </si>
  <si>
    <t>Temizalan giriş ücreti</t>
  </si>
  <si>
    <t>Temizalan giriş sarf ücreti</t>
  </si>
  <si>
    <t>Toplam</t>
  </si>
  <si>
    <t>Cihaz/personel birim saati ($)</t>
  </si>
  <si>
    <t>Cihaz/personel bedeli ($)</t>
  </si>
  <si>
    <t>Öngörülmeyen ile birlikte toplam</t>
  </si>
  <si>
    <t>DISCO DAD- 3350</t>
  </si>
  <si>
    <t>Dicing</t>
  </si>
  <si>
    <t>1 die bedeli</t>
  </si>
  <si>
    <t>1 wf</t>
  </si>
  <si>
    <t>die sayısı</t>
  </si>
  <si>
    <t>wf sayısı</t>
  </si>
  <si>
    <t>3 wf</t>
  </si>
  <si>
    <t>Planlanan Kullanım 1 wafer için</t>
  </si>
  <si>
    <t>Planlanan Kullanım 3 wafer için</t>
  </si>
  <si>
    <t>Toplam Fiyat ($)</t>
  </si>
  <si>
    <t>ok</t>
  </si>
  <si>
    <t>toplam MT cihaz kullanım süresi sıvı azot fırın yok</t>
  </si>
  <si>
    <t>kg/dk</t>
  </si>
  <si>
    <t>MLO7</t>
  </si>
  <si>
    <t>dk</t>
  </si>
  <si>
    <t>Photoresist SPR 220-7 (akışta 2 kez/wf-5*2 mlt/wf)</t>
  </si>
  <si>
    <t>mlt</t>
  </si>
  <si>
    <t>HMDS (akışta 2 kez/wf-5*2 mlt/wf)</t>
  </si>
  <si>
    <t>Dicer, DAD DI SU/ pr strip</t>
  </si>
  <si>
    <t>DI SU/ pr strip 5 cycle 5*10 lt</t>
  </si>
  <si>
    <t>nm</t>
  </si>
  <si>
    <t>lt/wf</t>
  </si>
  <si>
    <t>azot (10 lt için 0,808 kg*10 kg azot) İmperial fırın</t>
  </si>
  <si>
    <t>lt/wafer</t>
  </si>
  <si>
    <t>Argon</t>
  </si>
  <si>
    <t>toplam</t>
  </si>
  <si>
    <t>Toplam (Gümrük+Navlun* ($)) KDV HARİÇ</t>
  </si>
  <si>
    <t xml:space="preserve">Toplam (Gümrük+Navlun+KDV HARİÇ* ($)) </t>
  </si>
  <si>
    <t>4incin 3 katını yaptık</t>
  </si>
  <si>
    <t>Testalanı giriş ücreti</t>
  </si>
  <si>
    <t>Testalanı giriş sarf ücreti</t>
  </si>
  <si>
    <t>TEST</t>
  </si>
  <si>
    <t xml:space="preserve">8 İNÇ </t>
  </si>
  <si>
    <t xml:space="preserve">TOPLAM CİHAZ KUL. SÜR. </t>
  </si>
  <si>
    <t>HOUR</t>
  </si>
  <si>
    <t xml:space="preserve">MİN. </t>
  </si>
  <si>
    <t xml:space="preserve">OVEN </t>
  </si>
  <si>
    <t xml:space="preserve">3 wafer cihaz bedeli </t>
  </si>
  <si>
    <t xml:space="preserve">3 wafer personel bedeli </t>
  </si>
  <si>
    <t xml:space="preserve">3 wafer sarf bedeli </t>
  </si>
  <si>
    <t xml:space="preserve">1 WAFER </t>
  </si>
  <si>
    <t xml:space="preserve">3 WAFER </t>
  </si>
  <si>
    <t>Wafer 8" SSP Prime CZ P/B &lt;100&gt; 725±25µm 5-30 Ωcm</t>
  </si>
  <si>
    <t xml:space="preserve">silicon wafer </t>
  </si>
  <si>
    <t xml:space="preserve">6  alumina wafer </t>
  </si>
  <si>
    <t xml:space="preserve">2 wafer cihaz bedeli </t>
  </si>
  <si>
    <t xml:space="preserve">2 wafer personel bedeli </t>
  </si>
  <si>
    <t xml:space="preserve">2 wafer sarf bedeli </t>
  </si>
  <si>
    <t>TOPLAM (2 AL+1 SİL)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</si>
</sst>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[$€-2]\ #,##0.00"/>
    <numFmt numFmtId="168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1FD7E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8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39" fontId="0" fillId="0" borderId="0" xfId="1" applyNumberFormat="1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65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 applyBorder="1" applyAlignment="1">
      <alignment vertical="center" wrapText="1"/>
    </xf>
    <xf numFmtId="0" fontId="13" fillId="0" borderId="0" xfId="0" applyFont="1"/>
    <xf numFmtId="0" fontId="0" fillId="4" borderId="0" xfId="0" applyFill="1" applyBorder="1" applyAlignment="1">
      <alignment vertical="center" wrapText="1"/>
    </xf>
    <xf numFmtId="39" fontId="0" fillId="4" borderId="0" xfId="1" applyNumberFormat="1" applyFont="1" applyFill="1" applyBorder="1" applyAlignment="1">
      <alignment vertical="center" wrapText="1"/>
    </xf>
    <xf numFmtId="166" fontId="0" fillId="4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8" fontId="2" fillId="0" borderId="0" xfId="0" applyNumberFormat="1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11" fillId="4" borderId="16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43" fontId="0" fillId="0" borderId="0" xfId="0" applyNumberFormat="1"/>
    <xf numFmtId="0" fontId="19" fillId="9" borderId="18" xfId="0" applyFont="1" applyFill="1" applyBorder="1" applyAlignment="1">
      <alignment horizontal="center"/>
    </xf>
    <xf numFmtId="0" fontId="0" fillId="11" borderId="8" xfId="0" applyFill="1" applyBorder="1" applyAlignment="1">
      <alignment wrapText="1"/>
    </xf>
    <xf numFmtId="0" fontId="0" fillId="11" borderId="0" xfId="0" applyFill="1" applyBorder="1" applyAlignment="1">
      <alignment vertical="center" wrapText="1"/>
    </xf>
    <xf numFmtId="164" fontId="0" fillId="11" borderId="0" xfId="0" applyNumberFormat="1" applyFill="1" applyBorder="1" applyAlignment="1">
      <alignment vertical="center" wrapText="1"/>
    </xf>
    <xf numFmtId="0" fontId="9" fillId="11" borderId="0" xfId="0" applyFont="1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68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0" fillId="0" borderId="0" xfId="0" applyFill="1"/>
    <xf numFmtId="0" fontId="0" fillId="7" borderId="1" xfId="0" applyFill="1" applyBorder="1"/>
    <xf numFmtId="0" fontId="0" fillId="0" borderId="1" xfId="0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64" fontId="15" fillId="0" borderId="1" xfId="1" applyFont="1" applyFill="1" applyBorder="1" applyAlignment="1">
      <alignment vertical="center"/>
    </xf>
    <xf numFmtId="164" fontId="15" fillId="0" borderId="1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6" fontId="15" fillId="0" borderId="1" xfId="1" applyNumberFormat="1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1" applyFont="1" applyFill="1" applyBorder="1" applyAlignment="1">
      <alignment vertical="center"/>
    </xf>
    <xf numFmtId="165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164" fontId="0" fillId="7" borderId="1" xfId="1" applyFont="1" applyFill="1" applyBorder="1"/>
    <xf numFmtId="164" fontId="0" fillId="0" borderId="1" xfId="1" applyFont="1" applyBorder="1"/>
    <xf numFmtId="164" fontId="0" fillId="0" borderId="1" xfId="1" applyFont="1" applyFill="1" applyBorder="1" applyAlignment="1">
      <alignment vertical="center"/>
    </xf>
    <xf numFmtId="0" fontId="1" fillId="7" borderId="1" xfId="3" applyFill="1" applyBorder="1"/>
    <xf numFmtId="164" fontId="0" fillId="7" borderId="17" xfId="1" applyFont="1" applyFill="1" applyBorder="1"/>
    <xf numFmtId="164" fontId="0" fillId="7" borderId="17" xfId="1" applyFont="1" applyFill="1" applyBorder="1" applyAlignment="1">
      <alignment vertical="center"/>
    </xf>
    <xf numFmtId="165" fontId="0" fillId="7" borderId="17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164" fontId="0" fillId="0" borderId="1" xfId="1" applyFont="1" applyFill="1" applyBorder="1"/>
    <xf numFmtId="165" fontId="0" fillId="0" borderId="1" xfId="0" applyNumberFormat="1" applyFont="1" applyFill="1" applyBorder="1" applyAlignment="1">
      <alignment vertical="center"/>
    </xf>
    <xf numFmtId="0" fontId="18" fillId="0" borderId="20" xfId="0" applyFont="1" applyBorder="1"/>
    <xf numFmtId="43" fontId="18" fillId="0" borderId="21" xfId="0" applyNumberFormat="1" applyFont="1" applyBorder="1"/>
    <xf numFmtId="43" fontId="18" fillId="11" borderId="21" xfId="0" applyNumberFormat="1" applyFont="1" applyFill="1" applyBorder="1"/>
    <xf numFmtId="43" fontId="18" fillId="11" borderId="22" xfId="0" applyNumberFormat="1" applyFont="1" applyFill="1" applyBorder="1"/>
    <xf numFmtId="0" fontId="2" fillId="11" borderId="14" xfId="0" applyFont="1" applyFill="1" applyBorder="1"/>
    <xf numFmtId="0" fontId="0" fillId="11" borderId="18" xfId="0" applyFill="1" applyBorder="1" applyAlignment="1">
      <alignment vertical="center" wrapText="1"/>
    </xf>
    <xf numFmtId="166" fontId="0" fillId="11" borderId="15" xfId="0" applyNumberFormat="1" applyFill="1" applyBorder="1" applyAlignment="1">
      <alignment horizontal="center" vertical="center"/>
    </xf>
    <xf numFmtId="164" fontId="0" fillId="11" borderId="19" xfId="1" applyFont="1" applyFill="1" applyBorder="1" applyAlignment="1">
      <alignment vertical="center" wrapText="1"/>
    </xf>
    <xf numFmtId="164" fontId="0" fillId="0" borderId="0" xfId="1" applyFont="1" applyFill="1" applyBorder="1" applyAlignment="1">
      <alignment horizontal="center" vertical="center"/>
    </xf>
    <xf numFmtId="164" fontId="0" fillId="11" borderId="15" xfId="1" applyFont="1" applyFill="1" applyBorder="1" applyAlignment="1">
      <alignment horizontal="center" vertical="center"/>
    </xf>
    <xf numFmtId="166" fontId="2" fillId="11" borderId="19" xfId="0" applyNumberFormat="1" applyFont="1" applyFill="1" applyBorder="1"/>
    <xf numFmtId="43" fontId="18" fillId="0" borderId="21" xfId="0" applyNumberFormat="1" applyFont="1" applyFill="1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/>
    <xf numFmtId="164" fontId="0" fillId="11" borderId="1" xfId="0" applyNumberForma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/>
    </xf>
    <xf numFmtId="0" fontId="19" fillId="9" borderId="15" xfId="0" applyFont="1" applyFill="1" applyBorder="1" applyAlignment="1">
      <alignment horizontal="center"/>
    </xf>
    <xf numFmtId="0" fontId="19" fillId="10" borderId="14" xfId="0" applyFont="1" applyFill="1" applyBorder="1" applyAlignment="1">
      <alignment horizontal="center"/>
    </xf>
    <xf numFmtId="0" fontId="19" fillId="10" borderId="15" xfId="0" applyFont="1" applyFill="1" applyBorder="1" applyAlignment="1">
      <alignment horizontal="center"/>
    </xf>
  </cellXfs>
  <cellStyles count="9">
    <cellStyle name="Comma 2" xfId="4"/>
    <cellStyle name="Comma 2 2" xfId="5"/>
    <cellStyle name="Comma 2 3" xfId="7"/>
    <cellStyle name="Comma 3" xfId="8"/>
    <cellStyle name="Currency 2" xfId="2"/>
    <cellStyle name="Normal" xfId="0" builtinId="0"/>
    <cellStyle name="Normal 2" xfId="3"/>
    <cellStyle name="Normal 3" xfId="6"/>
    <cellStyle name="ParaBirimi" xfId="1" builtinId="4"/>
  </cellStyles>
  <dxfs count="0"/>
  <tableStyles count="0" defaultTableStyle="TableStyleMedium2" defaultPivotStyle="PivotStyleLight16"/>
  <colors>
    <mruColors>
      <color rgb="FF51FD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delen\bilgi\Documents%20and%20Settings\eeti\Local%20Settings\Temporary%20Internet%20Files\OLK4\TIHA%20PROJESI%20MXF-795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ler"/>
      <sheetName val="Nakit G-Ç"/>
      <sheetName val="Yedekler"/>
      <sheetName val="veri"/>
      <sheetName val="Kur"/>
      <sheetName val="Masraf Çeşidi"/>
      <sheetName val="Validation"/>
      <sheetName val="Sheet1"/>
      <sheetName val="Yı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71"/>
  <sheetViews>
    <sheetView zoomScale="89" zoomScaleNormal="89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F33" sqref="F33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1.33203125" style="16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8.88671875" style="14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37" t="s">
        <v>7</v>
      </c>
      <c r="C1" s="137"/>
    </row>
    <row r="2" spans="1:105" ht="21.6" thickBot="1" x14ac:dyDescent="0.35">
      <c r="C2" s="22" t="s">
        <v>6</v>
      </c>
      <c r="O2" s="142"/>
      <c r="P2" s="142"/>
      <c r="S2" s="141"/>
      <c r="T2" s="141"/>
      <c r="U2" s="140" t="s">
        <v>104</v>
      </c>
      <c r="V2" s="140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38" t="s">
        <v>19</v>
      </c>
      <c r="F3" s="139"/>
      <c r="G3" s="138" t="s">
        <v>18</v>
      </c>
      <c r="H3" s="139"/>
      <c r="I3" s="138" t="s">
        <v>41</v>
      </c>
      <c r="J3" s="139"/>
      <c r="K3" s="144" t="s">
        <v>44</v>
      </c>
      <c r="L3" s="139"/>
      <c r="M3" s="144" t="s">
        <v>43</v>
      </c>
      <c r="N3" s="139"/>
      <c r="O3" s="143" t="s">
        <v>21</v>
      </c>
      <c r="P3" s="143"/>
      <c r="Q3" s="143" t="s">
        <v>42</v>
      </c>
      <c r="R3" s="143"/>
      <c r="S3" s="143" t="s">
        <v>45</v>
      </c>
      <c r="T3" s="143"/>
      <c r="U3" s="138" t="s">
        <v>73</v>
      </c>
      <c r="V3" s="13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1</v>
      </c>
      <c r="F5" s="31">
        <f t="shared" ref="F5:V5" si="0">SUM(F6:F9)</f>
        <v>1</v>
      </c>
      <c r="G5" s="31">
        <f t="shared" si="0"/>
        <v>1.1000000000000001</v>
      </c>
      <c r="H5" s="31">
        <f t="shared" si="0"/>
        <v>1.1000000000000001</v>
      </c>
      <c r="I5" s="31">
        <f t="shared" si="0"/>
        <v>0</v>
      </c>
      <c r="J5" s="31">
        <f t="shared" si="0"/>
        <v>0</v>
      </c>
      <c r="K5" s="31">
        <f t="shared" si="0"/>
        <v>1</v>
      </c>
      <c r="L5" s="31">
        <f t="shared" si="0"/>
        <v>1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1</v>
      </c>
      <c r="H6" s="32">
        <v>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1</v>
      </c>
      <c r="L7" s="32">
        <v>1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1</v>
      </c>
      <c r="F8" s="32">
        <v>1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0.1</v>
      </c>
      <c r="H9" s="46">
        <v>0.1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7</v>
      </c>
      <c r="J10" s="31">
        <f t="shared" si="1"/>
        <v>2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7</v>
      </c>
      <c r="J11" s="46">
        <v>2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5</v>
      </c>
      <c r="F12" s="31">
        <f t="shared" ref="F12:V12" si="2">SUM(F13,F14)</f>
        <v>0.5</v>
      </c>
      <c r="G12" s="31">
        <f t="shared" si="2"/>
        <v>0.1</v>
      </c>
      <c r="H12" s="31">
        <f t="shared" si="2"/>
        <v>0.1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5</v>
      </c>
      <c r="F13" s="46">
        <v>0.5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0.1</v>
      </c>
      <c r="H14" s="46">
        <v>0.1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3.5</v>
      </c>
      <c r="F15" s="31">
        <f t="shared" ref="F15:V15" si="3">SUM(F16:F21)</f>
        <v>3</v>
      </c>
      <c r="G15" s="31">
        <f t="shared" si="3"/>
        <v>1.1000000000000001</v>
      </c>
      <c r="H15" s="31">
        <f t="shared" si="3"/>
        <v>1.1000000000000001</v>
      </c>
      <c r="I15" s="31">
        <f t="shared" si="3"/>
        <v>0</v>
      </c>
      <c r="J15" s="31">
        <f t="shared" si="3"/>
        <v>0</v>
      </c>
      <c r="K15" s="31">
        <f t="shared" si="3"/>
        <v>1</v>
      </c>
      <c r="L15" s="31">
        <f t="shared" si="3"/>
        <v>1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1</v>
      </c>
      <c r="H16" s="46">
        <v>1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1</v>
      </c>
      <c r="L17" s="46">
        <v>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1</v>
      </c>
      <c r="F18" s="46">
        <v>1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1.5</v>
      </c>
      <c r="F19" s="46">
        <v>1.5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1</v>
      </c>
      <c r="F20" s="46">
        <v>0.5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0.1</v>
      </c>
      <c r="H21" s="46">
        <v>0.1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2.5</v>
      </c>
      <c r="H22" s="31">
        <f t="shared" si="4"/>
        <v>2.5</v>
      </c>
      <c r="I22" s="31">
        <f t="shared" si="4"/>
        <v>0</v>
      </c>
      <c r="J22" s="31">
        <f t="shared" si="4"/>
        <v>0</v>
      </c>
      <c r="K22" s="31">
        <f t="shared" si="4"/>
        <v>1</v>
      </c>
      <c r="L22" s="31">
        <f t="shared" si="4"/>
        <v>1</v>
      </c>
      <c r="M22" s="31">
        <f t="shared" si="4"/>
        <v>4</v>
      </c>
      <c r="N22" s="31">
        <f t="shared" si="4"/>
        <v>0.1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1.5</v>
      </c>
      <c r="H23" s="46">
        <v>1.5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1</v>
      </c>
      <c r="L24" s="46">
        <v>1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1</v>
      </c>
      <c r="H25" s="46">
        <v>1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4</v>
      </c>
      <c r="N26" s="46">
        <v>0.1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8</v>
      </c>
      <c r="R27" s="31">
        <f t="shared" si="5"/>
        <v>8</v>
      </c>
      <c r="S27" s="31">
        <f t="shared" si="5"/>
        <v>2</v>
      </c>
      <c r="T27" s="31">
        <f t="shared" si="5"/>
        <v>2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8</v>
      </c>
      <c r="R28" s="46">
        <v>8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2</v>
      </c>
      <c r="T29" s="46">
        <v>2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74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7" t="s">
        <v>101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8" t="s">
        <v>63</v>
      </c>
      <c r="C31" s="21"/>
      <c r="D31" s="18"/>
      <c r="E31" s="18">
        <f>+E5+E10+E12+E15+E22+E27</f>
        <v>9.5</v>
      </c>
      <c r="F31" s="18">
        <f>+F5+F10+F12+F15+F22+F27</f>
        <v>4.5</v>
      </c>
      <c r="G31" s="18">
        <f>+G5+G10+G12+G15+G22+G27</f>
        <v>4.8000000000000007</v>
      </c>
      <c r="H31" s="18">
        <f>+H5+H10+H12+H15+H22+H27</f>
        <v>4.8000000000000007</v>
      </c>
      <c r="I31" s="59">
        <f>+(I5+I10+I12+I15+I22+I27)</f>
        <v>7</v>
      </c>
      <c r="J31" s="59">
        <f>+(J5+J10+J12+J15+J22+J27)</f>
        <v>2</v>
      </c>
      <c r="K31" s="18">
        <f t="shared" ref="K31:T31" si="6">+K5+K10+K12+K15+K22+K27</f>
        <v>3</v>
      </c>
      <c r="L31" s="18">
        <f t="shared" si="6"/>
        <v>3</v>
      </c>
      <c r="M31" s="18">
        <f t="shared" si="6"/>
        <v>4</v>
      </c>
      <c r="N31" s="18">
        <f t="shared" si="6"/>
        <v>0.1</v>
      </c>
      <c r="O31" s="18">
        <f t="shared" si="6"/>
        <v>0</v>
      </c>
      <c r="P31" s="18">
        <f t="shared" si="6"/>
        <v>0</v>
      </c>
      <c r="Q31" s="18">
        <f t="shared" si="6"/>
        <v>8</v>
      </c>
      <c r="R31" s="18">
        <f t="shared" si="6"/>
        <v>8</v>
      </c>
      <c r="S31" s="18">
        <f t="shared" si="6"/>
        <v>2</v>
      </c>
      <c r="T31" s="18">
        <f t="shared" si="6"/>
        <v>2</v>
      </c>
      <c r="U31" s="62">
        <f>+U5+U10+U12+U15+U22+U27</f>
        <v>15</v>
      </c>
      <c r="V31" s="51">
        <f>+V5+V10+V12+V15+V22+V27</f>
        <v>15</v>
      </c>
      <c r="W31" s="18">
        <f>SUM(E31:V31)</f>
        <v>92.7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70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60">
        <v>66</v>
      </c>
      <c r="J32" s="60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83" customFormat="1" ht="28.8" x14ac:dyDescent="0.3">
      <c r="A33" s="78" t="s">
        <v>62</v>
      </c>
      <c r="B33" s="78">
        <v>1</v>
      </c>
      <c r="C33" s="78" t="s">
        <v>71</v>
      </c>
      <c r="D33" s="79"/>
      <c r="E33" s="80">
        <f>+E31*E32</f>
        <v>313.5</v>
      </c>
      <c r="F33" s="80">
        <f>+F31*F32</f>
        <v>148.5</v>
      </c>
      <c r="G33" s="80">
        <f t="shared" ref="G33:V33" si="7">+G31*G32</f>
        <v>74.88000000000001</v>
      </c>
      <c r="H33" s="80">
        <f t="shared" si="7"/>
        <v>158.40000000000003</v>
      </c>
      <c r="I33" s="80">
        <f>+I31*I32</f>
        <v>462</v>
      </c>
      <c r="J33" s="80">
        <f t="shared" si="7"/>
        <v>66</v>
      </c>
      <c r="K33" s="80">
        <f t="shared" si="7"/>
        <v>72.599999999999994</v>
      </c>
      <c r="L33" s="80">
        <f t="shared" si="7"/>
        <v>99</v>
      </c>
      <c r="M33" s="80">
        <f t="shared" si="7"/>
        <v>30.8</v>
      </c>
      <c r="N33" s="80">
        <f t="shared" si="7"/>
        <v>3.3000000000000003</v>
      </c>
      <c r="O33" s="80">
        <f t="shared" si="7"/>
        <v>0</v>
      </c>
      <c r="P33" s="80">
        <f t="shared" si="7"/>
        <v>0</v>
      </c>
      <c r="Q33" s="80">
        <f t="shared" si="7"/>
        <v>88</v>
      </c>
      <c r="R33" s="80">
        <f t="shared" si="7"/>
        <v>264</v>
      </c>
      <c r="S33" s="80">
        <f t="shared" si="7"/>
        <v>22</v>
      </c>
      <c r="T33" s="80">
        <f t="shared" si="7"/>
        <v>66</v>
      </c>
      <c r="U33" s="80">
        <f t="shared" si="7"/>
        <v>264</v>
      </c>
      <c r="V33" s="80">
        <f t="shared" si="7"/>
        <v>495</v>
      </c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2"/>
    </row>
    <row r="34" spans="1:105" s="6" customFormat="1" ht="28.8" x14ac:dyDescent="0.3">
      <c r="A34" s="30" t="s">
        <v>62</v>
      </c>
      <c r="B34" s="30">
        <v>3</v>
      </c>
      <c r="C34" s="30" t="s">
        <v>71</v>
      </c>
      <c r="D34" s="18"/>
      <c r="E34" s="23">
        <f>E33*$B$34</f>
        <v>940.5</v>
      </c>
      <c r="F34" s="23">
        <f>F33*$B$34</f>
        <v>445.5</v>
      </c>
      <c r="G34" s="23">
        <f t="shared" ref="G34:H34" si="8">G33*$B$34</f>
        <v>224.64000000000004</v>
      </c>
      <c r="H34" s="23">
        <f t="shared" si="8"/>
        <v>475.2000000000001</v>
      </c>
      <c r="I34" s="61">
        <f>+I33</f>
        <v>462</v>
      </c>
      <c r="J34" s="61">
        <f>+J33</f>
        <v>66</v>
      </c>
      <c r="K34" s="23">
        <f>K33*$B$34</f>
        <v>217.79999999999998</v>
      </c>
      <c r="L34" s="23">
        <f t="shared" ref="L34:V34" si="9">L33*$B$34</f>
        <v>297</v>
      </c>
      <c r="M34" s="23">
        <f t="shared" si="9"/>
        <v>92.4</v>
      </c>
      <c r="N34" s="23">
        <f t="shared" si="9"/>
        <v>9.9</v>
      </c>
      <c r="O34" s="23">
        <f t="shared" si="9"/>
        <v>0</v>
      </c>
      <c r="P34" s="23">
        <f t="shared" si="9"/>
        <v>0</v>
      </c>
      <c r="Q34" s="23">
        <f t="shared" si="9"/>
        <v>264</v>
      </c>
      <c r="R34" s="23">
        <f t="shared" si="9"/>
        <v>792</v>
      </c>
      <c r="S34" s="23">
        <f t="shared" si="9"/>
        <v>66</v>
      </c>
      <c r="T34" s="23">
        <f t="shared" si="9"/>
        <v>198</v>
      </c>
      <c r="U34" s="23">
        <f t="shared" si="9"/>
        <v>792</v>
      </c>
      <c r="V34" s="23">
        <f t="shared" si="9"/>
        <v>1485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6" customFormat="1" x14ac:dyDescent="0.3">
      <c r="A35" s="17"/>
      <c r="B35" s="30"/>
      <c r="C35" s="30"/>
      <c r="D35" s="18"/>
      <c r="E35" s="19"/>
      <c r="F35" s="19"/>
      <c r="G35" s="19"/>
      <c r="H35" s="19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2"/>
    </row>
    <row r="36" spans="1:105" s="11" customFormat="1" ht="18" x14ac:dyDescent="0.3">
      <c r="A36" s="17"/>
      <c r="B36" s="17"/>
      <c r="C36" s="17"/>
      <c r="D36" s="21"/>
      <c r="E36" s="19"/>
      <c r="F36" s="86"/>
      <c r="G36" s="17"/>
      <c r="H36" s="51"/>
      <c r="I36" s="51"/>
      <c r="J36" s="51"/>
      <c r="K36" s="51"/>
      <c r="L36" s="51"/>
      <c r="M36" s="51"/>
      <c r="N36" s="51"/>
      <c r="O36" s="51"/>
      <c r="P36" s="51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3"/>
    </row>
    <row r="37" spans="1:105" s="6" customFormat="1" x14ac:dyDescent="0.3">
      <c r="A37" s="17"/>
      <c r="B37" s="17"/>
      <c r="C37" s="29" t="s">
        <v>64</v>
      </c>
      <c r="D37" s="92"/>
      <c r="E37" s="97">
        <f>E33+G33+I33+K33+M33+O33+Q33+S33+U33</f>
        <v>1327.78</v>
      </c>
      <c r="F37" s="86"/>
      <c r="G37" s="29" t="s">
        <v>110</v>
      </c>
      <c r="H37" s="95">
        <f>E34+G34+I34+K34+M34+O34+Q34+S34+U34</f>
        <v>3059.34</v>
      </c>
      <c r="I37" s="51"/>
      <c r="J37" s="51"/>
      <c r="K37" s="51"/>
      <c r="L37" s="51"/>
      <c r="M37" s="89" t="s">
        <v>113</v>
      </c>
      <c r="N37" s="89" t="s">
        <v>107</v>
      </c>
      <c r="O37" s="89" t="s">
        <v>108</v>
      </c>
      <c r="P37" s="5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29" t="s">
        <v>65</v>
      </c>
      <c r="D38" s="92"/>
      <c r="E38" s="97">
        <f>F33+H33+J33+L33+N33+P33+R33+T33+V33</f>
        <v>1300.2</v>
      </c>
      <c r="F38" s="86"/>
      <c r="G38" s="29" t="s">
        <v>111</v>
      </c>
      <c r="H38" s="95">
        <f>F34+H34+J34+L34+N34+P34+R34+T34+V34</f>
        <v>3768.6000000000004</v>
      </c>
      <c r="I38" s="51"/>
      <c r="J38" s="51"/>
      <c r="K38" s="51"/>
      <c r="L38" s="51"/>
      <c r="M38" s="89" t="s">
        <v>106</v>
      </c>
      <c r="N38" s="89">
        <f>E31+G31+I31+K31+M31+O31+Q31+S31+U31</f>
        <v>53.3</v>
      </c>
      <c r="O38" s="89">
        <f>N38*60</f>
        <v>3198</v>
      </c>
      <c r="P38" s="51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6" customFormat="1" x14ac:dyDescent="0.3">
      <c r="A39" s="17"/>
      <c r="B39" s="17"/>
      <c r="C39" s="29" t="s">
        <v>66</v>
      </c>
      <c r="D39" s="93"/>
      <c r="E39" s="97"/>
      <c r="F39" s="86"/>
      <c r="G39" s="29" t="s">
        <v>112</v>
      </c>
      <c r="H39" s="95"/>
      <c r="I39" s="51"/>
      <c r="J39" s="51"/>
      <c r="K39" s="51"/>
      <c r="L39" s="51"/>
      <c r="M39" s="89" t="s">
        <v>109</v>
      </c>
      <c r="N39" s="89">
        <f>+M31</f>
        <v>4</v>
      </c>
      <c r="O39" s="89">
        <f>N39*60</f>
        <v>240</v>
      </c>
      <c r="P39" s="51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2"/>
    </row>
    <row r="40" spans="1:105" s="11" customFormat="1" x14ac:dyDescent="0.3">
      <c r="A40" s="17"/>
      <c r="B40" s="17"/>
      <c r="C40" s="29" t="s">
        <v>67</v>
      </c>
      <c r="D40" s="93"/>
      <c r="E40" s="97">
        <f>((E31+G31+I31+K31+M31+O31+Q31+S31)/6)*13.2</f>
        <v>84.259999999999991</v>
      </c>
      <c r="F40" s="86"/>
      <c r="G40" s="29" t="s">
        <v>67</v>
      </c>
      <c r="H40" s="96">
        <f>((3*(E31+G31+K31+M31+O31+Q31+S31+U31)+7)/6)*13.2</f>
        <v>320.9799999999999</v>
      </c>
      <c r="I40" s="51"/>
      <c r="J40" s="51"/>
      <c r="K40" s="51"/>
      <c r="L40" s="51"/>
      <c r="M40" s="51"/>
      <c r="N40" s="51"/>
      <c r="O40" s="51"/>
      <c r="P40" s="51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3"/>
    </row>
    <row r="41" spans="1:105" s="6" customFormat="1" x14ac:dyDescent="0.3">
      <c r="A41" s="17"/>
      <c r="B41" s="17"/>
      <c r="C41" s="29" t="s">
        <v>68</v>
      </c>
      <c r="D41" s="92"/>
      <c r="E41" s="97">
        <f>E40/2</f>
        <v>42.129999999999995</v>
      </c>
      <c r="F41" s="86"/>
      <c r="G41" s="29" t="s">
        <v>68</v>
      </c>
      <c r="H41" s="96">
        <f>H40/2</f>
        <v>160.48999999999995</v>
      </c>
      <c r="I41" s="51"/>
      <c r="J41" s="51"/>
      <c r="K41" s="51"/>
      <c r="L41" s="51"/>
      <c r="M41" s="89" t="s">
        <v>114</v>
      </c>
      <c r="N41" s="89" t="s">
        <v>107</v>
      </c>
      <c r="O41" s="89" t="s">
        <v>108</v>
      </c>
      <c r="P41" s="5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6" customFormat="1" ht="18.75" customHeight="1" x14ac:dyDescent="0.3">
      <c r="A42" s="17"/>
      <c r="B42" s="17"/>
      <c r="C42" s="29" t="s">
        <v>102</v>
      </c>
      <c r="D42" s="94"/>
      <c r="E42" s="97">
        <f>(U30/6)*2.75</f>
        <v>6.875</v>
      </c>
      <c r="F42" s="86"/>
      <c r="G42" s="29" t="s">
        <v>102</v>
      </c>
      <c r="H42" s="96">
        <f>(15*3/6)*2.75</f>
        <v>20.625</v>
      </c>
      <c r="I42" s="51"/>
      <c r="J42" s="51"/>
      <c r="K42" s="51"/>
      <c r="L42" s="51"/>
      <c r="M42" s="89" t="s">
        <v>106</v>
      </c>
      <c r="N42" s="89">
        <f>E35+G35+I35+K35+M35+O35+Q35+S35+U35</f>
        <v>0</v>
      </c>
      <c r="O42" s="89">
        <f>N42*60</f>
        <v>0</v>
      </c>
      <c r="P42" s="51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2"/>
    </row>
    <row r="43" spans="1:105" s="11" customFormat="1" x14ac:dyDescent="0.3">
      <c r="A43" s="17"/>
      <c r="B43" s="17"/>
      <c r="C43" s="29" t="s">
        <v>103</v>
      </c>
      <c r="D43" s="92"/>
      <c r="E43" s="97">
        <f>E42/2</f>
        <v>3.4375</v>
      </c>
      <c r="F43" s="19"/>
      <c r="G43" s="29" t="s">
        <v>103</v>
      </c>
      <c r="H43" s="97">
        <f>H42/2</f>
        <v>10.3125</v>
      </c>
      <c r="I43" s="14"/>
      <c r="J43" s="14"/>
      <c r="K43" s="51"/>
      <c r="L43" s="51"/>
      <c r="M43" s="89" t="s">
        <v>109</v>
      </c>
      <c r="N43" s="89">
        <f>+M35</f>
        <v>0</v>
      </c>
      <c r="O43" s="89">
        <f>N43*60</f>
        <v>0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3"/>
    </row>
    <row r="44" spans="1:105" s="6" customFormat="1" x14ac:dyDescent="0.3">
      <c r="A44" s="17"/>
      <c r="B44" s="17"/>
      <c r="C44" s="56" t="s">
        <v>69</v>
      </c>
      <c r="D44" s="18"/>
      <c r="E44" s="23"/>
      <c r="F44" s="19"/>
      <c r="G44" s="19"/>
      <c r="H44" s="19"/>
      <c r="I44" s="14"/>
      <c r="J44" s="14"/>
      <c r="K44" s="51"/>
      <c r="L44" s="51"/>
      <c r="M44" s="51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2"/>
    </row>
    <row r="45" spans="1:105" s="6" customFormat="1" ht="18" x14ac:dyDescent="0.3">
      <c r="A45" s="17"/>
      <c r="B45" s="17"/>
      <c r="C45" s="56" t="s">
        <v>72</v>
      </c>
      <c r="D45" s="21"/>
      <c r="E45" s="23"/>
      <c r="F45" s="19"/>
      <c r="G45" s="19"/>
      <c r="H45" s="23"/>
      <c r="I45" s="14"/>
      <c r="J45" s="14"/>
      <c r="K45" s="51"/>
      <c r="L45" s="51"/>
      <c r="M45" s="51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2"/>
    </row>
    <row r="46" spans="1:105" s="6" customFormat="1" ht="18" x14ac:dyDescent="0.3">
      <c r="A46" s="17"/>
      <c r="B46" s="17"/>
      <c r="C46" s="58" t="s">
        <v>75</v>
      </c>
      <c r="D46" s="21"/>
      <c r="E46" s="50"/>
      <c r="F46" s="19"/>
      <c r="G46" s="145"/>
      <c r="H46" s="145"/>
      <c r="I46" s="14"/>
      <c r="J46" s="14"/>
      <c r="K46" s="51"/>
      <c r="L46" s="51"/>
      <c r="M46" s="51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2"/>
    </row>
    <row r="47" spans="1:105" s="11" customFormat="1" ht="18" x14ac:dyDescent="0.3">
      <c r="A47" s="17"/>
      <c r="B47" s="21"/>
      <c r="C47" s="58"/>
      <c r="D47" s="57"/>
      <c r="E47" s="63"/>
      <c r="F47" s="23"/>
      <c r="G47" s="84"/>
      <c r="H47" s="85"/>
      <c r="I47" s="14"/>
      <c r="J47" s="14"/>
      <c r="K47" s="51"/>
      <c r="L47" s="51"/>
      <c r="M47" s="51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3"/>
    </row>
    <row r="48" spans="1:105" s="11" customFormat="1" ht="18" x14ac:dyDescent="0.3">
      <c r="A48" s="17"/>
      <c r="B48" s="21"/>
      <c r="C48" s="17"/>
      <c r="D48" s="18"/>
      <c r="E48" s="23"/>
      <c r="F48" s="23"/>
      <c r="G48" s="84"/>
      <c r="H48" s="19"/>
      <c r="I48" s="14"/>
      <c r="J48" s="14"/>
      <c r="K48" s="51"/>
      <c r="L48" s="51"/>
      <c r="M48" s="51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3"/>
    </row>
    <row r="49" spans="1:105" s="6" customFormat="1" ht="57" customHeight="1" x14ac:dyDescent="0.3">
      <c r="A49" s="17"/>
      <c r="B49" s="18"/>
      <c r="C49" s="17"/>
      <c r="D49" s="18"/>
      <c r="E49" s="23"/>
      <c r="F49" s="146"/>
      <c r="G49" s="146"/>
      <c r="H49" s="19"/>
      <c r="I49" s="14"/>
      <c r="J49" s="14"/>
      <c r="K49" s="51"/>
      <c r="L49" s="51"/>
      <c r="M49" s="51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2"/>
    </row>
    <row r="50" spans="1:105" s="14" customFormat="1" x14ac:dyDescent="0.3">
      <c r="A50" s="20"/>
      <c r="B50" s="20"/>
      <c r="C50" s="18"/>
      <c r="D50" s="20"/>
      <c r="E50" s="20"/>
      <c r="F50" s="20"/>
      <c r="G50" s="20"/>
      <c r="H50" s="20"/>
      <c r="DA50" s="1"/>
    </row>
    <row r="51" spans="1:105" s="14" customFormat="1" x14ac:dyDescent="0.3">
      <c r="A51" s="1"/>
      <c r="B51" s="1"/>
      <c r="C51" s="2"/>
      <c r="D51" s="1"/>
      <c r="E51" s="1"/>
      <c r="F51" s="1"/>
      <c r="G51" s="1"/>
      <c r="H51" s="1"/>
      <c r="DA51" s="1"/>
    </row>
    <row r="52" spans="1:105" s="14" customFormat="1" ht="56.25" customHeight="1" x14ac:dyDescent="0.3">
      <c r="A52" s="1"/>
      <c r="B52" s="1"/>
      <c r="C52" s="2"/>
      <c r="D52" s="1"/>
      <c r="E52" s="16"/>
      <c r="F52" s="16"/>
      <c r="G52" s="16"/>
      <c r="H52" s="16"/>
      <c r="O52" s="15"/>
      <c r="DA52" s="1"/>
    </row>
    <row r="53" spans="1:105" s="14" customFormat="1" x14ac:dyDescent="0.3">
      <c r="A53" s="1"/>
      <c r="B53" s="2"/>
      <c r="C53" s="2"/>
      <c r="D53" s="2"/>
      <c r="E53" s="16"/>
      <c r="F53" s="16"/>
      <c r="G53" s="16"/>
      <c r="H53" s="16"/>
      <c r="O53" s="15"/>
      <c r="P53" s="15"/>
      <c r="Q53" s="15"/>
      <c r="R53" s="15"/>
      <c r="S53" s="15"/>
      <c r="T53" s="15"/>
      <c r="U53" s="15"/>
      <c r="V53" s="15"/>
      <c r="W53" s="15"/>
      <c r="DA53" s="1"/>
    </row>
    <row r="54" spans="1:105" s="14" customFormat="1" x14ac:dyDescent="0.3">
      <c r="A54" s="1"/>
      <c r="B54" s="2"/>
      <c r="C54" s="2"/>
      <c r="D54" s="2"/>
      <c r="E54" s="16"/>
      <c r="F54" s="16"/>
      <c r="G54" s="16"/>
      <c r="H54" s="16"/>
      <c r="O54" s="15"/>
      <c r="P54" s="15"/>
      <c r="Q54" s="15"/>
      <c r="R54" s="15"/>
      <c r="S54" s="15"/>
      <c r="T54" s="15"/>
      <c r="U54" s="15"/>
      <c r="V54" s="15"/>
      <c r="W54" s="15"/>
      <c r="DA54" s="1"/>
    </row>
    <row r="56" spans="1:105" s="14" customFormat="1" x14ac:dyDescent="0.3">
      <c r="A56" s="1"/>
      <c r="B56" s="2"/>
      <c r="C56" s="2"/>
      <c r="D56" s="2"/>
      <c r="E56" s="20"/>
      <c r="F56" s="18"/>
      <c r="G56" s="20"/>
      <c r="H56" s="20"/>
      <c r="I56" s="20"/>
      <c r="J56" s="20"/>
      <c r="K56" s="20"/>
      <c r="DA56" s="1"/>
    </row>
    <row r="59" spans="1:105" s="14" customFormat="1" x14ac:dyDescent="0.3">
      <c r="A59" s="1"/>
      <c r="B59" s="2"/>
      <c r="C59" s="2"/>
      <c r="D59" s="2"/>
      <c r="E59" s="16"/>
      <c r="F59" s="16"/>
      <c r="G59" s="16"/>
      <c r="H59" s="16"/>
      <c r="L59" s="51"/>
      <c r="M59" s="51"/>
      <c r="DA59" s="1"/>
    </row>
    <row r="67" spans="1:105" s="14" customFormat="1" ht="18.75" customHeight="1" x14ac:dyDescent="0.3">
      <c r="A67" s="1"/>
      <c r="B67" s="2"/>
      <c r="C67" s="2"/>
      <c r="D67" s="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DA67" s="1"/>
    </row>
    <row r="68" spans="1:105" s="14" customFormat="1" x14ac:dyDescent="0.3">
      <c r="A68" s="1"/>
      <c r="B68" s="2"/>
      <c r="C68" s="2"/>
      <c r="D68" s="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DA68" s="1"/>
    </row>
    <row r="69" spans="1:105" s="14" customFormat="1" x14ac:dyDescent="0.3">
      <c r="A69" s="1"/>
      <c r="B69" s="2"/>
      <c r="C69" s="2"/>
      <c r="D69" s="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DA69" s="1"/>
    </row>
    <row r="70" spans="1:105" s="14" customFormat="1" x14ac:dyDescent="0.3">
      <c r="A70" s="1"/>
      <c r="B70" s="2"/>
      <c r="C70" s="2"/>
      <c r="D70" s="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DA70" s="1"/>
    </row>
    <row r="71" spans="1:105" s="14" customFormat="1" x14ac:dyDescent="0.3">
      <c r="A71" s="1"/>
      <c r="B71" s="2"/>
      <c r="C71" s="2"/>
      <c r="D71" s="2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DA71" s="1"/>
    </row>
  </sheetData>
  <autoFilter ref="B3:C52"/>
  <mergeCells count="15">
    <mergeCell ref="G46:H46"/>
    <mergeCell ref="F49:G49"/>
    <mergeCell ref="B1:C1"/>
    <mergeCell ref="E3:F3"/>
    <mergeCell ref="G3:H3"/>
    <mergeCell ref="U2:V2"/>
    <mergeCell ref="S2:T2"/>
    <mergeCell ref="O2:P2"/>
    <mergeCell ref="O3:P3"/>
    <mergeCell ref="Q3:R3"/>
    <mergeCell ref="S3:T3"/>
    <mergeCell ref="U3:V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59"/>
  <sheetViews>
    <sheetView tabSelected="1" zoomScale="89" zoomScaleNormal="89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J38" sqref="J38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1.33203125" style="16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9.33203125" style="14" bestFit="1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37" t="s">
        <v>7</v>
      </c>
      <c r="C1" s="137"/>
    </row>
    <row r="2" spans="1:105" ht="21.6" thickBot="1" x14ac:dyDescent="0.35">
      <c r="C2" s="22" t="s">
        <v>6</v>
      </c>
      <c r="O2" s="142"/>
      <c r="P2" s="142"/>
      <c r="S2" s="141"/>
      <c r="T2" s="141"/>
      <c r="U2" s="140" t="s">
        <v>104</v>
      </c>
      <c r="V2" s="140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38" t="s">
        <v>19</v>
      </c>
      <c r="F3" s="139"/>
      <c r="G3" s="138" t="s">
        <v>18</v>
      </c>
      <c r="H3" s="139"/>
      <c r="I3" s="138" t="s">
        <v>41</v>
      </c>
      <c r="J3" s="139"/>
      <c r="K3" s="144" t="s">
        <v>44</v>
      </c>
      <c r="L3" s="139"/>
      <c r="M3" s="144" t="s">
        <v>43</v>
      </c>
      <c r="N3" s="139"/>
      <c r="O3" s="143" t="s">
        <v>21</v>
      </c>
      <c r="P3" s="143"/>
      <c r="Q3" s="143" t="s">
        <v>42</v>
      </c>
      <c r="R3" s="143"/>
      <c r="S3" s="143" t="s">
        <v>45</v>
      </c>
      <c r="T3" s="143"/>
      <c r="U3" s="138" t="s">
        <v>73</v>
      </c>
      <c r="V3" s="13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2</v>
      </c>
      <c r="F5" s="31">
        <f t="shared" ref="F5:V5" si="0">SUM(F6:F9)</f>
        <v>2</v>
      </c>
      <c r="G5" s="31">
        <f t="shared" si="0"/>
        <v>2.2000000000000002</v>
      </c>
      <c r="H5" s="31">
        <f t="shared" si="0"/>
        <v>2.2000000000000002</v>
      </c>
      <c r="I5" s="31">
        <f t="shared" si="0"/>
        <v>0</v>
      </c>
      <c r="J5" s="31">
        <f t="shared" si="0"/>
        <v>0</v>
      </c>
      <c r="K5" s="31">
        <f t="shared" si="0"/>
        <v>2</v>
      </c>
      <c r="L5" s="31">
        <f t="shared" si="0"/>
        <v>2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2</v>
      </c>
      <c r="H6" s="32">
        <v>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2</v>
      </c>
      <c r="L7" s="32">
        <v>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2</v>
      </c>
      <c r="F8" s="32">
        <v>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0.2</v>
      </c>
      <c r="H9" s="46">
        <v>0.2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14</v>
      </c>
      <c r="J10" s="31">
        <f t="shared" si="1"/>
        <v>4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14</v>
      </c>
      <c r="J11" s="46">
        <v>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10</v>
      </c>
      <c r="F12" s="31">
        <f t="shared" ref="F12:V12" si="2">SUM(F13,F14)</f>
        <v>1</v>
      </c>
      <c r="G12" s="31">
        <f t="shared" si="2"/>
        <v>0.2</v>
      </c>
      <c r="H12" s="31">
        <f t="shared" si="2"/>
        <v>0.2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10</v>
      </c>
      <c r="F13" s="46">
        <v>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0.2</v>
      </c>
      <c r="H14" s="46">
        <v>0.2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7</v>
      </c>
      <c r="F15" s="31">
        <f t="shared" ref="F15:V15" si="3">SUM(F16:F21)</f>
        <v>6</v>
      </c>
      <c r="G15" s="31">
        <f t="shared" si="3"/>
        <v>2.2000000000000002</v>
      </c>
      <c r="H15" s="31">
        <f t="shared" si="3"/>
        <v>2.2000000000000002</v>
      </c>
      <c r="I15" s="31">
        <f t="shared" si="3"/>
        <v>0</v>
      </c>
      <c r="J15" s="31">
        <f t="shared" si="3"/>
        <v>0</v>
      </c>
      <c r="K15" s="31">
        <f t="shared" si="3"/>
        <v>2</v>
      </c>
      <c r="L15" s="31">
        <f t="shared" si="3"/>
        <v>2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2</v>
      </c>
      <c r="H16" s="46">
        <v>2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2</v>
      </c>
      <c r="L17" s="46">
        <v>2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2</v>
      </c>
      <c r="F18" s="46">
        <v>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3</v>
      </c>
      <c r="F19" s="46">
        <v>3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2</v>
      </c>
      <c r="F20" s="46">
        <v>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0.2</v>
      </c>
      <c r="H21" s="46">
        <v>0.2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5</v>
      </c>
      <c r="H22" s="31">
        <f t="shared" si="4"/>
        <v>5</v>
      </c>
      <c r="I22" s="31">
        <f t="shared" si="4"/>
        <v>0</v>
      </c>
      <c r="J22" s="31">
        <f t="shared" si="4"/>
        <v>0</v>
      </c>
      <c r="K22" s="31">
        <f t="shared" si="4"/>
        <v>2</v>
      </c>
      <c r="L22" s="31">
        <f t="shared" si="4"/>
        <v>2</v>
      </c>
      <c r="M22" s="31">
        <f t="shared" si="4"/>
        <v>8</v>
      </c>
      <c r="N22" s="31">
        <f t="shared" si="4"/>
        <v>0.2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3</v>
      </c>
      <c r="H23" s="46">
        <v>3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2</v>
      </c>
      <c r="L24" s="46">
        <v>2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2</v>
      </c>
      <c r="H25" s="46">
        <v>2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8</v>
      </c>
      <c r="N26" s="46">
        <v>0.2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16</v>
      </c>
      <c r="R27" s="31">
        <f t="shared" si="5"/>
        <v>16</v>
      </c>
      <c r="S27" s="31">
        <f t="shared" si="5"/>
        <v>4</v>
      </c>
      <c r="T27" s="31">
        <f t="shared" si="5"/>
        <v>4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16</v>
      </c>
      <c r="R28" s="46">
        <v>16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4</v>
      </c>
      <c r="T29" s="46">
        <v>4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74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7" t="s">
        <v>101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8" t="s">
        <v>63</v>
      </c>
      <c r="C31" s="21"/>
      <c r="D31" s="18"/>
      <c r="E31" s="18">
        <f>+E5+E10+E12+E15+E22+E27</f>
        <v>19</v>
      </c>
      <c r="F31" s="18">
        <f>+F5+F10+F12+F15+F22+F27</f>
        <v>9</v>
      </c>
      <c r="G31" s="18">
        <f>+G5+G10+G12+G15+G22+G27</f>
        <v>9.6000000000000014</v>
      </c>
      <c r="H31" s="18">
        <f>+H5+H10+H12+H15+H22+H27</f>
        <v>9.6000000000000014</v>
      </c>
      <c r="I31" s="59">
        <f>+(I5+I10+I12+I15+I22+I27)</f>
        <v>14</v>
      </c>
      <c r="J31" s="59">
        <f>+(J5+J10+J12+J15+J22+J27)</f>
        <v>4</v>
      </c>
      <c r="K31" s="18">
        <f t="shared" ref="K31:T31" si="6">+K5+K10+K12+K15+K22+K27</f>
        <v>6</v>
      </c>
      <c r="L31" s="18">
        <f t="shared" si="6"/>
        <v>6</v>
      </c>
      <c r="M31" s="18">
        <f t="shared" si="6"/>
        <v>8</v>
      </c>
      <c r="N31" s="18">
        <f t="shared" si="6"/>
        <v>0.2</v>
      </c>
      <c r="O31" s="18">
        <f t="shared" si="6"/>
        <v>0</v>
      </c>
      <c r="P31" s="18">
        <f t="shared" si="6"/>
        <v>0</v>
      </c>
      <c r="Q31" s="18">
        <f t="shared" si="6"/>
        <v>16</v>
      </c>
      <c r="R31" s="18">
        <f t="shared" si="6"/>
        <v>16</v>
      </c>
      <c r="S31" s="18">
        <f t="shared" si="6"/>
        <v>4</v>
      </c>
      <c r="T31" s="18">
        <f t="shared" si="6"/>
        <v>4</v>
      </c>
      <c r="U31" s="62">
        <f>+U5+U10+U12+U15+U22+U27</f>
        <v>15</v>
      </c>
      <c r="V31" s="51">
        <f>+V5+V10+V12+V15+V22+V27</f>
        <v>15</v>
      </c>
      <c r="W31" s="18">
        <f>SUM(E31:V31)</f>
        <v>155.4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70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60">
        <v>66</v>
      </c>
      <c r="J32" s="60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83" customFormat="1" ht="28.8" x14ac:dyDescent="0.3">
      <c r="A33" s="78" t="s">
        <v>62</v>
      </c>
      <c r="B33" s="78">
        <v>1</v>
      </c>
      <c r="C33" s="78" t="s">
        <v>71</v>
      </c>
      <c r="D33" s="79"/>
      <c r="E33" s="80">
        <f>+E31*E32</f>
        <v>627</v>
      </c>
      <c r="F33" s="80">
        <f>+F31*F32</f>
        <v>297</v>
      </c>
      <c r="G33" s="80">
        <f t="shared" ref="G33:V33" si="7">+G31*G32</f>
        <v>149.76000000000002</v>
      </c>
      <c r="H33" s="80">
        <f t="shared" si="7"/>
        <v>316.80000000000007</v>
      </c>
      <c r="I33" s="80">
        <f>+I31*I32</f>
        <v>924</v>
      </c>
      <c r="J33" s="80">
        <f t="shared" si="7"/>
        <v>132</v>
      </c>
      <c r="K33" s="80">
        <f t="shared" si="7"/>
        <v>145.19999999999999</v>
      </c>
      <c r="L33" s="80">
        <f t="shared" si="7"/>
        <v>198</v>
      </c>
      <c r="M33" s="80">
        <f t="shared" si="7"/>
        <v>61.6</v>
      </c>
      <c r="N33" s="80">
        <f t="shared" si="7"/>
        <v>6.6000000000000005</v>
      </c>
      <c r="O33" s="80">
        <f t="shared" si="7"/>
        <v>0</v>
      </c>
      <c r="P33" s="80">
        <f t="shared" si="7"/>
        <v>0</v>
      </c>
      <c r="Q33" s="80">
        <f t="shared" si="7"/>
        <v>176</v>
      </c>
      <c r="R33" s="80">
        <f t="shared" si="7"/>
        <v>528</v>
      </c>
      <c r="S33" s="80">
        <f t="shared" si="7"/>
        <v>44</v>
      </c>
      <c r="T33" s="80">
        <f t="shared" si="7"/>
        <v>132</v>
      </c>
      <c r="U33" s="80">
        <f t="shared" si="7"/>
        <v>264</v>
      </c>
      <c r="V33" s="80">
        <f t="shared" si="7"/>
        <v>495</v>
      </c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2"/>
    </row>
    <row r="34" spans="1:105" s="6" customFormat="1" ht="28.8" x14ac:dyDescent="0.3">
      <c r="A34" s="30" t="s">
        <v>62</v>
      </c>
      <c r="B34" s="30">
        <v>3</v>
      </c>
      <c r="C34" s="30" t="s">
        <v>71</v>
      </c>
      <c r="D34" s="18"/>
      <c r="E34" s="23">
        <f>E33*$B$34</f>
        <v>1881</v>
      </c>
      <c r="F34" s="23">
        <f>F33*$B$34</f>
        <v>891</v>
      </c>
      <c r="G34" s="23">
        <f t="shared" ref="G34:H34" si="8">G33*$B$34</f>
        <v>449.28000000000009</v>
      </c>
      <c r="H34" s="23">
        <f t="shared" si="8"/>
        <v>950.4000000000002</v>
      </c>
      <c r="I34" s="61">
        <f>+I33</f>
        <v>924</v>
      </c>
      <c r="J34" s="61">
        <f>+J33</f>
        <v>132</v>
      </c>
      <c r="K34" s="23">
        <f>K33*$B$34</f>
        <v>435.59999999999997</v>
      </c>
      <c r="L34" s="23">
        <f t="shared" ref="L34:V34" si="9">L33*$B$34</f>
        <v>594</v>
      </c>
      <c r="M34" s="23">
        <f t="shared" si="9"/>
        <v>184.8</v>
      </c>
      <c r="N34" s="23">
        <f t="shared" si="9"/>
        <v>19.8</v>
      </c>
      <c r="O34" s="23">
        <f t="shared" si="9"/>
        <v>0</v>
      </c>
      <c r="P34" s="23">
        <f t="shared" si="9"/>
        <v>0</v>
      </c>
      <c r="Q34" s="23">
        <f t="shared" si="9"/>
        <v>528</v>
      </c>
      <c r="R34" s="23">
        <f t="shared" si="9"/>
        <v>1584</v>
      </c>
      <c r="S34" s="23">
        <f t="shared" si="9"/>
        <v>132</v>
      </c>
      <c r="T34" s="23">
        <f t="shared" si="9"/>
        <v>396</v>
      </c>
      <c r="U34" s="23">
        <f t="shared" si="9"/>
        <v>792</v>
      </c>
      <c r="V34" s="23">
        <f t="shared" si="9"/>
        <v>1485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6" customFormat="1" x14ac:dyDescent="0.3">
      <c r="A35" s="17"/>
      <c r="B35" s="30"/>
      <c r="C35" s="30"/>
      <c r="D35" s="18"/>
      <c r="E35" s="19"/>
      <c r="F35" s="19"/>
      <c r="G35" s="19"/>
      <c r="H35" s="19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2"/>
    </row>
    <row r="36" spans="1:105" s="11" customFormat="1" ht="18" x14ac:dyDescent="0.3">
      <c r="A36" s="17"/>
      <c r="B36" s="17"/>
      <c r="C36" s="17"/>
      <c r="D36" s="21"/>
      <c r="E36" s="19"/>
      <c r="F36" s="86"/>
      <c r="G36" s="86"/>
      <c r="H36" s="51"/>
      <c r="I36" s="51"/>
      <c r="J36" s="51"/>
      <c r="K36" s="51"/>
      <c r="L36" s="51"/>
      <c r="M36" s="51"/>
      <c r="N36" s="51"/>
      <c r="O36" s="51"/>
      <c r="P36" s="51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3"/>
    </row>
    <row r="37" spans="1:105" s="6" customFormat="1" x14ac:dyDescent="0.3">
      <c r="A37" s="17"/>
      <c r="B37" s="17"/>
      <c r="C37" s="15" t="s">
        <v>64</v>
      </c>
      <c r="D37" s="18"/>
      <c r="E37" s="128">
        <f>E33+G33+I33+K33+M33+O33+Q33+S33+U33</f>
        <v>2391.56</v>
      </c>
      <c r="F37" s="86"/>
      <c r="G37" s="29" t="s">
        <v>110</v>
      </c>
      <c r="H37" s="95">
        <f>E34+G34+I34+K34+M34+O34+Q34+S34+U34</f>
        <v>5326.68</v>
      </c>
      <c r="I37" s="51"/>
      <c r="J37" s="51"/>
      <c r="K37" s="51"/>
      <c r="L37" s="51"/>
      <c r="M37" s="99" t="s">
        <v>113</v>
      </c>
      <c r="N37" s="99" t="s">
        <v>107</v>
      </c>
      <c r="O37" s="99" t="s">
        <v>108</v>
      </c>
      <c r="P37" s="5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15" t="s">
        <v>65</v>
      </c>
      <c r="D38" s="18"/>
      <c r="E38" s="128"/>
      <c r="F38" s="86"/>
      <c r="G38" s="29" t="s">
        <v>111</v>
      </c>
      <c r="H38" s="95">
        <f>F34+H34+J34+L34+N34+P34+R34+T34+V34</f>
        <v>6052.2000000000007</v>
      </c>
      <c r="I38" s="51"/>
      <c r="J38" s="51"/>
      <c r="K38" s="51"/>
      <c r="L38" s="51"/>
      <c r="M38" s="89" t="s">
        <v>106</v>
      </c>
      <c r="N38" s="89">
        <f>E31+G31+I31+K31+M31+O31+Q31+S31+U31</f>
        <v>91.6</v>
      </c>
      <c r="O38" s="89">
        <f>N38*60</f>
        <v>5496</v>
      </c>
      <c r="P38" s="51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6" customFormat="1" x14ac:dyDescent="0.3">
      <c r="A39" s="17"/>
      <c r="B39" s="17"/>
      <c r="C39" s="15" t="s">
        <v>66</v>
      </c>
      <c r="D39" s="86"/>
      <c r="E39" s="128">
        <f>'sarf malzemeleri 1-3wf alumina'!I30</f>
        <v>2396.3331600000001</v>
      </c>
      <c r="F39" s="86"/>
      <c r="G39" s="29" t="s">
        <v>112</v>
      </c>
      <c r="H39" s="95">
        <f>'sarf malzemeleri 1-3wf alumina'!K30</f>
        <v>5150.0538400000005</v>
      </c>
      <c r="I39" s="51"/>
      <c r="J39" s="51"/>
      <c r="K39" s="51"/>
      <c r="L39" s="51"/>
      <c r="M39" s="89" t="s">
        <v>109</v>
      </c>
      <c r="N39" s="89">
        <f>+M31</f>
        <v>8</v>
      </c>
      <c r="O39" s="89">
        <f>N39*60</f>
        <v>480</v>
      </c>
      <c r="P39" s="51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2"/>
    </row>
    <row r="40" spans="1:105" s="11" customFormat="1" x14ac:dyDescent="0.3">
      <c r="A40" s="17"/>
      <c r="B40" s="17"/>
      <c r="C40" s="15" t="s">
        <v>67</v>
      </c>
      <c r="D40" s="86"/>
      <c r="E40" s="128"/>
      <c r="F40" s="86"/>
      <c r="G40" s="29" t="s">
        <v>67</v>
      </c>
      <c r="H40" s="96">
        <f>(((E31+G31+K31+M31+O31+Q31+S31)*3+I31)/6)*13.2</f>
        <v>443.96</v>
      </c>
      <c r="I40" s="51"/>
      <c r="J40" s="51"/>
      <c r="K40" s="51"/>
      <c r="L40" s="51"/>
      <c r="M40" s="51"/>
      <c r="N40" s="51"/>
      <c r="O40" s="51"/>
      <c r="P40" s="51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3"/>
    </row>
    <row r="41" spans="1:105" s="6" customFormat="1" x14ac:dyDescent="0.3">
      <c r="A41" s="17"/>
      <c r="B41" s="17"/>
      <c r="C41" s="15" t="s">
        <v>68</v>
      </c>
      <c r="D41" s="18"/>
      <c r="E41" s="128"/>
      <c r="F41" s="86"/>
      <c r="G41" s="29" t="s">
        <v>68</v>
      </c>
      <c r="H41" s="96">
        <f>H40/2</f>
        <v>221.98</v>
      </c>
      <c r="I41" s="51"/>
      <c r="J41" s="51"/>
      <c r="K41" s="51"/>
      <c r="L41" s="51"/>
      <c r="M41" s="51"/>
      <c r="N41" s="51"/>
      <c r="O41" s="51"/>
      <c r="P41" s="5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6" customFormat="1" ht="18.75" customHeight="1" x14ac:dyDescent="0.3">
      <c r="A42" s="17"/>
      <c r="B42" s="17"/>
      <c r="C42" s="15" t="s">
        <v>102</v>
      </c>
      <c r="D42" s="21"/>
      <c r="E42" s="128"/>
      <c r="F42" s="86"/>
      <c r="G42" s="29" t="s">
        <v>102</v>
      </c>
      <c r="H42" s="96">
        <f>((U31*3)/6)*2.75</f>
        <v>20.625</v>
      </c>
      <c r="I42" s="51"/>
      <c r="J42" s="51"/>
      <c r="K42" s="51"/>
      <c r="L42" s="51"/>
      <c r="M42" s="99" t="s">
        <v>114</v>
      </c>
      <c r="N42" s="99" t="s">
        <v>107</v>
      </c>
      <c r="O42" s="99" t="s">
        <v>108</v>
      </c>
      <c r="P42" s="51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2"/>
    </row>
    <row r="43" spans="1:105" s="11" customFormat="1" ht="15" thickBot="1" x14ac:dyDescent="0.35">
      <c r="A43" s="17"/>
      <c r="B43" s="17"/>
      <c r="C43" s="15" t="s">
        <v>103</v>
      </c>
      <c r="D43" s="18"/>
      <c r="E43" s="128"/>
      <c r="F43" s="19"/>
      <c r="G43" s="29" t="s">
        <v>103</v>
      </c>
      <c r="H43" s="97">
        <f>H42/2</f>
        <v>10.3125</v>
      </c>
      <c r="I43" s="14"/>
      <c r="J43" s="14"/>
      <c r="K43" s="51"/>
      <c r="L43" s="51"/>
      <c r="M43" s="89" t="s">
        <v>106</v>
      </c>
      <c r="N43" s="89">
        <f>3*(E31+G31+K31+M31+O31+Q31+S31+U31)+I31</f>
        <v>246.79999999999998</v>
      </c>
      <c r="O43" s="89">
        <f>N43*60</f>
        <v>14807.999999999998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3"/>
    </row>
    <row r="44" spans="1:105" s="6" customFormat="1" ht="15" thickBot="1" x14ac:dyDescent="0.35">
      <c r="A44" s="17"/>
      <c r="B44" s="17"/>
      <c r="C44" s="124" t="s">
        <v>69</v>
      </c>
      <c r="D44" s="125"/>
      <c r="E44" s="129">
        <f>SUM(E37:E43)</f>
        <v>4787.8931599999996</v>
      </c>
      <c r="F44" s="19"/>
      <c r="G44" s="124" t="s">
        <v>69</v>
      </c>
      <c r="H44" s="127">
        <f>SUM(H37:H43)</f>
        <v>17225.81134</v>
      </c>
      <c r="I44" s="14"/>
      <c r="J44" s="14"/>
      <c r="K44" s="51"/>
      <c r="L44" s="51"/>
      <c r="M44" s="89" t="s">
        <v>109</v>
      </c>
      <c r="N44" s="89">
        <f>M31*3</f>
        <v>24</v>
      </c>
      <c r="O44" s="89">
        <f>N44*60</f>
        <v>1440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2"/>
    </row>
    <row r="45" spans="1:105" s="14" customFormat="1" x14ac:dyDescent="0.3">
      <c r="A45" s="1"/>
      <c r="B45" s="2"/>
      <c r="C45" s="2"/>
      <c r="D45" s="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DA45" s="1"/>
    </row>
    <row r="46" spans="1:105" s="14" customFormat="1" x14ac:dyDescent="0.3">
      <c r="A46" s="1"/>
      <c r="B46" s="2"/>
      <c r="C46" s="2"/>
      <c r="D46" s="2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DA46" s="1"/>
    </row>
    <row r="47" spans="1:105" s="14" customFormat="1" x14ac:dyDescent="0.3">
      <c r="A47" s="1"/>
      <c r="B47" s="2"/>
      <c r="C47" s="2"/>
      <c r="D47" s="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DA47" s="1"/>
    </row>
    <row r="48" spans="1:105" s="14" customFormat="1" x14ac:dyDescent="0.3">
      <c r="A48" s="1"/>
      <c r="B48" s="2"/>
      <c r="C48" s="29" t="s">
        <v>118</v>
      </c>
      <c r="D48" s="132"/>
      <c r="E48" s="133">
        <f>E37*2</f>
        <v>4783.12</v>
      </c>
      <c r="F48" s="16"/>
      <c r="G48" s="16" t="s">
        <v>117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DA48" s="1"/>
    </row>
    <row r="49" spans="3:7" x14ac:dyDescent="0.3">
      <c r="C49" s="29" t="s">
        <v>119</v>
      </c>
      <c r="D49" s="132"/>
      <c r="E49" s="134"/>
    </row>
    <row r="50" spans="3:7" x14ac:dyDescent="0.3">
      <c r="C50" s="29" t="s">
        <v>120</v>
      </c>
      <c r="D50" s="132"/>
      <c r="E50" s="133">
        <f>E39*2</f>
        <v>4792.6663200000003</v>
      </c>
    </row>
    <row r="51" spans="3:7" x14ac:dyDescent="0.3">
      <c r="C51" s="29" t="s">
        <v>67</v>
      </c>
      <c r="D51" s="132"/>
      <c r="E51" s="134"/>
    </row>
    <row r="52" spans="3:7" x14ac:dyDescent="0.3">
      <c r="C52" s="29" t="s">
        <v>68</v>
      </c>
      <c r="D52" s="132"/>
      <c r="E52" s="134"/>
    </row>
    <row r="53" spans="3:7" x14ac:dyDescent="0.3">
      <c r="C53" s="29" t="s">
        <v>102</v>
      </c>
      <c r="D53" s="132"/>
      <c r="E53" s="134"/>
    </row>
    <row r="54" spans="3:7" x14ac:dyDescent="0.3">
      <c r="C54" s="29" t="s">
        <v>103</v>
      </c>
      <c r="D54" s="132"/>
      <c r="E54" s="134"/>
    </row>
    <row r="55" spans="3:7" x14ac:dyDescent="0.3">
      <c r="C55" s="135" t="s">
        <v>69</v>
      </c>
      <c r="D55" s="132"/>
      <c r="E55" s="133">
        <f>SUM(E48:E54)</f>
        <v>9575.7863199999993</v>
      </c>
    </row>
    <row r="59" spans="3:7" x14ac:dyDescent="0.3">
      <c r="F59" s="134" t="s">
        <v>121</v>
      </c>
      <c r="G59" s="136">
        <f>E55+'ÜRETİM (ARKAÖN)(silicon)'!E44</f>
        <v>13605.50748</v>
      </c>
    </row>
  </sheetData>
  <autoFilter ref="B3:C44"/>
  <mergeCells count="13">
    <mergeCell ref="Q3:R3"/>
    <mergeCell ref="S3:T3"/>
    <mergeCell ref="U3:V3"/>
    <mergeCell ref="B1:C1"/>
    <mergeCell ref="O2:P2"/>
    <mergeCell ref="S2:T2"/>
    <mergeCell ref="U2:V2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1FD7E"/>
  </sheetPr>
  <dimension ref="A1:L38"/>
  <sheetViews>
    <sheetView topLeftCell="A13" workbookViewId="0">
      <selection activeCell="F29" sqref="F29"/>
    </sheetView>
  </sheetViews>
  <sheetFormatPr defaultColWidth="9.109375" defaultRowHeight="14.4" x14ac:dyDescent="0.3"/>
  <cols>
    <col min="1" max="1" width="51" style="15" customWidth="1"/>
    <col min="2" max="2" width="12.6640625" style="15" bestFit="1" customWidth="1"/>
    <col min="3" max="3" width="14" style="15" customWidth="1"/>
    <col min="4" max="4" width="13" style="15" customWidth="1"/>
    <col min="5" max="5" width="13" style="15" hidden="1" customWidth="1"/>
    <col min="6" max="6" width="13.109375" style="15" customWidth="1"/>
    <col min="7" max="7" width="14.109375" style="15" bestFit="1" customWidth="1"/>
    <col min="8" max="9" width="13.88671875" style="15" customWidth="1"/>
    <col min="10" max="10" width="14.109375" style="15" hidden="1" customWidth="1"/>
    <col min="11" max="11" width="13.88671875" style="15" hidden="1" customWidth="1"/>
    <col min="12" max="12" width="0" style="15" hidden="1" customWidth="1"/>
    <col min="13" max="16384" width="9.109375" style="15"/>
  </cols>
  <sheetData>
    <row r="1" spans="1:12" ht="21" x14ac:dyDescent="0.4">
      <c r="C1" s="64" t="s">
        <v>105</v>
      </c>
      <c r="D1" s="65" t="s">
        <v>53</v>
      </c>
      <c r="E1" s="66" t="s">
        <v>53</v>
      </c>
    </row>
    <row r="2" spans="1:12" ht="21.6" thickBot="1" x14ac:dyDescent="0.45">
      <c r="C2" s="67" t="s">
        <v>77</v>
      </c>
      <c r="D2" s="68"/>
      <c r="E2" s="69"/>
    </row>
    <row r="3" spans="1:12" ht="21.6" thickBot="1" x14ac:dyDescent="0.45">
      <c r="C3" s="70" t="s">
        <v>78</v>
      </c>
      <c r="D3" s="71">
        <v>1</v>
      </c>
      <c r="E3" s="72">
        <v>3</v>
      </c>
      <c r="G3" s="147" t="s">
        <v>76</v>
      </c>
      <c r="H3" s="148"/>
      <c r="I3" s="77"/>
      <c r="J3" s="149" t="s">
        <v>79</v>
      </c>
      <c r="K3" s="150"/>
    </row>
    <row r="4" spans="1:12" ht="57.6" x14ac:dyDescent="0.3">
      <c r="A4" s="25" t="s">
        <v>8</v>
      </c>
      <c r="B4" s="27" t="s">
        <v>12</v>
      </c>
      <c r="C4" s="73"/>
      <c r="D4" s="74" t="s">
        <v>80</v>
      </c>
      <c r="E4" s="75" t="s">
        <v>81</v>
      </c>
      <c r="F4" s="26" t="s">
        <v>14</v>
      </c>
      <c r="G4" s="74" t="s">
        <v>82</v>
      </c>
      <c r="H4" s="74" t="s">
        <v>99</v>
      </c>
      <c r="I4" s="74"/>
      <c r="J4" s="75" t="s">
        <v>82</v>
      </c>
      <c r="K4" s="75" t="s">
        <v>100</v>
      </c>
    </row>
    <row r="5" spans="1:12" x14ac:dyDescent="0.3">
      <c r="A5" s="6" t="s">
        <v>52</v>
      </c>
      <c r="B5" s="47" t="s">
        <v>53</v>
      </c>
      <c r="C5" s="47"/>
      <c r="D5" s="48">
        <v>1</v>
      </c>
      <c r="E5" s="48">
        <v>3</v>
      </c>
      <c r="F5" s="100">
        <v>678</v>
      </c>
      <c r="G5" s="100">
        <f>F5*D5</f>
        <v>678</v>
      </c>
      <c r="H5" s="100">
        <f>G5*1.12</f>
        <v>759.36000000000013</v>
      </c>
      <c r="I5" s="53"/>
      <c r="J5" s="100">
        <f>F5*E5</f>
        <v>2034</v>
      </c>
      <c r="K5" s="53">
        <f>J5*1.12</f>
        <v>2278.0800000000004</v>
      </c>
      <c r="L5" s="15" t="s">
        <v>83</v>
      </c>
    </row>
    <row r="6" spans="1:12" ht="15.75" customHeight="1" x14ac:dyDescent="0.3">
      <c r="A6" s="114" t="s">
        <v>84</v>
      </c>
      <c r="B6" s="115" t="s">
        <v>85</v>
      </c>
      <c r="C6" s="116"/>
      <c r="D6" s="117">
        <v>5496</v>
      </c>
      <c r="E6" s="117">
        <v>14808</v>
      </c>
      <c r="F6" s="118">
        <v>3.4000000000000002E-2</v>
      </c>
      <c r="G6" s="109">
        <f>D6*F6</f>
        <v>186.864</v>
      </c>
      <c r="H6" s="100">
        <f>G6</f>
        <v>186.864</v>
      </c>
      <c r="I6" s="119"/>
      <c r="J6" s="109">
        <f>E6*F6</f>
        <v>503.47200000000004</v>
      </c>
      <c r="K6" s="119">
        <f>J6</f>
        <v>503.47200000000004</v>
      </c>
    </row>
    <row r="7" spans="1:12" ht="14.25" customHeight="1" x14ac:dyDescent="0.3">
      <c r="A7" s="101" t="s">
        <v>86</v>
      </c>
      <c r="B7" s="102" t="s">
        <v>87</v>
      </c>
      <c r="C7" s="102"/>
      <c r="D7" s="103">
        <v>120</v>
      </c>
      <c r="E7" s="103">
        <v>120</v>
      </c>
      <c r="F7" s="104">
        <v>0.25</v>
      </c>
      <c r="G7" s="104">
        <f>F7*D7</f>
        <v>30</v>
      </c>
      <c r="H7" s="104">
        <f t="shared" ref="H7:H10" si="0">G7*1.12</f>
        <v>33.6</v>
      </c>
      <c r="I7" s="105"/>
      <c r="J7" s="104">
        <f>F7*E7</f>
        <v>30</v>
      </c>
      <c r="K7" s="105">
        <f>J7*1.12</f>
        <v>33.6</v>
      </c>
      <c r="L7" s="15" t="s">
        <v>83</v>
      </c>
    </row>
    <row r="8" spans="1:12" x14ac:dyDescent="0.3">
      <c r="A8" s="6" t="s">
        <v>54</v>
      </c>
      <c r="B8" s="29" t="s">
        <v>53</v>
      </c>
      <c r="C8" s="47"/>
      <c r="D8" s="52">
        <v>1</v>
      </c>
      <c r="E8" s="52">
        <v>3</v>
      </c>
      <c r="F8" s="108"/>
      <c r="G8" s="100">
        <f>F8*D8</f>
        <v>0</v>
      </c>
      <c r="H8" s="100">
        <f t="shared" si="0"/>
        <v>0</v>
      </c>
      <c r="I8" s="53"/>
      <c r="J8" s="100">
        <f>G8*E8</f>
        <v>0</v>
      </c>
      <c r="K8" s="53">
        <f>J8*1.12</f>
        <v>0</v>
      </c>
      <c r="L8" s="15" t="s">
        <v>83</v>
      </c>
    </row>
    <row r="9" spans="1:12" x14ac:dyDescent="0.3">
      <c r="A9" s="6" t="s">
        <v>88</v>
      </c>
      <c r="B9" s="29" t="s">
        <v>89</v>
      </c>
      <c r="C9" s="47"/>
      <c r="D9" s="52">
        <v>40</v>
      </c>
      <c r="E9" s="52">
        <v>120</v>
      </c>
      <c r="F9" s="108">
        <v>1.23</v>
      </c>
      <c r="G9" s="100">
        <f>F9*D9</f>
        <v>49.2</v>
      </c>
      <c r="H9" s="100">
        <f t="shared" si="0"/>
        <v>55.104000000000006</v>
      </c>
      <c r="I9" s="53"/>
      <c r="J9" s="100">
        <f>F9*E9</f>
        <v>147.6</v>
      </c>
      <c r="K9" s="53">
        <f t="shared" ref="K9:K10" si="1">J9*1.12</f>
        <v>165.31200000000001</v>
      </c>
      <c r="L9" s="15" t="s">
        <v>83</v>
      </c>
    </row>
    <row r="10" spans="1:12" x14ac:dyDescent="0.3">
      <c r="A10" s="6" t="s">
        <v>90</v>
      </c>
      <c r="B10" s="29" t="s">
        <v>89</v>
      </c>
      <c r="C10" s="47"/>
      <c r="D10" s="52">
        <v>40</v>
      </c>
      <c r="E10" s="52">
        <v>120</v>
      </c>
      <c r="F10" s="108">
        <v>0.27</v>
      </c>
      <c r="G10" s="100">
        <f>F10*D10</f>
        <v>10.8</v>
      </c>
      <c r="H10" s="100">
        <f t="shared" si="0"/>
        <v>12.096000000000002</v>
      </c>
      <c r="I10" s="53"/>
      <c r="J10" s="100">
        <f>F10*E10</f>
        <v>32.400000000000006</v>
      </c>
      <c r="K10" s="53">
        <f t="shared" si="1"/>
        <v>36.288000000000011</v>
      </c>
      <c r="L10" s="15" t="s">
        <v>83</v>
      </c>
    </row>
    <row r="11" spans="1:12" s="90" customFormat="1" x14ac:dyDescent="0.3">
      <c r="A11" s="114" t="s">
        <v>91</v>
      </c>
      <c r="B11" s="115" t="s">
        <v>87</v>
      </c>
      <c r="C11" s="116"/>
      <c r="D11" s="117">
        <f>'ÜRETİM (ARKAÖN)(alumina)'!U31*60</f>
        <v>900</v>
      </c>
      <c r="E11" s="117">
        <f>'ÜRETİM (ARKAÖN)(alumina)'!U31*3*60</f>
        <v>2700</v>
      </c>
      <c r="F11" s="118">
        <v>0.44</v>
      </c>
      <c r="G11" s="109">
        <f>D11*F11</f>
        <v>396</v>
      </c>
      <c r="H11" s="109">
        <f>G11</f>
        <v>396</v>
      </c>
      <c r="I11" s="119"/>
      <c r="J11" s="109">
        <f>E11*F11</f>
        <v>1188</v>
      </c>
      <c r="K11" s="119">
        <f>J11</f>
        <v>1188</v>
      </c>
      <c r="L11" s="90" t="s">
        <v>83</v>
      </c>
    </row>
    <row r="12" spans="1:12" x14ac:dyDescent="0.3">
      <c r="A12" s="6" t="s">
        <v>92</v>
      </c>
      <c r="B12" s="29" t="s">
        <v>55</v>
      </c>
      <c r="C12" s="47"/>
      <c r="D12" s="52">
        <v>50</v>
      </c>
      <c r="E12" s="52">
        <v>50</v>
      </c>
      <c r="F12" s="108">
        <v>0.44</v>
      </c>
      <c r="G12" s="100">
        <f>F12*D12</f>
        <v>22</v>
      </c>
      <c r="H12" s="100">
        <f>G12</f>
        <v>22</v>
      </c>
      <c r="I12" s="53"/>
      <c r="J12" s="100">
        <f>F12*E12</f>
        <v>22</v>
      </c>
      <c r="K12" s="53"/>
      <c r="L12" s="15" t="s">
        <v>83</v>
      </c>
    </row>
    <row r="13" spans="1:12" x14ac:dyDescent="0.3">
      <c r="A13" s="101" t="s">
        <v>56</v>
      </c>
      <c r="B13" s="91" t="s">
        <v>93</v>
      </c>
      <c r="C13" s="102"/>
      <c r="D13" s="106">
        <v>175</v>
      </c>
      <c r="E13" s="106">
        <v>175</v>
      </c>
      <c r="F13" s="107">
        <v>0.04</v>
      </c>
      <c r="G13" s="104">
        <f>F13*D13</f>
        <v>7</v>
      </c>
      <c r="H13" s="104">
        <f t="shared" ref="H13:H15" si="2">G13</f>
        <v>7</v>
      </c>
      <c r="I13" s="105"/>
      <c r="J13" s="104">
        <f>F13*E13</f>
        <v>7</v>
      </c>
      <c r="K13" s="105">
        <f>J13</f>
        <v>7</v>
      </c>
      <c r="L13" s="15" t="s">
        <v>83</v>
      </c>
    </row>
    <row r="14" spans="1:12" x14ac:dyDescent="0.3">
      <c r="A14" s="101" t="s">
        <v>57</v>
      </c>
      <c r="B14" s="91" t="s">
        <v>93</v>
      </c>
      <c r="C14" s="102"/>
      <c r="D14" s="106">
        <v>2000</v>
      </c>
      <c r="E14" s="106">
        <v>2000</v>
      </c>
      <c r="F14" s="107">
        <v>0.01</v>
      </c>
      <c r="G14" s="104">
        <f t="shared" ref="G14:G20" si="3">F14*D14</f>
        <v>20</v>
      </c>
      <c r="H14" s="104">
        <f t="shared" si="2"/>
        <v>20</v>
      </c>
      <c r="I14" s="105"/>
      <c r="J14" s="104">
        <f t="shared" ref="J14:J15" si="4">F14*E14</f>
        <v>20</v>
      </c>
      <c r="K14" s="105">
        <f t="shared" ref="K14:K15" si="5">J14</f>
        <v>20</v>
      </c>
      <c r="L14" s="15" t="s">
        <v>83</v>
      </c>
    </row>
    <row r="15" spans="1:12" x14ac:dyDescent="0.3">
      <c r="A15" s="101" t="s">
        <v>46</v>
      </c>
      <c r="B15" s="91" t="s">
        <v>93</v>
      </c>
      <c r="C15" s="102"/>
      <c r="D15" s="106">
        <v>250</v>
      </c>
      <c r="E15" s="106">
        <v>250</v>
      </c>
      <c r="F15" s="107">
        <v>1.46</v>
      </c>
      <c r="G15" s="104">
        <f t="shared" si="3"/>
        <v>365</v>
      </c>
      <c r="H15" s="104">
        <f t="shared" si="2"/>
        <v>365</v>
      </c>
      <c r="I15" s="105"/>
      <c r="J15" s="104">
        <f t="shared" si="4"/>
        <v>365</v>
      </c>
      <c r="K15" s="105">
        <f t="shared" si="5"/>
        <v>365</v>
      </c>
      <c r="L15" s="15" t="s">
        <v>83</v>
      </c>
    </row>
    <row r="16" spans="1:12" x14ac:dyDescent="0.3">
      <c r="A16" s="101" t="s">
        <v>47</v>
      </c>
      <c r="B16" s="91" t="s">
        <v>94</v>
      </c>
      <c r="C16" s="102"/>
      <c r="D16" s="106">
        <v>0.16</v>
      </c>
      <c r="E16" s="106">
        <f>D16*3</f>
        <v>0.48</v>
      </c>
      <c r="F16" s="107">
        <v>56.8</v>
      </c>
      <c r="G16" s="104">
        <f t="shared" si="3"/>
        <v>9.0879999999999992</v>
      </c>
      <c r="H16" s="104">
        <f>G16*1.12</f>
        <v>10.178560000000001</v>
      </c>
      <c r="I16" s="105"/>
      <c r="J16" s="104">
        <f>F16*E16</f>
        <v>27.263999999999999</v>
      </c>
      <c r="K16" s="105"/>
    </row>
    <row r="17" spans="1:12" x14ac:dyDescent="0.3">
      <c r="A17" s="101" t="s">
        <v>48</v>
      </c>
      <c r="B17" s="91" t="s">
        <v>55</v>
      </c>
      <c r="C17" s="102"/>
      <c r="D17" s="106">
        <v>0.32</v>
      </c>
      <c r="E17" s="106">
        <f>D17*3</f>
        <v>0.96</v>
      </c>
      <c r="F17" s="107">
        <v>48.29</v>
      </c>
      <c r="G17" s="104">
        <f t="shared" si="3"/>
        <v>15.4528</v>
      </c>
      <c r="H17" s="104">
        <f t="shared" ref="H17:H19" si="6">G17*1.12</f>
        <v>17.307136</v>
      </c>
      <c r="I17" s="105"/>
      <c r="J17" s="104">
        <f>F17*E17</f>
        <v>46.358399999999996</v>
      </c>
      <c r="K17" s="105"/>
      <c r="L17" s="15" t="s">
        <v>83</v>
      </c>
    </row>
    <row r="18" spans="1:12" x14ac:dyDescent="0.3">
      <c r="A18" s="6" t="s">
        <v>22</v>
      </c>
      <c r="B18" s="29" t="s">
        <v>89</v>
      </c>
      <c r="C18" s="47"/>
      <c r="D18" s="52">
        <v>1000</v>
      </c>
      <c r="E18" s="52">
        <v>1000</v>
      </c>
      <c r="F18" s="108">
        <v>0.02</v>
      </c>
      <c r="G18" s="100">
        <f t="shared" si="3"/>
        <v>20</v>
      </c>
      <c r="H18" s="109">
        <f t="shared" si="6"/>
        <v>22.400000000000002</v>
      </c>
      <c r="I18" s="53"/>
      <c r="J18" s="109">
        <f>F18*E18</f>
        <v>20</v>
      </c>
      <c r="K18" s="53">
        <f>J18*1.12</f>
        <v>22.400000000000002</v>
      </c>
      <c r="L18" s="15" t="s">
        <v>83</v>
      </c>
    </row>
    <row r="19" spans="1:12" x14ac:dyDescent="0.3">
      <c r="A19" s="6" t="s">
        <v>23</v>
      </c>
      <c r="B19" s="29" t="s">
        <v>89</v>
      </c>
      <c r="C19" s="47"/>
      <c r="D19" s="52">
        <v>250</v>
      </c>
      <c r="E19" s="52">
        <v>750</v>
      </c>
      <c r="F19" s="108">
        <v>0.02</v>
      </c>
      <c r="G19" s="100">
        <f t="shared" si="3"/>
        <v>5</v>
      </c>
      <c r="H19" s="109">
        <f t="shared" si="6"/>
        <v>5.6000000000000005</v>
      </c>
      <c r="I19" s="53"/>
      <c r="J19" s="100">
        <f>F19*E19</f>
        <v>15</v>
      </c>
      <c r="K19" s="53">
        <f>J19*1.12</f>
        <v>16.8</v>
      </c>
      <c r="L19" s="15" t="s">
        <v>83</v>
      </c>
    </row>
    <row r="20" spans="1:12" x14ac:dyDescent="0.3">
      <c r="A20" s="6" t="s">
        <v>95</v>
      </c>
      <c r="B20" s="29" t="s">
        <v>96</v>
      </c>
      <c r="C20" s="47"/>
      <c r="D20" s="52">
        <v>480</v>
      </c>
      <c r="E20" s="52">
        <f>480*3</f>
        <v>1440</v>
      </c>
      <c r="F20" s="108">
        <v>9.1999999999999998E-2</v>
      </c>
      <c r="G20" s="100">
        <f t="shared" si="3"/>
        <v>44.16</v>
      </c>
      <c r="H20" s="100">
        <f>G20</f>
        <v>44.16</v>
      </c>
      <c r="I20" s="53"/>
      <c r="J20" s="100">
        <f>F20*E20</f>
        <v>132.47999999999999</v>
      </c>
      <c r="K20" s="53">
        <f>J20</f>
        <v>132.47999999999999</v>
      </c>
      <c r="L20" s="15" t="s">
        <v>83</v>
      </c>
    </row>
    <row r="21" spans="1:12" ht="15.75" customHeight="1" x14ac:dyDescent="0.3">
      <c r="A21" s="101" t="s">
        <v>49</v>
      </c>
      <c r="B21" s="91" t="s">
        <v>53</v>
      </c>
      <c r="C21" s="102"/>
      <c r="D21" s="106">
        <v>1</v>
      </c>
      <c r="E21" s="106">
        <v>3</v>
      </c>
      <c r="F21" s="107">
        <v>108.45</v>
      </c>
      <c r="G21" s="104">
        <f t="shared" ref="G21:G27" si="7">D21*F21</f>
        <v>108.45</v>
      </c>
      <c r="H21" s="104">
        <f>G21</f>
        <v>108.45</v>
      </c>
      <c r="I21" s="105"/>
      <c r="J21" s="104">
        <f>E21*F21</f>
        <v>325.35000000000002</v>
      </c>
      <c r="K21" s="105">
        <f>J21</f>
        <v>325.35000000000002</v>
      </c>
      <c r="L21" s="15" t="s">
        <v>83</v>
      </c>
    </row>
    <row r="22" spans="1:12" x14ac:dyDescent="0.3">
      <c r="A22" s="101" t="s">
        <v>15</v>
      </c>
      <c r="B22" s="91" t="s">
        <v>53</v>
      </c>
      <c r="C22" s="102"/>
      <c r="D22" s="106">
        <v>0.01</v>
      </c>
      <c r="E22" s="106">
        <v>0.03</v>
      </c>
      <c r="F22" s="107">
        <v>23.15</v>
      </c>
      <c r="G22" s="104">
        <f t="shared" si="7"/>
        <v>0.23149999999999998</v>
      </c>
      <c r="H22" s="104">
        <f>G22*1.12</f>
        <v>0.25928000000000001</v>
      </c>
      <c r="I22" s="105"/>
      <c r="J22" s="104">
        <f>F22*E22</f>
        <v>0.6944999999999999</v>
      </c>
      <c r="K22" s="105">
        <f>J22*1.12</f>
        <v>0.77783999999999998</v>
      </c>
    </row>
    <row r="23" spans="1:12" ht="15.75" customHeight="1" x14ac:dyDescent="0.3">
      <c r="A23" s="101" t="s">
        <v>11</v>
      </c>
      <c r="B23" s="91" t="s">
        <v>58</v>
      </c>
      <c r="C23" s="102"/>
      <c r="D23" s="106">
        <v>0.1</v>
      </c>
      <c r="E23" s="106">
        <v>0.3</v>
      </c>
      <c r="F23" s="107">
        <v>44.11</v>
      </c>
      <c r="G23" s="104">
        <f t="shared" si="7"/>
        <v>4.4110000000000005</v>
      </c>
      <c r="H23" s="104">
        <f>G23</f>
        <v>4.4110000000000005</v>
      </c>
      <c r="I23" s="105"/>
      <c r="J23" s="104">
        <f>E23*F23</f>
        <v>13.232999999999999</v>
      </c>
      <c r="K23" s="105">
        <f>J23</f>
        <v>13.232999999999999</v>
      </c>
      <c r="L23" s="15" t="s">
        <v>83</v>
      </c>
    </row>
    <row r="24" spans="1:12" x14ac:dyDescent="0.3">
      <c r="A24" s="101" t="s">
        <v>10</v>
      </c>
      <c r="B24" s="91" t="s">
        <v>58</v>
      </c>
      <c r="C24" s="102"/>
      <c r="D24" s="106">
        <v>0.2</v>
      </c>
      <c r="E24" s="106">
        <v>0.6</v>
      </c>
      <c r="F24" s="107">
        <v>40.96</v>
      </c>
      <c r="G24" s="104">
        <f t="shared" si="7"/>
        <v>8.1920000000000002</v>
      </c>
      <c r="H24" s="104">
        <f>G24</f>
        <v>8.1920000000000002</v>
      </c>
      <c r="I24" s="105"/>
      <c r="J24" s="104">
        <f>E24*F24</f>
        <v>24.576000000000001</v>
      </c>
      <c r="K24" s="105">
        <f>J24</f>
        <v>24.576000000000001</v>
      </c>
      <c r="L24" s="15" t="s">
        <v>83</v>
      </c>
    </row>
    <row r="25" spans="1:12" x14ac:dyDescent="0.3">
      <c r="A25" s="101" t="s">
        <v>13</v>
      </c>
      <c r="B25" s="91" t="s">
        <v>53</v>
      </c>
      <c r="C25" s="102"/>
      <c r="D25" s="106">
        <v>1</v>
      </c>
      <c r="E25" s="106">
        <v>3</v>
      </c>
      <c r="F25" s="107">
        <v>0.18</v>
      </c>
      <c r="G25" s="104">
        <f t="shared" si="7"/>
        <v>0.18</v>
      </c>
      <c r="H25" s="104">
        <f>G25</f>
        <v>0.18</v>
      </c>
      <c r="I25" s="105"/>
      <c r="J25" s="104">
        <f>E25*F25</f>
        <v>0.54</v>
      </c>
      <c r="K25" s="105">
        <f>J25</f>
        <v>0.54</v>
      </c>
      <c r="L25" s="15" t="s">
        <v>83</v>
      </c>
    </row>
    <row r="26" spans="1:12" x14ac:dyDescent="0.3">
      <c r="A26" s="101" t="s">
        <v>9</v>
      </c>
      <c r="B26" s="91" t="s">
        <v>59</v>
      </c>
      <c r="C26" s="102"/>
      <c r="D26" s="106">
        <v>0.05</v>
      </c>
      <c r="E26" s="106">
        <v>0.15</v>
      </c>
      <c r="F26" s="107">
        <v>2.2999999999999998</v>
      </c>
      <c r="G26" s="104">
        <f t="shared" si="7"/>
        <v>0.11499999999999999</v>
      </c>
      <c r="H26" s="104">
        <f>G26</f>
        <v>0.11499999999999999</v>
      </c>
      <c r="I26" s="105"/>
      <c r="J26" s="104">
        <f>E26*F26</f>
        <v>0.34499999999999997</v>
      </c>
      <c r="K26" s="105">
        <f>J26</f>
        <v>0.34499999999999997</v>
      </c>
      <c r="L26" s="15" t="s">
        <v>83</v>
      </c>
    </row>
    <row r="27" spans="1:12" x14ac:dyDescent="0.3">
      <c r="A27" s="110" t="s">
        <v>97</v>
      </c>
      <c r="B27" s="91" t="s">
        <v>87</v>
      </c>
      <c r="C27" s="102"/>
      <c r="D27" s="106">
        <f>'ÜRETİM (ARKAÖN)(alumina)'!I31*60</f>
        <v>840</v>
      </c>
      <c r="E27" s="106">
        <f>'ÜRETİM (ARKAÖN)(alumina)'!I31*60</f>
        <v>840</v>
      </c>
      <c r="F27" s="107">
        <v>0.02</v>
      </c>
      <c r="G27" s="104">
        <f t="shared" si="7"/>
        <v>16.8</v>
      </c>
      <c r="H27" s="104">
        <f>G27</f>
        <v>16.8</v>
      </c>
      <c r="I27" s="105"/>
      <c r="J27" s="104">
        <f>F27*E27</f>
        <v>16.8</v>
      </c>
      <c r="K27" s="105">
        <f>J27</f>
        <v>16.8</v>
      </c>
      <c r="L27" s="15" t="s">
        <v>83</v>
      </c>
    </row>
    <row r="28" spans="1:12" x14ac:dyDescent="0.3">
      <c r="A28" s="101" t="s">
        <v>50</v>
      </c>
      <c r="B28" s="91" t="s">
        <v>53</v>
      </c>
      <c r="C28" s="102"/>
      <c r="D28" s="106"/>
      <c r="E28" s="106"/>
      <c r="F28" s="107">
        <v>0</v>
      </c>
      <c r="G28" s="104">
        <v>0</v>
      </c>
      <c r="H28" s="104"/>
      <c r="I28" s="105"/>
      <c r="J28" s="104">
        <v>0</v>
      </c>
      <c r="K28" s="105"/>
    </row>
    <row r="29" spans="1:12" ht="15" thickBot="1" x14ac:dyDescent="0.35">
      <c r="A29" s="101" t="s">
        <v>51</v>
      </c>
      <c r="B29" s="91" t="s">
        <v>53</v>
      </c>
      <c r="C29" s="102"/>
      <c r="D29" s="106"/>
      <c r="E29" s="106"/>
      <c r="F29" s="111">
        <v>0</v>
      </c>
      <c r="G29" s="112">
        <v>0</v>
      </c>
      <c r="H29" s="112"/>
      <c r="I29" s="113"/>
      <c r="J29" s="112">
        <v>0</v>
      </c>
      <c r="K29" s="113"/>
    </row>
    <row r="30" spans="1:12" ht="21.6" thickBot="1" x14ac:dyDescent="0.45">
      <c r="A30" s="55"/>
      <c r="D30" s="54"/>
      <c r="E30" s="54"/>
      <c r="F30" s="120" t="s">
        <v>98</v>
      </c>
      <c r="G30" s="121">
        <f>SUM(G5:G29)</f>
        <v>1996.9443000000003</v>
      </c>
      <c r="H30" s="131">
        <f>SUM(H5:H29)</f>
        <v>2095.0769760000003</v>
      </c>
      <c r="I30" s="122">
        <f>G30*1.2</f>
        <v>2396.3331600000001</v>
      </c>
      <c r="J30" s="121">
        <f>SUM(J5:J29)</f>
        <v>4972.1129000000001</v>
      </c>
      <c r="K30" s="123">
        <f>SUM(K5:K29)</f>
        <v>5150.0538400000005</v>
      </c>
    </row>
    <row r="31" spans="1:12" x14ac:dyDescent="0.3">
      <c r="D31" s="54"/>
      <c r="E31" s="54"/>
      <c r="G31" s="76"/>
    </row>
    <row r="32" spans="1:12" x14ac:dyDescent="0.3">
      <c r="D32" s="54"/>
      <c r="E32" s="54"/>
    </row>
    <row r="33" spans="1:5" x14ac:dyDescent="0.3">
      <c r="D33" s="54"/>
      <c r="E33" s="54"/>
    </row>
    <row r="34" spans="1:5" x14ac:dyDescent="0.3">
      <c r="D34" s="54"/>
      <c r="E34" s="54"/>
    </row>
    <row r="35" spans="1:5" x14ac:dyDescent="0.3">
      <c r="D35" s="54"/>
      <c r="E35" s="54"/>
    </row>
    <row r="36" spans="1:5" x14ac:dyDescent="0.3">
      <c r="D36" s="54"/>
      <c r="E36" s="54"/>
    </row>
    <row r="37" spans="1:5" x14ac:dyDescent="0.3">
      <c r="D37" s="54"/>
      <c r="E37" s="54"/>
    </row>
    <row r="38" spans="1:5" x14ac:dyDescent="0.3">
      <c r="A38" s="91" t="s">
        <v>115</v>
      </c>
      <c r="B38" s="91" t="s">
        <v>116</v>
      </c>
      <c r="D38" s="54"/>
      <c r="E38" s="54"/>
    </row>
  </sheetData>
  <mergeCells count="2">
    <mergeCell ref="G3:H3"/>
    <mergeCell ref="J3:K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71"/>
  <sheetViews>
    <sheetView zoomScale="89" zoomScaleNormal="89" workbookViewId="0">
      <pane xSplit="3" ySplit="4" topLeftCell="H29" activePane="bottomRight" state="frozen"/>
      <selection pane="topRight" activeCell="D1" sqref="D1"/>
      <selection pane="bottomLeft" activeCell="A5" sqref="A5"/>
      <selection pane="bottomRight" activeCell="U33" sqref="U33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1.33203125" style="16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9.33203125" style="14" bestFit="1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37" t="s">
        <v>7</v>
      </c>
      <c r="C1" s="137"/>
    </row>
    <row r="2" spans="1:105" ht="21.6" thickBot="1" x14ac:dyDescent="0.35">
      <c r="C2" s="22" t="s">
        <v>6</v>
      </c>
      <c r="O2" s="142"/>
      <c r="P2" s="142"/>
      <c r="S2" s="141"/>
      <c r="T2" s="141"/>
      <c r="U2" s="140" t="s">
        <v>104</v>
      </c>
      <c r="V2" s="140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38" t="s">
        <v>19</v>
      </c>
      <c r="F3" s="139"/>
      <c r="G3" s="138" t="s">
        <v>18</v>
      </c>
      <c r="H3" s="139"/>
      <c r="I3" s="138" t="s">
        <v>41</v>
      </c>
      <c r="J3" s="139"/>
      <c r="K3" s="144" t="s">
        <v>44</v>
      </c>
      <c r="L3" s="139"/>
      <c r="M3" s="144" t="s">
        <v>43</v>
      </c>
      <c r="N3" s="139"/>
      <c r="O3" s="143" t="s">
        <v>21</v>
      </c>
      <c r="P3" s="143"/>
      <c r="Q3" s="143" t="s">
        <v>42</v>
      </c>
      <c r="R3" s="143"/>
      <c r="S3" s="143" t="s">
        <v>45</v>
      </c>
      <c r="T3" s="143"/>
      <c r="U3" s="138" t="s">
        <v>73</v>
      </c>
      <c r="V3" s="139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2</v>
      </c>
      <c r="F5" s="31">
        <f t="shared" ref="F5:V5" si="0">SUM(F6:F9)</f>
        <v>2</v>
      </c>
      <c r="G5" s="31">
        <f t="shared" si="0"/>
        <v>2.2000000000000002</v>
      </c>
      <c r="H5" s="31">
        <f t="shared" si="0"/>
        <v>2.2000000000000002</v>
      </c>
      <c r="I5" s="31">
        <f t="shared" si="0"/>
        <v>0</v>
      </c>
      <c r="J5" s="31">
        <f t="shared" si="0"/>
        <v>0</v>
      </c>
      <c r="K5" s="31">
        <f t="shared" si="0"/>
        <v>2</v>
      </c>
      <c r="L5" s="31">
        <f t="shared" si="0"/>
        <v>2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2</v>
      </c>
      <c r="H6" s="32">
        <v>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2</v>
      </c>
      <c r="L7" s="32">
        <v>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2</v>
      </c>
      <c r="F8" s="32">
        <v>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0.2</v>
      </c>
      <c r="H9" s="46">
        <v>0.2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14</v>
      </c>
      <c r="J10" s="31">
        <f t="shared" si="1"/>
        <v>4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14</v>
      </c>
      <c r="J11" s="46">
        <v>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10</v>
      </c>
      <c r="F12" s="31">
        <f t="shared" ref="F12:V12" si="2">SUM(F13,F14)</f>
        <v>1</v>
      </c>
      <c r="G12" s="31">
        <f t="shared" si="2"/>
        <v>0.2</v>
      </c>
      <c r="H12" s="31">
        <f t="shared" si="2"/>
        <v>0.2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10</v>
      </c>
      <c r="F13" s="46">
        <v>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0.2</v>
      </c>
      <c r="H14" s="46">
        <v>0.2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7</v>
      </c>
      <c r="F15" s="31">
        <f t="shared" ref="F15:V15" si="3">SUM(F16:F21)</f>
        <v>6</v>
      </c>
      <c r="G15" s="31">
        <f t="shared" si="3"/>
        <v>2.2000000000000002</v>
      </c>
      <c r="H15" s="31">
        <f t="shared" si="3"/>
        <v>2.2000000000000002</v>
      </c>
      <c r="I15" s="31">
        <f t="shared" si="3"/>
        <v>0</v>
      </c>
      <c r="J15" s="31">
        <f t="shared" si="3"/>
        <v>0</v>
      </c>
      <c r="K15" s="31">
        <f t="shared" si="3"/>
        <v>2</v>
      </c>
      <c r="L15" s="31">
        <f t="shared" si="3"/>
        <v>2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2</v>
      </c>
      <c r="H16" s="46">
        <v>2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2</v>
      </c>
      <c r="L17" s="46">
        <v>2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2</v>
      </c>
      <c r="F18" s="46">
        <v>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3</v>
      </c>
      <c r="F19" s="46">
        <v>3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2</v>
      </c>
      <c r="F20" s="46">
        <v>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0.2</v>
      </c>
      <c r="H21" s="46">
        <v>0.2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5</v>
      </c>
      <c r="H22" s="31">
        <f t="shared" si="4"/>
        <v>5</v>
      </c>
      <c r="I22" s="31">
        <f t="shared" si="4"/>
        <v>0</v>
      </c>
      <c r="J22" s="31">
        <f t="shared" si="4"/>
        <v>0</v>
      </c>
      <c r="K22" s="31">
        <f t="shared" si="4"/>
        <v>2</v>
      </c>
      <c r="L22" s="31">
        <f t="shared" si="4"/>
        <v>2</v>
      </c>
      <c r="M22" s="31">
        <f t="shared" si="4"/>
        <v>8</v>
      </c>
      <c r="N22" s="31">
        <f t="shared" si="4"/>
        <v>0.2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3</v>
      </c>
      <c r="H23" s="46">
        <v>3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2</v>
      </c>
      <c r="L24" s="46">
        <v>2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2</v>
      </c>
      <c r="H25" s="46">
        <v>2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8</v>
      </c>
      <c r="N26" s="46">
        <v>0.2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16</v>
      </c>
      <c r="R27" s="31">
        <f t="shared" si="5"/>
        <v>16</v>
      </c>
      <c r="S27" s="31">
        <f t="shared" si="5"/>
        <v>4</v>
      </c>
      <c r="T27" s="31">
        <f t="shared" si="5"/>
        <v>4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16</v>
      </c>
      <c r="R28" s="46">
        <v>16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4</v>
      </c>
      <c r="T29" s="46">
        <v>4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74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7" t="s">
        <v>101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8" t="s">
        <v>63</v>
      </c>
      <c r="C31" s="21"/>
      <c r="D31" s="18"/>
      <c r="E31" s="18">
        <f>+E5+E10+E12+E15+E22+E27</f>
        <v>19</v>
      </c>
      <c r="F31" s="18">
        <f>+F5+F10+F12+F15+F22+F27</f>
        <v>9</v>
      </c>
      <c r="G31" s="18">
        <f>+G5+G10+G12+G15+G22+G27</f>
        <v>9.6000000000000014</v>
      </c>
      <c r="H31" s="18">
        <f>+H5+H10+H12+H15+H22+H27</f>
        <v>9.6000000000000014</v>
      </c>
      <c r="I31" s="59">
        <f>+(I5+I10+I12+I15+I22+I27)</f>
        <v>14</v>
      </c>
      <c r="J31" s="59">
        <f>+(J5+J10+J12+J15+J22+J27)</f>
        <v>4</v>
      </c>
      <c r="K31" s="18">
        <f t="shared" ref="K31:T31" si="6">+K5+K10+K12+K15+K22+K27</f>
        <v>6</v>
      </c>
      <c r="L31" s="18">
        <f t="shared" si="6"/>
        <v>6</v>
      </c>
      <c r="M31" s="18">
        <f t="shared" si="6"/>
        <v>8</v>
      </c>
      <c r="N31" s="18">
        <f t="shared" si="6"/>
        <v>0.2</v>
      </c>
      <c r="O31" s="18">
        <f t="shared" si="6"/>
        <v>0</v>
      </c>
      <c r="P31" s="18">
        <f t="shared" si="6"/>
        <v>0</v>
      </c>
      <c r="Q31" s="18">
        <f t="shared" si="6"/>
        <v>16</v>
      </c>
      <c r="R31" s="18">
        <f t="shared" si="6"/>
        <v>16</v>
      </c>
      <c r="S31" s="18">
        <f t="shared" si="6"/>
        <v>4</v>
      </c>
      <c r="T31" s="18">
        <f t="shared" si="6"/>
        <v>4</v>
      </c>
      <c r="U31" s="62">
        <f>+U5+U10+U12+U15+U22+U27</f>
        <v>15</v>
      </c>
      <c r="V31" s="51">
        <f>+V5+V10+V12+V15+V22+V27</f>
        <v>15</v>
      </c>
      <c r="W31" s="18">
        <f>SUM(E31:V31)</f>
        <v>155.4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70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60">
        <v>66</v>
      </c>
      <c r="J32" s="60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83" customFormat="1" ht="28.8" x14ac:dyDescent="0.3">
      <c r="A33" s="78" t="s">
        <v>62</v>
      </c>
      <c r="B33" s="78">
        <v>1</v>
      </c>
      <c r="C33" s="78" t="s">
        <v>71</v>
      </c>
      <c r="D33" s="79"/>
      <c r="E33" s="80">
        <f>+E31*E32</f>
        <v>627</v>
      </c>
      <c r="F33" s="80">
        <f>+F31*F32</f>
        <v>297</v>
      </c>
      <c r="G33" s="80">
        <f t="shared" ref="G33:V33" si="7">+G31*G32</f>
        <v>149.76000000000002</v>
      </c>
      <c r="H33" s="80">
        <f t="shared" si="7"/>
        <v>316.80000000000007</v>
      </c>
      <c r="I33" s="80">
        <f>+I31*I32</f>
        <v>924</v>
      </c>
      <c r="J33" s="80">
        <f t="shared" si="7"/>
        <v>132</v>
      </c>
      <c r="K33" s="80">
        <f t="shared" si="7"/>
        <v>145.19999999999999</v>
      </c>
      <c r="L33" s="80">
        <f t="shared" si="7"/>
        <v>198</v>
      </c>
      <c r="M33" s="80">
        <f t="shared" si="7"/>
        <v>61.6</v>
      </c>
      <c r="N33" s="80">
        <f t="shared" si="7"/>
        <v>6.6000000000000005</v>
      </c>
      <c r="O33" s="80">
        <f t="shared" si="7"/>
        <v>0</v>
      </c>
      <c r="P33" s="80">
        <f t="shared" si="7"/>
        <v>0</v>
      </c>
      <c r="Q33" s="80">
        <f t="shared" si="7"/>
        <v>176</v>
      </c>
      <c r="R33" s="80">
        <f t="shared" si="7"/>
        <v>528</v>
      </c>
      <c r="S33" s="80">
        <f t="shared" si="7"/>
        <v>44</v>
      </c>
      <c r="T33" s="80">
        <f t="shared" si="7"/>
        <v>132</v>
      </c>
      <c r="U33" s="80">
        <f t="shared" si="7"/>
        <v>264</v>
      </c>
      <c r="V33" s="80">
        <f t="shared" si="7"/>
        <v>495</v>
      </c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2"/>
    </row>
    <row r="34" spans="1:105" s="6" customFormat="1" ht="28.8" x14ac:dyDescent="0.3">
      <c r="A34" s="30" t="s">
        <v>62</v>
      </c>
      <c r="B34" s="30">
        <v>3</v>
      </c>
      <c r="C34" s="30" t="s">
        <v>71</v>
      </c>
      <c r="D34" s="18"/>
      <c r="E34" s="23">
        <f>E33*$B$34</f>
        <v>1881</v>
      </c>
      <c r="F34" s="23">
        <f>F33*$B$34</f>
        <v>891</v>
      </c>
      <c r="G34" s="23">
        <f t="shared" ref="G34:H34" si="8">G33*$B$34</f>
        <v>449.28000000000009</v>
      </c>
      <c r="H34" s="23">
        <f t="shared" si="8"/>
        <v>950.4000000000002</v>
      </c>
      <c r="I34" s="61">
        <f>+I33</f>
        <v>924</v>
      </c>
      <c r="J34" s="61">
        <f>+J33</f>
        <v>132</v>
      </c>
      <c r="K34" s="23">
        <f>K33*$B$34</f>
        <v>435.59999999999997</v>
      </c>
      <c r="L34" s="23">
        <f t="shared" ref="L34:V34" si="9">L33*$B$34</f>
        <v>594</v>
      </c>
      <c r="M34" s="23">
        <f t="shared" si="9"/>
        <v>184.8</v>
      </c>
      <c r="N34" s="23">
        <f t="shared" si="9"/>
        <v>19.8</v>
      </c>
      <c r="O34" s="23">
        <f t="shared" si="9"/>
        <v>0</v>
      </c>
      <c r="P34" s="23">
        <f t="shared" si="9"/>
        <v>0</v>
      </c>
      <c r="Q34" s="23">
        <f t="shared" si="9"/>
        <v>528</v>
      </c>
      <c r="R34" s="23">
        <f t="shared" si="9"/>
        <v>1584</v>
      </c>
      <c r="S34" s="23">
        <f t="shared" si="9"/>
        <v>132</v>
      </c>
      <c r="T34" s="23">
        <f t="shared" si="9"/>
        <v>396</v>
      </c>
      <c r="U34" s="23">
        <f t="shared" si="9"/>
        <v>792</v>
      </c>
      <c r="V34" s="23">
        <f t="shared" si="9"/>
        <v>1485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6" customFormat="1" x14ac:dyDescent="0.3">
      <c r="A35" s="17"/>
      <c r="B35" s="30"/>
      <c r="C35" s="30"/>
      <c r="D35" s="18"/>
      <c r="E35" s="19"/>
      <c r="F35" s="19"/>
      <c r="G35" s="19"/>
      <c r="H35" s="19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2"/>
    </row>
    <row r="36" spans="1:105" s="11" customFormat="1" ht="18" x14ac:dyDescent="0.3">
      <c r="A36" s="17"/>
      <c r="B36" s="17"/>
      <c r="C36" s="17"/>
      <c r="D36" s="21"/>
      <c r="E36" s="19"/>
      <c r="F36" s="86"/>
      <c r="G36" s="86"/>
      <c r="H36" s="51"/>
      <c r="I36" s="51"/>
      <c r="J36" s="51"/>
      <c r="K36" s="51"/>
      <c r="L36" s="51"/>
      <c r="M36" s="51"/>
      <c r="N36" s="51"/>
      <c r="O36" s="51"/>
      <c r="P36" s="51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3"/>
    </row>
    <row r="37" spans="1:105" s="6" customFormat="1" x14ac:dyDescent="0.3">
      <c r="A37" s="17"/>
      <c r="B37" s="17"/>
      <c r="C37" s="15" t="s">
        <v>64</v>
      </c>
      <c r="D37" s="18"/>
      <c r="E37" s="23">
        <f>E33+G33+I33+K33+M33+O33+Q33+S33+U33</f>
        <v>2391.56</v>
      </c>
      <c r="F37" s="86"/>
      <c r="G37" s="29" t="s">
        <v>110</v>
      </c>
      <c r="H37" s="98">
        <f>E34+G34+I34+K34+M34+O34+Q34+S34+U34</f>
        <v>5326.68</v>
      </c>
      <c r="I37" s="51"/>
      <c r="J37" s="51"/>
      <c r="K37" s="51"/>
      <c r="L37" s="51"/>
      <c r="M37" s="99" t="s">
        <v>113</v>
      </c>
      <c r="N37" s="99" t="s">
        <v>107</v>
      </c>
      <c r="O37" s="99" t="s">
        <v>108</v>
      </c>
      <c r="P37" s="5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15" t="s">
        <v>65</v>
      </c>
      <c r="D38" s="18"/>
      <c r="E38" s="23"/>
      <c r="F38" s="86"/>
      <c r="G38" s="29" t="s">
        <v>111</v>
      </c>
      <c r="H38" s="98">
        <f>F34+H34+J34+L34+N34+P34+R34+T34+V34</f>
        <v>6052.2000000000007</v>
      </c>
      <c r="I38" s="51"/>
      <c r="J38" s="51"/>
      <c r="K38" s="51"/>
      <c r="L38" s="51"/>
      <c r="M38" s="89" t="s">
        <v>106</v>
      </c>
      <c r="N38" s="89">
        <f>E31+G31+I31+K31+M31+O31+Q31+S31+U31</f>
        <v>91.6</v>
      </c>
      <c r="O38" s="89">
        <f>N38*60</f>
        <v>5496</v>
      </c>
      <c r="P38" s="51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6" customFormat="1" x14ac:dyDescent="0.3">
      <c r="A39" s="17"/>
      <c r="B39" s="17"/>
      <c r="C39" s="15" t="s">
        <v>66</v>
      </c>
      <c r="D39" s="86"/>
      <c r="E39" s="23">
        <f>'sarf malzemeleri 1-3wf silicon'!J30</f>
        <v>1638.1611600000003</v>
      </c>
      <c r="F39" s="86"/>
      <c r="G39" s="29" t="s">
        <v>112</v>
      </c>
      <c r="H39" s="95">
        <f>'sarf malzemeleri 1-3wf silicon'!L30</f>
        <v>3027.1722400000003</v>
      </c>
      <c r="I39" s="51"/>
      <c r="J39" s="51"/>
      <c r="K39" s="51"/>
      <c r="L39" s="51"/>
      <c r="M39" s="89" t="s">
        <v>109</v>
      </c>
      <c r="N39" s="89">
        <f>+M31</f>
        <v>8</v>
      </c>
      <c r="O39" s="89">
        <f>N39*60</f>
        <v>480</v>
      </c>
      <c r="P39" s="51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2"/>
    </row>
    <row r="40" spans="1:105" s="11" customFormat="1" x14ac:dyDescent="0.3">
      <c r="A40" s="17"/>
      <c r="B40" s="17"/>
      <c r="C40" s="15" t="s">
        <v>67</v>
      </c>
      <c r="D40" s="86"/>
      <c r="E40" s="23"/>
      <c r="F40" s="86"/>
      <c r="G40" s="29" t="s">
        <v>67</v>
      </c>
      <c r="H40" s="96">
        <f>(((E31+G31+K31+M31+O31+Q31+S31)*3+I31)/6)*13.2</f>
        <v>443.96</v>
      </c>
      <c r="I40" s="51"/>
      <c r="J40" s="51"/>
      <c r="K40" s="51"/>
      <c r="L40" s="51"/>
      <c r="M40" s="51"/>
      <c r="N40" s="51"/>
      <c r="O40" s="51"/>
      <c r="P40" s="51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3"/>
    </row>
    <row r="41" spans="1:105" s="6" customFormat="1" x14ac:dyDescent="0.3">
      <c r="A41" s="17"/>
      <c r="B41" s="17"/>
      <c r="C41" s="15" t="s">
        <v>68</v>
      </c>
      <c r="D41" s="18"/>
      <c r="E41" s="23"/>
      <c r="F41" s="86"/>
      <c r="G41" s="29" t="s">
        <v>68</v>
      </c>
      <c r="H41" s="96">
        <f>H40/2</f>
        <v>221.98</v>
      </c>
      <c r="I41" s="51"/>
      <c r="J41" s="51"/>
      <c r="K41" s="51"/>
      <c r="L41" s="51"/>
      <c r="M41" s="51"/>
      <c r="N41" s="51"/>
      <c r="O41" s="51"/>
      <c r="P41" s="5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6" customFormat="1" ht="18.75" customHeight="1" x14ac:dyDescent="0.3">
      <c r="A42" s="17"/>
      <c r="B42" s="17"/>
      <c r="C42" s="15" t="s">
        <v>102</v>
      </c>
      <c r="D42" s="21"/>
      <c r="E42" s="23"/>
      <c r="F42" s="86"/>
      <c r="G42" s="29" t="s">
        <v>102</v>
      </c>
      <c r="H42" s="96">
        <f>((U31*3)/6)*2.75</f>
        <v>20.625</v>
      </c>
      <c r="I42" s="51"/>
      <c r="J42" s="51"/>
      <c r="K42" s="51"/>
      <c r="L42" s="51"/>
      <c r="M42" s="99" t="s">
        <v>114</v>
      </c>
      <c r="N42" s="99" t="s">
        <v>107</v>
      </c>
      <c r="O42" s="99" t="s">
        <v>108</v>
      </c>
      <c r="P42" s="51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2"/>
    </row>
    <row r="43" spans="1:105" s="11" customFormat="1" ht="15" thickBot="1" x14ac:dyDescent="0.35">
      <c r="A43" s="17"/>
      <c r="B43" s="17"/>
      <c r="C43" s="15" t="s">
        <v>103</v>
      </c>
      <c r="D43" s="18"/>
      <c r="E43" s="23"/>
      <c r="F43" s="19"/>
      <c r="G43" s="29" t="s">
        <v>103</v>
      </c>
      <c r="H43" s="97">
        <f>H42/2</f>
        <v>10.3125</v>
      </c>
      <c r="I43" s="14"/>
      <c r="J43" s="14"/>
      <c r="K43" s="51"/>
      <c r="L43" s="51"/>
      <c r="M43" s="89" t="s">
        <v>106</v>
      </c>
      <c r="N43" s="89">
        <f>3*(E31+G31+K31+M31+O31+Q31+S31+U31)+I31</f>
        <v>246.79999999999998</v>
      </c>
      <c r="O43" s="89">
        <f>N43*60</f>
        <v>14807.999999999998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3"/>
    </row>
    <row r="44" spans="1:105" s="6" customFormat="1" ht="15" thickBot="1" x14ac:dyDescent="0.35">
      <c r="A44" s="17"/>
      <c r="B44" s="17"/>
      <c r="C44" s="124" t="s">
        <v>69</v>
      </c>
      <c r="D44" s="125"/>
      <c r="E44" s="126">
        <f>SUM(E37:E43)</f>
        <v>4029.7211600000001</v>
      </c>
      <c r="F44" s="19"/>
      <c r="G44" s="124" t="s">
        <v>69</v>
      </c>
      <c r="H44" s="130">
        <f>SUM(H37:H43)</f>
        <v>15102.92974</v>
      </c>
      <c r="I44" s="14"/>
      <c r="J44" s="14"/>
      <c r="K44" s="51"/>
      <c r="L44" s="51"/>
      <c r="M44" s="89" t="s">
        <v>109</v>
      </c>
      <c r="N44" s="89">
        <f>M31*3</f>
        <v>24</v>
      </c>
      <c r="O44" s="89">
        <f>N44*60</f>
        <v>1440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2"/>
    </row>
    <row r="45" spans="1:105" s="6" customFormat="1" ht="18" x14ac:dyDescent="0.3">
      <c r="A45" s="17"/>
      <c r="B45" s="17"/>
      <c r="C45" s="56"/>
      <c r="D45" s="21"/>
      <c r="E45" s="23"/>
      <c r="F45" s="19"/>
      <c r="G45" s="19"/>
      <c r="H45" s="23"/>
      <c r="I45" s="14"/>
      <c r="J45" s="14"/>
      <c r="L45" s="51"/>
      <c r="M45" s="51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2"/>
    </row>
    <row r="46" spans="1:105" s="6" customFormat="1" ht="18" x14ac:dyDescent="0.3">
      <c r="A46" s="17"/>
      <c r="B46" s="17"/>
      <c r="C46" s="58"/>
      <c r="D46" s="21"/>
      <c r="E46" s="50"/>
      <c r="F46" s="19"/>
      <c r="G46" s="145"/>
      <c r="H46" s="145"/>
      <c r="I46" s="14"/>
      <c r="J46" s="14"/>
      <c r="K46" s="51"/>
      <c r="L46" s="51"/>
      <c r="M46" s="51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2"/>
    </row>
    <row r="47" spans="1:105" s="11" customFormat="1" ht="18" x14ac:dyDescent="0.3">
      <c r="A47" s="17"/>
      <c r="B47" s="21"/>
      <c r="C47" s="58"/>
      <c r="D47" s="57"/>
      <c r="E47" s="63"/>
      <c r="F47" s="23"/>
      <c r="G47" s="84"/>
      <c r="H47" s="85"/>
      <c r="I47" s="14"/>
      <c r="J47" s="14"/>
      <c r="K47" s="51"/>
      <c r="L47" s="51"/>
      <c r="M47" s="51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3"/>
    </row>
    <row r="48" spans="1:105" s="11" customFormat="1" ht="18" x14ac:dyDescent="0.3">
      <c r="A48" s="17"/>
      <c r="B48" s="21"/>
      <c r="C48" s="17"/>
      <c r="D48" s="18"/>
      <c r="E48" s="23"/>
      <c r="F48" s="23"/>
      <c r="G48" s="84"/>
      <c r="H48" s="19"/>
      <c r="I48" s="14"/>
      <c r="J48" s="14"/>
      <c r="K48" s="51"/>
      <c r="L48" s="51"/>
      <c r="M48" s="51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3"/>
    </row>
    <row r="49" spans="1:105" s="6" customFormat="1" ht="57" customHeight="1" x14ac:dyDescent="0.3">
      <c r="A49" s="17"/>
      <c r="B49" s="18"/>
      <c r="C49" s="17"/>
      <c r="D49" s="18"/>
      <c r="E49" s="23"/>
      <c r="F49" s="146"/>
      <c r="G49" s="146"/>
      <c r="H49" s="19"/>
      <c r="I49" s="14"/>
      <c r="J49" s="14"/>
      <c r="K49" s="51"/>
      <c r="L49" s="51"/>
      <c r="M49" s="51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2"/>
    </row>
    <row r="50" spans="1:105" s="14" customFormat="1" x14ac:dyDescent="0.3">
      <c r="A50" s="20"/>
      <c r="B50" s="20"/>
      <c r="C50" s="18"/>
      <c r="D50" s="20"/>
      <c r="E50" s="20"/>
      <c r="F50" s="20"/>
      <c r="G50" s="20"/>
      <c r="H50" s="20"/>
      <c r="DA50" s="1"/>
    </row>
    <row r="51" spans="1:105" s="14" customFormat="1" x14ac:dyDescent="0.3">
      <c r="A51" s="1"/>
      <c r="B51" s="1"/>
      <c r="C51" s="2"/>
      <c r="D51" s="1"/>
      <c r="E51" s="1"/>
      <c r="F51" s="1"/>
      <c r="G51" s="1"/>
      <c r="H51" s="1"/>
      <c r="DA51" s="1"/>
    </row>
    <row r="52" spans="1:105" s="14" customFormat="1" ht="56.25" customHeight="1" x14ac:dyDescent="0.3">
      <c r="A52" s="1"/>
      <c r="B52" s="1"/>
      <c r="C52" s="2"/>
      <c r="D52" s="1"/>
      <c r="E52" s="16"/>
      <c r="F52" s="16"/>
      <c r="G52" s="16"/>
      <c r="H52" s="16"/>
      <c r="O52" s="15"/>
      <c r="DA52" s="1"/>
    </row>
    <row r="53" spans="1:105" s="14" customFormat="1" x14ac:dyDescent="0.3">
      <c r="A53" s="1"/>
      <c r="B53" s="2"/>
      <c r="C53" s="2"/>
      <c r="D53" s="2"/>
      <c r="E53" s="16"/>
      <c r="F53" s="16"/>
      <c r="G53" s="16"/>
      <c r="H53" s="16"/>
      <c r="O53" s="15"/>
      <c r="P53" s="15"/>
      <c r="Q53" s="15"/>
      <c r="R53" s="15"/>
      <c r="S53" s="15"/>
      <c r="T53" s="15"/>
      <c r="U53" s="15"/>
      <c r="V53" s="15"/>
      <c r="W53" s="15"/>
      <c r="DA53" s="1"/>
    </row>
    <row r="54" spans="1:105" s="14" customFormat="1" x14ac:dyDescent="0.3">
      <c r="A54" s="1"/>
      <c r="B54" s="2"/>
      <c r="C54" s="2"/>
      <c r="D54" s="2"/>
      <c r="E54" s="16"/>
      <c r="F54" s="16"/>
      <c r="G54" s="16"/>
      <c r="H54" s="16"/>
      <c r="O54" s="15"/>
      <c r="P54" s="15"/>
      <c r="Q54" s="15"/>
      <c r="R54" s="15"/>
      <c r="S54" s="15"/>
      <c r="T54" s="15"/>
      <c r="U54" s="15"/>
      <c r="V54" s="15"/>
      <c r="W54" s="15"/>
      <c r="DA54" s="1"/>
    </row>
    <row r="56" spans="1:105" s="14" customFormat="1" x14ac:dyDescent="0.3">
      <c r="A56" s="1"/>
      <c r="B56" s="2"/>
      <c r="C56" s="2"/>
      <c r="D56" s="2"/>
      <c r="E56" s="20"/>
      <c r="F56" s="18"/>
      <c r="G56" s="20"/>
      <c r="H56" s="20"/>
      <c r="I56" s="20"/>
      <c r="J56" s="20"/>
      <c r="K56" s="20"/>
      <c r="DA56" s="1"/>
    </row>
    <row r="59" spans="1:105" s="14" customFormat="1" x14ac:dyDescent="0.3">
      <c r="A59" s="1"/>
      <c r="B59" s="2"/>
      <c r="C59" s="2"/>
      <c r="D59" s="2"/>
      <c r="E59" s="16"/>
      <c r="F59" s="16"/>
      <c r="G59" s="16"/>
      <c r="H59" s="16"/>
      <c r="L59" s="51"/>
      <c r="M59" s="51"/>
      <c r="DA59" s="1"/>
    </row>
    <row r="67" spans="1:105" s="14" customFormat="1" ht="18.75" customHeight="1" x14ac:dyDescent="0.3">
      <c r="A67" s="1"/>
      <c r="B67" s="2"/>
      <c r="C67" s="2"/>
      <c r="D67" s="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DA67" s="1"/>
    </row>
    <row r="68" spans="1:105" s="14" customFormat="1" x14ac:dyDescent="0.3">
      <c r="A68" s="1"/>
      <c r="B68" s="2"/>
      <c r="C68" s="2"/>
      <c r="D68" s="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DA68" s="1"/>
    </row>
    <row r="69" spans="1:105" s="14" customFormat="1" x14ac:dyDescent="0.3">
      <c r="A69" s="1"/>
      <c r="B69" s="2"/>
      <c r="C69" s="2"/>
      <c r="D69" s="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DA69" s="1"/>
    </row>
    <row r="70" spans="1:105" s="14" customFormat="1" x14ac:dyDescent="0.3">
      <c r="A70" s="1"/>
      <c r="B70" s="2"/>
      <c r="C70" s="2"/>
      <c r="D70" s="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DA70" s="1"/>
    </row>
    <row r="71" spans="1:105" s="14" customFormat="1" x14ac:dyDescent="0.3">
      <c r="A71" s="1"/>
      <c r="B71" s="2"/>
      <c r="C71" s="2"/>
      <c r="D71" s="2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DA71" s="1"/>
    </row>
  </sheetData>
  <autoFilter ref="B3:C52"/>
  <mergeCells count="15">
    <mergeCell ref="U2:V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G46:H46"/>
    <mergeCell ref="F49:G49"/>
    <mergeCell ref="B1:C1"/>
    <mergeCell ref="O2:P2"/>
    <mergeCell ref="S2:T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1FD7E"/>
  </sheetPr>
  <dimension ref="A1:L38"/>
  <sheetViews>
    <sheetView topLeftCell="A16" workbookViewId="0">
      <selection activeCell="P26" sqref="P26"/>
    </sheetView>
  </sheetViews>
  <sheetFormatPr defaultColWidth="9.109375" defaultRowHeight="14.4" x14ac:dyDescent="0.3"/>
  <cols>
    <col min="1" max="1" width="51" style="15" customWidth="1"/>
    <col min="2" max="2" width="12.6640625" style="15" bestFit="1" customWidth="1"/>
    <col min="3" max="3" width="14" style="15" hidden="1" customWidth="1"/>
    <col min="4" max="4" width="14" style="15" customWidth="1"/>
    <col min="5" max="5" width="13" style="15" customWidth="1"/>
    <col min="6" max="6" width="13" style="15" hidden="1" customWidth="1"/>
    <col min="7" max="7" width="13.109375" style="15" customWidth="1"/>
    <col min="8" max="8" width="14.109375" style="15" bestFit="1" customWidth="1"/>
    <col min="9" max="10" width="13.88671875" style="15" customWidth="1"/>
    <col min="11" max="11" width="14.109375" style="15" hidden="1" customWidth="1"/>
    <col min="12" max="12" width="13.88671875" style="15" hidden="1" customWidth="1"/>
    <col min="13" max="13" width="0" style="15" hidden="1" customWidth="1"/>
    <col min="14" max="16384" width="9.109375" style="15"/>
  </cols>
  <sheetData>
    <row r="1" spans="1:12" ht="21" x14ac:dyDescent="0.4">
      <c r="D1" s="64" t="s">
        <v>105</v>
      </c>
      <c r="E1" s="65" t="s">
        <v>53</v>
      </c>
      <c r="F1" s="66" t="s">
        <v>53</v>
      </c>
    </row>
    <row r="2" spans="1:12" ht="21.6" thickBot="1" x14ac:dyDescent="0.45">
      <c r="D2" s="67" t="s">
        <v>77</v>
      </c>
      <c r="E2" s="68"/>
      <c r="F2" s="69"/>
    </row>
    <row r="3" spans="1:12" ht="21.6" thickBot="1" x14ac:dyDescent="0.45">
      <c r="D3" s="70" t="s">
        <v>78</v>
      </c>
      <c r="E3" s="71">
        <v>1</v>
      </c>
      <c r="F3" s="72">
        <v>3</v>
      </c>
      <c r="H3" s="147" t="s">
        <v>76</v>
      </c>
      <c r="I3" s="148"/>
      <c r="J3" s="77"/>
      <c r="K3" s="149" t="s">
        <v>79</v>
      </c>
      <c r="L3" s="150"/>
    </row>
    <row r="4" spans="1:12" ht="57.6" x14ac:dyDescent="0.3">
      <c r="A4" s="25" t="s">
        <v>8</v>
      </c>
      <c r="B4" s="27" t="s">
        <v>12</v>
      </c>
      <c r="C4" s="27"/>
      <c r="D4" s="73"/>
      <c r="E4" s="74" t="s">
        <v>80</v>
      </c>
      <c r="F4" s="75" t="s">
        <v>81</v>
      </c>
      <c r="G4" s="26" t="s">
        <v>14</v>
      </c>
      <c r="H4" s="74" t="s">
        <v>82</v>
      </c>
      <c r="I4" s="74" t="s">
        <v>99</v>
      </c>
      <c r="J4" s="74"/>
      <c r="K4" s="75" t="s">
        <v>82</v>
      </c>
      <c r="L4" s="75" t="s">
        <v>100</v>
      </c>
    </row>
    <row r="5" spans="1:12" x14ac:dyDescent="0.3">
      <c r="A5" s="6" t="s">
        <v>52</v>
      </c>
      <c r="B5" s="47" t="s">
        <v>53</v>
      </c>
      <c r="C5" s="47" t="s">
        <v>60</v>
      </c>
      <c r="D5" s="47"/>
      <c r="E5" s="48">
        <v>1</v>
      </c>
      <c r="F5" s="48">
        <v>3</v>
      </c>
      <c r="G5" s="100"/>
      <c r="H5" s="100">
        <f>G5*E5</f>
        <v>0</v>
      </c>
      <c r="I5" s="100">
        <f>H5*1.12</f>
        <v>0</v>
      </c>
      <c r="J5" s="53"/>
      <c r="K5" s="100">
        <f>G5*F5</f>
        <v>0</v>
      </c>
      <c r="L5" s="53">
        <f>K5*1.12</f>
        <v>0</v>
      </c>
    </row>
    <row r="6" spans="1:12" ht="15.75" customHeight="1" x14ac:dyDescent="0.3">
      <c r="A6" s="114" t="s">
        <v>84</v>
      </c>
      <c r="B6" s="115" t="s">
        <v>85</v>
      </c>
      <c r="C6" s="116"/>
      <c r="D6" s="116"/>
      <c r="E6" s="117">
        <v>5496</v>
      </c>
      <c r="F6" s="117">
        <v>14808</v>
      </c>
      <c r="G6" s="118">
        <v>3.4000000000000002E-2</v>
      </c>
      <c r="H6" s="109">
        <f>E6*G6</f>
        <v>186.864</v>
      </c>
      <c r="I6" s="100">
        <f>H6</f>
        <v>186.864</v>
      </c>
      <c r="J6" s="119"/>
      <c r="K6" s="109">
        <f>F6*G6</f>
        <v>503.47200000000004</v>
      </c>
      <c r="L6" s="119">
        <f>K6</f>
        <v>503.47200000000004</v>
      </c>
    </row>
    <row r="7" spans="1:12" ht="14.25" customHeight="1" x14ac:dyDescent="0.3">
      <c r="A7" s="101" t="s">
        <v>86</v>
      </c>
      <c r="B7" s="102" t="s">
        <v>87</v>
      </c>
      <c r="C7" s="102"/>
      <c r="D7" s="102"/>
      <c r="E7" s="103">
        <v>120</v>
      </c>
      <c r="F7" s="103">
        <v>120</v>
      </c>
      <c r="G7" s="104">
        <v>0.25</v>
      </c>
      <c r="H7" s="104">
        <f>G7*E7</f>
        <v>30</v>
      </c>
      <c r="I7" s="104">
        <f t="shared" ref="I7:I10" si="0">H7*1.12</f>
        <v>33.6</v>
      </c>
      <c r="J7" s="105"/>
      <c r="K7" s="104">
        <f>G7*F7</f>
        <v>30</v>
      </c>
      <c r="L7" s="105">
        <f>K7*1.12</f>
        <v>33.6</v>
      </c>
    </row>
    <row r="8" spans="1:12" x14ac:dyDescent="0.3">
      <c r="A8" s="6" t="s">
        <v>54</v>
      </c>
      <c r="B8" s="29" t="s">
        <v>53</v>
      </c>
      <c r="C8" s="47" t="s">
        <v>60</v>
      </c>
      <c r="D8" s="47"/>
      <c r="E8" s="52">
        <v>1</v>
      </c>
      <c r="F8" s="52">
        <v>3</v>
      </c>
      <c r="G8" s="108">
        <v>46.19</v>
      </c>
      <c r="H8" s="100">
        <f>G8*E8</f>
        <v>46.19</v>
      </c>
      <c r="I8" s="100">
        <f t="shared" si="0"/>
        <v>51.732800000000005</v>
      </c>
      <c r="J8" s="53"/>
      <c r="K8" s="100">
        <f>H8*F8</f>
        <v>138.57</v>
      </c>
      <c r="L8" s="53">
        <f>K8*1.12</f>
        <v>155.19840000000002</v>
      </c>
    </row>
    <row r="9" spans="1:12" x14ac:dyDescent="0.3">
      <c r="A9" s="6" t="s">
        <v>88</v>
      </c>
      <c r="B9" s="29" t="s">
        <v>89</v>
      </c>
      <c r="C9" s="47" t="s">
        <v>60</v>
      </c>
      <c r="D9" s="47"/>
      <c r="E9" s="52">
        <v>40</v>
      </c>
      <c r="F9" s="52">
        <v>120</v>
      </c>
      <c r="G9" s="108">
        <v>1.23</v>
      </c>
      <c r="H9" s="100">
        <f>G9*E9</f>
        <v>49.2</v>
      </c>
      <c r="I9" s="100">
        <f t="shared" si="0"/>
        <v>55.104000000000006</v>
      </c>
      <c r="J9" s="53"/>
      <c r="K9" s="100">
        <f>G9*F9</f>
        <v>147.6</v>
      </c>
      <c r="L9" s="53">
        <f t="shared" ref="L9:L10" si="1">K9*1.12</f>
        <v>165.31200000000001</v>
      </c>
    </row>
    <row r="10" spans="1:12" x14ac:dyDescent="0.3">
      <c r="A10" s="6" t="s">
        <v>90</v>
      </c>
      <c r="B10" s="29" t="s">
        <v>89</v>
      </c>
      <c r="C10" s="47"/>
      <c r="D10" s="47"/>
      <c r="E10" s="52">
        <v>40</v>
      </c>
      <c r="F10" s="52">
        <v>120</v>
      </c>
      <c r="G10" s="108">
        <v>0.27</v>
      </c>
      <c r="H10" s="100">
        <f>G10*E10</f>
        <v>10.8</v>
      </c>
      <c r="I10" s="100">
        <f t="shared" si="0"/>
        <v>12.096000000000002</v>
      </c>
      <c r="J10" s="53"/>
      <c r="K10" s="100">
        <f>G10*F10</f>
        <v>32.400000000000006</v>
      </c>
      <c r="L10" s="53">
        <f t="shared" si="1"/>
        <v>36.288000000000011</v>
      </c>
    </row>
    <row r="11" spans="1:12" s="90" customFormat="1" x14ac:dyDescent="0.3">
      <c r="A11" s="114" t="s">
        <v>91</v>
      </c>
      <c r="B11" s="115" t="s">
        <v>87</v>
      </c>
      <c r="C11" s="116"/>
      <c r="D11" s="116"/>
      <c r="E11" s="117">
        <f>'ÜRETİM (ARKAÖN)(alumina)'!U31*60</f>
        <v>900</v>
      </c>
      <c r="F11" s="117">
        <f>'ÜRETİM (ARKAÖN)(alumina)'!U31*3*60</f>
        <v>2700</v>
      </c>
      <c r="G11" s="118">
        <v>0.44</v>
      </c>
      <c r="H11" s="109">
        <f>E11*G11</f>
        <v>396</v>
      </c>
      <c r="I11" s="109">
        <f>H11</f>
        <v>396</v>
      </c>
      <c r="J11" s="119"/>
      <c r="K11" s="109">
        <f>F11*G11</f>
        <v>1188</v>
      </c>
      <c r="L11" s="119">
        <f>K11</f>
        <v>1188</v>
      </c>
    </row>
    <row r="12" spans="1:12" x14ac:dyDescent="0.3">
      <c r="A12" s="6" t="s">
        <v>92</v>
      </c>
      <c r="B12" s="29" t="s">
        <v>55</v>
      </c>
      <c r="C12" s="47"/>
      <c r="D12" s="47"/>
      <c r="E12" s="52">
        <v>50</v>
      </c>
      <c r="F12" s="52">
        <v>50</v>
      </c>
      <c r="G12" s="108">
        <v>0.44</v>
      </c>
      <c r="H12" s="100">
        <f>G12*E12</f>
        <v>22</v>
      </c>
      <c r="I12" s="100">
        <f>H12</f>
        <v>22</v>
      </c>
      <c r="J12" s="53"/>
      <c r="K12" s="100">
        <f>G12*F12</f>
        <v>22</v>
      </c>
      <c r="L12" s="53"/>
    </row>
    <row r="13" spans="1:12" x14ac:dyDescent="0.3">
      <c r="A13" s="101" t="s">
        <v>56</v>
      </c>
      <c r="B13" s="91" t="s">
        <v>93</v>
      </c>
      <c r="C13" s="102" t="s">
        <v>60</v>
      </c>
      <c r="D13" s="102"/>
      <c r="E13" s="106">
        <v>175</v>
      </c>
      <c r="F13" s="106">
        <v>175</v>
      </c>
      <c r="G13" s="107">
        <v>0.04</v>
      </c>
      <c r="H13" s="104">
        <f>G13*E13</f>
        <v>7</v>
      </c>
      <c r="I13" s="104">
        <f t="shared" ref="I13:I15" si="2">H13</f>
        <v>7</v>
      </c>
      <c r="J13" s="105"/>
      <c r="K13" s="104">
        <f>G13*F13</f>
        <v>7</v>
      </c>
      <c r="L13" s="105">
        <f>K13</f>
        <v>7</v>
      </c>
    </row>
    <row r="14" spans="1:12" x14ac:dyDescent="0.3">
      <c r="A14" s="101" t="s">
        <v>57</v>
      </c>
      <c r="B14" s="91" t="s">
        <v>93</v>
      </c>
      <c r="C14" s="102" t="s">
        <v>60</v>
      </c>
      <c r="D14" s="102"/>
      <c r="E14" s="106">
        <v>2000</v>
      </c>
      <c r="F14" s="106">
        <v>2000</v>
      </c>
      <c r="G14" s="107">
        <v>0.01</v>
      </c>
      <c r="H14" s="104">
        <f t="shared" ref="H14:H20" si="3">G14*E14</f>
        <v>20</v>
      </c>
      <c r="I14" s="104">
        <f t="shared" si="2"/>
        <v>20</v>
      </c>
      <c r="J14" s="105"/>
      <c r="K14" s="104">
        <f t="shared" ref="K14:K15" si="4">G14*F14</f>
        <v>20</v>
      </c>
      <c r="L14" s="105">
        <f t="shared" ref="L14:L15" si="5">K14</f>
        <v>20</v>
      </c>
    </row>
    <row r="15" spans="1:12" x14ac:dyDescent="0.3">
      <c r="A15" s="101" t="s">
        <v>46</v>
      </c>
      <c r="B15" s="91" t="s">
        <v>93</v>
      </c>
      <c r="C15" s="102" t="s">
        <v>60</v>
      </c>
      <c r="D15" s="102"/>
      <c r="E15" s="106">
        <v>250</v>
      </c>
      <c r="F15" s="106">
        <v>250</v>
      </c>
      <c r="G15" s="107">
        <v>1.46</v>
      </c>
      <c r="H15" s="104">
        <f t="shared" si="3"/>
        <v>365</v>
      </c>
      <c r="I15" s="104">
        <f t="shared" si="2"/>
        <v>365</v>
      </c>
      <c r="J15" s="105"/>
      <c r="K15" s="104">
        <f t="shared" si="4"/>
        <v>365</v>
      </c>
      <c r="L15" s="105">
        <f t="shared" si="5"/>
        <v>365</v>
      </c>
    </row>
    <row r="16" spans="1:12" x14ac:dyDescent="0.3">
      <c r="A16" s="101" t="s">
        <v>47</v>
      </c>
      <c r="B16" s="91" t="s">
        <v>94</v>
      </c>
      <c r="C16" s="102" t="s">
        <v>60</v>
      </c>
      <c r="D16" s="102"/>
      <c r="E16" s="106">
        <v>0.16</v>
      </c>
      <c r="F16" s="106">
        <f>E16*3</f>
        <v>0.48</v>
      </c>
      <c r="G16" s="107">
        <v>56.8</v>
      </c>
      <c r="H16" s="104">
        <f t="shared" si="3"/>
        <v>9.0879999999999992</v>
      </c>
      <c r="I16" s="104">
        <f>H16*1.12</f>
        <v>10.178560000000001</v>
      </c>
      <c r="J16" s="105"/>
      <c r="K16" s="104">
        <f>G16*F16</f>
        <v>27.263999999999999</v>
      </c>
      <c r="L16" s="105"/>
    </row>
    <row r="17" spans="1:12" x14ac:dyDescent="0.3">
      <c r="A17" s="101" t="s">
        <v>48</v>
      </c>
      <c r="B17" s="91" t="s">
        <v>55</v>
      </c>
      <c r="C17" s="102" t="s">
        <v>60</v>
      </c>
      <c r="D17" s="102"/>
      <c r="E17" s="106">
        <v>0.32</v>
      </c>
      <c r="F17" s="106">
        <f>E17*3</f>
        <v>0.96</v>
      </c>
      <c r="G17" s="107">
        <v>48.29</v>
      </c>
      <c r="H17" s="104">
        <f t="shared" si="3"/>
        <v>15.4528</v>
      </c>
      <c r="I17" s="104">
        <f t="shared" ref="I17:I19" si="6">H17*1.12</f>
        <v>17.307136</v>
      </c>
      <c r="J17" s="105"/>
      <c r="K17" s="104">
        <f>G17*F17</f>
        <v>46.358399999999996</v>
      </c>
      <c r="L17" s="105"/>
    </row>
    <row r="18" spans="1:12" x14ac:dyDescent="0.3">
      <c r="A18" s="6" t="s">
        <v>22</v>
      </c>
      <c r="B18" s="29" t="s">
        <v>89</v>
      </c>
      <c r="C18" s="47" t="s">
        <v>60</v>
      </c>
      <c r="D18" s="47"/>
      <c r="E18" s="52">
        <v>1000</v>
      </c>
      <c r="F18" s="52">
        <v>1000</v>
      </c>
      <c r="G18" s="108">
        <v>0.02</v>
      </c>
      <c r="H18" s="100">
        <f t="shared" si="3"/>
        <v>20</v>
      </c>
      <c r="I18" s="109">
        <f t="shared" si="6"/>
        <v>22.400000000000002</v>
      </c>
      <c r="J18" s="53"/>
      <c r="K18" s="109">
        <f>G18*F18</f>
        <v>20</v>
      </c>
      <c r="L18" s="53">
        <f>K18*1.12</f>
        <v>22.400000000000002</v>
      </c>
    </row>
    <row r="19" spans="1:12" x14ac:dyDescent="0.3">
      <c r="A19" s="6" t="s">
        <v>23</v>
      </c>
      <c r="B19" s="29" t="s">
        <v>89</v>
      </c>
      <c r="C19" s="47" t="s">
        <v>60</v>
      </c>
      <c r="D19" s="47"/>
      <c r="E19" s="52">
        <v>250</v>
      </c>
      <c r="F19" s="52">
        <v>750</v>
      </c>
      <c r="G19" s="108">
        <v>0.02</v>
      </c>
      <c r="H19" s="100">
        <f t="shared" si="3"/>
        <v>5</v>
      </c>
      <c r="I19" s="109">
        <f t="shared" si="6"/>
        <v>5.6000000000000005</v>
      </c>
      <c r="J19" s="53"/>
      <c r="K19" s="100">
        <f>G19*F19</f>
        <v>15</v>
      </c>
      <c r="L19" s="53">
        <f>K19*1.12</f>
        <v>16.8</v>
      </c>
    </row>
    <row r="20" spans="1:12" x14ac:dyDescent="0.3">
      <c r="A20" s="6" t="s">
        <v>95</v>
      </c>
      <c r="B20" s="29" t="s">
        <v>96</v>
      </c>
      <c r="C20" s="47"/>
      <c r="D20" s="47"/>
      <c r="E20" s="52">
        <v>480</v>
      </c>
      <c r="F20" s="52">
        <f>480*3</f>
        <v>1440</v>
      </c>
      <c r="G20" s="108">
        <v>9.1999999999999998E-2</v>
      </c>
      <c r="H20" s="100">
        <f t="shared" si="3"/>
        <v>44.16</v>
      </c>
      <c r="I20" s="100">
        <f>H20</f>
        <v>44.16</v>
      </c>
      <c r="J20" s="53"/>
      <c r="K20" s="100">
        <f>G20*F20</f>
        <v>132.47999999999999</v>
      </c>
      <c r="L20" s="53">
        <f>K20</f>
        <v>132.47999999999999</v>
      </c>
    </row>
    <row r="21" spans="1:12" ht="15.75" customHeight="1" x14ac:dyDescent="0.3">
      <c r="A21" s="101" t="s">
        <v>49</v>
      </c>
      <c r="B21" s="91" t="s">
        <v>53</v>
      </c>
      <c r="C21" s="102" t="s">
        <v>60</v>
      </c>
      <c r="D21" s="102"/>
      <c r="E21" s="106">
        <v>1</v>
      </c>
      <c r="F21" s="106">
        <v>3</v>
      </c>
      <c r="G21" s="107">
        <v>108.45</v>
      </c>
      <c r="H21" s="104">
        <f t="shared" ref="H21:H27" si="7">E21*G21</f>
        <v>108.45</v>
      </c>
      <c r="I21" s="104">
        <f>H21</f>
        <v>108.45</v>
      </c>
      <c r="J21" s="105"/>
      <c r="K21" s="104">
        <f>F21*G21</f>
        <v>325.35000000000002</v>
      </c>
      <c r="L21" s="105">
        <f>K21</f>
        <v>325.35000000000002</v>
      </c>
    </row>
    <row r="22" spans="1:12" x14ac:dyDescent="0.3">
      <c r="A22" s="101" t="s">
        <v>15</v>
      </c>
      <c r="B22" s="91" t="s">
        <v>53</v>
      </c>
      <c r="C22" s="102" t="s">
        <v>60</v>
      </c>
      <c r="D22" s="102"/>
      <c r="E22" s="106">
        <v>0.01</v>
      </c>
      <c r="F22" s="106">
        <v>0.03</v>
      </c>
      <c r="G22" s="107">
        <v>23.15</v>
      </c>
      <c r="H22" s="104">
        <f t="shared" si="7"/>
        <v>0.23149999999999998</v>
      </c>
      <c r="I22" s="104">
        <f>H22*1.12</f>
        <v>0.25928000000000001</v>
      </c>
      <c r="J22" s="105"/>
      <c r="K22" s="104">
        <f>G22*F22</f>
        <v>0.6944999999999999</v>
      </c>
      <c r="L22" s="105">
        <f>K22*1.12</f>
        <v>0.77783999999999998</v>
      </c>
    </row>
    <row r="23" spans="1:12" ht="15.75" customHeight="1" x14ac:dyDescent="0.3">
      <c r="A23" s="101" t="s">
        <v>11</v>
      </c>
      <c r="B23" s="91" t="s">
        <v>58</v>
      </c>
      <c r="C23" s="102" t="s">
        <v>60</v>
      </c>
      <c r="D23" s="102"/>
      <c r="E23" s="106">
        <v>0.1</v>
      </c>
      <c r="F23" s="106">
        <v>0.3</v>
      </c>
      <c r="G23" s="107">
        <v>44.11</v>
      </c>
      <c r="H23" s="104">
        <f t="shared" si="7"/>
        <v>4.4110000000000005</v>
      </c>
      <c r="I23" s="104">
        <f>H23</f>
        <v>4.4110000000000005</v>
      </c>
      <c r="J23" s="105"/>
      <c r="K23" s="104">
        <f>F23*G23</f>
        <v>13.232999999999999</v>
      </c>
      <c r="L23" s="105">
        <f>K23</f>
        <v>13.232999999999999</v>
      </c>
    </row>
    <row r="24" spans="1:12" x14ac:dyDescent="0.3">
      <c r="A24" s="101" t="s">
        <v>10</v>
      </c>
      <c r="B24" s="91" t="s">
        <v>58</v>
      </c>
      <c r="C24" s="102" t="s">
        <v>60</v>
      </c>
      <c r="D24" s="102"/>
      <c r="E24" s="106">
        <v>0.2</v>
      </c>
      <c r="F24" s="106">
        <v>0.6</v>
      </c>
      <c r="G24" s="107">
        <v>40.96</v>
      </c>
      <c r="H24" s="104">
        <f t="shared" si="7"/>
        <v>8.1920000000000002</v>
      </c>
      <c r="I24" s="104">
        <f>H24</f>
        <v>8.1920000000000002</v>
      </c>
      <c r="J24" s="105"/>
      <c r="K24" s="104">
        <f>F24*G24</f>
        <v>24.576000000000001</v>
      </c>
      <c r="L24" s="105">
        <f>K24</f>
        <v>24.576000000000001</v>
      </c>
    </row>
    <row r="25" spans="1:12" x14ac:dyDescent="0.3">
      <c r="A25" s="101" t="s">
        <v>13</v>
      </c>
      <c r="B25" s="91" t="s">
        <v>53</v>
      </c>
      <c r="C25" s="102" t="s">
        <v>60</v>
      </c>
      <c r="D25" s="102"/>
      <c r="E25" s="106">
        <v>1</v>
      </c>
      <c r="F25" s="106">
        <v>3</v>
      </c>
      <c r="G25" s="107">
        <v>0.18</v>
      </c>
      <c r="H25" s="104">
        <f t="shared" si="7"/>
        <v>0.18</v>
      </c>
      <c r="I25" s="104">
        <f>H25</f>
        <v>0.18</v>
      </c>
      <c r="J25" s="105"/>
      <c r="K25" s="104">
        <f>F25*G25</f>
        <v>0.54</v>
      </c>
      <c r="L25" s="105">
        <f>K25</f>
        <v>0.54</v>
      </c>
    </row>
    <row r="26" spans="1:12" x14ac:dyDescent="0.3">
      <c r="A26" s="101" t="s">
        <v>9</v>
      </c>
      <c r="B26" s="91" t="s">
        <v>59</v>
      </c>
      <c r="C26" s="102" t="s">
        <v>61</v>
      </c>
      <c r="D26" s="102"/>
      <c r="E26" s="106">
        <v>0.05</v>
      </c>
      <c r="F26" s="106">
        <v>0.15</v>
      </c>
      <c r="G26" s="107">
        <v>2.2999999999999998</v>
      </c>
      <c r="H26" s="104">
        <f t="shared" si="7"/>
        <v>0.11499999999999999</v>
      </c>
      <c r="I26" s="104">
        <f>H26</f>
        <v>0.11499999999999999</v>
      </c>
      <c r="J26" s="105"/>
      <c r="K26" s="104">
        <f>F26*G26</f>
        <v>0.34499999999999997</v>
      </c>
      <c r="L26" s="105">
        <f>K26</f>
        <v>0.34499999999999997</v>
      </c>
    </row>
    <row r="27" spans="1:12" x14ac:dyDescent="0.3">
      <c r="A27" s="110" t="s">
        <v>97</v>
      </c>
      <c r="B27" s="91" t="s">
        <v>87</v>
      </c>
      <c r="C27" s="102"/>
      <c r="D27" s="102"/>
      <c r="E27" s="106">
        <f>'ÜRETİM (ARKAÖN)(alumina)'!I31*60</f>
        <v>840</v>
      </c>
      <c r="F27" s="106">
        <f>'ÜRETİM (ARKAÖN)(alumina)'!I31*60</f>
        <v>840</v>
      </c>
      <c r="G27" s="107">
        <v>0.02</v>
      </c>
      <c r="H27" s="104">
        <f t="shared" si="7"/>
        <v>16.8</v>
      </c>
      <c r="I27" s="104">
        <f>H27</f>
        <v>16.8</v>
      </c>
      <c r="J27" s="105"/>
      <c r="K27" s="104">
        <f>G27*F27</f>
        <v>16.8</v>
      </c>
      <c r="L27" s="105">
        <f>K27</f>
        <v>16.8</v>
      </c>
    </row>
    <row r="28" spans="1:12" x14ac:dyDescent="0.3">
      <c r="A28" s="101" t="s">
        <v>50</v>
      </c>
      <c r="B28" s="91" t="s">
        <v>53</v>
      </c>
      <c r="C28" s="102" t="s">
        <v>60</v>
      </c>
      <c r="D28" s="102"/>
      <c r="E28" s="106"/>
      <c r="F28" s="106"/>
      <c r="G28" s="107">
        <v>0</v>
      </c>
      <c r="H28" s="104">
        <v>0</v>
      </c>
      <c r="I28" s="104"/>
      <c r="J28" s="105"/>
      <c r="K28" s="104">
        <v>0</v>
      </c>
      <c r="L28" s="105"/>
    </row>
    <row r="29" spans="1:12" ht="15" thickBot="1" x14ac:dyDescent="0.35">
      <c r="A29" s="101" t="s">
        <v>51</v>
      </c>
      <c r="B29" s="91" t="s">
        <v>53</v>
      </c>
      <c r="C29" s="102" t="s">
        <v>60</v>
      </c>
      <c r="D29" s="102"/>
      <c r="E29" s="106"/>
      <c r="F29" s="106"/>
      <c r="G29" s="111">
        <v>0</v>
      </c>
      <c r="H29" s="112">
        <v>0</v>
      </c>
      <c r="I29" s="112"/>
      <c r="J29" s="113"/>
      <c r="K29" s="112">
        <v>0</v>
      </c>
      <c r="L29" s="113"/>
    </row>
    <row r="30" spans="1:12" ht="21.6" thickBot="1" x14ac:dyDescent="0.45">
      <c r="A30" s="55"/>
      <c r="E30" s="54"/>
      <c r="F30" s="54"/>
      <c r="G30" s="120" t="s">
        <v>98</v>
      </c>
      <c r="H30" s="121">
        <f>SUM(H5:H29)</f>
        <v>1365.1343000000004</v>
      </c>
      <c r="I30" s="131">
        <f>SUM(I5:I29)</f>
        <v>1387.4497760000002</v>
      </c>
      <c r="J30" s="122">
        <f>H30*1.2</f>
        <v>1638.1611600000003</v>
      </c>
      <c r="K30" s="121">
        <f>SUM(K5:K29)</f>
        <v>3076.6829000000002</v>
      </c>
      <c r="L30" s="123">
        <f>SUM(L5:L29)</f>
        <v>3027.1722400000003</v>
      </c>
    </row>
    <row r="31" spans="1:12" x14ac:dyDescent="0.3">
      <c r="E31" s="54"/>
      <c r="F31" s="54"/>
      <c r="H31" s="76"/>
    </row>
    <row r="32" spans="1:12" x14ac:dyDescent="0.3">
      <c r="E32" s="54"/>
      <c r="F32" s="54"/>
    </row>
    <row r="33" spans="1:6" x14ac:dyDescent="0.3">
      <c r="E33" s="54"/>
      <c r="F33" s="54"/>
    </row>
    <row r="34" spans="1:6" x14ac:dyDescent="0.3">
      <c r="E34" s="54"/>
      <c r="F34" s="54"/>
    </row>
    <row r="35" spans="1:6" x14ac:dyDescent="0.3">
      <c r="E35" s="54"/>
      <c r="F35" s="54"/>
    </row>
    <row r="36" spans="1:6" x14ac:dyDescent="0.3">
      <c r="E36" s="54"/>
      <c r="F36" s="54"/>
    </row>
    <row r="37" spans="1:6" x14ac:dyDescent="0.3">
      <c r="E37" s="54"/>
      <c r="F37" s="54"/>
    </row>
    <row r="38" spans="1:6" x14ac:dyDescent="0.3">
      <c r="A38" s="91" t="s">
        <v>115</v>
      </c>
      <c r="B38" s="91" t="s">
        <v>116</v>
      </c>
      <c r="E38" s="54"/>
      <c r="F38" s="54"/>
    </row>
  </sheetData>
  <mergeCells count="2">
    <mergeCell ref="H3:I3"/>
    <mergeCell ref="K3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Üretim  (2)</vt:lpstr>
      <vt:lpstr>ÜRETİM (ARKAÖN)(alumina)</vt:lpstr>
      <vt:lpstr>sarf malzemeleri 1-3wf alumina</vt:lpstr>
      <vt:lpstr>ÜRETİM (ARKAÖN)(silicon)</vt:lpstr>
      <vt:lpstr>sarf malzemeleri 1-3wf silicon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2024-12-06T10:24:10Z</dcterms:modified>
</cp:coreProperties>
</file>