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ouz\Desktop\LEEFI EEFI SEEMI DEFENCE\"/>
    </mc:Choice>
  </mc:AlternateContent>
  <bookViews>
    <workbookView xWindow="0" yWindow="0" windowWidth="17256" windowHeight="5940"/>
  </bookViews>
  <sheets>
    <sheet name="LEEFI (EFI) Projesi" sheetId="11" r:id="rId1"/>
    <sheet name="işçi maliyeti" sheetId="14" r:id="rId2"/>
    <sheet name="sarf malz 8 ınch" sheetId="19" r:id="rId3"/>
    <sheet name="değişken maliyet" sheetId="15" r:id="rId4"/>
    <sheet name="proses maliyet " sheetId="16" r:id="rId5"/>
    <sheet name="sarf maliyet" sheetId="17" r:id="rId6"/>
    <sheet name="cihaz maliyetleri" sheetId="18" r:id="rId7"/>
  </sheets>
  <externalReferences>
    <externalReference r:id="rId8"/>
  </externalReferences>
  <definedNames>
    <definedName name="_xlnm.Print_Area" localSheetId="0">'LEEFI (EFI) Projesi'!$A$1:$H$56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1" l="1"/>
  <c r="D61" i="11"/>
  <c r="D60" i="11"/>
  <c r="F43" i="11"/>
  <c r="B43" i="11"/>
  <c r="F42" i="11"/>
  <c r="B42" i="11"/>
  <c r="F14" i="18" l="1"/>
  <c r="F15" i="11"/>
  <c r="B15" i="11"/>
  <c r="D34" i="15"/>
  <c r="I25" i="15"/>
  <c r="H25" i="15"/>
  <c r="G25" i="15"/>
  <c r="F25" i="15"/>
  <c r="E25" i="15"/>
  <c r="D25" i="15"/>
  <c r="C25" i="15"/>
  <c r="B25" i="15"/>
  <c r="B17" i="15"/>
  <c r="C17" i="15" s="1"/>
  <c r="D17" i="15" s="1"/>
  <c r="E17" i="15" s="1"/>
  <c r="A9" i="15"/>
  <c r="A11" i="15" s="1"/>
  <c r="C8" i="15"/>
  <c r="F17" i="15" l="1"/>
  <c r="E18" i="15"/>
  <c r="G17" i="15" l="1"/>
  <c r="G18" i="15" s="1"/>
  <c r="F18" i="15"/>
  <c r="G30" i="19" l="1"/>
  <c r="H30" i="19" s="1"/>
  <c r="H5" i="19"/>
  <c r="G28" i="19"/>
  <c r="H28" i="19" s="1"/>
  <c r="H29" i="19"/>
  <c r="G29" i="19"/>
  <c r="E27" i="19" l="1"/>
  <c r="J27" i="19" s="1"/>
  <c r="K27" i="19" s="1"/>
  <c r="D27" i="19"/>
  <c r="G27" i="19" s="1"/>
  <c r="H27" i="19" s="1"/>
  <c r="K26" i="19"/>
  <c r="J26" i="19"/>
  <c r="G26" i="19"/>
  <c r="H26" i="19" s="1"/>
  <c r="K25" i="19"/>
  <c r="J25" i="19"/>
  <c r="G25" i="19"/>
  <c r="H25" i="19" s="1"/>
  <c r="K24" i="19"/>
  <c r="J24" i="19"/>
  <c r="G24" i="19"/>
  <c r="H24" i="19" s="1"/>
  <c r="K23" i="19"/>
  <c r="J23" i="19"/>
  <c r="G23" i="19"/>
  <c r="H23" i="19" s="1"/>
  <c r="K22" i="19"/>
  <c r="J22" i="19"/>
  <c r="G22" i="19"/>
  <c r="H22" i="19" s="1"/>
  <c r="K21" i="19"/>
  <c r="J21" i="19"/>
  <c r="G21" i="19"/>
  <c r="H21" i="19" s="1"/>
  <c r="G20" i="19"/>
  <c r="H20" i="19" s="1"/>
  <c r="E20" i="19"/>
  <c r="J20" i="19" s="1"/>
  <c r="K20" i="19" s="1"/>
  <c r="K19" i="19"/>
  <c r="J19" i="19"/>
  <c r="G19" i="19"/>
  <c r="H19" i="19" s="1"/>
  <c r="K18" i="19"/>
  <c r="J18" i="19"/>
  <c r="G18" i="19"/>
  <c r="H18" i="19" s="1"/>
  <c r="G17" i="19"/>
  <c r="H17" i="19" s="1"/>
  <c r="E17" i="19"/>
  <c r="J17" i="19" s="1"/>
  <c r="G16" i="19"/>
  <c r="H16" i="19" s="1"/>
  <c r="E16" i="19"/>
  <c r="J16" i="19" s="1"/>
  <c r="J15" i="19"/>
  <c r="K15" i="19" s="1"/>
  <c r="G15" i="19"/>
  <c r="H15" i="19" s="1"/>
  <c r="J14" i="19"/>
  <c r="K14" i="19" s="1"/>
  <c r="G14" i="19"/>
  <c r="H14" i="19" s="1"/>
  <c r="J13" i="19"/>
  <c r="K13" i="19" s="1"/>
  <c r="G13" i="19"/>
  <c r="H13" i="19" s="1"/>
  <c r="J12" i="19"/>
  <c r="G12" i="19"/>
  <c r="H12" i="19" s="1"/>
  <c r="E11" i="19"/>
  <c r="J11" i="19" s="1"/>
  <c r="K11" i="19" s="1"/>
  <c r="D11" i="19"/>
  <c r="G11" i="19" s="1"/>
  <c r="J10" i="19"/>
  <c r="K10" i="19" s="1"/>
  <c r="H10" i="19"/>
  <c r="G10" i="19"/>
  <c r="J9" i="19"/>
  <c r="K9" i="19" s="1"/>
  <c r="H9" i="19"/>
  <c r="G9" i="19"/>
  <c r="H8" i="19"/>
  <c r="G8" i="19"/>
  <c r="J8" i="19" s="1"/>
  <c r="K8" i="19" s="1"/>
  <c r="J7" i="19"/>
  <c r="K7" i="19" s="1"/>
  <c r="H7" i="19"/>
  <c r="G7" i="19"/>
  <c r="J6" i="19"/>
  <c r="K6" i="19" s="1"/>
  <c r="H6" i="19"/>
  <c r="G6" i="19"/>
  <c r="J5" i="19"/>
  <c r="H11" i="19" l="1"/>
  <c r="H31" i="19" s="1"/>
  <c r="G31" i="19"/>
  <c r="I31" i="19" s="1"/>
  <c r="J31" i="19"/>
  <c r="K5" i="19"/>
  <c r="K31" i="19" s="1"/>
  <c r="F4" i="18" l="1"/>
  <c r="F5" i="18"/>
  <c r="F6" i="18"/>
  <c r="F7" i="18"/>
  <c r="F8" i="18"/>
  <c r="F9" i="18"/>
  <c r="F10" i="18"/>
  <c r="F11" i="18"/>
  <c r="F12" i="18"/>
  <c r="F15" i="18" s="1"/>
  <c r="F13" i="18"/>
  <c r="F3" i="18"/>
  <c r="C32" i="16" l="1"/>
  <c r="E32" i="16" s="1"/>
  <c r="B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31" i="16" s="1"/>
  <c r="E33" i="16" s="1"/>
  <c r="E34" i="16" s="1"/>
  <c r="F24" i="11"/>
  <c r="D3" i="11" l="1"/>
  <c r="C3" i="11"/>
  <c r="D6" i="11"/>
  <c r="C6" i="11"/>
  <c r="N57" i="14"/>
  <c r="N18" i="14"/>
  <c r="N38" i="14"/>
  <c r="M59" i="14"/>
  <c r="M40" i="14"/>
  <c r="B2" i="11"/>
  <c r="B4" i="11" s="1"/>
  <c r="F21" i="11" l="1"/>
  <c r="F19" i="11"/>
  <c r="B12" i="11"/>
  <c r="M20" i="14"/>
  <c r="B8" i="11" l="1"/>
  <c r="B41" i="11"/>
  <c r="B22" i="11"/>
  <c r="B23" i="11"/>
  <c r="B25" i="11"/>
  <c r="B26" i="11"/>
  <c r="B27" i="11"/>
  <c r="B28" i="11"/>
  <c r="B29" i="11"/>
  <c r="B30" i="11"/>
  <c r="B31" i="11"/>
  <c r="B32" i="11"/>
  <c r="B33" i="11"/>
  <c r="B34" i="11"/>
  <c r="B35" i="11"/>
  <c r="B36" i="11"/>
  <c r="B37" i="11"/>
  <c r="B38" i="11"/>
  <c r="B39" i="11"/>
  <c r="B40" i="11"/>
  <c r="F23" i="11"/>
  <c r="F26" i="11"/>
  <c r="F27" i="11"/>
  <c r="F28" i="11"/>
  <c r="F29" i="11"/>
  <c r="F30" i="11"/>
  <c r="F31" i="11"/>
  <c r="F32" i="11"/>
  <c r="F33" i="11"/>
  <c r="F34" i="11"/>
  <c r="F35" i="11"/>
  <c r="F36" i="11"/>
  <c r="F37" i="11"/>
  <c r="F38" i="11"/>
  <c r="F39" i="11"/>
  <c r="F40" i="11"/>
  <c r="F41" i="11"/>
  <c r="D24" i="11"/>
  <c r="F22" i="11"/>
  <c r="F25" i="11"/>
  <c r="D21" i="11"/>
  <c r="D14" i="11"/>
  <c r="B14" i="11" s="1"/>
  <c r="C2" i="11"/>
  <c r="C4" i="11" s="1"/>
  <c r="C8" i="11" s="1"/>
  <c r="B49" i="11" s="1"/>
  <c r="F44" i="11" l="1"/>
  <c r="D44" i="11"/>
  <c r="B52" i="11" s="1"/>
  <c r="B24" i="11"/>
  <c r="D2" i="11"/>
  <c r="D4" i="11" s="1"/>
  <c r="D52" i="11"/>
  <c r="B21" i="11"/>
  <c r="B44" i="11" s="1"/>
  <c r="B48" i="11"/>
  <c r="C49" i="11" s="1"/>
  <c r="C52" i="11" l="1"/>
  <c r="D48" i="11"/>
  <c r="E52" i="11" s="1"/>
  <c r="D8" i="11"/>
  <c r="F13" i="11" s="1"/>
  <c r="D49" i="11" l="1"/>
  <c r="E49" i="11"/>
  <c r="D13" i="11" l="1"/>
  <c r="B13" i="11" l="1"/>
  <c r="B16" i="11" s="1"/>
  <c r="G12" i="11" l="1"/>
  <c r="E12" i="11"/>
  <c r="F12" i="11" l="1"/>
  <c r="D12" i="11"/>
  <c r="D16" i="11" l="1"/>
  <c r="B50" i="11" s="1"/>
  <c r="F16" i="11"/>
  <c r="D50" i="11" s="1"/>
  <c r="E50" i="11" l="1"/>
  <c r="D53" i="11"/>
  <c r="E53" i="11" s="1"/>
  <c r="D51" i="11"/>
  <c r="B53" i="11"/>
  <c r="B51" i="11"/>
  <c r="C50" i="11"/>
  <c r="D54" i="11" l="1"/>
  <c r="D55" i="11" s="1"/>
  <c r="C53" i="11"/>
  <c r="B54" i="11"/>
  <c r="C54" i="11" s="1"/>
  <c r="D56" i="11"/>
  <c r="D62" i="11" s="1"/>
  <c r="E62" i="11" s="1"/>
  <c r="E54" i="11" l="1"/>
  <c r="B55" i="11"/>
  <c r="B56" i="11" s="1"/>
  <c r="C56" i="11" s="1"/>
  <c r="E56" i="11"/>
</calcChain>
</file>

<file path=xl/comments1.xml><?xml version="1.0" encoding="utf-8"?>
<comments xmlns="http://schemas.openxmlformats.org/spreadsheetml/2006/main">
  <authors>
    <author>teouzun7@gmail.com</author>
  </authors>
  <commentList>
    <comment ref="A2" authorId="0" shapeId="0">
      <text>
        <r>
          <rPr>
            <sz val="9"/>
            <color indexed="81"/>
            <rFont val="Tahoma"/>
            <family val="2"/>
            <charset val="162"/>
          </rPr>
          <t xml:space="preserve">Günde 3 vardiya / Haftada 5 gün çalışma/ Günde 2 wafer üretim
</t>
        </r>
      </text>
    </comment>
  </commentList>
</comments>
</file>

<file path=xl/comments2.xml><?xml version="1.0" encoding="utf-8"?>
<comments xmlns="http://schemas.openxmlformats.org/spreadsheetml/2006/main">
  <authors>
    <author>Yazar</author>
  </authors>
  <commentList>
    <comment ref="E7" authorId="0" shapeId="0">
      <text>
        <r>
          <rPr>
            <b/>
            <sz val="9"/>
            <color indexed="81"/>
            <rFont val="Tahoma"/>
            <family val="2"/>
            <charset val="162"/>
          </rPr>
          <t>Yazar:</t>
        </r>
        <r>
          <rPr>
            <sz val="9"/>
            <color indexed="81"/>
            <rFont val="Tahoma"/>
            <family val="2"/>
            <charset val="162"/>
          </rPr>
          <t xml:space="preserve">
360 OLABİLİR Mİ ?
</t>
        </r>
      </text>
    </comment>
    <comment ref="D9" authorId="0" shapeId="0">
      <text>
        <r>
          <rPr>
            <b/>
            <sz val="9"/>
            <color indexed="81"/>
            <rFont val="Tahoma"/>
            <family val="2"/>
          </rPr>
          <t>Yazar:</t>
        </r>
        <r>
          <rPr>
            <sz val="9"/>
            <color indexed="81"/>
            <rFont val="Tahoma"/>
            <family val="2"/>
          </rPr>
          <t xml:space="preserve">
1 şişe yaklaşık 1 lt</t>
        </r>
      </text>
    </comment>
    <comment ref="E13" authorId="0" shapeId="0">
      <text>
        <r>
          <rPr>
            <b/>
            <sz val="9"/>
            <color indexed="81"/>
            <rFont val="Tahoma"/>
            <family val="2"/>
            <charset val="162"/>
          </rPr>
          <t>Yazar:</t>
        </r>
        <r>
          <rPr>
            <sz val="9"/>
            <color indexed="81"/>
            <rFont val="Tahoma"/>
            <family val="2"/>
            <charset val="162"/>
          </rPr>
          <t xml:space="preserve">
1WAFER VE 3 WAFER DA NM HESABI DEĞİŞMEMESİ GEREKMİYOR MU ?</t>
        </r>
      </text>
    </comment>
    <comment ref="F16" authorId="0" shapeId="0">
      <text>
        <r>
          <rPr>
            <b/>
            <sz val="9"/>
            <color indexed="81"/>
            <rFont val="Tahoma"/>
            <family val="2"/>
            <charset val="162"/>
          </rPr>
          <t>Yazar:</t>
        </r>
        <r>
          <rPr>
            <sz val="9"/>
            <color indexed="81"/>
            <rFont val="Tahoma"/>
            <family val="2"/>
            <charset val="162"/>
          </rPr>
          <t xml:space="preserve">
fiyatı melek hanımın eski hesaplamasından aldım . </t>
        </r>
      </text>
    </comment>
    <comment ref="F17" authorId="0" shapeId="0">
      <text>
        <r>
          <rPr>
            <b/>
            <sz val="9"/>
            <color indexed="81"/>
            <rFont val="Tahoma"/>
            <family val="2"/>
            <charset val="162"/>
          </rPr>
          <t>Yazar:</t>
        </r>
        <r>
          <rPr>
            <sz val="9"/>
            <color indexed="81"/>
            <rFont val="Tahoma"/>
            <family val="2"/>
            <charset val="162"/>
          </rPr>
          <t xml:space="preserve">
güncelde fiyat 35.09 ama Melek Hanımın fiyatı yüksek olduğu için onu dikkate aldım 
</t>
        </r>
      </text>
    </comment>
    <comment ref="F18" authorId="0" shapeId="0">
      <text>
        <r>
          <rPr>
            <b/>
            <sz val="9"/>
            <color indexed="81"/>
            <rFont val="Tahoma"/>
            <family val="2"/>
            <charset val="162"/>
          </rPr>
          <t>Yazar:</t>
        </r>
        <r>
          <rPr>
            <sz val="9"/>
            <color indexed="81"/>
            <rFont val="Tahoma"/>
            <family val="2"/>
            <charset val="162"/>
          </rPr>
          <t xml:space="preserve">
0.01 olabilir </t>
        </r>
      </text>
    </comment>
    <comment ref="F19" authorId="0" shapeId="0">
      <text>
        <r>
          <rPr>
            <b/>
            <sz val="9"/>
            <color indexed="81"/>
            <rFont val="Tahoma"/>
            <family val="2"/>
            <charset val="162"/>
          </rPr>
          <t>Yazar:</t>
        </r>
        <r>
          <rPr>
            <sz val="9"/>
            <color indexed="81"/>
            <rFont val="Tahoma"/>
            <family val="2"/>
            <charset val="162"/>
          </rPr>
          <t xml:space="preserve">
0.01 olabilir </t>
        </r>
      </text>
    </comment>
    <comment ref="F21" authorId="0" shapeId="0">
      <text>
        <r>
          <rPr>
            <b/>
            <sz val="9"/>
            <color indexed="81"/>
            <rFont val="Tahoma"/>
            <family val="2"/>
            <charset val="162"/>
          </rPr>
          <t>Yazar:</t>
        </r>
        <r>
          <rPr>
            <sz val="9"/>
            <color indexed="81"/>
            <rFont val="Tahoma"/>
            <family val="2"/>
            <charset val="162"/>
          </rPr>
          <t xml:space="preserve">
gökhan Bey den güncel fiyat alındı 
</t>
        </r>
      </text>
    </comment>
    <comment ref="F22" authorId="0" shapeId="0">
      <text>
        <r>
          <rPr>
            <b/>
            <sz val="9"/>
            <color indexed="81"/>
            <rFont val="Tahoma"/>
            <family val="2"/>
            <charset val="162"/>
          </rPr>
          <t>Yazar:</t>
        </r>
        <r>
          <rPr>
            <sz val="9"/>
            <color indexed="81"/>
            <rFont val="Tahoma"/>
            <family val="2"/>
            <charset val="162"/>
          </rPr>
          <t xml:space="preserve">
testaş zamanından kalma kullanıldığı için Melek Hanımın fiyatı dikkate alındı
</t>
        </r>
      </text>
    </comment>
    <comment ref="A27" authorId="0" shapeId="0">
      <text>
        <r>
          <rPr>
            <b/>
            <sz val="9"/>
            <color indexed="81"/>
            <rFont val="Tahoma"/>
            <family val="2"/>
          </rPr>
          <t>Yazar:</t>
        </r>
        <r>
          <rPr>
            <sz val="9"/>
            <color indexed="81"/>
            <rFont val="Tahoma"/>
            <family val="2"/>
          </rPr>
          <t xml:space="preserve">
AJA-1 kullanımı esnasında tükeiliyor</t>
        </r>
      </text>
    </comment>
  </commentList>
</comments>
</file>

<file path=xl/sharedStrings.xml><?xml version="1.0" encoding="utf-8"?>
<sst xmlns="http://schemas.openxmlformats.org/spreadsheetml/2006/main" count="394" uniqueCount="260">
  <si>
    <t>Değişken Giderler Toplamı</t>
  </si>
  <si>
    <t>İşletme sermayesi ihtiyacı için kaynak kullanımı</t>
  </si>
  <si>
    <t>SABİT GİDERLER</t>
  </si>
  <si>
    <t>Kargo Nakliye</t>
  </si>
  <si>
    <t>Yurtiçi Seyahat</t>
  </si>
  <si>
    <t>Yurtdışı Seyahat</t>
  </si>
  <si>
    <t>Sergi ve Fuarlar</t>
  </si>
  <si>
    <t>Haberleşme</t>
  </si>
  <si>
    <t>Temizlik vb.</t>
  </si>
  <si>
    <t>Sabit Giderler Toplamı</t>
  </si>
  <si>
    <t>Değişken Giderler</t>
  </si>
  <si>
    <t>Sabit Giderler</t>
  </si>
  <si>
    <t>Giderler Toplamı</t>
  </si>
  <si>
    <t>Katkı Payı</t>
  </si>
  <si>
    <t>Ortalama Satış Fiyatı/Ciro</t>
  </si>
  <si>
    <t>Kar</t>
  </si>
  <si>
    <t>GELİR TABLOSU ÖZET</t>
  </si>
  <si>
    <t>sensor per  wafer / 760 adet</t>
  </si>
  <si>
    <t>Üretim miktarı</t>
  </si>
  <si>
    <t>Adet/ Ay</t>
  </si>
  <si>
    <t>Adet/ Hafta</t>
  </si>
  <si>
    <t>Total Cost Yıllık</t>
  </si>
  <si>
    <t>Total Cost Aylık</t>
  </si>
  <si>
    <t>sensor per  wafer  Fire Maliyeti</t>
  </si>
  <si>
    <t xml:space="preserve">Net Üretim  </t>
  </si>
  <si>
    <t>Wafer net ürün-fire   %</t>
  </si>
  <si>
    <t>Satış fiyatı</t>
  </si>
  <si>
    <t>Satış cirosu</t>
  </si>
  <si>
    <t>Total Cost hafta</t>
  </si>
  <si>
    <t>AY</t>
  </si>
  <si>
    <t>YILLIK</t>
  </si>
  <si>
    <t>Üretimden Satış adedi</t>
  </si>
  <si>
    <t xml:space="preserve">İşyeri Kira Ödemesi </t>
  </si>
  <si>
    <t>Taşıt Yakıt ve Taşıt Masrafları</t>
  </si>
  <si>
    <t>Muhasebe</t>
  </si>
  <si>
    <t xml:space="preserve">Avukatlık </t>
  </si>
  <si>
    <t xml:space="preserve">Patent vs </t>
  </si>
  <si>
    <t>Adet/ Yıllık</t>
  </si>
  <si>
    <t>Kalite belgeleri</t>
  </si>
  <si>
    <t>Elektrik-su-ısınma giderleri</t>
  </si>
  <si>
    <t>Ambalaj giderleri</t>
  </si>
  <si>
    <t>Net KAR</t>
  </si>
  <si>
    <t>TCMB Kur: 34.00.tl</t>
  </si>
  <si>
    <t>Finans yıllık   %54 Faiz</t>
  </si>
  <si>
    <t>Toplam</t>
  </si>
  <si>
    <t>Positive Material Identification, PMI</t>
  </si>
  <si>
    <t>Netten Brüte Maaş Hesabı</t>
  </si>
  <si>
    <t>Ay</t>
  </si>
  <si>
    <t>Net Ücret</t>
  </si>
  <si>
    <t>İşçi SGK Primi</t>
  </si>
  <si>
    <t>İşçi İşsizlik Sigortası</t>
  </si>
  <si>
    <t>Vergi Matrahı</t>
  </si>
  <si>
    <t>Damga Vergisi</t>
  </si>
  <si>
    <t>Gelir Vergisi</t>
  </si>
  <si>
    <t>KGVM*</t>
  </si>
  <si>
    <t>Asgari Ücret Gelir Vergisi İndirimi</t>
  </si>
  <si>
    <t>Brüt Ücret</t>
  </si>
  <si>
    <t>İşveren SGK Payı</t>
  </si>
  <si>
    <t>İşveren İşsizlik Payı</t>
  </si>
  <si>
    <t>Toplam Maliyet</t>
  </si>
  <si>
    <t>OCAK</t>
  </si>
  <si>
    <t>ŞUBAT</t>
  </si>
  <si>
    <t>MART</t>
  </si>
  <si>
    <t>NİSAN</t>
  </si>
  <si>
    <t>MAYIS</t>
  </si>
  <si>
    <t>HAZİRAN</t>
  </si>
  <si>
    <t>TEMMUZ</t>
  </si>
  <si>
    <t>AĞUSTOS</t>
  </si>
  <si>
    <t>EYLÜL</t>
  </si>
  <si>
    <t>EKİM</t>
  </si>
  <si>
    <t>KASIM</t>
  </si>
  <si>
    <t>ARALIK</t>
  </si>
  <si>
    <t>ORT.</t>
  </si>
  <si>
    <t>Oda Aidat, Noter vb.Kırtasiye-kitap / ar-ge  yayın giderleri</t>
  </si>
  <si>
    <t>Servis+Yemek giderleri</t>
  </si>
  <si>
    <t>Yedek Parça ve Diğer Sarflar+kalibrasyon</t>
  </si>
  <si>
    <t>Makine -Amortisman</t>
  </si>
  <si>
    <t>LEEFI Prosesinde Kullanılan Cihazlar</t>
  </si>
  <si>
    <t>WET Bench</t>
  </si>
  <si>
    <t>Manual
SPINNER (SÜSS)</t>
  </si>
  <si>
    <t>AJA</t>
  </si>
  <si>
    <t>Mask Aligner EVG 620</t>
  </si>
  <si>
    <t>Fresenberger Oven</t>
  </si>
  <si>
    <t>Optic Mikroskop</t>
  </si>
  <si>
    <t>Dektak</t>
  </si>
  <si>
    <t>Hirox</t>
  </si>
  <si>
    <t>DISCO DAD- 3350</t>
  </si>
  <si>
    <t>Teminat mektubu komisyonu-Müşteri üretim kontrat için</t>
  </si>
  <si>
    <t>TL</t>
  </si>
  <si>
    <t xml:space="preserve">Vergi Kurumlar %25 </t>
  </si>
  <si>
    <t>KIDEM FON GELİRİ</t>
  </si>
  <si>
    <t>AMORTİSMAN FON GELİRİ</t>
  </si>
  <si>
    <t>Ücretler/Giydirilmiş IK      12 kişi</t>
  </si>
  <si>
    <t>LEEFI Proses Maaliyetleri - 1 Wafer</t>
  </si>
  <si>
    <t>Device / System</t>
  </si>
  <si>
    <t>Cihaz Kullanım Süresi (Saatlik)</t>
  </si>
  <si>
    <t>Cihaz Başında Geçen İşçilik Süresi (Saatlik)</t>
  </si>
  <si>
    <t>Cihaz Saatlik Kiralama Ücreti</t>
  </si>
  <si>
    <t>Toplam Cihaz Kiralama Süresi</t>
  </si>
  <si>
    <t>Yapılan İşlem Açıklaması</t>
  </si>
  <si>
    <t>Mask Cleaner</t>
  </si>
  <si>
    <t>Wafer cleaning</t>
  </si>
  <si>
    <t>Bidtec Manual Spinner</t>
  </si>
  <si>
    <t>PR coating (SPR220-7)</t>
  </si>
  <si>
    <t>Hot Plate</t>
  </si>
  <si>
    <t>Soft bake</t>
  </si>
  <si>
    <t>EVG 620 Mask Aligner</t>
  </si>
  <si>
    <t>Exposure</t>
  </si>
  <si>
    <t>Wet Bench</t>
  </si>
  <si>
    <t>Develop - MF24A</t>
  </si>
  <si>
    <t>Nanoplus O2 plasma</t>
  </si>
  <si>
    <t>Descum</t>
  </si>
  <si>
    <t>Aja Sputter Systems</t>
  </si>
  <si>
    <t>Sputter</t>
  </si>
  <si>
    <t>Acetone lift - off with US Buzzer</t>
  </si>
  <si>
    <t>Optic Microscope</t>
  </si>
  <si>
    <t>Inspection</t>
  </si>
  <si>
    <t>Au etch</t>
  </si>
  <si>
    <t>PR strip with acetone</t>
  </si>
  <si>
    <t>Dektak Surface Profilometer</t>
  </si>
  <si>
    <t>Metal thickness measurement (25 points)</t>
  </si>
  <si>
    <t>PI coating (HD4100)</t>
  </si>
  <si>
    <t>Develop and rinse (PA401D and PA401R)</t>
  </si>
  <si>
    <t>Fresenberger</t>
  </si>
  <si>
    <t>Curing</t>
  </si>
  <si>
    <t>Bridge and PI thickness measurement (25 points)</t>
  </si>
  <si>
    <t>Hirox Microscope</t>
  </si>
  <si>
    <t>Bridge dimension measurement (25 points)</t>
  </si>
  <si>
    <t>Nikon ShuttlePix Microscope</t>
  </si>
  <si>
    <t>PI diameter measurement (25 points)</t>
  </si>
  <si>
    <t>Dicer</t>
  </si>
  <si>
    <t>Dicing and packaging</t>
  </si>
  <si>
    <t>Cleanroom Cost</t>
  </si>
  <si>
    <t>Cleanroom Entrance Fee</t>
  </si>
  <si>
    <t>Toplam  Cihaz Süreleri</t>
  </si>
  <si>
    <t>Toplam Cihaz Maaliyeti</t>
  </si>
  <si>
    <t>İşçilik Maaliyeti</t>
  </si>
  <si>
    <t>TOTAL</t>
  </si>
  <si>
    <t>Summation of Device / System and user cost for one wafer</t>
  </si>
  <si>
    <t>Unit  Cost</t>
  </si>
  <si>
    <t>There are 760 sensors per wafer</t>
  </si>
  <si>
    <t>Sigorta-Elementer</t>
  </si>
  <si>
    <t>Sarf Malzeme &amp;  Maaliyeti</t>
  </si>
  <si>
    <t>Sarf Malzemeler</t>
  </si>
  <si>
    <t>Birimi (Litre/Adet)</t>
  </si>
  <si>
    <t>Malzeme Birim Fiyatı ($)</t>
  </si>
  <si>
    <t>1 Wafer için % kullanım oranı</t>
  </si>
  <si>
    <t xml:space="preserve"> 1 Wafer için Maaliyeti</t>
  </si>
  <si>
    <t>SPR220-7 (Positive Photoresist)</t>
  </si>
  <si>
    <t>Litre</t>
  </si>
  <si>
    <t>HMDS</t>
  </si>
  <si>
    <t>Alumina Wafer</t>
  </si>
  <si>
    <t>Adet</t>
  </si>
  <si>
    <t>MF24A Developer</t>
  </si>
  <si>
    <t>TiW Sputter Target</t>
  </si>
  <si>
    <t>Cu Sputter Target</t>
  </si>
  <si>
    <t>Au Sputter Target</t>
  </si>
  <si>
    <t>Gold Etchant TFD transene</t>
  </si>
  <si>
    <t>Acetone</t>
  </si>
  <si>
    <t>IPA</t>
  </si>
  <si>
    <t>Cihaz Demirbaş Maaliyetleri</t>
  </si>
  <si>
    <t>Cihaz İsmi</t>
  </si>
  <si>
    <t>Birim Fiyatı ($)</t>
  </si>
  <si>
    <t>Kullandığı Gaz /Malzeme</t>
  </si>
  <si>
    <t>Harcama Notu</t>
  </si>
  <si>
    <t>Maske</t>
  </si>
  <si>
    <t>Mask Aligner  (Tahmin)</t>
  </si>
  <si>
    <t>Wet Bench Cleatech 1820-1-B</t>
  </si>
  <si>
    <t>DI ve Argon</t>
  </si>
  <si>
    <t>Microscope Nikon</t>
  </si>
  <si>
    <t>Sputter System /Nanovak</t>
  </si>
  <si>
    <t>Argon</t>
  </si>
  <si>
    <t>Oxygen Plasma /NanoPlas DSB-600</t>
  </si>
  <si>
    <t>Oxygen</t>
  </si>
  <si>
    <t>Surface Profiler /KLA Alpha Step</t>
  </si>
  <si>
    <t>Optical Microscope/Hirox</t>
  </si>
  <si>
    <t>Dicer (Tahmin)</t>
  </si>
  <si>
    <t>Bıçak</t>
  </si>
  <si>
    <t>Her 2 wafer için bir bıçak</t>
  </si>
  <si>
    <t>Oven / Fresenberger</t>
  </si>
  <si>
    <t>TOPLAM</t>
  </si>
  <si>
    <t>GENEL TOPLAM</t>
  </si>
  <si>
    <t xml:space="preserve">8 İNÇ </t>
  </si>
  <si>
    <t>adet</t>
  </si>
  <si>
    <t>die sayısı</t>
  </si>
  <si>
    <t>wf sayısı</t>
  </si>
  <si>
    <t>1 wf</t>
  </si>
  <si>
    <t>3 wf</t>
  </si>
  <si>
    <t>Sarf Malzemeleri</t>
  </si>
  <si>
    <t>Birim</t>
  </si>
  <si>
    <t>Planlanan Kullanım 1 wafer için</t>
  </si>
  <si>
    <t>Planlanan Kullanım 3 wafer için</t>
  </si>
  <si>
    <t>Birim fiyatı  ($)</t>
  </si>
  <si>
    <t>Toplam Fiyat ($)</t>
  </si>
  <si>
    <t>Toplam (Gümrük+Navlun* ($)) KDV HARİÇ</t>
  </si>
  <si>
    <t xml:space="preserve">Toplam (Gümrük+Navlun+KDV HARİÇ* ($)) </t>
  </si>
  <si>
    <t>Alumina Wafer (Wafer 4" Alumina DSP 500 µm±50µm, %96)</t>
  </si>
  <si>
    <t>ok</t>
  </si>
  <si>
    <t>toplam MT cihaz kullanım süresi sıvı azot fırın yok</t>
  </si>
  <si>
    <t>kg/dk</t>
  </si>
  <si>
    <t>MLO7</t>
  </si>
  <si>
    <t>dk</t>
  </si>
  <si>
    <t>Silicone Wafer</t>
  </si>
  <si>
    <t>Photoresist SPR 220-7 (akışta 2 kez/wf-5*2 mlt/wf)</t>
  </si>
  <si>
    <t>mlt</t>
  </si>
  <si>
    <t>HMDS (akışta 2 kez/wf-5*2 mlt/wf)</t>
  </si>
  <si>
    <t>Dicer, DAD DI SU/ pr strip</t>
  </si>
  <si>
    <t>DI SU/ pr strip 5 cycle 5*10 lt</t>
  </si>
  <si>
    <t>lt</t>
  </si>
  <si>
    <t>TiW (4")</t>
  </si>
  <si>
    <t>nm</t>
  </si>
  <si>
    <t>Cu (4")</t>
  </si>
  <si>
    <t>Au</t>
  </si>
  <si>
    <t>Etchant (Commercial gold etchant, Transene)</t>
  </si>
  <si>
    <t>lt/wf</t>
  </si>
  <si>
    <t>Developer (MF24A)</t>
  </si>
  <si>
    <t xml:space="preserve">ASETON </t>
  </si>
  <si>
    <t>ALCOHOL IPA</t>
  </si>
  <si>
    <t>azot (10 lt için 0,808 kg*10 kg azot) İmperial fırın</t>
  </si>
  <si>
    <t>lt/wafer</t>
  </si>
  <si>
    <t>Dicing Blade</t>
  </si>
  <si>
    <t>Metal Tweezer 135 mm</t>
  </si>
  <si>
    <t>Wiper</t>
  </si>
  <si>
    <t>paket</t>
  </si>
  <si>
    <t>Eldiven</t>
  </si>
  <si>
    <t>Pipet Resist Steril</t>
  </si>
  <si>
    <t>Aluminum Folyo</t>
  </si>
  <si>
    <t>rulo</t>
  </si>
  <si>
    <t>Dicing Tape</t>
  </si>
  <si>
    <t>Kasnak</t>
  </si>
  <si>
    <t>toplam</t>
  </si>
  <si>
    <t>Wafer 8" SSP Prime CZ P/B &lt;100&gt; 725±25µm 5-30 Ωcm</t>
  </si>
  <si>
    <t xml:space="preserve">silicon wafer </t>
  </si>
  <si>
    <t>HD4100 PI</t>
  </si>
  <si>
    <t>adet için maliyetler</t>
  </si>
  <si>
    <t>Cihaz kullanım bedeli</t>
  </si>
  <si>
    <t>personel</t>
  </si>
  <si>
    <t>giriş ücretleri</t>
  </si>
  <si>
    <t>sarf</t>
  </si>
  <si>
    <t>kar</t>
  </si>
  <si>
    <t>Karlı Toplam</t>
  </si>
  <si>
    <t>Birim Fiyat</t>
  </si>
  <si>
    <t>parite</t>
  </si>
  <si>
    <t>1 euro 1.1 USD</t>
  </si>
  <si>
    <t>eski fiyat (2020-2022 fiyatları)</t>
  </si>
  <si>
    <t>-</t>
  </si>
  <si>
    <t>yeni fiyat (2023 fiyatları)</t>
  </si>
  <si>
    <t>artış yüzdesi</t>
  </si>
  <si>
    <t>ortalama cihaz kullanım artış</t>
  </si>
  <si>
    <t xml:space="preserve">işçilik bedeli artış </t>
  </si>
  <si>
    <t>*: Yukarıdaki tabloda yer alan fiyatlar Merkez'imiz temizalan cihazlarının birim saat ücretleridir. 14 Nisan 2023 tarihli ve 2023-18 sayılı Yönetim Kurulu Karar'ı ile revize olmuş ve internet sitemizde de yayınlanmıştır. Buna göre cihazların saatlik ücretlerinde ortalama %50, işçilik saat ücreti ise %30 artmıştır. Eğer LEEFİ birim fiyatını birebir bu artışlara göre gerçekleştirmiş olsaydık LEEFİ birim fiyatının 40 Euro'nun üzerine çıkması gerekirdi. ayrıca söz konusu cihaz fiyatlarımız Ocak ayında yeniden güncellenecektir. Biz fiyatımızı veririken bu güncellemeyi de dikkate almadık. Bu açıklamalar dikkate alındığında size vermiş oluduğumuz teklifin son derece makul olduğunu düşünmekteyiz.</t>
  </si>
  <si>
    <t>euro</t>
  </si>
  <si>
    <t>yk kararı ile çıkan fiyat listesi</t>
  </si>
  <si>
    <t>internet sitemiz de de yer lıyor</t>
  </si>
  <si>
    <t>ocak ayında güncellenecek</t>
  </si>
  <si>
    <t>Elektrik-su-Fırınlama  giderleri</t>
  </si>
  <si>
    <t>Temiz Alan Giderleri</t>
  </si>
  <si>
    <t>İlan Reklam-web tasarım</t>
  </si>
  <si>
    <t>Kıdem Tazminatı Gideri</t>
  </si>
  <si>
    <t>fon kaynakları</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</si>
</sst>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_-[$$-409]* #,##0_ ;_-[$$-409]* \-#,##0\ ;_-[$$-409]* &quot;-&quot;??_ ;_-@_ "/>
    <numFmt numFmtId="165" formatCode="_-[$$-409]* #,##0.00_ ;_-[$$-409]* \-#,##0.00\ ;_-[$$-409]* &quot;-&quot;??_ ;_-@_ "/>
    <numFmt numFmtId="166" formatCode="#,##0\ &quot;AY&quot;"/>
    <numFmt numFmtId="167" formatCode="_-[$$-409]* #,##0.00_ ;_-[$$-409]* \-#,##0.00\ ;_-[$$-409]* &quot;-&quot;_ ;_-@_ "/>
    <numFmt numFmtId="168" formatCode="_-[$$-409]* #,##0_ ;_-[$$-409]* \-#,##0\ ;_-[$$-409]* &quot;-&quot;_ ;_-@_ "/>
    <numFmt numFmtId="169" formatCode="_(* #,##0.00_);_(* \(#,##0.00\);_(* &quot;-&quot;??_);_(@_)"/>
    <numFmt numFmtId="170" formatCode="_(&quot;$&quot;* #,##0.00_);_(&quot;$&quot;* \(#,##0.00\);_(&quot;$&quot;* &quot;-&quot;??_);_(@_)"/>
    <numFmt numFmtId="171" formatCode="&quot;$&quot;#,##0.00"/>
    <numFmt numFmtId="172" formatCode="[$€-2]\ #,##0.00_);\([$€-2]\ #,##0.00\)"/>
    <numFmt numFmtId="173" formatCode="&quot;$&quot;#,##0.00_);\(&quot;$&quot;#,##0.00\)"/>
  </numFmts>
  <fonts count="36" x14ac:knownFonts="1">
    <font>
      <sz val="11"/>
      <color theme="1"/>
      <name val="Calibri"/>
      <family val="2"/>
      <charset val="162"/>
      <scheme val="minor"/>
    </font>
    <font>
      <b/>
      <sz val="11"/>
      <color theme="1"/>
      <name val="Calibri"/>
      <family val="2"/>
      <charset val="162"/>
      <scheme val="minor"/>
    </font>
    <font>
      <b/>
      <sz val="11"/>
      <color rgb="FFFF0000"/>
      <name val="Calibri"/>
      <family val="2"/>
      <charset val="162"/>
      <scheme val="minor"/>
    </font>
    <font>
      <sz val="11"/>
      <color theme="1"/>
      <name val="Calibri"/>
      <family val="2"/>
      <charset val="162"/>
      <scheme val="minor"/>
    </font>
    <font>
      <b/>
      <sz val="11"/>
      <color theme="0"/>
      <name val="Calibri"/>
      <family val="2"/>
      <charset val="162"/>
      <scheme val="minor"/>
    </font>
    <font>
      <b/>
      <sz val="10"/>
      <name val="Arial"/>
      <family val="2"/>
    </font>
    <font>
      <b/>
      <sz val="10"/>
      <color indexed="10"/>
      <name val="Arial"/>
      <family val="2"/>
    </font>
    <font>
      <b/>
      <sz val="10"/>
      <color theme="0"/>
      <name val="Arial"/>
      <family val="2"/>
    </font>
    <font>
      <b/>
      <i/>
      <sz val="11"/>
      <color theme="1"/>
      <name val="Calibri"/>
      <family val="2"/>
      <charset val="162"/>
      <scheme val="minor"/>
    </font>
    <font>
      <b/>
      <i/>
      <u/>
      <sz val="11"/>
      <color theme="1"/>
      <name val="Calibri"/>
      <family val="2"/>
      <charset val="162"/>
      <scheme val="minor"/>
    </font>
    <font>
      <sz val="10"/>
      <color theme="1"/>
      <name val="Arial"/>
      <family val="2"/>
      <charset val="162"/>
    </font>
    <font>
      <sz val="14"/>
      <color rgb="FF333333"/>
      <name val="Arial"/>
      <family val="2"/>
      <charset val="162"/>
    </font>
    <font>
      <sz val="8"/>
      <color theme="1"/>
      <name val="Arial"/>
      <family val="2"/>
      <charset val="162"/>
    </font>
    <font>
      <sz val="8"/>
      <color theme="1"/>
      <name val="Arial"/>
      <family val="2"/>
      <charset val="162"/>
    </font>
    <font>
      <b/>
      <sz val="8"/>
      <color theme="1"/>
      <name val="Arial"/>
      <family val="2"/>
      <charset val="162"/>
    </font>
    <font>
      <sz val="10"/>
      <color theme="1"/>
      <name val="Arial"/>
      <family val="2"/>
      <charset val="162"/>
    </font>
    <font>
      <sz val="8"/>
      <color theme="1"/>
      <name val="Arial"/>
      <family val="2"/>
      <charset val="162"/>
    </font>
    <font>
      <b/>
      <sz val="26"/>
      <color theme="0"/>
      <name val="Calibri"/>
      <family val="2"/>
      <scheme val="minor"/>
    </font>
    <font>
      <b/>
      <sz val="20"/>
      <color theme="1"/>
      <name val="Calibri"/>
      <family val="2"/>
      <scheme val="minor"/>
    </font>
    <font>
      <sz val="16"/>
      <color theme="1"/>
      <name val="Calibri"/>
      <family val="2"/>
      <scheme val="minor"/>
    </font>
    <font>
      <b/>
      <u/>
      <sz val="22"/>
      <color theme="1"/>
      <name val="Calibri"/>
      <family val="2"/>
      <scheme val="minor"/>
    </font>
    <font>
      <b/>
      <sz val="22"/>
      <color theme="1"/>
      <name val="Calibri"/>
      <family val="2"/>
      <scheme val="minor"/>
    </font>
    <font>
      <b/>
      <sz val="20"/>
      <color theme="1"/>
      <name val="Calibri"/>
      <family val="2"/>
      <charset val="162"/>
      <scheme val="minor"/>
    </font>
    <font>
      <b/>
      <sz val="16"/>
      <color theme="1"/>
      <name val="Calibri"/>
      <family val="2"/>
      <scheme val="minor"/>
    </font>
    <font>
      <b/>
      <sz val="16"/>
      <color theme="1"/>
      <name val="Calibri"/>
      <family val="2"/>
      <charset val="162"/>
      <scheme val="minor"/>
    </font>
    <font>
      <b/>
      <u/>
      <sz val="11"/>
      <color theme="1"/>
      <name val="Calibri"/>
      <family val="2"/>
      <charset val="162"/>
      <scheme val="minor"/>
    </font>
    <font>
      <b/>
      <sz val="11"/>
      <color theme="1"/>
      <name val="Calibri"/>
      <family val="2"/>
      <scheme val="minor"/>
    </font>
    <font>
      <b/>
      <sz val="9"/>
      <color indexed="81"/>
      <name val="Tahoma"/>
      <family val="2"/>
      <charset val="162"/>
    </font>
    <font>
      <sz val="9"/>
      <color indexed="81"/>
      <name val="Tahoma"/>
      <family val="2"/>
      <charset val="162"/>
    </font>
    <font>
      <b/>
      <sz val="9"/>
      <color indexed="81"/>
      <name val="Tahoma"/>
      <family val="2"/>
    </font>
    <font>
      <sz val="9"/>
      <color indexed="81"/>
      <name val="Tahoma"/>
      <family val="2"/>
    </font>
    <font>
      <b/>
      <sz val="11"/>
      <color rgb="FFFF0000"/>
      <name val="Calibri"/>
      <family val="2"/>
      <scheme val="minor"/>
    </font>
    <font>
      <sz val="11"/>
      <name val="Calibri"/>
      <family val="2"/>
      <scheme val="minor"/>
    </font>
    <font>
      <sz val="11"/>
      <color rgb="FFFFFF00"/>
      <name val="Calibri"/>
      <family val="2"/>
      <scheme val="minor"/>
    </font>
    <font>
      <b/>
      <sz val="10"/>
      <color theme="1"/>
      <name val="Calibri"/>
      <family val="2"/>
      <scheme val="minor"/>
    </font>
    <font>
      <sz val="10"/>
      <color theme="1"/>
      <name val="Calibri"/>
      <family val="2"/>
      <scheme val="minor"/>
    </font>
  </fonts>
  <fills count="19">
    <fill>
      <patternFill patternType="none"/>
    </fill>
    <fill>
      <patternFill patternType="gray125"/>
    </fill>
    <fill>
      <patternFill patternType="solid">
        <fgColor theme="3" tint="0.59999389629810485"/>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51FD7E"/>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E5E5E5"/>
      </left>
      <right style="medium">
        <color rgb="FFE5E5E5"/>
      </right>
      <top style="medium">
        <color rgb="FFE5E5E5"/>
      </top>
      <bottom style="medium">
        <color rgb="FFE5E5E5"/>
      </bottom>
      <diagonal/>
    </border>
    <border>
      <left style="medium">
        <color rgb="FFE5E5E5"/>
      </left>
      <right style="medium">
        <color rgb="FFE5E5E5"/>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9" fontId="3" fillId="0" borderId="0" applyFont="0" applyFill="0" applyBorder="0" applyAlignment="0" applyProtection="0"/>
    <xf numFmtId="44" fontId="3" fillId="0" borderId="0" applyFont="0" applyFill="0" applyBorder="0" applyAlignment="0" applyProtection="0"/>
    <xf numFmtId="0" fontId="3" fillId="0" borderId="0"/>
  </cellStyleXfs>
  <cellXfs count="188">
    <xf numFmtId="0" fontId="0" fillId="0" borderId="0" xfId="0"/>
    <xf numFmtId="165" fontId="0" fillId="0" borderId="0" xfId="0" applyNumberFormat="1"/>
    <xf numFmtId="164" fontId="0" fillId="0" borderId="0" xfId="0" applyNumberFormat="1"/>
    <xf numFmtId="167" fontId="0" fillId="0" borderId="0" xfId="0" applyNumberFormat="1"/>
    <xf numFmtId="0" fontId="6" fillId="2" borderId="0" xfId="0" applyFont="1" applyFill="1"/>
    <xf numFmtId="166" fontId="5" fillId="2" borderId="0" xfId="0" applyNumberFormat="1" applyFont="1" applyFill="1"/>
    <xf numFmtId="0" fontId="5" fillId="2" borderId="0" xfId="0" applyFont="1" applyFill="1" applyAlignment="1">
      <alignment horizontal="center"/>
    </xf>
    <xf numFmtId="9" fontId="0" fillId="0" borderId="0" xfId="1" applyFont="1" applyAlignment="1">
      <alignment horizontal="center"/>
    </xf>
    <xf numFmtId="0" fontId="1" fillId="2" borderId="0" xfId="0" applyFont="1" applyFill="1"/>
    <xf numFmtId="0" fontId="7" fillId="3" borderId="0" xfId="0" applyFont="1" applyFill="1"/>
    <xf numFmtId="167" fontId="4" fillId="3" borderId="0" xfId="0" applyNumberFormat="1" applyFont="1" applyFill="1"/>
    <xf numFmtId="3" fontId="0" fillId="0" borderId="0" xfId="1" applyNumberFormat="1" applyFont="1" applyAlignment="1">
      <alignment horizontal="center"/>
    </xf>
    <xf numFmtId="0" fontId="0" fillId="4" borderId="0" xfId="0" applyFill="1"/>
    <xf numFmtId="164" fontId="0" fillId="4" borderId="0" xfId="0" applyNumberFormat="1" applyFill="1"/>
    <xf numFmtId="0" fontId="0" fillId="0" borderId="0" xfId="0" applyFill="1"/>
    <xf numFmtId="165" fontId="0" fillId="0" borderId="0" xfId="0" applyNumberFormat="1" applyFill="1"/>
    <xf numFmtId="0" fontId="4" fillId="5" borderId="0" xfId="0" applyFont="1" applyFill="1"/>
    <xf numFmtId="164" fontId="4" fillId="5" borderId="0" xfId="0" applyNumberFormat="1" applyFont="1" applyFill="1"/>
    <xf numFmtId="3" fontId="0" fillId="0" borderId="1" xfId="0" applyNumberFormat="1" applyBorder="1" applyAlignment="1">
      <alignment horizontal="center"/>
    </xf>
    <xf numFmtId="0" fontId="5" fillId="0" borderId="0" xfId="0" applyFont="1" applyFill="1" applyBorder="1" applyAlignment="1">
      <alignment horizontal="center"/>
    </xf>
    <xf numFmtId="0" fontId="5" fillId="0" borderId="1" xfId="0" applyFont="1" applyFill="1" applyBorder="1" applyAlignment="1">
      <alignment horizontal="center"/>
    </xf>
    <xf numFmtId="166" fontId="5" fillId="2" borderId="0" xfId="0" applyNumberFormat="1" applyFont="1" applyFill="1" applyAlignment="1">
      <alignment horizontal="center"/>
    </xf>
    <xf numFmtId="165" fontId="6" fillId="2" borderId="0" xfId="0" applyNumberFormat="1" applyFont="1" applyFill="1"/>
    <xf numFmtId="9" fontId="0" fillId="6" borderId="1" xfId="1" applyFont="1" applyFill="1" applyBorder="1" applyAlignment="1">
      <alignment horizontal="center"/>
    </xf>
    <xf numFmtId="9" fontId="0" fillId="0" borderId="0" xfId="0" applyNumberFormat="1"/>
    <xf numFmtId="0" fontId="9" fillId="0" borderId="3" xfId="0" applyFont="1" applyBorder="1"/>
    <xf numFmtId="0" fontId="10" fillId="0" borderId="0" xfId="0" applyFont="1" applyAlignment="1">
      <alignment vertical="center" wrapText="1"/>
    </xf>
    <xf numFmtId="0" fontId="11" fillId="0" borderId="0" xfId="0" applyFont="1" applyAlignment="1">
      <alignment vertical="center" wrapText="1"/>
    </xf>
    <xf numFmtId="0" fontId="12" fillId="7" borderId="5" xfId="0" applyFont="1" applyFill="1" applyBorder="1" applyAlignment="1">
      <alignment horizontal="center" vertical="center" wrapText="1"/>
    </xf>
    <xf numFmtId="0" fontId="12" fillId="7" borderId="5" xfId="0" applyFont="1" applyFill="1" applyBorder="1" applyAlignment="1">
      <alignment horizontal="left" vertical="center" wrapText="1" indent="1"/>
    </xf>
    <xf numFmtId="0" fontId="13" fillId="0" borderId="5" xfId="0" applyFont="1" applyBorder="1" applyAlignment="1">
      <alignment horizontal="right" vertical="center" wrapText="1"/>
    </xf>
    <xf numFmtId="4" fontId="13" fillId="0" borderId="5" xfId="0" applyNumberFormat="1" applyFont="1" applyBorder="1" applyAlignment="1">
      <alignment horizontal="right" vertical="center" wrapText="1"/>
    </xf>
    <xf numFmtId="4" fontId="13" fillId="0" borderId="6" xfId="0" applyNumberFormat="1" applyFont="1" applyFill="1" applyBorder="1" applyAlignment="1">
      <alignment horizontal="right" vertical="center" wrapText="1"/>
    </xf>
    <xf numFmtId="0" fontId="13" fillId="0" borderId="1" xfId="0" applyFont="1" applyBorder="1" applyAlignment="1">
      <alignment horizontal="right" vertical="center" wrapText="1"/>
    </xf>
    <xf numFmtId="4" fontId="13" fillId="0" borderId="1" xfId="0" applyNumberFormat="1" applyFont="1" applyBorder="1" applyAlignment="1">
      <alignment horizontal="right" vertical="center" wrapText="1"/>
    </xf>
    <xf numFmtId="0" fontId="12" fillId="7" borderId="7" xfId="0" applyFont="1" applyFill="1" applyBorder="1" applyAlignment="1">
      <alignment horizontal="left" vertical="center" wrapText="1" indent="1"/>
    </xf>
    <xf numFmtId="4" fontId="13" fillId="0" borderId="8" xfId="0" applyNumberFormat="1" applyFont="1" applyBorder="1" applyAlignment="1">
      <alignment horizontal="right" vertical="center" wrapText="1"/>
    </xf>
    <xf numFmtId="4" fontId="13" fillId="0" borderId="9" xfId="0" applyNumberFormat="1" applyFont="1" applyBorder="1" applyAlignment="1">
      <alignment horizontal="right" vertical="center" wrapText="1"/>
    </xf>
    <xf numFmtId="0" fontId="12" fillId="7" borderId="10"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12" fillId="7" borderId="12" xfId="0" applyFont="1" applyFill="1" applyBorder="1" applyAlignment="1">
      <alignment horizontal="center" vertical="center" wrapText="1"/>
    </xf>
    <xf numFmtId="0" fontId="12" fillId="7" borderId="13" xfId="0" applyFont="1" applyFill="1" applyBorder="1" applyAlignment="1">
      <alignment horizontal="left" vertical="center" wrapText="1" indent="1"/>
    </xf>
    <xf numFmtId="4" fontId="13" fillId="0" borderId="14" xfId="0" applyNumberFormat="1" applyFont="1" applyBorder="1" applyAlignment="1">
      <alignment horizontal="right" vertical="center" wrapText="1"/>
    </xf>
    <xf numFmtId="0" fontId="14" fillId="7" borderId="15" xfId="0" applyFont="1" applyFill="1" applyBorder="1" applyAlignment="1">
      <alignment horizontal="left" vertical="center" wrapText="1" indent="1"/>
    </xf>
    <xf numFmtId="4" fontId="14" fillId="0" borderId="16" xfId="0" applyNumberFormat="1" applyFont="1" applyBorder="1" applyAlignment="1">
      <alignment horizontal="right" vertical="center" wrapText="1"/>
    </xf>
    <xf numFmtId="4" fontId="14" fillId="0" borderId="17" xfId="0" applyNumberFormat="1" applyFont="1" applyBorder="1" applyAlignment="1">
      <alignment horizontal="right" vertical="center" wrapText="1"/>
    </xf>
    <xf numFmtId="168" fontId="0" fillId="0" borderId="0" xfId="0" applyNumberFormat="1"/>
    <xf numFmtId="168" fontId="0" fillId="0" borderId="0" xfId="0" applyNumberFormat="1" applyFill="1"/>
    <xf numFmtId="168" fontId="0" fillId="4" borderId="0" xfId="0" applyNumberFormat="1" applyFill="1"/>
    <xf numFmtId="168" fontId="2" fillId="2" borderId="0" xfId="0" applyNumberFormat="1" applyFont="1" applyFill="1"/>
    <xf numFmtId="168" fontId="0" fillId="6" borderId="0" xfId="0" applyNumberFormat="1" applyFill="1"/>
    <xf numFmtId="168" fontId="0" fillId="0" borderId="0" xfId="1" applyNumberFormat="1" applyFont="1" applyAlignment="1">
      <alignment horizontal="center"/>
    </xf>
    <xf numFmtId="168" fontId="4" fillId="5" borderId="0" xfId="0" applyNumberFormat="1" applyFont="1" applyFill="1"/>
    <xf numFmtId="168" fontId="9" fillId="4" borderId="4" xfId="0" applyNumberFormat="1" applyFont="1" applyFill="1" applyBorder="1"/>
    <xf numFmtId="164" fontId="9" fillId="4" borderId="2" xfId="0" applyNumberFormat="1" applyFont="1" applyFill="1" applyBorder="1"/>
    <xf numFmtId="0" fontId="15" fillId="0" borderId="0" xfId="0" applyFont="1" applyAlignment="1">
      <alignment vertical="center" wrapText="1"/>
    </xf>
    <xf numFmtId="0" fontId="16" fillId="7" borderId="5" xfId="0" applyFont="1" applyFill="1" applyBorder="1" applyAlignment="1">
      <alignment horizontal="center" vertical="center" wrapText="1"/>
    </xf>
    <xf numFmtId="0" fontId="16" fillId="7" borderId="5" xfId="0" applyFont="1" applyFill="1" applyBorder="1" applyAlignment="1">
      <alignment horizontal="left" vertical="center" wrapText="1" indent="1"/>
    </xf>
    <xf numFmtId="0" fontId="12" fillId="0" borderId="5" xfId="0" applyFont="1" applyBorder="1" applyAlignment="1">
      <alignment horizontal="right" vertical="center" wrapText="1"/>
    </xf>
    <xf numFmtId="4" fontId="12" fillId="0" borderId="5" xfId="0" applyNumberFormat="1" applyFont="1" applyBorder="1" applyAlignment="1">
      <alignment horizontal="right" vertical="center" wrapText="1"/>
    </xf>
    <xf numFmtId="164" fontId="1" fillId="0" borderId="0" xfId="0" applyNumberFormat="1" applyFont="1"/>
    <xf numFmtId="164" fontId="8" fillId="0" borderId="0" xfId="0" applyNumberFormat="1" applyFont="1"/>
    <xf numFmtId="9" fontId="0" fillId="0" borderId="1" xfId="1" applyFont="1" applyFill="1" applyBorder="1" applyAlignment="1">
      <alignment horizontal="center"/>
    </xf>
    <xf numFmtId="164" fontId="4" fillId="5" borderId="19" xfId="0" applyNumberFormat="1" applyFont="1" applyFill="1" applyBorder="1"/>
    <xf numFmtId="168" fontId="5" fillId="2" borderId="0" xfId="0" applyNumberFormat="1" applyFont="1" applyFill="1"/>
    <xf numFmtId="168" fontId="4" fillId="3" borderId="0" xfId="0" applyNumberFormat="1" applyFont="1" applyFill="1"/>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0" xfId="0" applyFont="1"/>
    <xf numFmtId="0" fontId="19" fillId="0" borderId="1" xfId="0" applyFont="1" applyBorder="1" applyAlignment="1">
      <alignment horizontal="left" vertical="center"/>
    </xf>
    <xf numFmtId="0" fontId="19" fillId="0" borderId="1" xfId="0" applyFont="1" applyBorder="1" applyAlignment="1">
      <alignment horizontal="center" vertical="center"/>
    </xf>
    <xf numFmtId="165" fontId="19" fillId="0" borderId="1" xfId="0" applyNumberFormat="1" applyFont="1" applyBorder="1" applyAlignment="1">
      <alignment horizontal="center" vertical="center"/>
    </xf>
    <xf numFmtId="165" fontId="19" fillId="0" borderId="1" xfId="0" applyNumberFormat="1" applyFont="1" applyBorder="1" applyAlignment="1">
      <alignment horizontal="right" vertical="center"/>
    </xf>
    <xf numFmtId="0" fontId="19" fillId="0" borderId="1" xfId="0" applyFont="1" applyBorder="1" applyAlignment="1">
      <alignment vertical="center"/>
    </xf>
    <xf numFmtId="0" fontId="19" fillId="0" borderId="21" xfId="0" applyFont="1" applyBorder="1" applyAlignment="1">
      <alignment horizontal="left" vertical="center"/>
    </xf>
    <xf numFmtId="165" fontId="19" fillId="0" borderId="18" xfId="0" applyNumberFormat="1" applyFont="1" applyBorder="1" applyAlignment="1">
      <alignment horizontal="right" vertical="center"/>
    </xf>
    <xf numFmtId="0" fontId="19" fillId="10" borderId="1" xfId="0" applyFont="1" applyFill="1" applyBorder="1" applyAlignment="1">
      <alignment horizontal="left" vertical="center"/>
    </xf>
    <xf numFmtId="0" fontId="19" fillId="10" borderId="1" xfId="0" applyFont="1" applyFill="1" applyBorder="1" applyAlignment="1">
      <alignment horizontal="center" vertical="center"/>
    </xf>
    <xf numFmtId="165" fontId="19" fillId="10" borderId="1" xfId="0" applyNumberFormat="1" applyFont="1" applyFill="1" applyBorder="1" applyAlignment="1">
      <alignment horizontal="center" vertical="center"/>
    </xf>
    <xf numFmtId="0" fontId="19" fillId="10" borderId="1" xfId="0" applyFont="1" applyFill="1" applyBorder="1" applyAlignment="1">
      <alignment horizontal="right" vertical="center"/>
    </xf>
    <xf numFmtId="165" fontId="21" fillId="11" borderId="1" xfId="0" applyNumberFormat="1" applyFont="1" applyFill="1" applyBorder="1" applyAlignment="1">
      <alignment horizontal="center" vertical="center"/>
    </xf>
    <xf numFmtId="165" fontId="19" fillId="11" borderId="1" xfId="0" applyNumberFormat="1" applyFont="1" applyFill="1" applyBorder="1" applyAlignment="1">
      <alignment horizontal="right" vertical="center"/>
    </xf>
    <xf numFmtId="0" fontId="23" fillId="0" borderId="1" xfId="0" applyFont="1" applyBorder="1" applyAlignment="1">
      <alignment horizontal="center"/>
    </xf>
    <xf numFmtId="0" fontId="19" fillId="0" borderId="1" xfId="0" applyFont="1" applyBorder="1" applyAlignment="1">
      <alignment horizontal="center"/>
    </xf>
    <xf numFmtId="0" fontId="19" fillId="0" borderId="1" xfId="0" applyFont="1" applyBorder="1"/>
    <xf numFmtId="0" fontId="0" fillId="0" borderId="0" xfId="0" applyAlignment="1">
      <alignment horizontal="center"/>
    </xf>
    <xf numFmtId="0" fontId="24" fillId="0" borderId="0" xfId="0" applyFont="1" applyAlignment="1">
      <alignment horizontal="center"/>
    </xf>
    <xf numFmtId="0" fontId="0" fillId="0" borderId="1" xfId="0" applyBorder="1"/>
    <xf numFmtId="0" fontId="24" fillId="0" borderId="1" xfId="0" applyFont="1" applyBorder="1" applyAlignment="1">
      <alignment horizontal="center"/>
    </xf>
    <xf numFmtId="164" fontId="19" fillId="0" borderId="1" xfId="0" applyNumberFormat="1" applyFont="1" applyBorder="1" applyAlignment="1">
      <alignment horizontal="center" vertical="center"/>
    </xf>
    <xf numFmtId="164" fontId="24" fillId="0" borderId="1" xfId="0" applyNumberFormat="1" applyFont="1" applyBorder="1" applyAlignment="1">
      <alignment horizontal="center"/>
    </xf>
    <xf numFmtId="0" fontId="24" fillId="13" borderId="10" xfId="0" applyFont="1" applyFill="1" applyBorder="1" applyAlignment="1">
      <alignment horizontal="center"/>
    </xf>
    <xf numFmtId="0" fontId="24" fillId="13" borderId="11" xfId="0" applyFont="1" applyFill="1" applyBorder="1" applyAlignment="1">
      <alignment horizontal="center"/>
    </xf>
    <xf numFmtId="0" fontId="24" fillId="13" borderId="12" xfId="0" applyFont="1" applyFill="1" applyBorder="1" applyAlignment="1">
      <alignment horizontal="center"/>
    </xf>
    <xf numFmtId="0" fontId="24" fillId="13" borderId="13" xfId="0" applyFont="1" applyFill="1" applyBorder="1" applyAlignment="1">
      <alignment horizontal="center"/>
    </xf>
    <xf numFmtId="0" fontId="24" fillId="13" borderId="1" xfId="0" applyFont="1" applyFill="1" applyBorder="1" applyAlignment="1">
      <alignment horizontal="center"/>
    </xf>
    <xf numFmtId="0" fontId="24" fillId="13" borderId="14" xfId="0" applyFont="1" applyFill="1" applyBorder="1" applyAlignment="1">
      <alignment horizontal="center"/>
    </xf>
    <xf numFmtId="0" fontId="24" fillId="13" borderId="15" xfId="0" applyFont="1" applyFill="1" applyBorder="1" applyAlignment="1">
      <alignment horizontal="center"/>
    </xf>
    <xf numFmtId="0" fontId="24" fillId="13" borderId="16" xfId="0" applyFont="1" applyFill="1" applyBorder="1" applyAlignment="1">
      <alignment horizontal="center"/>
    </xf>
    <xf numFmtId="0" fontId="24" fillId="13" borderId="17" xfId="0" applyFont="1" applyFill="1" applyBorder="1" applyAlignment="1">
      <alignment horizontal="center"/>
    </xf>
    <xf numFmtId="0" fontId="1" fillId="14" borderId="22" xfId="0" applyFont="1" applyFill="1" applyBorder="1" applyAlignment="1">
      <alignment horizontal="center"/>
    </xf>
    <xf numFmtId="0" fontId="25" fillId="16" borderId="1" xfId="0" applyFont="1" applyFill="1" applyBorder="1" applyAlignment="1">
      <alignment vertical="center"/>
    </xf>
    <xf numFmtId="0" fontId="25" fillId="16" borderId="1" xfId="0" applyFont="1" applyFill="1" applyBorder="1" applyAlignment="1">
      <alignment vertical="center" wrapText="1"/>
    </xf>
    <xf numFmtId="0" fontId="25" fillId="16" borderId="23" xfId="0" applyFont="1" applyFill="1" applyBorder="1" applyAlignment="1">
      <alignment vertical="center" wrapText="1"/>
    </xf>
    <xf numFmtId="0" fontId="25" fillId="16" borderId="23" xfId="0" applyFont="1" applyFill="1" applyBorder="1" applyAlignment="1">
      <alignment horizontal="center" vertical="center" wrapText="1"/>
    </xf>
    <xf numFmtId="0" fontId="25" fillId="15" borderId="23" xfId="0" applyFont="1" applyFill="1" applyBorder="1" applyAlignment="1">
      <alignment horizontal="center" vertical="center" wrapText="1"/>
    </xf>
    <xf numFmtId="0" fontId="25" fillId="16" borderId="1" xfId="0" applyFont="1" applyFill="1" applyBorder="1" applyAlignment="1">
      <alignment horizontal="center" vertical="center" wrapText="1"/>
    </xf>
    <xf numFmtId="0" fontId="0" fillId="0" borderId="1" xfId="0" applyBorder="1" applyAlignment="1">
      <alignment vertical="center"/>
    </xf>
    <xf numFmtId="0" fontId="0" fillId="0" borderId="1" xfId="0" applyFont="1" applyBorder="1" applyAlignment="1">
      <alignment vertical="center"/>
    </xf>
    <xf numFmtId="0" fontId="0" fillId="0" borderId="1" xfId="0" applyFont="1" applyBorder="1" applyAlignment="1">
      <alignment horizontal="center" vertical="center"/>
    </xf>
    <xf numFmtId="44" fontId="0" fillId="0" borderId="1" xfId="2" applyFont="1" applyBorder="1" applyAlignment="1">
      <alignment vertical="center"/>
    </xf>
    <xf numFmtId="169" fontId="0" fillId="0" borderId="1" xfId="0" applyNumberFormat="1" applyFont="1" applyBorder="1" applyAlignment="1">
      <alignment vertical="center"/>
    </xf>
    <xf numFmtId="0" fontId="0" fillId="0" borderId="1" xfId="0" applyFill="1" applyBorder="1" applyAlignment="1">
      <alignment vertical="center"/>
    </xf>
    <xf numFmtId="0" fontId="0" fillId="0" borderId="1" xfId="0" applyFill="1" applyBorder="1"/>
    <xf numFmtId="0" fontId="0" fillId="0" borderId="1" xfId="0" applyFont="1" applyFill="1" applyBorder="1" applyAlignment="1">
      <alignment vertical="center"/>
    </xf>
    <xf numFmtId="0" fontId="0" fillId="0" borderId="1" xfId="0" applyFill="1" applyBorder="1" applyAlignment="1">
      <alignment horizontal="center"/>
    </xf>
    <xf numFmtId="44" fontId="0" fillId="0" borderId="1" xfId="2" applyFont="1" applyFill="1" applyBorder="1"/>
    <xf numFmtId="44" fontId="0" fillId="0" borderId="1" xfId="2" applyFont="1" applyFill="1" applyBorder="1" applyAlignment="1">
      <alignment vertical="center"/>
    </xf>
    <xf numFmtId="169" fontId="0" fillId="0" borderId="1" xfId="0" applyNumberFormat="1" applyFont="1" applyFill="1" applyBorder="1" applyAlignment="1">
      <alignment vertical="center"/>
    </xf>
    <xf numFmtId="0" fontId="0" fillId="8" borderId="1" xfId="0" applyFill="1" applyBorder="1" applyAlignment="1">
      <alignment vertical="center"/>
    </xf>
    <xf numFmtId="0" fontId="0" fillId="8" borderId="1" xfId="0" applyFont="1" applyFill="1" applyBorder="1" applyAlignment="1">
      <alignment vertical="center"/>
    </xf>
    <xf numFmtId="0" fontId="0" fillId="8" borderId="1" xfId="0" applyFont="1" applyFill="1" applyBorder="1" applyAlignment="1">
      <alignment horizontal="center" vertical="center"/>
    </xf>
    <xf numFmtId="44" fontId="0" fillId="8" borderId="1" xfId="2" applyFont="1" applyFill="1" applyBorder="1" applyAlignment="1">
      <alignment vertical="center"/>
    </xf>
    <xf numFmtId="169" fontId="0" fillId="8" borderId="1" xfId="0" applyNumberFormat="1" applyFont="1" applyFill="1" applyBorder="1" applyAlignment="1">
      <alignment vertical="center"/>
    </xf>
    <xf numFmtId="0" fontId="0" fillId="0" borderId="1" xfId="0" applyBorder="1" applyAlignment="1">
      <alignment horizontal="center"/>
    </xf>
    <xf numFmtId="44" fontId="0" fillId="0" borderId="1" xfId="2" applyFont="1" applyBorder="1"/>
    <xf numFmtId="0" fontId="0" fillId="8" borderId="1" xfId="0" applyFill="1" applyBorder="1"/>
    <xf numFmtId="0" fontId="0" fillId="8" borderId="1" xfId="0" applyFill="1" applyBorder="1" applyAlignment="1">
      <alignment horizontal="center"/>
    </xf>
    <xf numFmtId="44" fontId="0" fillId="8" borderId="1" xfId="2" applyFont="1" applyFill="1" applyBorder="1"/>
    <xf numFmtId="0" fontId="3" fillId="8" borderId="1" xfId="3" applyFill="1" applyBorder="1"/>
    <xf numFmtId="44" fontId="0" fillId="8" borderId="24" xfId="2" applyFont="1" applyFill="1" applyBorder="1"/>
    <xf numFmtId="44" fontId="0" fillId="8" borderId="24" xfId="2" applyFont="1" applyFill="1" applyBorder="1" applyAlignment="1">
      <alignment vertical="center"/>
    </xf>
    <xf numFmtId="169" fontId="0" fillId="8" borderId="24" xfId="0" applyNumberFormat="1" applyFont="1" applyFill="1" applyBorder="1" applyAlignment="1">
      <alignment vertical="center"/>
    </xf>
    <xf numFmtId="0" fontId="26" fillId="0" borderId="0" xfId="0" applyFont="1" applyFill="1" applyBorder="1" applyAlignment="1">
      <alignment vertical="center"/>
    </xf>
    <xf numFmtId="0" fontId="24" fillId="0" borderId="7" xfId="0" applyFont="1" applyBorder="1"/>
    <xf numFmtId="43" fontId="24" fillId="0" borderId="8" xfId="0" applyNumberFormat="1" applyFont="1" applyBorder="1"/>
    <xf numFmtId="43" fontId="24" fillId="0" borderId="8" xfId="0" applyNumberFormat="1" applyFont="1" applyFill="1" applyBorder="1"/>
    <xf numFmtId="43" fontId="24" fillId="17" borderId="8" xfId="0" applyNumberFormat="1" applyFont="1" applyFill="1" applyBorder="1"/>
    <xf numFmtId="43" fontId="24" fillId="17" borderId="9" xfId="0" applyNumberFormat="1" applyFont="1" applyFill="1" applyBorder="1"/>
    <xf numFmtId="43" fontId="0" fillId="0" borderId="0" xfId="0" applyNumberFormat="1"/>
    <xf numFmtId="168" fontId="1" fillId="0" borderId="0" xfId="0" applyNumberFormat="1" applyFont="1"/>
    <xf numFmtId="44" fontId="2" fillId="8" borderId="24" xfId="2" applyFont="1" applyFill="1" applyBorder="1"/>
    <xf numFmtId="0" fontId="31" fillId="0" borderId="0" xfId="0" applyFont="1" applyFill="1" applyBorder="1" applyAlignment="1">
      <alignment vertical="center"/>
    </xf>
    <xf numFmtId="171" fontId="32" fillId="18" borderId="0" xfId="0" applyNumberFormat="1" applyFont="1" applyFill="1" applyBorder="1" applyAlignment="1">
      <alignment horizontal="center" vertical="center"/>
    </xf>
    <xf numFmtId="0" fontId="32" fillId="18" borderId="0" xfId="0" applyFont="1" applyFill="1" applyBorder="1" applyAlignment="1">
      <alignment vertical="center"/>
    </xf>
    <xf numFmtId="0" fontId="32" fillId="18" borderId="0" xfId="0" applyNumberFormat="1" applyFont="1" applyFill="1" applyBorder="1" applyAlignment="1">
      <alignment horizontal="center" vertical="center"/>
    </xf>
    <xf numFmtId="171" fontId="0" fillId="18" borderId="0" xfId="0" applyNumberFormat="1" applyFill="1" applyBorder="1" applyAlignment="1">
      <alignment horizontal="center" vertical="center"/>
    </xf>
    <xf numFmtId="0" fontId="0" fillId="18" borderId="0" xfId="0" applyFill="1" applyBorder="1" applyAlignment="1">
      <alignment horizontal="left" vertical="center"/>
    </xf>
    <xf numFmtId="171" fontId="0" fillId="4" borderId="0" xfId="0" applyNumberFormat="1" applyFill="1" applyBorder="1" applyAlignment="1">
      <alignment horizontal="center" vertical="center"/>
    </xf>
    <xf numFmtId="0" fontId="0" fillId="4" borderId="0" xfId="0" applyFill="1" applyBorder="1" applyAlignment="1">
      <alignment horizontal="left" vertical="center"/>
    </xf>
    <xf numFmtId="0" fontId="0" fillId="15" borderId="0" xfId="0" applyFill="1" applyAlignment="1"/>
    <xf numFmtId="0" fontId="0" fillId="0" borderId="0" xfId="0" applyAlignment="1"/>
    <xf numFmtId="0" fontId="32" fillId="15" borderId="0" xfId="0" applyFont="1" applyFill="1" applyBorder="1" applyAlignment="1">
      <alignment vertical="center"/>
    </xf>
    <xf numFmtId="0" fontId="32" fillId="0" borderId="0" xfId="0" applyFont="1" applyFill="1" applyBorder="1" applyAlignment="1">
      <alignment vertical="center"/>
    </xf>
    <xf numFmtId="0" fontId="0" fillId="0" borderId="0" xfId="0" applyFill="1" applyBorder="1" applyAlignment="1">
      <alignment horizontal="center" vertical="center"/>
    </xf>
    <xf numFmtId="0" fontId="32" fillId="0" borderId="0" xfId="0" applyFont="1" applyFill="1" applyBorder="1" applyAlignment="1">
      <alignment horizontal="center" vertical="center"/>
    </xf>
    <xf numFmtId="172" fontId="0" fillId="0" borderId="0" xfId="0" applyNumberFormat="1" applyFill="1" applyBorder="1" applyAlignment="1">
      <alignment horizontal="center" vertical="center"/>
    </xf>
    <xf numFmtId="0" fontId="33" fillId="0" borderId="0" xfId="0" applyFont="1" applyFill="1" applyBorder="1" applyAlignment="1">
      <alignment vertical="center"/>
    </xf>
    <xf numFmtId="170" fontId="0" fillId="0" borderId="0" xfId="0" applyNumberFormat="1" applyFill="1" applyBorder="1" applyAlignment="1">
      <alignment horizontal="center" vertical="center"/>
    </xf>
    <xf numFmtId="173" fontId="0" fillId="0" borderId="0" xfId="0" applyNumberFormat="1" applyFill="1" applyBorder="1" applyAlignment="1">
      <alignment horizontal="center" vertical="center"/>
    </xf>
    <xf numFmtId="0" fontId="34" fillId="0" borderId="1" xfId="0" applyFont="1" applyFill="1" applyBorder="1" applyAlignment="1">
      <alignment vertical="center"/>
    </xf>
    <xf numFmtId="0" fontId="34" fillId="0" borderId="1" xfId="0" applyFont="1" applyBorder="1" applyAlignment="1">
      <alignment horizontal="center" vertical="center" wrapText="1"/>
    </xf>
    <xf numFmtId="0" fontId="35" fillId="0" borderId="1" xfId="0" applyFont="1" applyFill="1" applyBorder="1"/>
    <xf numFmtId="171" fontId="35" fillId="0" borderId="1" xfId="0" applyNumberFormat="1" applyFont="1" applyBorder="1" applyAlignment="1">
      <alignment horizontal="center" vertical="center"/>
    </xf>
    <xf numFmtId="0" fontId="35" fillId="0" borderId="1" xfId="0" applyFont="1" applyFill="1" applyBorder="1" applyAlignment="1">
      <alignment vertical="center"/>
    </xf>
    <xf numFmtId="1" fontId="35" fillId="0" borderId="1" xfId="0" applyNumberFormat="1" applyFont="1" applyFill="1" applyBorder="1" applyAlignment="1">
      <alignment horizontal="center" vertical="center" wrapText="1"/>
    </xf>
    <xf numFmtId="1" fontId="35" fillId="0" borderId="1" xfId="0" applyNumberFormat="1" applyFont="1" applyFill="1" applyBorder="1" applyAlignment="1">
      <alignment horizontal="center" vertical="center"/>
    </xf>
    <xf numFmtId="0" fontId="34" fillId="0" borderId="0" xfId="0" applyFont="1" applyFill="1" applyBorder="1"/>
    <xf numFmtId="9" fontId="26" fillId="0" borderId="0" xfId="0" applyNumberFormat="1" applyFont="1" applyAlignment="1">
      <alignment horizontal="center"/>
    </xf>
    <xf numFmtId="0" fontId="0" fillId="0" borderId="0" xfId="0" applyAlignment="1">
      <alignment wrapText="1"/>
    </xf>
    <xf numFmtId="3" fontId="0" fillId="0" borderId="0" xfId="0" applyNumberFormat="1" applyFill="1"/>
    <xf numFmtId="0" fontId="9" fillId="0" borderId="0" xfId="0" applyFont="1"/>
    <xf numFmtId="3" fontId="1" fillId="0" borderId="1" xfId="0" applyNumberFormat="1" applyFont="1" applyBorder="1" applyAlignment="1">
      <alignment horizontal="center"/>
    </xf>
    <xf numFmtId="9" fontId="9" fillId="0" borderId="0" xfId="1" applyFont="1" applyAlignment="1">
      <alignment horizontal="center"/>
    </xf>
    <xf numFmtId="164" fontId="1" fillId="4" borderId="0" xfId="0" applyNumberFormat="1" applyFont="1" applyFill="1"/>
    <xf numFmtId="0" fontId="1" fillId="14" borderId="3" xfId="0" applyFont="1" applyFill="1" applyBorder="1" applyAlignment="1">
      <alignment horizontal="center"/>
    </xf>
    <xf numFmtId="0" fontId="1" fillId="14" borderId="4" xfId="0" applyFont="1" applyFill="1" applyBorder="1" applyAlignment="1">
      <alignment horizontal="center"/>
    </xf>
    <xf numFmtId="0" fontId="1" fillId="15" borderId="3" xfId="0" applyFont="1" applyFill="1" applyBorder="1" applyAlignment="1">
      <alignment horizontal="center"/>
    </xf>
    <xf numFmtId="0" fontId="1" fillId="15" borderId="4" xfId="0" applyFont="1" applyFill="1" applyBorder="1" applyAlignment="1">
      <alignment horizontal="center"/>
    </xf>
    <xf numFmtId="0" fontId="0" fillId="0" borderId="0" xfId="0" applyAlignment="1">
      <alignment horizontal="center" wrapText="1"/>
    </xf>
    <xf numFmtId="0" fontId="17" fillId="9" borderId="18" xfId="0" applyFont="1" applyFill="1" applyBorder="1" applyAlignment="1">
      <alignment horizontal="center" vertical="center"/>
    </xf>
    <xf numFmtId="0" fontId="17" fillId="9" borderId="20" xfId="0" applyFont="1" applyFill="1" applyBorder="1" applyAlignment="1">
      <alignment horizontal="center" vertical="center"/>
    </xf>
    <xf numFmtId="0" fontId="17" fillId="9" borderId="21" xfId="0" applyFont="1" applyFill="1" applyBorder="1" applyAlignment="1">
      <alignment horizontal="center" vertical="center"/>
    </xf>
    <xf numFmtId="0" fontId="20" fillId="11" borderId="18" xfId="0" applyFont="1" applyFill="1" applyBorder="1" applyAlignment="1">
      <alignment horizontal="right" vertical="center"/>
    </xf>
    <xf numFmtId="0" fontId="20" fillId="11" borderId="20" xfId="0" applyFont="1" applyFill="1" applyBorder="1" applyAlignment="1">
      <alignment horizontal="right" vertical="center"/>
    </xf>
    <xf numFmtId="0" fontId="20" fillId="11" borderId="21" xfId="0" applyFont="1" applyFill="1" applyBorder="1" applyAlignment="1">
      <alignment horizontal="right" vertical="center"/>
    </xf>
    <xf numFmtId="0" fontId="22" fillId="12" borderId="0" xfId="0" applyFont="1" applyFill="1" applyAlignment="1">
      <alignment horizontal="center"/>
    </xf>
    <xf numFmtId="0" fontId="22" fillId="12" borderId="0" xfId="0" applyFont="1" applyFill="1" applyAlignment="1">
      <alignment horizontal="left"/>
    </xf>
  </cellXfs>
  <cellStyles count="4">
    <cellStyle name="Normal" xfId="0" builtinId="0"/>
    <cellStyle name="Normal 2" xfId="3"/>
    <cellStyle name="ParaBirimi" xfId="2" builtinId="4"/>
    <cellStyle name="Yüzde" xfId="1" builtinId="5"/>
  </cellStyles>
  <dxfs count="8">
    <dxf>
      <font>
        <strike val="0"/>
        <outline val="0"/>
        <shadow val="0"/>
        <u val="none"/>
        <vertAlign val="baseline"/>
        <sz val="16"/>
        <color theme="1"/>
        <name val="Calibri"/>
        <scheme val="minor"/>
      </font>
      <numFmt numFmtId="165" formatCode="_-[$$-409]* #,##0.00_ ;_-[$$-409]* \-#,##0.00\ ;_-[$$-409]* &quot;-&quot;??_ ;_-@_ "/>
      <alignment horizontal="right"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6"/>
        <color theme="1"/>
        <name val="Calibri"/>
        <scheme val="minor"/>
      </font>
      <numFmt numFmtId="165" formatCode="_-[$$-409]* #,##0.00_ ;_-[$$-409]* \-#,##0.00\ ;_-[$$-409]* &quot;-&quot;??_ ;_-@_ "/>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6"/>
        <color theme="1"/>
        <name val="Calibri"/>
        <scheme val="minor"/>
      </font>
      <numFmt numFmtId="165" formatCode="_-[$$-409]* #,##0.00_ ;_-[$$-409]* \-#,##0.00\ ;_-[$$-409]* &quot;-&quot;??_ ;_-@_ "/>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6"/>
        <color theme="1"/>
        <name val="Calibri"/>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6"/>
        <color theme="1"/>
        <name val="Calibri"/>
        <scheme val="minor"/>
      </font>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6"/>
        <color rgb="FF000000"/>
        <name val="Calibri"/>
        <scheme val="none"/>
      </font>
    </dxf>
    <dxf>
      <font>
        <b/>
        <strike val="0"/>
        <outline val="0"/>
        <shadow val="0"/>
        <u val="none"/>
        <vertAlign val="baseline"/>
        <sz val="20"/>
        <color theme="1"/>
        <name val="Calibri"/>
        <scheme val="minor"/>
      </font>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A-5CC6-11CF-8D67-00AA00BDCE1D}" ax:persistence="persistStream" r:id="rId1"/>
</file>

<file path=xl/activeX/activeX12.xml><?xml version="1.0" encoding="utf-8"?>
<ax:ocx xmlns:ax="http://schemas.microsoft.com/office/2006/activeX" xmlns:r="http://schemas.openxmlformats.org/officeDocument/2006/relationships" ax:classid="{5512D11A-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15.xml><?xml version="1.0" encoding="utf-8"?>
<ax:ocx xmlns:ax="http://schemas.microsoft.com/office/2006/activeX" xmlns:r="http://schemas.openxmlformats.org/officeDocument/2006/relationships" ax:classid="{5512D11A-5CC6-11CF-8D67-00AA00BDCE1D}" ax:persistence="persistStream" r:id="rId1"/>
</file>

<file path=xl/activeX/activeX16.xml><?xml version="1.0" encoding="utf-8"?>
<ax:ocx xmlns:ax="http://schemas.microsoft.com/office/2006/activeX" xmlns:r="http://schemas.openxmlformats.org/officeDocument/2006/relationships" ax:classid="{5512D11A-5CC6-11CF-8D67-00AA00BDCE1D}" ax:persistence="persistStream" r:id="rId1"/>
</file>

<file path=xl/activeX/activeX17.xml><?xml version="1.0" encoding="utf-8"?>
<ax:ocx xmlns:ax="http://schemas.microsoft.com/office/2006/activeX" xmlns:r="http://schemas.openxmlformats.org/officeDocument/2006/relationships" ax:classid="{5512D11A-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1A-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A-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1A-5CC6-11CF-8D67-00AA00BDCE1D}" ax:persistence="persistStream" r:id="rId1"/>
</file>

<file path=xl/activeX/activeX27.xml><?xml version="1.0" encoding="utf-8"?>
<ax:ocx xmlns:ax="http://schemas.microsoft.com/office/2006/activeX" xmlns:r="http://schemas.openxmlformats.org/officeDocument/2006/relationships" ax:classid="{5512D11A-5CC6-11CF-8D67-00AA00BDCE1D}" ax:persistence="persistStream" r:id="rId1"/>
</file>

<file path=xl/activeX/activeX28.xml><?xml version="1.0" encoding="utf-8"?>
<ax:ocx xmlns:ax="http://schemas.microsoft.com/office/2006/activeX" xmlns:r="http://schemas.openxmlformats.org/officeDocument/2006/relationships" ax:classid="{5512D11A-5CC6-11CF-8D67-00AA00BDCE1D}" ax:persistence="persistStream" r:id="rId1"/>
</file>

<file path=xl/activeX/activeX29.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30.xml><?xml version="1.0" encoding="utf-8"?>
<ax:ocx xmlns:ax="http://schemas.microsoft.com/office/2006/activeX" xmlns:r="http://schemas.openxmlformats.org/officeDocument/2006/relationships" ax:classid="{5512D11A-5CC6-11CF-8D67-00AA00BDCE1D}" ax:persistence="persistStream" r:id="rId1"/>
</file>

<file path=xl/activeX/activeX31.xml><?xml version="1.0" encoding="utf-8"?>
<ax:ocx xmlns:ax="http://schemas.microsoft.com/office/2006/activeX" xmlns:r="http://schemas.openxmlformats.org/officeDocument/2006/relationships" ax:classid="{5512D11A-5CC6-11CF-8D67-00AA00BDCE1D}" ax:persistence="persistStream" r:id="rId1"/>
</file>

<file path=xl/activeX/activeX32.xml><?xml version="1.0" encoding="utf-8"?>
<ax:ocx xmlns:ax="http://schemas.microsoft.com/office/2006/activeX" xmlns:r="http://schemas.openxmlformats.org/officeDocument/2006/relationships" ax:classid="{5512D11A-5CC6-11CF-8D67-00AA00BDCE1D}" ax:persistence="persistStream" r:id="rId1"/>
</file>

<file path=xl/activeX/activeX33.xml><?xml version="1.0" encoding="utf-8"?>
<ax:ocx xmlns:ax="http://schemas.microsoft.com/office/2006/activeX" xmlns:r="http://schemas.openxmlformats.org/officeDocument/2006/relationships" ax:classid="{5512D11A-5CC6-11CF-8D67-00AA00BDCE1D}" ax:persistence="persistStream" r:id="rId1"/>
</file>

<file path=xl/activeX/activeX34.xml><?xml version="1.0" encoding="utf-8"?>
<ax:ocx xmlns:ax="http://schemas.microsoft.com/office/2006/activeX" xmlns:r="http://schemas.openxmlformats.org/officeDocument/2006/relationships" ax:classid="{5512D11A-5CC6-11CF-8D67-00AA00BDCE1D}" ax:persistence="persistStream" r:id="rId1"/>
</file>

<file path=xl/activeX/activeX35.xml><?xml version="1.0" encoding="utf-8"?>
<ax:ocx xmlns:ax="http://schemas.microsoft.com/office/2006/activeX" xmlns:r="http://schemas.openxmlformats.org/officeDocument/2006/relationships" ax:classid="{5512D11A-5CC6-11CF-8D67-00AA00BDCE1D}" ax:persistence="persistStream" r:id="rId1"/>
</file>

<file path=xl/activeX/activeX36.xml><?xml version="1.0" encoding="utf-8"?>
<ax:ocx xmlns:ax="http://schemas.microsoft.com/office/2006/activeX" xmlns:r="http://schemas.openxmlformats.org/officeDocument/2006/relationships" ax:classid="{5512D11A-5CC6-11CF-8D67-00AA00BDCE1D}" ax:persistence="persistStream" r:id="rId1"/>
</file>

<file path=xl/activeX/activeX37.xml><?xml version="1.0" encoding="utf-8"?>
<ax:ocx xmlns:ax="http://schemas.microsoft.com/office/2006/activeX" xmlns:r="http://schemas.openxmlformats.org/officeDocument/2006/relationships" ax:classid="{5512D11A-5CC6-11CF-8D67-00AA00BDCE1D}" ax:persistence="persistStream" r:id="rId1"/>
</file>

<file path=xl/activeX/activeX38.xml><?xml version="1.0" encoding="utf-8"?>
<ax:ocx xmlns:ax="http://schemas.microsoft.com/office/2006/activeX" xmlns:r="http://schemas.openxmlformats.org/officeDocument/2006/relationships" ax:classid="{5512D11A-5CC6-11CF-8D67-00AA00BDCE1D}" ax:persistence="persistStream" r:id="rId1"/>
</file>

<file path=xl/activeX/activeX39.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40.xml><?xml version="1.0" encoding="utf-8"?>
<ax:ocx xmlns:ax="http://schemas.microsoft.com/office/2006/activeX" xmlns:r="http://schemas.openxmlformats.org/officeDocument/2006/relationships" ax:classid="{5512D11A-5CC6-11CF-8D67-00AA00BDCE1D}" ax:persistence="persistStream" r:id="rId1"/>
</file>

<file path=xl/activeX/activeX41.xml><?xml version="1.0" encoding="utf-8"?>
<ax:ocx xmlns:ax="http://schemas.microsoft.com/office/2006/activeX" xmlns:r="http://schemas.openxmlformats.org/officeDocument/2006/relationships" ax:classid="{5512D11A-5CC6-11CF-8D67-00AA00BDCE1D}" ax:persistence="persistStream" r:id="rId1"/>
</file>

<file path=xl/activeX/activeX42.xml><?xml version="1.0" encoding="utf-8"?>
<ax:ocx xmlns:ax="http://schemas.microsoft.com/office/2006/activeX" xmlns:r="http://schemas.openxmlformats.org/officeDocument/2006/relationships" ax:classid="{5512D11A-5CC6-11CF-8D67-00AA00BDCE1D}" ax:persistence="persistStream" r:id="rId1"/>
</file>

<file path=xl/activeX/activeX43.xml><?xml version="1.0" encoding="utf-8"?>
<ax:ocx xmlns:ax="http://schemas.microsoft.com/office/2006/activeX" xmlns:r="http://schemas.openxmlformats.org/officeDocument/2006/relationships" ax:classid="{5512D11A-5CC6-11CF-8D67-00AA00BDCE1D}" ax:persistence="persistStream" r:id="rId1"/>
</file>

<file path=xl/activeX/activeX44.xml><?xml version="1.0" encoding="utf-8"?>
<ax:ocx xmlns:ax="http://schemas.microsoft.com/office/2006/activeX" xmlns:r="http://schemas.openxmlformats.org/officeDocument/2006/relationships" ax:classid="{5512D11A-5CC6-11CF-8D67-00AA00BDCE1D}" ax:persistence="persistStream" r:id="rId1"/>
</file>

<file path=xl/activeX/activeX45.xml><?xml version="1.0" encoding="utf-8"?>
<ax:ocx xmlns:ax="http://schemas.microsoft.com/office/2006/activeX" xmlns:r="http://schemas.openxmlformats.org/officeDocument/2006/relationships" ax:classid="{5512D11A-5CC6-11CF-8D67-00AA00BDCE1D}" ax:persistence="persistStream" r:id="rId1"/>
</file>

<file path=xl/activeX/activeX46.xml><?xml version="1.0" encoding="utf-8"?>
<ax:ocx xmlns:ax="http://schemas.microsoft.com/office/2006/activeX" xmlns:r="http://schemas.openxmlformats.org/officeDocument/2006/relationships" ax:classid="{5512D11A-5CC6-11CF-8D67-00AA00BDCE1D}" ax:persistence="persistStream" r:id="rId1"/>
</file>

<file path=xl/activeX/activeX47.xml><?xml version="1.0" encoding="utf-8"?>
<ax:ocx xmlns:ax="http://schemas.microsoft.com/office/2006/activeX" xmlns:r="http://schemas.openxmlformats.org/officeDocument/2006/relationships" ax:classid="{5512D11A-5CC6-11CF-8D67-00AA00BDCE1D}" ax:persistence="persistStream" r:id="rId1"/>
</file>

<file path=xl/activeX/activeX48.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1A-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vmlDrawing2.vml.rels><?xml version="1.0" encoding="UTF-8" standalone="yes"?>
<Relationships xmlns="http://schemas.openxmlformats.org/package/2006/relationships"><Relationship Id="rId8" Type="http://schemas.openxmlformats.org/officeDocument/2006/relationships/image" Target="../media/image20.emf"/><Relationship Id="rId13" Type="http://schemas.openxmlformats.org/officeDocument/2006/relationships/image" Target="../media/image25.emf"/><Relationship Id="rId18" Type="http://schemas.openxmlformats.org/officeDocument/2006/relationships/image" Target="../media/image30.emf"/><Relationship Id="rId26" Type="http://schemas.openxmlformats.org/officeDocument/2006/relationships/image" Target="../media/image38.emf"/><Relationship Id="rId39" Type="http://schemas.openxmlformats.org/officeDocument/2006/relationships/image" Target="../media/image10.emf"/><Relationship Id="rId3" Type="http://schemas.openxmlformats.org/officeDocument/2006/relationships/image" Target="../media/image15.emf"/><Relationship Id="rId21" Type="http://schemas.openxmlformats.org/officeDocument/2006/relationships/image" Target="../media/image33.emf"/><Relationship Id="rId34" Type="http://schemas.openxmlformats.org/officeDocument/2006/relationships/image" Target="../media/image46.emf"/><Relationship Id="rId42" Type="http://schemas.openxmlformats.org/officeDocument/2006/relationships/image" Target="../media/image7.emf"/><Relationship Id="rId47" Type="http://schemas.openxmlformats.org/officeDocument/2006/relationships/image" Target="../media/image2.emf"/><Relationship Id="rId7" Type="http://schemas.openxmlformats.org/officeDocument/2006/relationships/image" Target="../media/image19.emf"/><Relationship Id="rId12" Type="http://schemas.openxmlformats.org/officeDocument/2006/relationships/image" Target="../media/image24.emf"/><Relationship Id="rId17" Type="http://schemas.openxmlformats.org/officeDocument/2006/relationships/image" Target="../media/image29.emf"/><Relationship Id="rId25" Type="http://schemas.openxmlformats.org/officeDocument/2006/relationships/image" Target="../media/image37.emf"/><Relationship Id="rId33" Type="http://schemas.openxmlformats.org/officeDocument/2006/relationships/image" Target="../media/image45.emf"/><Relationship Id="rId38" Type="http://schemas.openxmlformats.org/officeDocument/2006/relationships/image" Target="../media/image11.emf"/><Relationship Id="rId46" Type="http://schemas.openxmlformats.org/officeDocument/2006/relationships/image" Target="../media/image3.emf"/><Relationship Id="rId2" Type="http://schemas.openxmlformats.org/officeDocument/2006/relationships/image" Target="../media/image14.emf"/><Relationship Id="rId16" Type="http://schemas.openxmlformats.org/officeDocument/2006/relationships/image" Target="../media/image28.emf"/><Relationship Id="rId20" Type="http://schemas.openxmlformats.org/officeDocument/2006/relationships/image" Target="../media/image32.emf"/><Relationship Id="rId29" Type="http://schemas.openxmlformats.org/officeDocument/2006/relationships/image" Target="../media/image41.emf"/><Relationship Id="rId41" Type="http://schemas.openxmlformats.org/officeDocument/2006/relationships/image" Target="../media/image8.emf"/><Relationship Id="rId1" Type="http://schemas.openxmlformats.org/officeDocument/2006/relationships/image" Target="../media/image13.emf"/><Relationship Id="rId6" Type="http://schemas.openxmlformats.org/officeDocument/2006/relationships/image" Target="../media/image18.emf"/><Relationship Id="rId11" Type="http://schemas.openxmlformats.org/officeDocument/2006/relationships/image" Target="../media/image23.emf"/><Relationship Id="rId24" Type="http://schemas.openxmlformats.org/officeDocument/2006/relationships/image" Target="../media/image36.emf"/><Relationship Id="rId32" Type="http://schemas.openxmlformats.org/officeDocument/2006/relationships/image" Target="../media/image44.emf"/><Relationship Id="rId37" Type="http://schemas.openxmlformats.org/officeDocument/2006/relationships/image" Target="../media/image12.emf"/><Relationship Id="rId40" Type="http://schemas.openxmlformats.org/officeDocument/2006/relationships/image" Target="../media/image9.emf"/><Relationship Id="rId45" Type="http://schemas.openxmlformats.org/officeDocument/2006/relationships/image" Target="../media/image4.emf"/><Relationship Id="rId5" Type="http://schemas.openxmlformats.org/officeDocument/2006/relationships/image" Target="../media/image17.emf"/><Relationship Id="rId15" Type="http://schemas.openxmlformats.org/officeDocument/2006/relationships/image" Target="../media/image27.emf"/><Relationship Id="rId23" Type="http://schemas.openxmlformats.org/officeDocument/2006/relationships/image" Target="../media/image35.emf"/><Relationship Id="rId28" Type="http://schemas.openxmlformats.org/officeDocument/2006/relationships/image" Target="../media/image40.emf"/><Relationship Id="rId36" Type="http://schemas.openxmlformats.org/officeDocument/2006/relationships/image" Target="../media/image48.emf"/><Relationship Id="rId10" Type="http://schemas.openxmlformats.org/officeDocument/2006/relationships/image" Target="../media/image22.emf"/><Relationship Id="rId19" Type="http://schemas.openxmlformats.org/officeDocument/2006/relationships/image" Target="../media/image31.emf"/><Relationship Id="rId31" Type="http://schemas.openxmlformats.org/officeDocument/2006/relationships/image" Target="../media/image43.emf"/><Relationship Id="rId44" Type="http://schemas.openxmlformats.org/officeDocument/2006/relationships/image" Target="../media/image5.emf"/><Relationship Id="rId4" Type="http://schemas.openxmlformats.org/officeDocument/2006/relationships/image" Target="../media/image16.emf"/><Relationship Id="rId9" Type="http://schemas.openxmlformats.org/officeDocument/2006/relationships/image" Target="../media/image21.emf"/><Relationship Id="rId14" Type="http://schemas.openxmlformats.org/officeDocument/2006/relationships/image" Target="../media/image26.emf"/><Relationship Id="rId22" Type="http://schemas.openxmlformats.org/officeDocument/2006/relationships/image" Target="../media/image34.emf"/><Relationship Id="rId27" Type="http://schemas.openxmlformats.org/officeDocument/2006/relationships/image" Target="../media/image39.emf"/><Relationship Id="rId30" Type="http://schemas.openxmlformats.org/officeDocument/2006/relationships/image" Target="../media/image42.emf"/><Relationship Id="rId35" Type="http://schemas.openxmlformats.org/officeDocument/2006/relationships/image" Target="../media/image47.emf"/><Relationship Id="rId43" Type="http://schemas.openxmlformats.org/officeDocument/2006/relationships/image" Target="../media/image6.emf"/><Relationship Id="rId48"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45720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45720</xdr:rowOff>
        </xdr:to>
        <xdr:sp macro="" textlink="">
          <xdr:nvSpPr>
            <xdr:cNvPr id="2050" name="Control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304800</xdr:colOff>
          <xdr:row>7</xdr:row>
          <xdr:rowOff>45720</xdr:rowOff>
        </xdr:to>
        <xdr:sp macro="" textlink="">
          <xdr:nvSpPr>
            <xdr:cNvPr id="2051" name="Control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304800</xdr:colOff>
          <xdr:row>8</xdr:row>
          <xdr:rowOff>45720</xdr:rowOff>
        </xdr:to>
        <xdr:sp macro="" textlink="">
          <xdr:nvSpPr>
            <xdr:cNvPr id="2052" name="Control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304800</xdr:colOff>
          <xdr:row>9</xdr:row>
          <xdr:rowOff>45720</xdr:rowOff>
        </xdr:to>
        <xdr:sp macro="" textlink="">
          <xdr:nvSpPr>
            <xdr:cNvPr id="2053" name="Control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304800</xdr:colOff>
          <xdr:row>10</xdr:row>
          <xdr:rowOff>45720</xdr:rowOff>
        </xdr:to>
        <xdr:sp macro="" textlink="">
          <xdr:nvSpPr>
            <xdr:cNvPr id="2054" name="Control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304800</xdr:colOff>
          <xdr:row>11</xdr:row>
          <xdr:rowOff>45720</xdr:rowOff>
        </xdr:to>
        <xdr:sp macro="" textlink="">
          <xdr:nvSpPr>
            <xdr:cNvPr id="2055" name="Control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304800</xdr:colOff>
          <xdr:row>11</xdr:row>
          <xdr:rowOff>228600</xdr:rowOff>
        </xdr:to>
        <xdr:sp macro="" textlink="">
          <xdr:nvSpPr>
            <xdr:cNvPr id="2056" name="Control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304800</xdr:colOff>
          <xdr:row>13</xdr:row>
          <xdr:rowOff>45720</xdr:rowOff>
        </xdr:to>
        <xdr:sp macro="" textlink="">
          <xdr:nvSpPr>
            <xdr:cNvPr id="2057" name="Control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304800</xdr:colOff>
          <xdr:row>14</xdr:row>
          <xdr:rowOff>45720</xdr:rowOff>
        </xdr:to>
        <xdr:sp macro="" textlink="">
          <xdr:nvSpPr>
            <xdr:cNvPr id="2058" name="Control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304800</xdr:colOff>
          <xdr:row>15</xdr:row>
          <xdr:rowOff>45720</xdr:rowOff>
        </xdr:to>
        <xdr:sp macro="" textlink="">
          <xdr:nvSpPr>
            <xdr:cNvPr id="2059" name="Control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304800</xdr:colOff>
          <xdr:row>16</xdr:row>
          <xdr:rowOff>45720</xdr:rowOff>
        </xdr:to>
        <xdr:sp macro="" textlink="">
          <xdr:nvSpPr>
            <xdr:cNvPr id="2060" name="Control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304800</xdr:colOff>
          <xdr:row>25</xdr:row>
          <xdr:rowOff>38100</xdr:rowOff>
        </xdr:to>
        <xdr:sp macro="" textlink="">
          <xdr:nvSpPr>
            <xdr:cNvPr id="2061" name="Control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304800</xdr:colOff>
          <xdr:row>26</xdr:row>
          <xdr:rowOff>38100</xdr:rowOff>
        </xdr:to>
        <xdr:sp macro="" textlink="">
          <xdr:nvSpPr>
            <xdr:cNvPr id="2062" name="Control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304800</xdr:colOff>
          <xdr:row>27</xdr:row>
          <xdr:rowOff>38100</xdr:rowOff>
        </xdr:to>
        <xdr:sp macro="" textlink="">
          <xdr:nvSpPr>
            <xdr:cNvPr id="2063" name="Control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304800</xdr:colOff>
          <xdr:row>28</xdr:row>
          <xdr:rowOff>38100</xdr:rowOff>
        </xdr:to>
        <xdr:sp macro="" textlink="">
          <xdr:nvSpPr>
            <xdr:cNvPr id="2064" name="Control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304800</xdr:colOff>
          <xdr:row>29</xdr:row>
          <xdr:rowOff>38100</xdr:rowOff>
        </xdr:to>
        <xdr:sp macro="" textlink="">
          <xdr:nvSpPr>
            <xdr:cNvPr id="2065" name="Control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304800</xdr:colOff>
          <xdr:row>30</xdr:row>
          <xdr:rowOff>38100</xdr:rowOff>
        </xdr:to>
        <xdr:sp macro="" textlink="">
          <xdr:nvSpPr>
            <xdr:cNvPr id="2066" name="Control 18" hidden="1">
              <a:extLst>
                <a:ext uri="{63B3BB69-23CF-44E3-9099-C40C66FF867C}">
                  <a14:compatExt spid="_x0000_s206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304800</xdr:colOff>
          <xdr:row>31</xdr:row>
          <xdr:rowOff>38100</xdr:rowOff>
        </xdr:to>
        <xdr:sp macro="" textlink="">
          <xdr:nvSpPr>
            <xdr:cNvPr id="2067" name="Control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304800</xdr:colOff>
          <xdr:row>31</xdr:row>
          <xdr:rowOff>228600</xdr:rowOff>
        </xdr:to>
        <xdr:sp macro="" textlink="">
          <xdr:nvSpPr>
            <xdr:cNvPr id="2068" name="Control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304800</xdr:colOff>
          <xdr:row>33</xdr:row>
          <xdr:rowOff>38100</xdr:rowOff>
        </xdr:to>
        <xdr:sp macro="" textlink="">
          <xdr:nvSpPr>
            <xdr:cNvPr id="2069" name="Control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304800</xdr:colOff>
          <xdr:row>34</xdr:row>
          <xdr:rowOff>38100</xdr:rowOff>
        </xdr:to>
        <xdr:sp macro="" textlink="">
          <xdr:nvSpPr>
            <xdr:cNvPr id="2070" name="Control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304800</xdr:colOff>
          <xdr:row>35</xdr:row>
          <xdr:rowOff>38100</xdr:rowOff>
        </xdr:to>
        <xdr:sp macro="" textlink="">
          <xdr:nvSpPr>
            <xdr:cNvPr id="2071" name="Control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304800</xdr:colOff>
          <xdr:row>36</xdr:row>
          <xdr:rowOff>38100</xdr:rowOff>
        </xdr:to>
        <xdr:sp macro="" textlink="">
          <xdr:nvSpPr>
            <xdr:cNvPr id="2072" name="Control 24" hidden="1">
              <a:extLst>
                <a:ext uri="{63B3BB69-23CF-44E3-9099-C40C66FF867C}">
                  <a14:compatExt spid="_x0000_s207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3" name="Control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4" name="Control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5" name="Control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6" name="Control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7" name="Control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8" name="Control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79" name="Control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80" name="Control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81" name="Control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82" name="Control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83" name="Control 35" hidden="1">
              <a:extLst>
                <a:ext uri="{63B3BB69-23CF-44E3-9099-C40C66FF867C}">
                  <a14:compatExt spid="_x0000_s20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40</xdr:row>
          <xdr:rowOff>0</xdr:rowOff>
        </xdr:from>
        <xdr:to>
          <xdr:col>2</xdr:col>
          <xdr:colOff>304800</xdr:colOff>
          <xdr:row>40</xdr:row>
          <xdr:rowOff>228600</xdr:rowOff>
        </xdr:to>
        <xdr:sp macro="" textlink="">
          <xdr:nvSpPr>
            <xdr:cNvPr id="2084" name="Control 36" hidden="1">
              <a:extLst>
                <a:ext uri="{63B3BB69-23CF-44E3-9099-C40C66FF867C}">
                  <a14:compatExt spid="_x0000_s20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43</xdr:row>
          <xdr:rowOff>0</xdr:rowOff>
        </xdr:from>
        <xdr:to>
          <xdr:col>2</xdr:col>
          <xdr:colOff>304800</xdr:colOff>
          <xdr:row>44</xdr:row>
          <xdr:rowOff>38100</xdr:rowOff>
        </xdr:to>
        <xdr:sp macro="" textlink="">
          <xdr:nvSpPr>
            <xdr:cNvPr id="2085" name="Control 37"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44</xdr:row>
          <xdr:rowOff>0</xdr:rowOff>
        </xdr:from>
        <xdr:to>
          <xdr:col>2</xdr:col>
          <xdr:colOff>304800</xdr:colOff>
          <xdr:row>45</xdr:row>
          <xdr:rowOff>38100</xdr:rowOff>
        </xdr:to>
        <xdr:sp macro="" textlink="">
          <xdr:nvSpPr>
            <xdr:cNvPr id="2086" name="Control 38" hidden="1">
              <a:extLst>
                <a:ext uri="{63B3BB69-23CF-44E3-9099-C40C66FF867C}">
                  <a14:compatExt spid="_x0000_s20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0</xdr:rowOff>
        </xdr:from>
        <xdr:to>
          <xdr:col>2</xdr:col>
          <xdr:colOff>304800</xdr:colOff>
          <xdr:row>46</xdr:row>
          <xdr:rowOff>38100</xdr:rowOff>
        </xdr:to>
        <xdr:sp macro="" textlink="">
          <xdr:nvSpPr>
            <xdr:cNvPr id="2087" name="Control 39" hidden="1">
              <a:extLst>
                <a:ext uri="{63B3BB69-23CF-44E3-9099-C40C66FF867C}">
                  <a14:compatExt spid="_x0000_s20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0</xdr:rowOff>
        </xdr:from>
        <xdr:to>
          <xdr:col>2</xdr:col>
          <xdr:colOff>304800</xdr:colOff>
          <xdr:row>47</xdr:row>
          <xdr:rowOff>38100</xdr:rowOff>
        </xdr:to>
        <xdr:sp macro="" textlink="">
          <xdr:nvSpPr>
            <xdr:cNvPr id="2088" name="Control 40" hidden="1">
              <a:extLst>
                <a:ext uri="{63B3BB69-23CF-44E3-9099-C40C66FF867C}">
                  <a14:compatExt spid="_x0000_s20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47</xdr:row>
          <xdr:rowOff>0</xdr:rowOff>
        </xdr:from>
        <xdr:to>
          <xdr:col>2</xdr:col>
          <xdr:colOff>304800</xdr:colOff>
          <xdr:row>48</xdr:row>
          <xdr:rowOff>38100</xdr:rowOff>
        </xdr:to>
        <xdr:sp macro="" textlink="">
          <xdr:nvSpPr>
            <xdr:cNvPr id="2089" name="Control 41" hidden="1">
              <a:extLst>
                <a:ext uri="{63B3BB69-23CF-44E3-9099-C40C66FF867C}">
                  <a14:compatExt spid="_x0000_s208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48</xdr:row>
          <xdr:rowOff>0</xdr:rowOff>
        </xdr:from>
        <xdr:to>
          <xdr:col>2</xdr:col>
          <xdr:colOff>304800</xdr:colOff>
          <xdr:row>49</xdr:row>
          <xdr:rowOff>38100</xdr:rowOff>
        </xdr:to>
        <xdr:sp macro="" textlink="">
          <xdr:nvSpPr>
            <xdr:cNvPr id="2090" name="Control 42" hidden="1">
              <a:extLst>
                <a:ext uri="{63B3BB69-23CF-44E3-9099-C40C66FF867C}">
                  <a14:compatExt spid="_x0000_s209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49</xdr:row>
          <xdr:rowOff>0</xdr:rowOff>
        </xdr:from>
        <xdr:to>
          <xdr:col>2</xdr:col>
          <xdr:colOff>304800</xdr:colOff>
          <xdr:row>50</xdr:row>
          <xdr:rowOff>38100</xdr:rowOff>
        </xdr:to>
        <xdr:sp macro="" textlink="">
          <xdr:nvSpPr>
            <xdr:cNvPr id="2091" name="Control 43" hidden="1">
              <a:extLst>
                <a:ext uri="{63B3BB69-23CF-44E3-9099-C40C66FF867C}">
                  <a14:compatExt spid="_x0000_s209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50</xdr:row>
          <xdr:rowOff>0</xdr:rowOff>
        </xdr:from>
        <xdr:to>
          <xdr:col>2</xdr:col>
          <xdr:colOff>304800</xdr:colOff>
          <xdr:row>50</xdr:row>
          <xdr:rowOff>228600</xdr:rowOff>
        </xdr:to>
        <xdr:sp macro="" textlink="">
          <xdr:nvSpPr>
            <xdr:cNvPr id="2092" name="Control 44"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51</xdr:row>
          <xdr:rowOff>0</xdr:rowOff>
        </xdr:from>
        <xdr:to>
          <xdr:col>2</xdr:col>
          <xdr:colOff>304800</xdr:colOff>
          <xdr:row>52</xdr:row>
          <xdr:rowOff>38100</xdr:rowOff>
        </xdr:to>
        <xdr:sp macro="" textlink="">
          <xdr:nvSpPr>
            <xdr:cNvPr id="2093" name="Control 45" hidden="1">
              <a:extLst>
                <a:ext uri="{63B3BB69-23CF-44E3-9099-C40C66FF867C}">
                  <a14:compatExt spid="_x0000_s209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2</xdr:col>
          <xdr:colOff>304800</xdr:colOff>
          <xdr:row>53</xdr:row>
          <xdr:rowOff>38100</xdr:rowOff>
        </xdr:to>
        <xdr:sp macro="" textlink="">
          <xdr:nvSpPr>
            <xdr:cNvPr id="2094" name="Control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53</xdr:row>
          <xdr:rowOff>0</xdr:rowOff>
        </xdr:from>
        <xdr:to>
          <xdr:col>2</xdr:col>
          <xdr:colOff>304800</xdr:colOff>
          <xdr:row>54</xdr:row>
          <xdr:rowOff>38100</xdr:rowOff>
        </xdr:to>
        <xdr:sp macro="" textlink="">
          <xdr:nvSpPr>
            <xdr:cNvPr id="2095" name="Control 47" hidden="1">
              <a:extLst>
                <a:ext uri="{63B3BB69-23CF-44E3-9099-C40C66FF867C}">
                  <a14:compatExt spid="_x0000_s209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54</xdr:row>
          <xdr:rowOff>0</xdr:rowOff>
        </xdr:from>
        <xdr:to>
          <xdr:col>2</xdr:col>
          <xdr:colOff>304800</xdr:colOff>
          <xdr:row>55</xdr:row>
          <xdr:rowOff>38100</xdr:rowOff>
        </xdr:to>
        <xdr:sp macro="" textlink="">
          <xdr:nvSpPr>
            <xdr:cNvPr id="2096" name="Control 48" hidden="1">
              <a:extLst>
                <a:ext uri="{63B3BB69-23CF-44E3-9099-C40C66FF867C}">
                  <a14:compatExt spid="_x0000_s209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EEFI%20-%20&#304;&#231;%20Proje%208%20in&#231;%20Maliyet%20Hesab&#305;%20REV&#304;Z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retim  (2)"/>
      <sheetName val="ÜRETİM (ARKAÖN)(alumina)"/>
      <sheetName val="sarf malzemeleri 1-3wf alumina"/>
      <sheetName val="ÜRETİM (ARKAÖN)(silicon)"/>
      <sheetName val="sarf malzemeleri 1-3wf silicon"/>
    </sheetNames>
    <sheetDataSet>
      <sheetData sheetId="0"/>
      <sheetData sheetId="1">
        <row r="31">
          <cell r="I31">
            <v>14</v>
          </cell>
          <cell r="U31">
            <v>15</v>
          </cell>
        </row>
      </sheetData>
      <sheetData sheetId="2"/>
      <sheetData sheetId="3"/>
      <sheetData sheetId="4"/>
    </sheetDataSet>
  </externalBook>
</externalLink>
</file>

<file path=xl/tables/table1.xml><?xml version="1.0" encoding="utf-8"?>
<table xmlns="http://schemas.openxmlformats.org/spreadsheetml/2006/main" id="1" name="Table1321143" displayName="Table1321143" ref="A2:F30" totalsRowShown="0" headerRowDxfId="7" dataDxfId="6">
  <autoFilter ref="A2:F30"/>
  <tableColumns count="6">
    <tableColumn id="1" name="Device / System" dataDxfId="5"/>
    <tableColumn id="2" name="Cihaz Kullanım Süresi (Saatlik)" dataDxfId="4"/>
    <tableColumn id="7" name="Cihaz Başında Geçen İşçilik Süresi (Saatlik)" dataDxfId="3"/>
    <tableColumn id="3" name="Cihaz Saatlik Kiralama Ücreti" dataDxfId="2"/>
    <tableColumn id="4" name="Toplam Cihaz Kiralama Süresi" dataDxfId="1">
      <calculatedColumnFormula>Table1321143[[#This Row],[Cihaz Kullanım Süresi (Saatlik)]]*Table1321143[[#This Row],[Cihaz Saatlik Kiralama Ücreti]]</calculatedColumnFormula>
    </tableColumn>
    <tableColumn id="5" name="Yapılan İşlem Açıklaması" dataDxfId="0"/>
  </tableColumns>
  <tableStyleInfo name="TableStyleMedium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control" Target="../activeX/activeX12.xml"/><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50" Type="http://schemas.openxmlformats.org/officeDocument/2006/relationships/control" Target="../activeX/activeX24.xml"/><Relationship Id="rId55" Type="http://schemas.openxmlformats.org/officeDocument/2006/relationships/image" Target="../media/image26.emf"/><Relationship Id="rId63" Type="http://schemas.openxmlformats.org/officeDocument/2006/relationships/image" Target="../media/image30.emf"/><Relationship Id="rId68" Type="http://schemas.openxmlformats.org/officeDocument/2006/relationships/control" Target="../activeX/activeX33.xml"/><Relationship Id="rId76" Type="http://schemas.openxmlformats.org/officeDocument/2006/relationships/control" Target="../activeX/activeX37.xml"/><Relationship Id="rId84" Type="http://schemas.openxmlformats.org/officeDocument/2006/relationships/control" Target="../activeX/activeX41.xml"/><Relationship Id="rId89" Type="http://schemas.openxmlformats.org/officeDocument/2006/relationships/image" Target="../media/image43.emf"/><Relationship Id="rId97" Type="http://schemas.openxmlformats.org/officeDocument/2006/relationships/image" Target="../media/image47.emf"/><Relationship Id="rId7" Type="http://schemas.openxmlformats.org/officeDocument/2006/relationships/image" Target="../media/image2.emf"/><Relationship Id="rId71" Type="http://schemas.openxmlformats.org/officeDocument/2006/relationships/image" Target="../media/image34.emf"/><Relationship Id="rId92" Type="http://schemas.openxmlformats.org/officeDocument/2006/relationships/control" Target="../activeX/activeX45.xml"/><Relationship Id="rId2" Type="http://schemas.openxmlformats.org/officeDocument/2006/relationships/drawing" Target="../drawings/drawing1.xml"/><Relationship Id="rId16" Type="http://schemas.openxmlformats.org/officeDocument/2006/relationships/control" Target="../activeX/activeX7.xml"/><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control" Target="../activeX/activeX28.xml"/><Relationship Id="rId66" Type="http://schemas.openxmlformats.org/officeDocument/2006/relationships/control" Target="../activeX/activeX32.xml"/><Relationship Id="rId74" Type="http://schemas.openxmlformats.org/officeDocument/2006/relationships/control" Target="../activeX/activeX36.xml"/><Relationship Id="rId79" Type="http://schemas.openxmlformats.org/officeDocument/2006/relationships/image" Target="../media/image38.emf"/><Relationship Id="rId87" Type="http://schemas.openxmlformats.org/officeDocument/2006/relationships/image" Target="../media/image42.emf"/><Relationship Id="rId5" Type="http://schemas.openxmlformats.org/officeDocument/2006/relationships/image" Target="../media/image1.emf"/><Relationship Id="rId61" Type="http://schemas.openxmlformats.org/officeDocument/2006/relationships/image" Target="../media/image29.emf"/><Relationship Id="rId82" Type="http://schemas.openxmlformats.org/officeDocument/2006/relationships/control" Target="../activeX/activeX40.xml"/><Relationship Id="rId90" Type="http://schemas.openxmlformats.org/officeDocument/2006/relationships/control" Target="../activeX/activeX44.xml"/><Relationship Id="rId95" Type="http://schemas.openxmlformats.org/officeDocument/2006/relationships/image" Target="../media/image46.emf"/><Relationship Id="rId19" Type="http://schemas.openxmlformats.org/officeDocument/2006/relationships/image" Target="../media/image8.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56" Type="http://schemas.openxmlformats.org/officeDocument/2006/relationships/control" Target="../activeX/activeX27.xml"/><Relationship Id="rId64" Type="http://schemas.openxmlformats.org/officeDocument/2006/relationships/control" Target="../activeX/activeX31.xml"/><Relationship Id="rId69" Type="http://schemas.openxmlformats.org/officeDocument/2006/relationships/image" Target="../media/image33.emf"/><Relationship Id="rId77" Type="http://schemas.openxmlformats.org/officeDocument/2006/relationships/image" Target="../media/image37.emf"/><Relationship Id="rId8" Type="http://schemas.openxmlformats.org/officeDocument/2006/relationships/control" Target="../activeX/activeX3.xml"/><Relationship Id="rId51" Type="http://schemas.openxmlformats.org/officeDocument/2006/relationships/image" Target="../media/image24.emf"/><Relationship Id="rId72" Type="http://schemas.openxmlformats.org/officeDocument/2006/relationships/control" Target="../activeX/activeX35.xml"/><Relationship Id="rId80" Type="http://schemas.openxmlformats.org/officeDocument/2006/relationships/control" Target="../activeX/activeX39.xml"/><Relationship Id="rId85" Type="http://schemas.openxmlformats.org/officeDocument/2006/relationships/image" Target="../media/image41.emf"/><Relationship Id="rId93" Type="http://schemas.openxmlformats.org/officeDocument/2006/relationships/image" Target="../media/image45.emf"/><Relationship Id="rId98" Type="http://schemas.openxmlformats.org/officeDocument/2006/relationships/control" Target="../activeX/activeX48.xml"/><Relationship Id="rId3" Type="http://schemas.openxmlformats.org/officeDocument/2006/relationships/vmlDrawing" Target="../drawings/vmlDrawing2.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control" Target="../activeX/activeX9.xml"/><Relationship Id="rId41" Type="http://schemas.openxmlformats.org/officeDocument/2006/relationships/image" Target="../media/image19.emf"/><Relationship Id="rId54" Type="http://schemas.openxmlformats.org/officeDocument/2006/relationships/control" Target="../activeX/activeX26.xml"/><Relationship Id="rId62" Type="http://schemas.openxmlformats.org/officeDocument/2006/relationships/control" Target="../activeX/activeX30.xml"/><Relationship Id="rId70" Type="http://schemas.openxmlformats.org/officeDocument/2006/relationships/control" Target="../activeX/activeX34.xml"/><Relationship Id="rId75" Type="http://schemas.openxmlformats.org/officeDocument/2006/relationships/image" Target="../media/image36.emf"/><Relationship Id="rId83" Type="http://schemas.openxmlformats.org/officeDocument/2006/relationships/image" Target="../media/image40.emf"/><Relationship Id="rId88" Type="http://schemas.openxmlformats.org/officeDocument/2006/relationships/control" Target="../activeX/activeX43.xml"/><Relationship Id="rId91" Type="http://schemas.openxmlformats.org/officeDocument/2006/relationships/image" Target="../media/image44.emf"/><Relationship Id="rId96" Type="http://schemas.openxmlformats.org/officeDocument/2006/relationships/control" Target="../activeX/activeX47.xml"/><Relationship Id="rId1" Type="http://schemas.openxmlformats.org/officeDocument/2006/relationships/printerSettings" Target="../printerSettings/printerSettings2.bin"/><Relationship Id="rId6"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control" Target="../activeX/activeX4.xml"/><Relationship Id="rId31" Type="http://schemas.openxmlformats.org/officeDocument/2006/relationships/image" Target="../media/image14.emf"/><Relationship Id="rId44" Type="http://schemas.openxmlformats.org/officeDocument/2006/relationships/control" Target="../activeX/activeX21.xml"/><Relationship Id="rId52" Type="http://schemas.openxmlformats.org/officeDocument/2006/relationships/control" Target="../activeX/activeX25.xml"/><Relationship Id="rId60" Type="http://schemas.openxmlformats.org/officeDocument/2006/relationships/control" Target="../activeX/activeX29.xml"/><Relationship Id="rId65" Type="http://schemas.openxmlformats.org/officeDocument/2006/relationships/image" Target="../media/image31.emf"/><Relationship Id="rId73" Type="http://schemas.openxmlformats.org/officeDocument/2006/relationships/image" Target="../media/image35.emf"/><Relationship Id="rId78" Type="http://schemas.openxmlformats.org/officeDocument/2006/relationships/control" Target="../activeX/activeX38.xml"/><Relationship Id="rId81" Type="http://schemas.openxmlformats.org/officeDocument/2006/relationships/image" Target="../media/image39.emf"/><Relationship Id="rId86" Type="http://schemas.openxmlformats.org/officeDocument/2006/relationships/control" Target="../activeX/activeX42.xml"/><Relationship Id="rId94" Type="http://schemas.openxmlformats.org/officeDocument/2006/relationships/control" Target="../activeX/activeX46.xml"/><Relationship Id="rId99" Type="http://schemas.openxmlformats.org/officeDocument/2006/relationships/image" Target="../media/image48.emf"/><Relationship Id="rId4" Type="http://schemas.openxmlformats.org/officeDocument/2006/relationships/control" Target="../activeX/activeX1.xml"/><Relationship Id="rId9" Type="http://schemas.openxmlformats.org/officeDocument/2006/relationships/image" Target="../media/image3.emf"/><Relationship Id="rId13" Type="http://schemas.openxmlformats.org/officeDocument/2006/relationships/image" Target="../media/image5.emf"/><Relationship Id="rId18" Type="http://schemas.openxmlformats.org/officeDocument/2006/relationships/control" Target="../activeX/activeX8.xml"/><Relationship Id="rId39" Type="http://schemas.openxmlformats.org/officeDocument/2006/relationships/image" Target="../media/image18.emf"/></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63"/>
  <sheetViews>
    <sheetView tabSelected="1" topLeftCell="A34" workbookViewId="0">
      <selection activeCell="J39" sqref="J39"/>
    </sheetView>
  </sheetViews>
  <sheetFormatPr defaultRowHeight="14.4" x14ac:dyDescent="0.3"/>
  <cols>
    <col min="1" max="1" width="47" bestFit="1" customWidth="1"/>
    <col min="2" max="2" width="17.21875" bestFit="1" customWidth="1"/>
    <col min="3" max="3" width="14" bestFit="1" customWidth="1"/>
    <col min="4" max="4" width="18.88671875" bestFit="1" customWidth="1"/>
    <col min="5" max="5" width="15.6640625" customWidth="1"/>
    <col min="6" max="6" width="17.5546875" bestFit="1" customWidth="1"/>
    <col min="7" max="7" width="15.44140625" customWidth="1"/>
    <col min="8" max="8" width="15.5546875" bestFit="1" customWidth="1"/>
  </cols>
  <sheetData>
    <row r="1" spans="1:7" x14ac:dyDescent="0.3">
      <c r="B1" s="6" t="s">
        <v>20</v>
      </c>
      <c r="C1" s="6" t="s">
        <v>19</v>
      </c>
      <c r="D1" s="6" t="s">
        <v>37</v>
      </c>
    </row>
    <row r="2" spans="1:7" x14ac:dyDescent="0.3">
      <c r="A2" s="20" t="s">
        <v>18</v>
      </c>
      <c r="B2" s="18">
        <f>(((760*2)*5)*3)</f>
        <v>22800</v>
      </c>
      <c r="C2" s="18">
        <f>+B2*4</f>
        <v>91200</v>
      </c>
      <c r="D2" s="18">
        <f>+C2*12</f>
        <v>1094400</v>
      </c>
    </row>
    <row r="3" spans="1:7" x14ac:dyDescent="0.3">
      <c r="A3" s="20" t="s">
        <v>25</v>
      </c>
      <c r="B3" s="23">
        <v>0.4</v>
      </c>
      <c r="C3" s="62">
        <f>+B3</f>
        <v>0.4</v>
      </c>
      <c r="D3" s="62">
        <f>+B3</f>
        <v>0.4</v>
      </c>
    </row>
    <row r="4" spans="1:7" x14ac:dyDescent="0.3">
      <c r="A4" s="20" t="s">
        <v>24</v>
      </c>
      <c r="B4" s="172">
        <f>+B2*B3</f>
        <v>9120</v>
      </c>
      <c r="C4" s="172">
        <f>+C2*C3</f>
        <v>36480</v>
      </c>
      <c r="D4" s="172">
        <f>+D2*D3</f>
        <v>437760</v>
      </c>
    </row>
    <row r="6" spans="1:7" x14ac:dyDescent="0.3">
      <c r="A6" s="19" t="s">
        <v>26</v>
      </c>
      <c r="B6" s="50">
        <v>35</v>
      </c>
      <c r="C6" s="47">
        <f>+B6</f>
        <v>35</v>
      </c>
      <c r="D6" s="47">
        <f>+B6</f>
        <v>35</v>
      </c>
    </row>
    <row r="8" spans="1:7" x14ac:dyDescent="0.3">
      <c r="A8" s="19" t="s">
        <v>27</v>
      </c>
      <c r="B8" s="61">
        <f>+B4*B6</f>
        <v>319200</v>
      </c>
      <c r="C8" s="61">
        <f>+C4*C6</f>
        <v>1276800</v>
      </c>
      <c r="D8" s="61">
        <f>+D4*D6</f>
        <v>15321600</v>
      </c>
    </row>
    <row r="10" spans="1:7" x14ac:dyDescent="0.3">
      <c r="A10" t="s">
        <v>23</v>
      </c>
      <c r="B10" s="50">
        <v>5882.65816</v>
      </c>
    </row>
    <row r="11" spans="1:7" x14ac:dyDescent="0.3">
      <c r="A11" s="8" t="s">
        <v>10</v>
      </c>
      <c r="B11" s="5" t="s">
        <v>28</v>
      </c>
      <c r="C11" s="6"/>
      <c r="D11" s="5" t="s">
        <v>22</v>
      </c>
      <c r="E11" s="6"/>
      <c r="F11" s="5" t="s">
        <v>21</v>
      </c>
      <c r="G11" s="6"/>
    </row>
    <row r="12" spans="1:7" x14ac:dyDescent="0.3">
      <c r="A12" t="s">
        <v>17</v>
      </c>
      <c r="B12" s="47">
        <f>+C12*B4</f>
        <v>176479.74480000001</v>
      </c>
      <c r="C12" s="50">
        <f>(B10/((B4)/30))</f>
        <v>19.350849210526317</v>
      </c>
      <c r="D12" s="46">
        <f>+E12*C4</f>
        <v>705918.97920000006</v>
      </c>
      <c r="E12" s="47">
        <f>+C12</f>
        <v>19.350849210526317</v>
      </c>
      <c r="F12" s="46">
        <f>+G12*D4</f>
        <v>8471027.7504000012</v>
      </c>
      <c r="G12" s="47">
        <f>+C12</f>
        <v>19.350849210526317</v>
      </c>
    </row>
    <row r="13" spans="1:7" x14ac:dyDescent="0.3">
      <c r="A13" t="s">
        <v>87</v>
      </c>
      <c r="B13" s="47">
        <f>+D13/4</f>
        <v>798</v>
      </c>
      <c r="C13" s="2"/>
      <c r="D13" s="46">
        <f>+F13/12</f>
        <v>3192</v>
      </c>
      <c r="E13" s="2"/>
      <c r="F13" s="47">
        <f>+(D8/2)*0.005</f>
        <v>38304</v>
      </c>
      <c r="G13" s="2"/>
    </row>
    <row r="14" spans="1:7" x14ac:dyDescent="0.3">
      <c r="A14" t="s">
        <v>45</v>
      </c>
      <c r="B14" s="47">
        <f>+D14/4</f>
        <v>104.16666666666667</v>
      </c>
      <c r="C14" s="2"/>
      <c r="D14" s="46">
        <f>+F14/12</f>
        <v>416.66666666666669</v>
      </c>
      <c r="E14" s="2"/>
      <c r="F14" s="47">
        <v>5000</v>
      </c>
      <c r="G14" s="2"/>
    </row>
    <row r="15" spans="1:7" x14ac:dyDescent="0.3">
      <c r="A15" t="s">
        <v>255</v>
      </c>
      <c r="B15" s="46">
        <f t="shared" ref="B15" si="0">+D15/4</f>
        <v>2500</v>
      </c>
      <c r="C15" s="2"/>
      <c r="D15" s="46">
        <v>10000</v>
      </c>
      <c r="E15" s="2"/>
      <c r="F15" s="47">
        <f>+D15*12</f>
        <v>120000</v>
      </c>
    </row>
    <row r="16" spans="1:7" x14ac:dyDescent="0.3">
      <c r="A16" s="4" t="s">
        <v>0</v>
      </c>
      <c r="B16" s="49">
        <f>SUM(B12:B15)</f>
        <v>179881.91146666667</v>
      </c>
      <c r="C16" s="22"/>
      <c r="D16" s="49">
        <f>SUM(D12:D15)</f>
        <v>719527.64586666669</v>
      </c>
      <c r="E16" s="22"/>
      <c r="F16" s="49">
        <f>SUM(F12:F15)</f>
        <v>8634331.7504000012</v>
      </c>
      <c r="G16" s="22"/>
    </row>
    <row r="17" spans="1:7" x14ac:dyDescent="0.3">
      <c r="B17" s="3"/>
      <c r="C17" s="1"/>
      <c r="D17" s="3"/>
      <c r="E17" s="2"/>
    </row>
    <row r="18" spans="1:7" x14ac:dyDescent="0.3">
      <c r="A18" t="s">
        <v>42</v>
      </c>
      <c r="B18" s="3"/>
      <c r="C18" s="1"/>
      <c r="D18" s="3"/>
      <c r="E18" s="2"/>
      <c r="F18" s="170">
        <v>5000000</v>
      </c>
      <c r="G18" t="s">
        <v>88</v>
      </c>
    </row>
    <row r="19" spans="1:7" x14ac:dyDescent="0.3">
      <c r="A19" t="s">
        <v>1</v>
      </c>
      <c r="B19" s="3"/>
      <c r="C19" s="1"/>
      <c r="D19" s="3"/>
      <c r="E19" s="2"/>
      <c r="F19" s="46">
        <f>+F18/34</f>
        <v>147058.82352941178</v>
      </c>
    </row>
    <row r="20" spans="1:7" x14ac:dyDescent="0.3">
      <c r="A20" s="8" t="s">
        <v>2</v>
      </c>
      <c r="B20" s="5" t="s">
        <v>28</v>
      </c>
      <c r="C20" s="6"/>
      <c r="D20" s="5" t="s">
        <v>22</v>
      </c>
      <c r="E20" s="6"/>
      <c r="F20" s="64" t="s">
        <v>21</v>
      </c>
      <c r="G20" s="6"/>
    </row>
    <row r="21" spans="1:7" x14ac:dyDescent="0.3">
      <c r="A21" t="s">
        <v>43</v>
      </c>
      <c r="B21" s="46">
        <f>+D21/4</f>
        <v>1654.4117647058822</v>
      </c>
      <c r="C21" s="2"/>
      <c r="D21" s="46">
        <f>+F21/12</f>
        <v>6617.6470588235288</v>
      </c>
      <c r="E21" s="2"/>
      <c r="F21" s="47">
        <f>(F18*0.54)/34</f>
        <v>79411.76470588235</v>
      </c>
    </row>
    <row r="22" spans="1:7" x14ac:dyDescent="0.3">
      <c r="A22" t="s">
        <v>39</v>
      </c>
      <c r="B22" s="46">
        <f t="shared" ref="B22:B40" si="1">+D22/4</f>
        <v>625</v>
      </c>
      <c r="C22" s="2"/>
      <c r="D22" s="46">
        <v>2500</v>
      </c>
      <c r="E22" s="2"/>
      <c r="F22" s="47">
        <f>+D22*12</f>
        <v>30000</v>
      </c>
    </row>
    <row r="23" spans="1:7" x14ac:dyDescent="0.3">
      <c r="A23" t="s">
        <v>40</v>
      </c>
      <c r="B23" s="46">
        <f t="shared" si="1"/>
        <v>250</v>
      </c>
      <c r="C23" s="2"/>
      <c r="D23" s="46">
        <v>1000</v>
      </c>
      <c r="E23" s="2"/>
      <c r="F23" s="47">
        <f>+D23*12</f>
        <v>12000</v>
      </c>
    </row>
    <row r="24" spans="1:7" x14ac:dyDescent="0.3">
      <c r="A24" t="s">
        <v>92</v>
      </c>
      <c r="B24" s="46">
        <f t="shared" si="1"/>
        <v>9141.25</v>
      </c>
      <c r="C24" s="2"/>
      <c r="D24" s="46">
        <f>+F24/12</f>
        <v>36565</v>
      </c>
      <c r="E24" s="2"/>
      <c r="F24" s="47">
        <f>(48950*2)+(66200)+(30520*9)</f>
        <v>438780</v>
      </c>
    </row>
    <row r="25" spans="1:7" x14ac:dyDescent="0.3">
      <c r="A25" t="s">
        <v>32</v>
      </c>
      <c r="B25" s="46">
        <f t="shared" si="1"/>
        <v>6250</v>
      </c>
      <c r="C25" s="2"/>
      <c r="D25" s="46">
        <v>25000</v>
      </c>
      <c r="E25" s="2"/>
      <c r="F25" s="47">
        <f>+D25*12</f>
        <v>300000</v>
      </c>
    </row>
    <row r="26" spans="1:7" x14ac:dyDescent="0.3">
      <c r="A26" t="s">
        <v>75</v>
      </c>
      <c r="B26" s="46">
        <f t="shared" si="1"/>
        <v>1250</v>
      </c>
      <c r="C26" s="2"/>
      <c r="D26" s="46">
        <v>5000</v>
      </c>
      <c r="E26" s="2"/>
      <c r="F26" s="47">
        <f t="shared" ref="F26:F41" si="2">+D26*12</f>
        <v>60000</v>
      </c>
    </row>
    <row r="27" spans="1:7" x14ac:dyDescent="0.3">
      <c r="A27" t="s">
        <v>3</v>
      </c>
      <c r="B27" s="46">
        <f t="shared" si="1"/>
        <v>250</v>
      </c>
      <c r="C27" s="2"/>
      <c r="D27" s="46">
        <v>1000</v>
      </c>
      <c r="E27" s="2"/>
      <c r="F27" s="47">
        <f t="shared" si="2"/>
        <v>12000</v>
      </c>
    </row>
    <row r="28" spans="1:7" x14ac:dyDescent="0.3">
      <c r="A28" t="s">
        <v>141</v>
      </c>
      <c r="B28" s="46">
        <f t="shared" si="1"/>
        <v>500</v>
      </c>
      <c r="C28" s="2"/>
      <c r="D28" s="46">
        <v>2000</v>
      </c>
      <c r="E28" s="2"/>
      <c r="F28" s="47">
        <f t="shared" si="2"/>
        <v>24000</v>
      </c>
    </row>
    <row r="29" spans="1:7" x14ac:dyDescent="0.3">
      <c r="A29" t="s">
        <v>257</v>
      </c>
      <c r="B29" s="46">
        <f t="shared" si="1"/>
        <v>62.5</v>
      </c>
      <c r="C29" s="2"/>
      <c r="D29" s="46">
        <v>250</v>
      </c>
      <c r="E29" s="2"/>
      <c r="F29" s="47">
        <f t="shared" si="2"/>
        <v>3000</v>
      </c>
    </row>
    <row r="30" spans="1:7" x14ac:dyDescent="0.3">
      <c r="A30" t="s">
        <v>4</v>
      </c>
      <c r="B30" s="46">
        <f t="shared" si="1"/>
        <v>250</v>
      </c>
      <c r="C30" s="2"/>
      <c r="D30" s="46">
        <v>1000</v>
      </c>
      <c r="E30" s="2"/>
      <c r="F30" s="47">
        <f t="shared" si="2"/>
        <v>12000</v>
      </c>
    </row>
    <row r="31" spans="1:7" x14ac:dyDescent="0.3">
      <c r="A31" t="s">
        <v>5</v>
      </c>
      <c r="B31" s="46">
        <f t="shared" si="1"/>
        <v>250</v>
      </c>
      <c r="C31" s="2"/>
      <c r="D31" s="46">
        <v>1000</v>
      </c>
      <c r="E31" s="2"/>
      <c r="F31" s="47">
        <f t="shared" si="2"/>
        <v>12000</v>
      </c>
    </row>
    <row r="32" spans="1:7" x14ac:dyDescent="0.3">
      <c r="A32" t="s">
        <v>6</v>
      </c>
      <c r="B32" s="46">
        <f t="shared" si="1"/>
        <v>250</v>
      </c>
      <c r="C32" s="2"/>
      <c r="D32" s="46">
        <v>1000</v>
      </c>
      <c r="E32" s="2"/>
      <c r="F32" s="47">
        <f t="shared" si="2"/>
        <v>12000</v>
      </c>
    </row>
    <row r="33" spans="1:6" x14ac:dyDescent="0.3">
      <c r="A33" t="s">
        <v>35</v>
      </c>
      <c r="B33" s="46">
        <f t="shared" si="1"/>
        <v>375</v>
      </c>
      <c r="C33" s="2"/>
      <c r="D33" s="46">
        <v>1500</v>
      </c>
      <c r="E33" s="2"/>
      <c r="F33" s="47">
        <f t="shared" si="2"/>
        <v>18000</v>
      </c>
    </row>
    <row r="34" spans="1:6" x14ac:dyDescent="0.3">
      <c r="A34" t="s">
        <v>7</v>
      </c>
      <c r="B34" s="46">
        <f t="shared" si="1"/>
        <v>75</v>
      </c>
      <c r="C34" s="2"/>
      <c r="D34" s="46">
        <v>300</v>
      </c>
      <c r="E34" s="2"/>
      <c r="F34" s="47">
        <f t="shared" si="2"/>
        <v>3600</v>
      </c>
    </row>
    <row r="35" spans="1:6" x14ac:dyDescent="0.3">
      <c r="A35" t="s">
        <v>73</v>
      </c>
      <c r="B35" s="46">
        <f t="shared" si="1"/>
        <v>125</v>
      </c>
      <c r="C35" s="2"/>
      <c r="D35" s="46">
        <v>500</v>
      </c>
      <c r="E35" s="2"/>
      <c r="F35" s="47">
        <f t="shared" si="2"/>
        <v>6000</v>
      </c>
    </row>
    <row r="36" spans="1:6" x14ac:dyDescent="0.3">
      <c r="A36" t="s">
        <v>74</v>
      </c>
      <c r="B36" s="46">
        <f t="shared" si="1"/>
        <v>1375</v>
      </c>
      <c r="C36" s="2"/>
      <c r="D36" s="46">
        <v>5500</v>
      </c>
      <c r="E36" s="2"/>
      <c r="F36" s="47">
        <f t="shared" si="2"/>
        <v>66000</v>
      </c>
    </row>
    <row r="37" spans="1:6" x14ac:dyDescent="0.3">
      <c r="A37" t="s">
        <v>8</v>
      </c>
      <c r="B37" s="46">
        <f t="shared" si="1"/>
        <v>250</v>
      </c>
      <c r="C37" s="2"/>
      <c r="D37" s="46">
        <v>1000</v>
      </c>
      <c r="E37" s="2"/>
      <c r="F37" s="47">
        <f t="shared" si="2"/>
        <v>12000</v>
      </c>
    </row>
    <row r="38" spans="1:6" x14ac:dyDescent="0.3">
      <c r="A38" t="s">
        <v>33</v>
      </c>
      <c r="B38" s="46">
        <f t="shared" si="1"/>
        <v>250</v>
      </c>
      <c r="C38" s="2"/>
      <c r="D38" s="46">
        <v>1000</v>
      </c>
      <c r="E38" s="2"/>
      <c r="F38" s="47">
        <f t="shared" si="2"/>
        <v>12000</v>
      </c>
    </row>
    <row r="39" spans="1:6" x14ac:dyDescent="0.3">
      <c r="A39" t="s">
        <v>34</v>
      </c>
      <c r="B39" s="46">
        <f t="shared" si="1"/>
        <v>250</v>
      </c>
      <c r="C39" s="1"/>
      <c r="D39" s="46">
        <v>1000</v>
      </c>
      <c r="E39" s="2"/>
      <c r="F39" s="47">
        <f t="shared" si="2"/>
        <v>12000</v>
      </c>
    </row>
    <row r="40" spans="1:6" x14ac:dyDescent="0.3">
      <c r="A40" t="s">
        <v>36</v>
      </c>
      <c r="B40" s="46">
        <f t="shared" si="1"/>
        <v>125</v>
      </c>
      <c r="C40" s="1"/>
      <c r="D40" s="46">
        <v>500</v>
      </c>
      <c r="E40" s="2"/>
      <c r="F40" s="47">
        <f t="shared" si="2"/>
        <v>6000</v>
      </c>
    </row>
    <row r="41" spans="1:6" x14ac:dyDescent="0.3">
      <c r="A41" t="s">
        <v>38</v>
      </c>
      <c r="B41" s="46">
        <f>+D41/4</f>
        <v>250</v>
      </c>
      <c r="C41" s="1"/>
      <c r="D41" s="46">
        <v>1000</v>
      </c>
      <c r="E41" s="2"/>
      <c r="F41" s="47">
        <f t="shared" si="2"/>
        <v>12000</v>
      </c>
    </row>
    <row r="42" spans="1:6" x14ac:dyDescent="0.3">
      <c r="A42" t="s">
        <v>76</v>
      </c>
      <c r="B42" s="46">
        <f>+D42/4</f>
        <v>3625</v>
      </c>
      <c r="C42" s="2"/>
      <c r="D42" s="47">
        <v>14500</v>
      </c>
      <c r="E42" s="2"/>
      <c r="F42" s="47">
        <f>+D42*12</f>
        <v>174000</v>
      </c>
    </row>
    <row r="43" spans="1:6" x14ac:dyDescent="0.3">
      <c r="A43" t="s">
        <v>258</v>
      </c>
      <c r="B43" s="46">
        <f>+D43/4</f>
        <v>762.5</v>
      </c>
      <c r="C43" s="1"/>
      <c r="D43" s="46">
        <v>3050</v>
      </c>
      <c r="E43" s="2"/>
      <c r="F43" s="47">
        <f>+D43*12</f>
        <v>36600</v>
      </c>
    </row>
    <row r="44" spans="1:6" x14ac:dyDescent="0.3">
      <c r="A44" s="9" t="s">
        <v>9</v>
      </c>
      <c r="B44" s="65">
        <f>SUM(B21:B43)</f>
        <v>28195.661764705881</v>
      </c>
      <c r="C44" s="10"/>
      <c r="D44" s="65">
        <f>SUM(D21:D43)</f>
        <v>112782.64705882352</v>
      </c>
      <c r="E44" s="10"/>
      <c r="F44" s="65">
        <f>SUM(F21:F43)</f>
        <v>1353391.7647058824</v>
      </c>
    </row>
    <row r="45" spans="1:6" x14ac:dyDescent="0.3">
      <c r="B45" s="7"/>
      <c r="C45" s="1"/>
      <c r="D45" s="3"/>
      <c r="E45" s="2"/>
    </row>
    <row r="46" spans="1:6" x14ac:dyDescent="0.3">
      <c r="B46" s="7"/>
      <c r="C46" s="1"/>
      <c r="D46" s="3"/>
      <c r="E46" s="2"/>
    </row>
    <row r="47" spans="1:6" x14ac:dyDescent="0.3">
      <c r="A47" s="8" t="s">
        <v>16</v>
      </c>
      <c r="B47" s="21" t="s">
        <v>29</v>
      </c>
      <c r="C47" s="6"/>
      <c r="D47" s="21" t="s">
        <v>30</v>
      </c>
      <c r="E47" s="6"/>
    </row>
    <row r="48" spans="1:6" x14ac:dyDescent="0.3">
      <c r="A48" t="s">
        <v>31</v>
      </c>
      <c r="B48" s="11">
        <f>+C4</f>
        <v>36480</v>
      </c>
      <c r="C48" s="1"/>
      <c r="D48" s="11">
        <f>+D4</f>
        <v>437760</v>
      </c>
      <c r="E48" s="2"/>
    </row>
    <row r="49" spans="1:6" x14ac:dyDescent="0.3">
      <c r="A49" t="s">
        <v>14</v>
      </c>
      <c r="B49" s="46">
        <f>+C8</f>
        <v>1276800</v>
      </c>
      <c r="C49" s="60">
        <f>+B49/B48</f>
        <v>35</v>
      </c>
      <c r="D49" s="2">
        <f>D8</f>
        <v>15321600</v>
      </c>
      <c r="E49" s="60">
        <f>+D49/D48</f>
        <v>35</v>
      </c>
    </row>
    <row r="50" spans="1:6" x14ac:dyDescent="0.3">
      <c r="A50" t="s">
        <v>10</v>
      </c>
      <c r="B50" s="51">
        <f>D16</f>
        <v>719527.64586666669</v>
      </c>
      <c r="C50" s="2">
        <f>+B50/B48</f>
        <v>19.723893801169591</v>
      </c>
      <c r="D50" s="2">
        <f>+F16</f>
        <v>8634331.7504000012</v>
      </c>
      <c r="E50" s="2">
        <f>+D50/D48</f>
        <v>19.723893801169595</v>
      </c>
    </row>
    <row r="51" spans="1:6" x14ac:dyDescent="0.3">
      <c r="A51" s="12" t="s">
        <v>13</v>
      </c>
      <c r="B51" s="48">
        <f>+B49-B50</f>
        <v>557272.35413333331</v>
      </c>
      <c r="C51" s="13"/>
      <c r="D51" s="13">
        <f>+D49-D50</f>
        <v>6687268.2495999988</v>
      </c>
      <c r="E51" s="13"/>
    </row>
    <row r="52" spans="1:6" x14ac:dyDescent="0.3">
      <c r="A52" t="s">
        <v>11</v>
      </c>
      <c r="B52" s="51">
        <f>+D44</f>
        <v>112782.64705882352</v>
      </c>
      <c r="C52" s="2">
        <f>+B52/B48</f>
        <v>3.0916295794633641</v>
      </c>
      <c r="D52" s="2">
        <f>+F44</f>
        <v>1353391.7647058824</v>
      </c>
      <c r="E52" s="2">
        <f>+D52/D48</f>
        <v>3.0916295794633646</v>
      </c>
    </row>
    <row r="53" spans="1:6" x14ac:dyDescent="0.3">
      <c r="A53" s="12" t="s">
        <v>12</v>
      </c>
      <c r="B53" s="48">
        <f>+B50+B52</f>
        <v>832310.29292549018</v>
      </c>
      <c r="C53" s="174">
        <f>+B53/B48</f>
        <v>22.815523380632953</v>
      </c>
      <c r="D53" s="13">
        <f>+D50+D52</f>
        <v>9987723.5151058845</v>
      </c>
      <c r="E53" s="174">
        <f>+D53/D48</f>
        <v>22.81552338063296</v>
      </c>
    </row>
    <row r="54" spans="1:6" x14ac:dyDescent="0.3">
      <c r="A54" s="16" t="s">
        <v>15</v>
      </c>
      <c r="B54" s="52">
        <f>+B49-B53</f>
        <v>444489.70707450982</v>
      </c>
      <c r="C54" s="7">
        <f>B54/B49</f>
        <v>0.34812790341048699</v>
      </c>
      <c r="D54" s="17">
        <f>+D49-D53</f>
        <v>5333876.4848941155</v>
      </c>
      <c r="E54" s="7">
        <f>D54/D49</f>
        <v>0.34812790341048688</v>
      </c>
    </row>
    <row r="55" spans="1:6" ht="15" thickBot="1" x14ac:dyDescent="0.35">
      <c r="A55" s="14" t="s">
        <v>89</v>
      </c>
      <c r="B55" s="48">
        <f>+B54*0.25</f>
        <v>111122.42676862745</v>
      </c>
      <c r="C55" s="15"/>
      <c r="D55" s="13">
        <f>+D54*0.25</f>
        <v>1333469.1212235289</v>
      </c>
      <c r="E55" s="2"/>
    </row>
    <row r="56" spans="1:6" ht="15" thickBot="1" x14ac:dyDescent="0.35">
      <c r="A56" s="25" t="s">
        <v>41</v>
      </c>
      <c r="B56" s="53">
        <f>+B54-B55</f>
        <v>333367.28030588233</v>
      </c>
      <c r="C56" s="173">
        <f>+B56/B49</f>
        <v>0.26109592755786526</v>
      </c>
      <c r="D56" s="54">
        <f>+D54-D55</f>
        <v>4000407.3636705866</v>
      </c>
      <c r="E56" s="173">
        <f>+D56/D49</f>
        <v>0.26109592755786515</v>
      </c>
      <c r="F56" s="24"/>
    </row>
    <row r="59" spans="1:6" x14ac:dyDescent="0.3">
      <c r="A59" s="171" t="s">
        <v>259</v>
      </c>
    </row>
    <row r="60" spans="1:6" x14ac:dyDescent="0.3">
      <c r="A60" t="s">
        <v>90</v>
      </c>
      <c r="D60" s="2">
        <f>8120+8650</f>
        <v>16770</v>
      </c>
    </row>
    <row r="61" spans="1:6" x14ac:dyDescent="0.3">
      <c r="A61" t="s">
        <v>91</v>
      </c>
      <c r="D61" s="2">
        <f>32000</f>
        <v>32000</v>
      </c>
    </row>
    <row r="62" spans="1:6" ht="15" thickBot="1" x14ac:dyDescent="0.35">
      <c r="D62" s="63">
        <f>+D56+D60+D61</f>
        <v>4049177.3636705866</v>
      </c>
      <c r="E62" s="173">
        <f>+D62/D49</f>
        <v>0.26427901548601884</v>
      </c>
    </row>
    <row r="63" spans="1:6" ht="15" thickTop="1" x14ac:dyDescent="0.3"/>
  </sheetData>
  <printOptions horizontalCentered="1" verticalCentered="1"/>
  <pageMargins left="0.31496062992125984" right="0.31496062992125984" top="0.35433070866141736" bottom="0.35433070866141736" header="0.31496062992125984" footer="0.31496062992125984"/>
  <pageSetup paperSize="9" scale="59" orientation="landscape" r:id="rId1"/>
  <ignoredErrors>
    <ignoredError sqref="D49" formula="1"/>
    <ignoredError sqref="E49 E54" evalError="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1"/>
  <dimension ref="A2:N59"/>
  <sheetViews>
    <sheetView topLeftCell="A37" workbookViewId="0">
      <selection activeCell="H62" sqref="H62"/>
    </sheetView>
  </sheetViews>
  <sheetFormatPr defaultRowHeight="14.4" x14ac:dyDescent="0.3"/>
  <cols>
    <col min="7" max="7" width="10" bestFit="1" customWidth="1"/>
    <col min="13" max="14" width="11.109375" bestFit="1" customWidth="1"/>
  </cols>
  <sheetData>
    <row r="2" spans="1:13" ht="52.8" x14ac:dyDescent="0.3">
      <c r="A2" s="26" t="s">
        <v>46</v>
      </c>
    </row>
    <row r="3" spans="1:13" ht="18" thickBot="1" x14ac:dyDescent="0.35">
      <c r="A3" s="27"/>
    </row>
    <row r="4" spans="1:13" ht="30.6" x14ac:dyDescent="0.3">
      <c r="A4" s="38" t="s">
        <v>47</v>
      </c>
      <c r="B4" s="39" t="s">
        <v>48</v>
      </c>
      <c r="C4" s="39" t="s">
        <v>49</v>
      </c>
      <c r="D4" s="39" t="s">
        <v>50</v>
      </c>
      <c r="E4" s="39" t="s">
        <v>51</v>
      </c>
      <c r="F4" s="39" t="s">
        <v>52</v>
      </c>
      <c r="G4" s="39" t="s">
        <v>53</v>
      </c>
      <c r="H4" s="39" t="s">
        <v>54</v>
      </c>
      <c r="I4" s="39" t="s">
        <v>55</v>
      </c>
      <c r="J4" s="39" t="s">
        <v>56</v>
      </c>
      <c r="K4" s="39" t="s">
        <v>57</v>
      </c>
      <c r="L4" s="39" t="s">
        <v>58</v>
      </c>
      <c r="M4" s="40" t="s">
        <v>59</v>
      </c>
    </row>
    <row r="5" spans="1:13" x14ac:dyDescent="0.3">
      <c r="A5" s="41" t="s">
        <v>60</v>
      </c>
      <c r="B5" s="33"/>
      <c r="C5" s="34">
        <v>19112.89</v>
      </c>
      <c r="D5" s="34">
        <v>1365.21</v>
      </c>
      <c r="E5" s="34">
        <v>116042.57</v>
      </c>
      <c r="F5" s="33">
        <v>884.37</v>
      </c>
      <c r="G5" s="34">
        <v>15158.19</v>
      </c>
      <c r="H5" s="34">
        <v>116042.57</v>
      </c>
      <c r="I5" s="34">
        <v>2550.3200000000002</v>
      </c>
      <c r="J5" s="34">
        <v>136520.67000000001</v>
      </c>
      <c r="K5" s="34">
        <v>21160.7</v>
      </c>
      <c r="L5" s="34">
        <v>2730.41</v>
      </c>
      <c r="M5" s="42">
        <v>160411.78</v>
      </c>
    </row>
    <row r="6" spans="1:13" x14ac:dyDescent="0.3">
      <c r="A6" s="41" t="s">
        <v>61</v>
      </c>
      <c r="B6" s="33"/>
      <c r="C6" s="34">
        <v>20402.53</v>
      </c>
      <c r="D6" s="34">
        <v>1457.32</v>
      </c>
      <c r="E6" s="34">
        <v>123872.53</v>
      </c>
      <c r="F6" s="33">
        <v>954.29</v>
      </c>
      <c r="G6" s="34">
        <v>22918.240000000002</v>
      </c>
      <c r="H6" s="34">
        <v>239915.1</v>
      </c>
      <c r="I6" s="34">
        <v>2550.3200000000002</v>
      </c>
      <c r="J6" s="34">
        <v>145732.39000000001</v>
      </c>
      <c r="K6" s="34">
        <v>22588.52</v>
      </c>
      <c r="L6" s="34">
        <v>2914.65</v>
      </c>
      <c r="M6" s="42">
        <v>171235.56</v>
      </c>
    </row>
    <row r="7" spans="1:13" x14ac:dyDescent="0.3">
      <c r="A7" s="41" t="s">
        <v>62</v>
      </c>
      <c r="B7" s="33"/>
      <c r="C7" s="34">
        <v>21002.63</v>
      </c>
      <c r="D7" s="34">
        <v>1500.19</v>
      </c>
      <c r="E7" s="34">
        <v>134921.51999999999</v>
      </c>
      <c r="F7" s="34">
        <v>1043.03</v>
      </c>
      <c r="G7" s="34">
        <v>33878.49</v>
      </c>
      <c r="H7" s="34">
        <v>374836.62</v>
      </c>
      <c r="I7" s="34">
        <v>2550.3200000000002</v>
      </c>
      <c r="J7" s="34">
        <v>157424.34</v>
      </c>
      <c r="K7" s="34">
        <v>23252.91</v>
      </c>
      <c r="L7" s="34">
        <v>3000.38</v>
      </c>
      <c r="M7" s="42">
        <v>183677.62</v>
      </c>
    </row>
    <row r="8" spans="1:13" x14ac:dyDescent="0.3">
      <c r="A8" s="41" t="s">
        <v>63</v>
      </c>
      <c r="B8" s="33"/>
      <c r="C8" s="34">
        <v>21002.63</v>
      </c>
      <c r="D8" s="34">
        <v>1500.19</v>
      </c>
      <c r="E8" s="34">
        <v>134921.51999999999</v>
      </c>
      <c r="F8" s="34">
        <v>1043.03</v>
      </c>
      <c r="G8" s="34">
        <v>33878.49</v>
      </c>
      <c r="H8" s="34">
        <v>509758.15</v>
      </c>
      <c r="I8" s="34">
        <v>2550.3200000000002</v>
      </c>
      <c r="J8" s="34">
        <v>157424.34</v>
      </c>
      <c r="K8" s="34">
        <v>23252.91</v>
      </c>
      <c r="L8" s="34">
        <v>3000.38</v>
      </c>
      <c r="M8" s="42">
        <v>183677.62</v>
      </c>
    </row>
    <row r="9" spans="1:13" x14ac:dyDescent="0.3">
      <c r="A9" s="41" t="s">
        <v>64</v>
      </c>
      <c r="B9" s="33"/>
      <c r="C9" s="34">
        <v>21002.63</v>
      </c>
      <c r="D9" s="34">
        <v>1500.19</v>
      </c>
      <c r="E9" s="34">
        <v>134921.51999999999</v>
      </c>
      <c r="F9" s="34">
        <v>1043.03</v>
      </c>
      <c r="G9" s="34">
        <v>33878.49</v>
      </c>
      <c r="H9" s="34">
        <v>644679.67000000004</v>
      </c>
      <c r="I9" s="34">
        <v>2550.3200000000002</v>
      </c>
      <c r="J9" s="34">
        <v>157424.34</v>
      </c>
      <c r="K9" s="34">
        <v>23252.91</v>
      </c>
      <c r="L9" s="34">
        <v>3000.38</v>
      </c>
      <c r="M9" s="42">
        <v>183677.62</v>
      </c>
    </row>
    <row r="10" spans="1:13" x14ac:dyDescent="0.3">
      <c r="A10" s="41" t="s">
        <v>65</v>
      </c>
      <c r="B10" s="33"/>
      <c r="C10" s="34">
        <v>21002.63</v>
      </c>
      <c r="D10" s="34">
        <v>1500.19</v>
      </c>
      <c r="E10" s="34">
        <v>134921.51999999999</v>
      </c>
      <c r="F10" s="34">
        <v>1043.03</v>
      </c>
      <c r="G10" s="34">
        <v>33878.49</v>
      </c>
      <c r="H10" s="34">
        <v>779601.19</v>
      </c>
      <c r="I10" s="34">
        <v>2550.3200000000002</v>
      </c>
      <c r="J10" s="34">
        <v>157424.34</v>
      </c>
      <c r="K10" s="34">
        <v>23252.91</v>
      </c>
      <c r="L10" s="34">
        <v>3000.38</v>
      </c>
      <c r="M10" s="42">
        <v>183677.62</v>
      </c>
    </row>
    <row r="11" spans="1:13" x14ac:dyDescent="0.3">
      <c r="A11" s="41" t="s">
        <v>66</v>
      </c>
      <c r="B11" s="33"/>
      <c r="C11" s="34">
        <v>21002.63</v>
      </c>
      <c r="D11" s="34">
        <v>1500.19</v>
      </c>
      <c r="E11" s="34">
        <v>139764.34</v>
      </c>
      <c r="F11" s="34">
        <v>1079.79</v>
      </c>
      <c r="G11" s="34">
        <v>38684.559999999998</v>
      </c>
      <c r="H11" s="34">
        <v>919365.54</v>
      </c>
      <c r="I11" s="34">
        <v>3001.06</v>
      </c>
      <c r="J11" s="34">
        <v>162267.16</v>
      </c>
      <c r="K11" s="34">
        <v>23252.91</v>
      </c>
      <c r="L11" s="34">
        <v>3000.38</v>
      </c>
      <c r="M11" s="42">
        <v>188520.44</v>
      </c>
    </row>
    <row r="12" spans="1:13" ht="20.399999999999999" x14ac:dyDescent="0.3">
      <c r="A12" s="41" t="s">
        <v>67</v>
      </c>
      <c r="B12" s="33"/>
      <c r="C12" s="34">
        <v>21002.63</v>
      </c>
      <c r="D12" s="34">
        <v>1500.19</v>
      </c>
      <c r="E12" s="34">
        <v>150400.15</v>
      </c>
      <c r="F12" s="34">
        <v>1160.51</v>
      </c>
      <c r="G12" s="34">
        <v>49239.63</v>
      </c>
      <c r="H12" s="34">
        <v>1069765.68</v>
      </c>
      <c r="I12" s="34">
        <v>3400.42</v>
      </c>
      <c r="J12" s="34">
        <v>172902.96</v>
      </c>
      <c r="K12" s="34">
        <v>23252.91</v>
      </c>
      <c r="L12" s="34">
        <v>3000.38</v>
      </c>
      <c r="M12" s="42">
        <v>199156.24</v>
      </c>
    </row>
    <row r="13" spans="1:13" x14ac:dyDescent="0.3">
      <c r="A13" s="41" t="s">
        <v>68</v>
      </c>
      <c r="B13" s="33"/>
      <c r="C13" s="34">
        <v>21002.63</v>
      </c>
      <c r="D13" s="34">
        <v>1500.19</v>
      </c>
      <c r="E13" s="34">
        <v>150400.15</v>
      </c>
      <c r="F13" s="34">
        <v>1160.51</v>
      </c>
      <c r="G13" s="34">
        <v>49239.63</v>
      </c>
      <c r="H13" s="34">
        <v>1220165.83</v>
      </c>
      <c r="I13" s="34">
        <v>3400.42</v>
      </c>
      <c r="J13" s="34">
        <v>172902.96</v>
      </c>
      <c r="K13" s="34">
        <v>23252.91</v>
      </c>
      <c r="L13" s="34">
        <v>3000.38</v>
      </c>
      <c r="M13" s="42">
        <v>199156.24</v>
      </c>
    </row>
    <row r="14" spans="1:13" x14ac:dyDescent="0.3">
      <c r="A14" s="41" t="s">
        <v>69</v>
      </c>
      <c r="B14" s="33"/>
      <c r="C14" s="34">
        <v>21002.63</v>
      </c>
      <c r="D14" s="34">
        <v>1500.19</v>
      </c>
      <c r="E14" s="34">
        <v>150400.15</v>
      </c>
      <c r="F14" s="34">
        <v>1160.51</v>
      </c>
      <c r="G14" s="34">
        <v>49239.63</v>
      </c>
      <c r="H14" s="34">
        <v>1370565.97</v>
      </c>
      <c r="I14" s="34">
        <v>3400.42</v>
      </c>
      <c r="J14" s="34">
        <v>172902.96</v>
      </c>
      <c r="K14" s="34">
        <v>23252.91</v>
      </c>
      <c r="L14" s="34">
        <v>3000.38</v>
      </c>
      <c r="M14" s="42">
        <v>199156.24</v>
      </c>
    </row>
    <row r="15" spans="1:13" x14ac:dyDescent="0.3">
      <c r="A15" s="41" t="s">
        <v>70</v>
      </c>
      <c r="B15" s="33"/>
      <c r="C15" s="34">
        <v>21002.63</v>
      </c>
      <c r="D15" s="34">
        <v>1500.19</v>
      </c>
      <c r="E15" s="34">
        <v>150400.15</v>
      </c>
      <c r="F15" s="34">
        <v>1160.51</v>
      </c>
      <c r="G15" s="34">
        <v>49239.63</v>
      </c>
      <c r="H15" s="34">
        <v>1520966.12</v>
      </c>
      <c r="I15" s="34">
        <v>3400.42</v>
      </c>
      <c r="J15" s="34">
        <v>172902.96</v>
      </c>
      <c r="K15" s="34">
        <v>23252.91</v>
      </c>
      <c r="L15" s="34">
        <v>3000.38</v>
      </c>
      <c r="M15" s="42">
        <v>199156.24</v>
      </c>
    </row>
    <row r="16" spans="1:13" x14ac:dyDescent="0.3">
      <c r="A16" s="41" t="s">
        <v>71</v>
      </c>
      <c r="B16" s="33"/>
      <c r="C16" s="34">
        <v>21002.63</v>
      </c>
      <c r="D16" s="34">
        <v>1500.19</v>
      </c>
      <c r="E16" s="34">
        <v>150400.15</v>
      </c>
      <c r="F16" s="34">
        <v>1160.51</v>
      </c>
      <c r="G16" s="34">
        <v>49239.63</v>
      </c>
      <c r="H16" s="34">
        <v>1671366.26</v>
      </c>
      <c r="I16" s="34">
        <v>3400.42</v>
      </c>
      <c r="J16" s="34">
        <v>172902.96</v>
      </c>
      <c r="K16" s="34">
        <v>23252.91</v>
      </c>
      <c r="L16" s="34">
        <v>3000.38</v>
      </c>
      <c r="M16" s="42">
        <v>199156.24</v>
      </c>
    </row>
    <row r="17" spans="1:14" ht="15" thickBot="1" x14ac:dyDescent="0.35">
      <c r="A17" s="43" t="s">
        <v>44</v>
      </c>
      <c r="B17" s="44">
        <v>1200000</v>
      </c>
      <c r="C17" s="44">
        <v>249541.68</v>
      </c>
      <c r="D17" s="44">
        <v>17824.41</v>
      </c>
      <c r="E17" s="44">
        <v>1671366.26</v>
      </c>
      <c r="F17" s="44">
        <v>12893.15</v>
      </c>
      <c r="G17" s="44">
        <v>458473.11</v>
      </c>
      <c r="H17" s="44">
        <v>1671366.26</v>
      </c>
      <c r="I17" s="44">
        <v>35305.08</v>
      </c>
      <c r="J17" s="44">
        <v>1938732.35</v>
      </c>
      <c r="K17" s="44">
        <v>276278.28999999998</v>
      </c>
      <c r="L17" s="44">
        <v>35648.81</v>
      </c>
      <c r="M17" s="45">
        <v>2250659.44</v>
      </c>
    </row>
    <row r="18" spans="1:14" ht="15" thickBot="1" x14ac:dyDescent="0.35">
      <c r="A18" s="35" t="s">
        <v>72</v>
      </c>
      <c r="B18" s="36">
        <v>100000</v>
      </c>
      <c r="C18" s="36">
        <v>20795.14</v>
      </c>
      <c r="D18" s="36">
        <v>1485.37</v>
      </c>
      <c r="E18" s="36">
        <v>139280.51999999999</v>
      </c>
      <c r="F18" s="36">
        <v>1074.43</v>
      </c>
      <c r="G18" s="36">
        <v>38206.089999999997</v>
      </c>
      <c r="H18" s="36">
        <v>869752.39</v>
      </c>
      <c r="I18" s="36">
        <v>2942.09</v>
      </c>
      <c r="J18" s="36">
        <v>161561.03</v>
      </c>
      <c r="K18" s="36">
        <v>23023.19</v>
      </c>
      <c r="L18" s="36">
        <v>2970.73</v>
      </c>
      <c r="M18" s="37">
        <v>187554.95</v>
      </c>
      <c r="N18" s="46">
        <f>+M18/M19</f>
        <v>5516.3220588235299</v>
      </c>
    </row>
    <row r="19" spans="1:14" x14ac:dyDescent="0.3">
      <c r="M19" s="32">
        <v>34</v>
      </c>
    </row>
    <row r="20" spans="1:14" x14ac:dyDescent="0.3">
      <c r="M20" s="3">
        <f>+M17/M19</f>
        <v>66195.86588235294</v>
      </c>
    </row>
    <row r="22" spans="1:14" ht="52.8" x14ac:dyDescent="0.3">
      <c r="A22" s="26" t="s">
        <v>46</v>
      </c>
    </row>
    <row r="23" spans="1:14" ht="18" thickBot="1" x14ac:dyDescent="0.35">
      <c r="A23" s="27"/>
    </row>
    <row r="24" spans="1:14" ht="31.2" thickBot="1" x14ac:dyDescent="0.35">
      <c r="A24" s="28" t="s">
        <v>47</v>
      </c>
      <c r="B24" s="28" t="s">
        <v>48</v>
      </c>
      <c r="C24" s="28" t="s">
        <v>49</v>
      </c>
      <c r="D24" s="28" t="s">
        <v>50</v>
      </c>
      <c r="E24" s="28" t="s">
        <v>51</v>
      </c>
      <c r="F24" s="28" t="s">
        <v>52</v>
      </c>
      <c r="G24" s="28" t="s">
        <v>53</v>
      </c>
      <c r="H24" s="28" t="s">
        <v>54</v>
      </c>
      <c r="I24" s="28" t="s">
        <v>55</v>
      </c>
      <c r="J24" s="28" t="s">
        <v>56</v>
      </c>
      <c r="K24" s="28" t="s">
        <v>57</v>
      </c>
      <c r="L24" s="28" t="s">
        <v>58</v>
      </c>
      <c r="M24" s="28" t="s">
        <v>59</v>
      </c>
    </row>
    <row r="25" spans="1:14" ht="15" thickBot="1" x14ac:dyDescent="0.35">
      <c r="A25" s="29" t="s">
        <v>60</v>
      </c>
      <c r="B25" s="30"/>
      <c r="C25" s="31">
        <v>9262.2900000000009</v>
      </c>
      <c r="D25" s="30">
        <v>661.59</v>
      </c>
      <c r="E25" s="31">
        <v>56235.3</v>
      </c>
      <c r="F25" s="30">
        <v>350.33</v>
      </c>
      <c r="G25" s="31">
        <v>5884.98</v>
      </c>
      <c r="H25" s="31">
        <v>56235.3</v>
      </c>
      <c r="I25" s="31">
        <v>2550.3200000000002</v>
      </c>
      <c r="J25" s="31">
        <v>66159.179999999993</v>
      </c>
      <c r="K25" s="31">
        <v>10254.67</v>
      </c>
      <c r="L25" s="31">
        <v>1323.18</v>
      </c>
      <c r="M25" s="31">
        <v>77737.039999999994</v>
      </c>
    </row>
    <row r="26" spans="1:14" ht="15" thickBot="1" x14ac:dyDescent="0.35">
      <c r="A26" s="29" t="s">
        <v>61</v>
      </c>
      <c r="B26" s="30"/>
      <c r="C26" s="31">
        <v>9288.01</v>
      </c>
      <c r="D26" s="30">
        <v>663.43</v>
      </c>
      <c r="E26" s="31">
        <v>56391.46</v>
      </c>
      <c r="F26" s="30">
        <v>351.72</v>
      </c>
      <c r="G26" s="31">
        <v>6039.74</v>
      </c>
      <c r="H26" s="31">
        <v>112626.77</v>
      </c>
      <c r="I26" s="31">
        <v>2550.3200000000002</v>
      </c>
      <c r="J26" s="31">
        <v>66342.899999999994</v>
      </c>
      <c r="K26" s="31">
        <v>10283.15</v>
      </c>
      <c r="L26" s="31">
        <v>1326.86</v>
      </c>
      <c r="M26" s="31">
        <v>77952.899999999994</v>
      </c>
    </row>
    <row r="27" spans="1:14" ht="15" thickBot="1" x14ac:dyDescent="0.35">
      <c r="A27" s="29" t="s">
        <v>62</v>
      </c>
      <c r="B27" s="30"/>
      <c r="C27" s="31">
        <v>9847.7099999999991</v>
      </c>
      <c r="D27" s="30">
        <v>703.41</v>
      </c>
      <c r="E27" s="31">
        <v>59789.68</v>
      </c>
      <c r="F27" s="30">
        <v>382.07</v>
      </c>
      <c r="G27" s="31">
        <v>9407.6200000000008</v>
      </c>
      <c r="H27" s="31">
        <v>172416.45</v>
      </c>
      <c r="I27" s="31">
        <v>2550.3200000000002</v>
      </c>
      <c r="J27" s="31">
        <v>70340.81</v>
      </c>
      <c r="K27" s="31">
        <v>10902.82</v>
      </c>
      <c r="L27" s="31">
        <v>1406.82</v>
      </c>
      <c r="M27" s="31">
        <v>82650.45</v>
      </c>
    </row>
    <row r="28" spans="1:14" ht="15" thickBot="1" x14ac:dyDescent="0.35">
      <c r="A28" s="29" t="s">
        <v>63</v>
      </c>
      <c r="B28" s="30"/>
      <c r="C28" s="31">
        <v>9882.99</v>
      </c>
      <c r="D28" s="30">
        <v>705.93</v>
      </c>
      <c r="E28" s="31">
        <v>60003.85</v>
      </c>
      <c r="F28" s="30">
        <v>383.98</v>
      </c>
      <c r="G28" s="31">
        <v>9619.8700000000008</v>
      </c>
      <c r="H28" s="31">
        <v>232420.3</v>
      </c>
      <c r="I28" s="31">
        <v>2550.3200000000002</v>
      </c>
      <c r="J28" s="31">
        <v>70592.77</v>
      </c>
      <c r="K28" s="31">
        <v>10941.88</v>
      </c>
      <c r="L28" s="31">
        <v>1411.86</v>
      </c>
      <c r="M28" s="31">
        <v>82946.5</v>
      </c>
    </row>
    <row r="29" spans="1:14" ht="15" thickBot="1" x14ac:dyDescent="0.35">
      <c r="A29" s="29" t="s">
        <v>64</v>
      </c>
      <c r="B29" s="30"/>
      <c r="C29" s="31">
        <v>10803.71</v>
      </c>
      <c r="D29" s="30">
        <v>771.69</v>
      </c>
      <c r="E29" s="31">
        <v>65593.94</v>
      </c>
      <c r="F29" s="30">
        <v>433.9</v>
      </c>
      <c r="G29" s="31">
        <v>15160.04</v>
      </c>
      <c r="H29" s="31">
        <v>298014.24</v>
      </c>
      <c r="I29" s="31">
        <v>2550.3200000000002</v>
      </c>
      <c r="J29" s="31">
        <v>77169.34</v>
      </c>
      <c r="K29" s="31">
        <v>11961.25</v>
      </c>
      <c r="L29" s="31">
        <v>1543.39</v>
      </c>
      <c r="M29" s="31">
        <v>90673.98</v>
      </c>
    </row>
    <row r="30" spans="1:14" ht="15" thickBot="1" x14ac:dyDescent="0.35">
      <c r="A30" s="29" t="s">
        <v>65</v>
      </c>
      <c r="B30" s="30"/>
      <c r="C30" s="31">
        <v>10803.71</v>
      </c>
      <c r="D30" s="30">
        <v>771.69</v>
      </c>
      <c r="E30" s="31">
        <v>65593.94</v>
      </c>
      <c r="F30" s="30">
        <v>433.9</v>
      </c>
      <c r="G30" s="31">
        <v>15160.04</v>
      </c>
      <c r="H30" s="31">
        <v>363608.18</v>
      </c>
      <c r="I30" s="31">
        <v>2550.3200000000002</v>
      </c>
      <c r="J30" s="31">
        <v>77169.34</v>
      </c>
      <c r="K30" s="31">
        <v>11961.25</v>
      </c>
      <c r="L30" s="31">
        <v>1543.39</v>
      </c>
      <c r="M30" s="31">
        <v>90673.98</v>
      </c>
    </row>
    <row r="31" spans="1:14" ht="15" thickBot="1" x14ac:dyDescent="0.35">
      <c r="A31" s="29" t="s">
        <v>66</v>
      </c>
      <c r="B31" s="30"/>
      <c r="C31" s="31">
        <v>10700.75</v>
      </c>
      <c r="D31" s="30">
        <v>764.34</v>
      </c>
      <c r="E31" s="31">
        <v>64968.84</v>
      </c>
      <c r="F31" s="30">
        <v>428.31</v>
      </c>
      <c r="G31" s="31">
        <v>14540.53</v>
      </c>
      <c r="H31" s="31">
        <v>428577.02</v>
      </c>
      <c r="I31" s="31">
        <v>3001.06</v>
      </c>
      <c r="J31" s="31">
        <v>76433.929999999993</v>
      </c>
      <c r="K31" s="31">
        <v>11847.26</v>
      </c>
      <c r="L31" s="31">
        <v>1528.68</v>
      </c>
      <c r="M31" s="31">
        <v>89809.87</v>
      </c>
    </row>
    <row r="32" spans="1:14" ht="21" thickBot="1" x14ac:dyDescent="0.35">
      <c r="A32" s="29" t="s">
        <v>67</v>
      </c>
      <c r="B32" s="30"/>
      <c r="C32" s="31">
        <v>10609.53</v>
      </c>
      <c r="D32" s="30">
        <v>757.82</v>
      </c>
      <c r="E32" s="31">
        <v>64415</v>
      </c>
      <c r="F32" s="30">
        <v>423.37</v>
      </c>
      <c r="G32" s="31">
        <v>13991.63</v>
      </c>
      <c r="H32" s="31">
        <v>492992.02</v>
      </c>
      <c r="I32" s="31">
        <v>3400.42</v>
      </c>
      <c r="J32" s="31">
        <v>75782.350000000006</v>
      </c>
      <c r="K32" s="31">
        <v>11746.26</v>
      </c>
      <c r="L32" s="31">
        <v>1515.65</v>
      </c>
      <c r="M32" s="31">
        <v>89044.26</v>
      </c>
    </row>
    <row r="33" spans="1:14" ht="15" thickBot="1" x14ac:dyDescent="0.35">
      <c r="A33" s="29" t="s">
        <v>68</v>
      </c>
      <c r="B33" s="30"/>
      <c r="C33" s="31">
        <v>10609.53</v>
      </c>
      <c r="D33" s="30">
        <v>757.82</v>
      </c>
      <c r="E33" s="31">
        <v>64415</v>
      </c>
      <c r="F33" s="30">
        <v>423.37</v>
      </c>
      <c r="G33" s="31">
        <v>13991.63</v>
      </c>
      <c r="H33" s="31">
        <v>557407.02</v>
      </c>
      <c r="I33" s="31">
        <v>3400.42</v>
      </c>
      <c r="J33" s="31">
        <v>75782.350000000006</v>
      </c>
      <c r="K33" s="31">
        <v>11746.26</v>
      </c>
      <c r="L33" s="31">
        <v>1515.65</v>
      </c>
      <c r="M33" s="31">
        <v>89044.26</v>
      </c>
    </row>
    <row r="34" spans="1:14" ht="15" thickBot="1" x14ac:dyDescent="0.35">
      <c r="A34" s="29" t="s">
        <v>69</v>
      </c>
      <c r="B34" s="30"/>
      <c r="C34" s="31">
        <v>10609.53</v>
      </c>
      <c r="D34" s="30">
        <v>757.82</v>
      </c>
      <c r="E34" s="31">
        <v>64415</v>
      </c>
      <c r="F34" s="30">
        <v>423.37</v>
      </c>
      <c r="G34" s="31">
        <v>13991.63</v>
      </c>
      <c r="H34" s="31">
        <v>621822.02</v>
      </c>
      <c r="I34" s="31">
        <v>3400.42</v>
      </c>
      <c r="J34" s="31">
        <v>75782.350000000006</v>
      </c>
      <c r="K34" s="31">
        <v>11746.26</v>
      </c>
      <c r="L34" s="31">
        <v>1515.65</v>
      </c>
      <c r="M34" s="31">
        <v>89044.26</v>
      </c>
    </row>
    <row r="35" spans="1:14" ht="15" thickBot="1" x14ac:dyDescent="0.35">
      <c r="A35" s="29" t="s">
        <v>70</v>
      </c>
      <c r="B35" s="30"/>
      <c r="C35" s="31">
        <v>10609.53</v>
      </c>
      <c r="D35" s="30">
        <v>757.82</v>
      </c>
      <c r="E35" s="31">
        <v>64415</v>
      </c>
      <c r="F35" s="30">
        <v>423.37</v>
      </c>
      <c r="G35" s="31">
        <v>13991.63</v>
      </c>
      <c r="H35" s="31">
        <v>686237.02</v>
      </c>
      <c r="I35" s="31">
        <v>3400.42</v>
      </c>
      <c r="J35" s="31">
        <v>75782.350000000006</v>
      </c>
      <c r="K35" s="31">
        <v>11746.26</v>
      </c>
      <c r="L35" s="31">
        <v>1515.65</v>
      </c>
      <c r="M35" s="31">
        <v>89044.26</v>
      </c>
    </row>
    <row r="36" spans="1:14" ht="15" thickBot="1" x14ac:dyDescent="0.35">
      <c r="A36" s="29" t="s">
        <v>71</v>
      </c>
      <c r="B36" s="30"/>
      <c r="C36" s="31">
        <v>10609.53</v>
      </c>
      <c r="D36" s="30">
        <v>757.82</v>
      </c>
      <c r="E36" s="31">
        <v>64415</v>
      </c>
      <c r="F36" s="30">
        <v>423.37</v>
      </c>
      <c r="G36" s="31">
        <v>13991.63</v>
      </c>
      <c r="H36" s="31">
        <v>750652.02</v>
      </c>
      <c r="I36" s="31">
        <v>3400.42</v>
      </c>
      <c r="J36" s="31">
        <v>75782.350000000006</v>
      </c>
      <c r="K36" s="31">
        <v>11746.26</v>
      </c>
      <c r="L36" s="31">
        <v>1515.65</v>
      </c>
      <c r="M36" s="31">
        <v>89044.26</v>
      </c>
    </row>
    <row r="37" spans="1:14" ht="15" thickBot="1" x14ac:dyDescent="0.35">
      <c r="A37" s="43" t="s">
        <v>44</v>
      </c>
      <c r="B37" s="44">
        <v>600000</v>
      </c>
      <c r="C37" s="44">
        <v>123636.8</v>
      </c>
      <c r="D37" s="44">
        <v>8831.2000000000007</v>
      </c>
      <c r="E37" s="44">
        <v>750652.02</v>
      </c>
      <c r="F37" s="44">
        <v>4881.05</v>
      </c>
      <c r="G37" s="44">
        <v>145770.96</v>
      </c>
      <c r="H37" s="44">
        <v>750652.02</v>
      </c>
      <c r="I37" s="44">
        <v>35305.08</v>
      </c>
      <c r="J37" s="44">
        <v>883120.02</v>
      </c>
      <c r="K37" s="44">
        <v>136883.6</v>
      </c>
      <c r="L37" s="44">
        <v>17662.400000000001</v>
      </c>
      <c r="M37" s="45">
        <v>1037666.03</v>
      </c>
    </row>
    <row r="38" spans="1:14" ht="15" thickBot="1" x14ac:dyDescent="0.35">
      <c r="A38" s="35" t="s">
        <v>72</v>
      </c>
      <c r="B38" s="36">
        <v>50000</v>
      </c>
      <c r="C38" s="36">
        <v>10303.07</v>
      </c>
      <c r="D38" s="36">
        <v>735.93</v>
      </c>
      <c r="E38" s="36">
        <v>62554.33</v>
      </c>
      <c r="F38" s="36">
        <v>406.75</v>
      </c>
      <c r="G38" s="36">
        <v>12147.58</v>
      </c>
      <c r="H38" s="36">
        <v>397750.7</v>
      </c>
      <c r="I38" s="36">
        <v>2942.09</v>
      </c>
      <c r="J38" s="36">
        <v>73593.34</v>
      </c>
      <c r="K38" s="36">
        <v>11406.97</v>
      </c>
      <c r="L38" s="36">
        <v>1471.87</v>
      </c>
      <c r="M38" s="37">
        <v>86472.17</v>
      </c>
      <c r="N38" s="46">
        <f>+M38/M39</f>
        <v>2543.2991176470587</v>
      </c>
    </row>
    <row r="39" spans="1:14" x14ac:dyDescent="0.3">
      <c r="M39" s="32">
        <v>34</v>
      </c>
    </row>
    <row r="40" spans="1:14" x14ac:dyDescent="0.3">
      <c r="M40" s="3">
        <f>+M37/M39</f>
        <v>30519.589117647061</v>
      </c>
    </row>
    <row r="41" spans="1:14" ht="52.8" x14ac:dyDescent="0.3">
      <c r="A41" s="55" t="s">
        <v>46</v>
      </c>
    </row>
    <row r="42" spans="1:14" ht="18" thickBot="1" x14ac:dyDescent="0.35">
      <c r="A42" s="27"/>
    </row>
    <row r="43" spans="1:14" ht="31.2" thickBot="1" x14ac:dyDescent="0.35">
      <c r="A43" s="56" t="s">
        <v>47</v>
      </c>
      <c r="B43" s="56" t="s">
        <v>48</v>
      </c>
      <c r="C43" s="56" t="s">
        <v>49</v>
      </c>
      <c r="D43" s="56" t="s">
        <v>50</v>
      </c>
      <c r="E43" s="56" t="s">
        <v>51</v>
      </c>
      <c r="F43" s="56" t="s">
        <v>52</v>
      </c>
      <c r="G43" s="56" t="s">
        <v>53</v>
      </c>
      <c r="H43" s="56" t="s">
        <v>54</v>
      </c>
      <c r="I43" s="56" t="s">
        <v>55</v>
      </c>
      <c r="J43" s="56" t="s">
        <v>56</v>
      </c>
      <c r="K43" s="56" t="s">
        <v>57</v>
      </c>
      <c r="L43" s="56" t="s">
        <v>58</v>
      </c>
      <c r="M43" s="56" t="s">
        <v>59</v>
      </c>
    </row>
    <row r="44" spans="1:14" ht="15" thickBot="1" x14ac:dyDescent="0.35">
      <c r="A44" s="57" t="s">
        <v>60</v>
      </c>
      <c r="B44" s="58"/>
      <c r="C44" s="59">
        <v>14158.01</v>
      </c>
      <c r="D44" s="59">
        <v>1011.29</v>
      </c>
      <c r="E44" s="59">
        <v>85959.33</v>
      </c>
      <c r="F44" s="58">
        <v>615.75</v>
      </c>
      <c r="G44" s="59">
        <v>10343.58</v>
      </c>
      <c r="H44" s="59">
        <v>85959.33</v>
      </c>
      <c r="I44" s="59">
        <v>2550.3200000000002</v>
      </c>
      <c r="J44" s="59">
        <v>101128.62</v>
      </c>
      <c r="K44" s="59">
        <v>15674.94</v>
      </c>
      <c r="L44" s="59">
        <v>2022.57</v>
      </c>
      <c r="M44" s="59">
        <v>118826.13</v>
      </c>
    </row>
    <row r="45" spans="1:14" ht="15" thickBot="1" x14ac:dyDescent="0.35">
      <c r="A45" s="57" t="s">
        <v>61</v>
      </c>
      <c r="B45" s="58"/>
      <c r="C45" s="59">
        <v>14802.6</v>
      </c>
      <c r="D45" s="59">
        <v>1057.33</v>
      </c>
      <c r="E45" s="59">
        <v>89872.92</v>
      </c>
      <c r="F45" s="58">
        <v>650.69000000000005</v>
      </c>
      <c r="G45" s="59">
        <v>14222.23</v>
      </c>
      <c r="H45" s="59">
        <v>175832.25</v>
      </c>
      <c r="I45" s="59">
        <v>2550.3200000000002</v>
      </c>
      <c r="J45" s="59">
        <v>105732.85</v>
      </c>
      <c r="K45" s="59">
        <v>16388.59</v>
      </c>
      <c r="L45" s="59">
        <v>2114.66</v>
      </c>
      <c r="M45" s="59">
        <v>124236.1</v>
      </c>
    </row>
    <row r="46" spans="1:14" ht="15" thickBot="1" x14ac:dyDescent="0.35">
      <c r="A46" s="57" t="s">
        <v>62</v>
      </c>
      <c r="B46" s="58"/>
      <c r="C46" s="59">
        <v>15648.07</v>
      </c>
      <c r="D46" s="59">
        <v>1117.72</v>
      </c>
      <c r="E46" s="59">
        <v>95006.12</v>
      </c>
      <c r="F46" s="58">
        <v>696.53</v>
      </c>
      <c r="G46" s="59">
        <v>19309.59</v>
      </c>
      <c r="H46" s="59">
        <v>270838.37</v>
      </c>
      <c r="I46" s="59">
        <v>2550.3200000000002</v>
      </c>
      <c r="J46" s="59">
        <v>111771.91</v>
      </c>
      <c r="K46" s="59">
        <v>17324.650000000001</v>
      </c>
      <c r="L46" s="59">
        <v>2235.44</v>
      </c>
      <c r="M46" s="59">
        <v>131331.99</v>
      </c>
    </row>
    <row r="47" spans="1:14" ht="15" thickBot="1" x14ac:dyDescent="0.35">
      <c r="A47" s="57" t="s">
        <v>63</v>
      </c>
      <c r="B47" s="58"/>
      <c r="C47" s="59">
        <v>16514.169999999998</v>
      </c>
      <c r="D47" s="59">
        <v>1179.58</v>
      </c>
      <c r="E47" s="59">
        <v>100264.61</v>
      </c>
      <c r="F47" s="58">
        <v>743.49</v>
      </c>
      <c r="G47" s="59">
        <v>24521.119999999999</v>
      </c>
      <c r="H47" s="59">
        <v>371102.98</v>
      </c>
      <c r="I47" s="59">
        <v>2550.3200000000002</v>
      </c>
      <c r="J47" s="59">
        <v>117958.36</v>
      </c>
      <c r="K47" s="59">
        <v>18283.55</v>
      </c>
      <c r="L47" s="59">
        <v>2359.17</v>
      </c>
      <c r="M47" s="59">
        <v>138601.07999999999</v>
      </c>
    </row>
    <row r="48" spans="1:14" ht="15" thickBot="1" x14ac:dyDescent="0.35">
      <c r="A48" s="57" t="s">
        <v>64</v>
      </c>
      <c r="B48" s="58"/>
      <c r="C48" s="59">
        <v>16514.169999999998</v>
      </c>
      <c r="D48" s="59">
        <v>1179.58</v>
      </c>
      <c r="E48" s="59">
        <v>100264.61</v>
      </c>
      <c r="F48" s="58">
        <v>743.49</v>
      </c>
      <c r="G48" s="59">
        <v>24521.119999999999</v>
      </c>
      <c r="H48" s="59">
        <v>471367.59</v>
      </c>
      <c r="I48" s="59">
        <v>2550.3200000000002</v>
      </c>
      <c r="J48" s="59">
        <v>117958.36</v>
      </c>
      <c r="K48" s="59">
        <v>18283.55</v>
      </c>
      <c r="L48" s="59">
        <v>2359.17</v>
      </c>
      <c r="M48" s="59">
        <v>138601.07999999999</v>
      </c>
    </row>
    <row r="49" spans="1:14" ht="15" thickBot="1" x14ac:dyDescent="0.35">
      <c r="A49" s="57" t="s">
        <v>65</v>
      </c>
      <c r="B49" s="58"/>
      <c r="C49" s="59">
        <v>16514.169999999998</v>
      </c>
      <c r="D49" s="59">
        <v>1179.58</v>
      </c>
      <c r="E49" s="59">
        <v>100264.61</v>
      </c>
      <c r="F49" s="58">
        <v>743.49</v>
      </c>
      <c r="G49" s="59">
        <v>24521.119999999999</v>
      </c>
      <c r="H49" s="59">
        <v>571632.19999999995</v>
      </c>
      <c r="I49" s="59">
        <v>2550.3200000000002</v>
      </c>
      <c r="J49" s="59">
        <v>117958.36</v>
      </c>
      <c r="K49" s="59">
        <v>18283.55</v>
      </c>
      <c r="L49" s="59">
        <v>2359.17</v>
      </c>
      <c r="M49" s="59">
        <v>138601.07999999999</v>
      </c>
    </row>
    <row r="50" spans="1:14" ht="15" thickBot="1" x14ac:dyDescent="0.35">
      <c r="A50" s="57" t="s">
        <v>66</v>
      </c>
      <c r="B50" s="58"/>
      <c r="C50" s="59">
        <v>16411.21</v>
      </c>
      <c r="D50" s="59">
        <v>1172.23</v>
      </c>
      <c r="E50" s="59">
        <v>99639.51</v>
      </c>
      <c r="F50" s="58">
        <v>737.9</v>
      </c>
      <c r="G50" s="59">
        <v>23901.61</v>
      </c>
      <c r="H50" s="59">
        <v>671271.71</v>
      </c>
      <c r="I50" s="59">
        <v>3001.06</v>
      </c>
      <c r="J50" s="59">
        <v>117222.95</v>
      </c>
      <c r="K50" s="59">
        <v>18169.560000000001</v>
      </c>
      <c r="L50" s="59">
        <v>2344.46</v>
      </c>
      <c r="M50" s="59">
        <v>137736.97</v>
      </c>
    </row>
    <row r="51" spans="1:14" ht="21" thickBot="1" x14ac:dyDescent="0.35">
      <c r="A51" s="57" t="s">
        <v>67</v>
      </c>
      <c r="B51" s="58"/>
      <c r="C51" s="59">
        <v>16319.99</v>
      </c>
      <c r="D51" s="59">
        <v>1165.71</v>
      </c>
      <c r="E51" s="59">
        <v>99085.67</v>
      </c>
      <c r="F51" s="58">
        <v>732.96</v>
      </c>
      <c r="G51" s="59">
        <v>23352.71</v>
      </c>
      <c r="H51" s="59">
        <v>770357.38</v>
      </c>
      <c r="I51" s="59">
        <v>3400.42</v>
      </c>
      <c r="J51" s="59">
        <v>116571.37</v>
      </c>
      <c r="K51" s="59">
        <v>18068.560000000001</v>
      </c>
      <c r="L51" s="59">
        <v>2331.4299999999998</v>
      </c>
      <c r="M51" s="59">
        <v>136971.35999999999</v>
      </c>
    </row>
    <row r="52" spans="1:14" ht="15" thickBot="1" x14ac:dyDescent="0.35">
      <c r="A52" s="57" t="s">
        <v>68</v>
      </c>
      <c r="B52" s="58"/>
      <c r="C52" s="59">
        <v>16319.99</v>
      </c>
      <c r="D52" s="59">
        <v>1165.71</v>
      </c>
      <c r="E52" s="59">
        <v>99085.67</v>
      </c>
      <c r="F52" s="58">
        <v>732.96</v>
      </c>
      <c r="G52" s="59">
        <v>23352.71</v>
      </c>
      <c r="H52" s="59">
        <v>869443.05</v>
      </c>
      <c r="I52" s="59">
        <v>3400.42</v>
      </c>
      <c r="J52" s="59">
        <v>116571.37</v>
      </c>
      <c r="K52" s="59">
        <v>18068.560000000001</v>
      </c>
      <c r="L52" s="59">
        <v>2331.4299999999998</v>
      </c>
      <c r="M52" s="59">
        <v>136971.35999999999</v>
      </c>
    </row>
    <row r="53" spans="1:14" ht="15" thickBot="1" x14ac:dyDescent="0.35">
      <c r="A53" s="57" t="s">
        <v>69</v>
      </c>
      <c r="B53" s="58"/>
      <c r="C53" s="59">
        <v>18345.14</v>
      </c>
      <c r="D53" s="59">
        <v>1310.3699999999999</v>
      </c>
      <c r="E53" s="59">
        <v>111381.19</v>
      </c>
      <c r="F53" s="58">
        <v>842.75</v>
      </c>
      <c r="G53" s="59">
        <v>35538.44</v>
      </c>
      <c r="H53" s="59">
        <v>980824.24</v>
      </c>
      <c r="I53" s="59">
        <v>3400.42</v>
      </c>
      <c r="J53" s="59">
        <v>131036.69</v>
      </c>
      <c r="K53" s="59">
        <v>20310.689999999999</v>
      </c>
      <c r="L53" s="59">
        <v>2620.73</v>
      </c>
      <c r="M53" s="59">
        <v>153968.12</v>
      </c>
    </row>
    <row r="54" spans="1:14" ht="15" thickBot="1" x14ac:dyDescent="0.35">
      <c r="A54" s="57" t="s">
        <v>70</v>
      </c>
      <c r="B54" s="58"/>
      <c r="C54" s="59">
        <v>18356.580000000002</v>
      </c>
      <c r="D54" s="59">
        <v>1311.18</v>
      </c>
      <c r="E54" s="59">
        <v>111450.69</v>
      </c>
      <c r="F54" s="58">
        <v>843.37</v>
      </c>
      <c r="G54" s="59">
        <v>35607.32</v>
      </c>
      <c r="H54" s="59">
        <v>1092274.93</v>
      </c>
      <c r="I54" s="59">
        <v>3400.42</v>
      </c>
      <c r="J54" s="59">
        <v>131118.46</v>
      </c>
      <c r="K54" s="59">
        <v>20323.36</v>
      </c>
      <c r="L54" s="59">
        <v>2622.37</v>
      </c>
      <c r="M54" s="59">
        <v>154064.19</v>
      </c>
    </row>
    <row r="55" spans="1:14" ht="15" thickBot="1" x14ac:dyDescent="0.35">
      <c r="A55" s="57" t="s">
        <v>71</v>
      </c>
      <c r="B55" s="58"/>
      <c r="C55" s="59">
        <v>18356.580000000002</v>
      </c>
      <c r="D55" s="59">
        <v>1311.18</v>
      </c>
      <c r="E55" s="59">
        <v>111450.69</v>
      </c>
      <c r="F55" s="58">
        <v>843.37</v>
      </c>
      <c r="G55" s="59">
        <v>35607.32</v>
      </c>
      <c r="H55" s="59">
        <v>1203725.6200000001</v>
      </c>
      <c r="I55" s="59">
        <v>3400.42</v>
      </c>
      <c r="J55" s="59">
        <v>131118.46</v>
      </c>
      <c r="K55" s="59">
        <v>20323.36</v>
      </c>
      <c r="L55" s="59">
        <v>2622.37</v>
      </c>
      <c r="M55" s="59">
        <v>154064.19</v>
      </c>
    </row>
    <row r="56" spans="1:14" ht="15" thickBot="1" x14ac:dyDescent="0.35">
      <c r="A56" s="43" t="s">
        <v>44</v>
      </c>
      <c r="B56" s="44">
        <v>900000</v>
      </c>
      <c r="C56" s="44">
        <v>198260.69</v>
      </c>
      <c r="D56" s="44">
        <v>14161.48</v>
      </c>
      <c r="E56" s="44">
        <v>1203725.6200000001</v>
      </c>
      <c r="F56" s="44">
        <v>8926.73</v>
      </c>
      <c r="G56" s="44">
        <v>294798.89</v>
      </c>
      <c r="H56" s="44">
        <v>1203725.6200000001</v>
      </c>
      <c r="I56" s="44">
        <v>35305.08</v>
      </c>
      <c r="J56" s="44">
        <v>1416147.79</v>
      </c>
      <c r="K56" s="44">
        <v>219502.91</v>
      </c>
      <c r="L56" s="44">
        <v>28322.959999999999</v>
      </c>
      <c r="M56" s="45">
        <v>1663973.65</v>
      </c>
    </row>
    <row r="57" spans="1:14" ht="15" thickBot="1" x14ac:dyDescent="0.35">
      <c r="A57" s="35" t="s">
        <v>72</v>
      </c>
      <c r="B57" s="36">
        <v>75000</v>
      </c>
      <c r="C57" s="36">
        <v>16521.72</v>
      </c>
      <c r="D57" s="36">
        <v>1180.1199999999999</v>
      </c>
      <c r="E57" s="36">
        <v>100310.47</v>
      </c>
      <c r="F57" s="36">
        <v>743.89</v>
      </c>
      <c r="G57" s="36">
        <v>24566.57</v>
      </c>
      <c r="H57" s="36">
        <v>627885.80000000005</v>
      </c>
      <c r="I57" s="36">
        <v>2942.09</v>
      </c>
      <c r="J57" s="36">
        <v>118012.32</v>
      </c>
      <c r="K57" s="36">
        <v>18291.91</v>
      </c>
      <c r="L57" s="36">
        <v>2360.25</v>
      </c>
      <c r="M57" s="37">
        <v>138664.47</v>
      </c>
      <c r="N57" s="46">
        <f>+M57/M58</f>
        <v>4078.3667647058824</v>
      </c>
    </row>
    <row r="58" spans="1:14" x14ac:dyDescent="0.3">
      <c r="M58" s="32">
        <v>34</v>
      </c>
    </row>
    <row r="59" spans="1:14" x14ac:dyDescent="0.3">
      <c r="M59" s="3">
        <f>+M56/M58</f>
        <v>48940.401470588229</v>
      </c>
    </row>
  </sheetData>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2096" r:id="rId4" name="Control 48">
          <controlPr defaultSize="0" r:id="rId5">
            <anchor moveWithCells="1">
              <from>
                <xdr:col>1</xdr:col>
                <xdr:colOff>0</xdr:colOff>
                <xdr:row>54</xdr:row>
                <xdr:rowOff>0</xdr:rowOff>
              </from>
              <to>
                <xdr:col>2</xdr:col>
                <xdr:colOff>304800</xdr:colOff>
                <xdr:row>55</xdr:row>
                <xdr:rowOff>38100</xdr:rowOff>
              </to>
            </anchor>
          </controlPr>
        </control>
      </mc:Choice>
      <mc:Fallback>
        <control shapeId="2096" r:id="rId4" name="Control 48"/>
      </mc:Fallback>
    </mc:AlternateContent>
    <mc:AlternateContent xmlns:mc="http://schemas.openxmlformats.org/markup-compatibility/2006">
      <mc:Choice Requires="x14">
        <control shapeId="2095" r:id="rId6" name="Control 47">
          <controlPr defaultSize="0" r:id="rId7">
            <anchor moveWithCells="1">
              <from>
                <xdr:col>1</xdr:col>
                <xdr:colOff>0</xdr:colOff>
                <xdr:row>53</xdr:row>
                <xdr:rowOff>0</xdr:rowOff>
              </from>
              <to>
                <xdr:col>2</xdr:col>
                <xdr:colOff>304800</xdr:colOff>
                <xdr:row>54</xdr:row>
                <xdr:rowOff>38100</xdr:rowOff>
              </to>
            </anchor>
          </controlPr>
        </control>
      </mc:Choice>
      <mc:Fallback>
        <control shapeId="2095" r:id="rId6" name="Control 47"/>
      </mc:Fallback>
    </mc:AlternateContent>
    <mc:AlternateContent xmlns:mc="http://schemas.openxmlformats.org/markup-compatibility/2006">
      <mc:Choice Requires="x14">
        <control shapeId="2094" r:id="rId8" name="Control 46">
          <controlPr defaultSize="0" r:id="rId9">
            <anchor moveWithCells="1">
              <from>
                <xdr:col>1</xdr:col>
                <xdr:colOff>0</xdr:colOff>
                <xdr:row>52</xdr:row>
                <xdr:rowOff>0</xdr:rowOff>
              </from>
              <to>
                <xdr:col>2</xdr:col>
                <xdr:colOff>304800</xdr:colOff>
                <xdr:row>53</xdr:row>
                <xdr:rowOff>38100</xdr:rowOff>
              </to>
            </anchor>
          </controlPr>
        </control>
      </mc:Choice>
      <mc:Fallback>
        <control shapeId="2094" r:id="rId8" name="Control 46"/>
      </mc:Fallback>
    </mc:AlternateContent>
    <mc:AlternateContent xmlns:mc="http://schemas.openxmlformats.org/markup-compatibility/2006">
      <mc:Choice Requires="x14">
        <control shapeId="2093" r:id="rId10" name="Control 45">
          <controlPr defaultSize="0" r:id="rId11">
            <anchor moveWithCells="1">
              <from>
                <xdr:col>1</xdr:col>
                <xdr:colOff>0</xdr:colOff>
                <xdr:row>51</xdr:row>
                <xdr:rowOff>0</xdr:rowOff>
              </from>
              <to>
                <xdr:col>2</xdr:col>
                <xdr:colOff>304800</xdr:colOff>
                <xdr:row>52</xdr:row>
                <xdr:rowOff>38100</xdr:rowOff>
              </to>
            </anchor>
          </controlPr>
        </control>
      </mc:Choice>
      <mc:Fallback>
        <control shapeId="2093" r:id="rId10" name="Control 45"/>
      </mc:Fallback>
    </mc:AlternateContent>
    <mc:AlternateContent xmlns:mc="http://schemas.openxmlformats.org/markup-compatibility/2006">
      <mc:Choice Requires="x14">
        <control shapeId="2092" r:id="rId12" name="Control 44">
          <controlPr defaultSize="0" r:id="rId13">
            <anchor moveWithCells="1">
              <from>
                <xdr:col>1</xdr:col>
                <xdr:colOff>0</xdr:colOff>
                <xdr:row>50</xdr:row>
                <xdr:rowOff>0</xdr:rowOff>
              </from>
              <to>
                <xdr:col>2</xdr:col>
                <xdr:colOff>304800</xdr:colOff>
                <xdr:row>50</xdr:row>
                <xdr:rowOff>228600</xdr:rowOff>
              </to>
            </anchor>
          </controlPr>
        </control>
      </mc:Choice>
      <mc:Fallback>
        <control shapeId="2092" r:id="rId12" name="Control 44"/>
      </mc:Fallback>
    </mc:AlternateContent>
    <mc:AlternateContent xmlns:mc="http://schemas.openxmlformats.org/markup-compatibility/2006">
      <mc:Choice Requires="x14">
        <control shapeId="2091" r:id="rId14" name="Control 43">
          <controlPr defaultSize="0" r:id="rId15">
            <anchor moveWithCells="1">
              <from>
                <xdr:col>1</xdr:col>
                <xdr:colOff>0</xdr:colOff>
                <xdr:row>49</xdr:row>
                <xdr:rowOff>0</xdr:rowOff>
              </from>
              <to>
                <xdr:col>2</xdr:col>
                <xdr:colOff>304800</xdr:colOff>
                <xdr:row>50</xdr:row>
                <xdr:rowOff>38100</xdr:rowOff>
              </to>
            </anchor>
          </controlPr>
        </control>
      </mc:Choice>
      <mc:Fallback>
        <control shapeId="2091" r:id="rId14" name="Control 43"/>
      </mc:Fallback>
    </mc:AlternateContent>
    <mc:AlternateContent xmlns:mc="http://schemas.openxmlformats.org/markup-compatibility/2006">
      <mc:Choice Requires="x14">
        <control shapeId="2090" r:id="rId16" name="Control 42">
          <controlPr defaultSize="0" r:id="rId17">
            <anchor moveWithCells="1">
              <from>
                <xdr:col>1</xdr:col>
                <xdr:colOff>0</xdr:colOff>
                <xdr:row>48</xdr:row>
                <xdr:rowOff>0</xdr:rowOff>
              </from>
              <to>
                <xdr:col>2</xdr:col>
                <xdr:colOff>304800</xdr:colOff>
                <xdr:row>49</xdr:row>
                <xdr:rowOff>38100</xdr:rowOff>
              </to>
            </anchor>
          </controlPr>
        </control>
      </mc:Choice>
      <mc:Fallback>
        <control shapeId="2090" r:id="rId16" name="Control 42"/>
      </mc:Fallback>
    </mc:AlternateContent>
    <mc:AlternateContent xmlns:mc="http://schemas.openxmlformats.org/markup-compatibility/2006">
      <mc:Choice Requires="x14">
        <control shapeId="2089" r:id="rId18" name="Control 41">
          <controlPr defaultSize="0" r:id="rId19">
            <anchor moveWithCells="1">
              <from>
                <xdr:col>1</xdr:col>
                <xdr:colOff>0</xdr:colOff>
                <xdr:row>47</xdr:row>
                <xdr:rowOff>0</xdr:rowOff>
              </from>
              <to>
                <xdr:col>2</xdr:col>
                <xdr:colOff>304800</xdr:colOff>
                <xdr:row>48</xdr:row>
                <xdr:rowOff>38100</xdr:rowOff>
              </to>
            </anchor>
          </controlPr>
        </control>
      </mc:Choice>
      <mc:Fallback>
        <control shapeId="2089" r:id="rId18" name="Control 41"/>
      </mc:Fallback>
    </mc:AlternateContent>
    <mc:AlternateContent xmlns:mc="http://schemas.openxmlformats.org/markup-compatibility/2006">
      <mc:Choice Requires="x14">
        <control shapeId="2088" r:id="rId20" name="Control 40">
          <controlPr defaultSize="0" r:id="rId21">
            <anchor moveWithCells="1">
              <from>
                <xdr:col>1</xdr:col>
                <xdr:colOff>0</xdr:colOff>
                <xdr:row>46</xdr:row>
                <xdr:rowOff>0</xdr:rowOff>
              </from>
              <to>
                <xdr:col>2</xdr:col>
                <xdr:colOff>304800</xdr:colOff>
                <xdr:row>47</xdr:row>
                <xdr:rowOff>38100</xdr:rowOff>
              </to>
            </anchor>
          </controlPr>
        </control>
      </mc:Choice>
      <mc:Fallback>
        <control shapeId="2088" r:id="rId20" name="Control 40"/>
      </mc:Fallback>
    </mc:AlternateContent>
    <mc:AlternateContent xmlns:mc="http://schemas.openxmlformats.org/markup-compatibility/2006">
      <mc:Choice Requires="x14">
        <control shapeId="2087" r:id="rId22" name="Control 39">
          <controlPr defaultSize="0" r:id="rId23">
            <anchor moveWithCells="1">
              <from>
                <xdr:col>1</xdr:col>
                <xdr:colOff>0</xdr:colOff>
                <xdr:row>45</xdr:row>
                <xdr:rowOff>0</xdr:rowOff>
              </from>
              <to>
                <xdr:col>2</xdr:col>
                <xdr:colOff>304800</xdr:colOff>
                <xdr:row>46</xdr:row>
                <xdr:rowOff>38100</xdr:rowOff>
              </to>
            </anchor>
          </controlPr>
        </control>
      </mc:Choice>
      <mc:Fallback>
        <control shapeId="2087" r:id="rId22" name="Control 39"/>
      </mc:Fallback>
    </mc:AlternateContent>
    <mc:AlternateContent xmlns:mc="http://schemas.openxmlformats.org/markup-compatibility/2006">
      <mc:Choice Requires="x14">
        <control shapeId="2086" r:id="rId24" name="Control 38">
          <controlPr defaultSize="0" r:id="rId25">
            <anchor moveWithCells="1">
              <from>
                <xdr:col>1</xdr:col>
                <xdr:colOff>0</xdr:colOff>
                <xdr:row>44</xdr:row>
                <xdr:rowOff>0</xdr:rowOff>
              </from>
              <to>
                <xdr:col>2</xdr:col>
                <xdr:colOff>304800</xdr:colOff>
                <xdr:row>45</xdr:row>
                <xdr:rowOff>38100</xdr:rowOff>
              </to>
            </anchor>
          </controlPr>
        </control>
      </mc:Choice>
      <mc:Fallback>
        <control shapeId="2086" r:id="rId24" name="Control 38"/>
      </mc:Fallback>
    </mc:AlternateContent>
    <mc:AlternateContent xmlns:mc="http://schemas.openxmlformats.org/markup-compatibility/2006">
      <mc:Choice Requires="x14">
        <control shapeId="2085" r:id="rId26" name="Control 37">
          <controlPr defaultSize="0" r:id="rId27">
            <anchor moveWithCells="1">
              <from>
                <xdr:col>1</xdr:col>
                <xdr:colOff>0</xdr:colOff>
                <xdr:row>43</xdr:row>
                <xdr:rowOff>0</xdr:rowOff>
              </from>
              <to>
                <xdr:col>2</xdr:col>
                <xdr:colOff>304800</xdr:colOff>
                <xdr:row>44</xdr:row>
                <xdr:rowOff>38100</xdr:rowOff>
              </to>
            </anchor>
          </controlPr>
        </control>
      </mc:Choice>
      <mc:Fallback>
        <control shapeId="2085" r:id="rId26" name="Control 37"/>
      </mc:Fallback>
    </mc:AlternateContent>
    <mc:AlternateContent xmlns:mc="http://schemas.openxmlformats.org/markup-compatibility/2006">
      <mc:Choice Requires="x14">
        <control shapeId="2049" r:id="rId28" name="Control 1">
          <controlPr defaultSize="0" r:id="rId29">
            <anchor moveWithCells="1">
              <from>
                <xdr:col>1</xdr:col>
                <xdr:colOff>0</xdr:colOff>
                <xdr:row>4</xdr:row>
                <xdr:rowOff>0</xdr:rowOff>
              </from>
              <to>
                <xdr:col>2</xdr:col>
                <xdr:colOff>304800</xdr:colOff>
                <xdr:row>5</xdr:row>
                <xdr:rowOff>45720</xdr:rowOff>
              </to>
            </anchor>
          </controlPr>
        </control>
      </mc:Choice>
      <mc:Fallback>
        <control shapeId="2049" r:id="rId28" name="Control 1"/>
      </mc:Fallback>
    </mc:AlternateContent>
    <mc:AlternateContent xmlns:mc="http://schemas.openxmlformats.org/markup-compatibility/2006">
      <mc:Choice Requires="x14">
        <control shapeId="2050" r:id="rId30" name="Control 2">
          <controlPr defaultSize="0" r:id="rId31">
            <anchor moveWithCells="1">
              <from>
                <xdr:col>1</xdr:col>
                <xdr:colOff>0</xdr:colOff>
                <xdr:row>5</xdr:row>
                <xdr:rowOff>0</xdr:rowOff>
              </from>
              <to>
                <xdr:col>2</xdr:col>
                <xdr:colOff>304800</xdr:colOff>
                <xdr:row>6</xdr:row>
                <xdr:rowOff>45720</xdr:rowOff>
              </to>
            </anchor>
          </controlPr>
        </control>
      </mc:Choice>
      <mc:Fallback>
        <control shapeId="2050" r:id="rId30" name="Control 2"/>
      </mc:Fallback>
    </mc:AlternateContent>
    <mc:AlternateContent xmlns:mc="http://schemas.openxmlformats.org/markup-compatibility/2006">
      <mc:Choice Requires="x14">
        <control shapeId="2051" r:id="rId32" name="Control 3">
          <controlPr defaultSize="0" r:id="rId33">
            <anchor moveWithCells="1">
              <from>
                <xdr:col>1</xdr:col>
                <xdr:colOff>0</xdr:colOff>
                <xdr:row>6</xdr:row>
                <xdr:rowOff>0</xdr:rowOff>
              </from>
              <to>
                <xdr:col>2</xdr:col>
                <xdr:colOff>304800</xdr:colOff>
                <xdr:row>7</xdr:row>
                <xdr:rowOff>45720</xdr:rowOff>
              </to>
            </anchor>
          </controlPr>
        </control>
      </mc:Choice>
      <mc:Fallback>
        <control shapeId="2051" r:id="rId32" name="Control 3"/>
      </mc:Fallback>
    </mc:AlternateContent>
    <mc:AlternateContent xmlns:mc="http://schemas.openxmlformats.org/markup-compatibility/2006">
      <mc:Choice Requires="x14">
        <control shapeId="2052" r:id="rId34" name="Control 4">
          <controlPr defaultSize="0" r:id="rId35">
            <anchor moveWithCells="1">
              <from>
                <xdr:col>1</xdr:col>
                <xdr:colOff>0</xdr:colOff>
                <xdr:row>7</xdr:row>
                <xdr:rowOff>0</xdr:rowOff>
              </from>
              <to>
                <xdr:col>2</xdr:col>
                <xdr:colOff>304800</xdr:colOff>
                <xdr:row>8</xdr:row>
                <xdr:rowOff>45720</xdr:rowOff>
              </to>
            </anchor>
          </controlPr>
        </control>
      </mc:Choice>
      <mc:Fallback>
        <control shapeId="2052" r:id="rId34" name="Control 4"/>
      </mc:Fallback>
    </mc:AlternateContent>
    <mc:AlternateContent xmlns:mc="http://schemas.openxmlformats.org/markup-compatibility/2006">
      <mc:Choice Requires="x14">
        <control shapeId="2053" r:id="rId36" name="Control 5">
          <controlPr defaultSize="0" r:id="rId37">
            <anchor moveWithCells="1">
              <from>
                <xdr:col>1</xdr:col>
                <xdr:colOff>0</xdr:colOff>
                <xdr:row>8</xdr:row>
                <xdr:rowOff>0</xdr:rowOff>
              </from>
              <to>
                <xdr:col>2</xdr:col>
                <xdr:colOff>304800</xdr:colOff>
                <xdr:row>9</xdr:row>
                <xdr:rowOff>45720</xdr:rowOff>
              </to>
            </anchor>
          </controlPr>
        </control>
      </mc:Choice>
      <mc:Fallback>
        <control shapeId="2053" r:id="rId36" name="Control 5"/>
      </mc:Fallback>
    </mc:AlternateContent>
    <mc:AlternateContent xmlns:mc="http://schemas.openxmlformats.org/markup-compatibility/2006">
      <mc:Choice Requires="x14">
        <control shapeId="2054" r:id="rId38" name="Control 6">
          <controlPr defaultSize="0" r:id="rId39">
            <anchor moveWithCells="1">
              <from>
                <xdr:col>1</xdr:col>
                <xdr:colOff>0</xdr:colOff>
                <xdr:row>9</xdr:row>
                <xdr:rowOff>0</xdr:rowOff>
              </from>
              <to>
                <xdr:col>2</xdr:col>
                <xdr:colOff>304800</xdr:colOff>
                <xdr:row>10</xdr:row>
                <xdr:rowOff>45720</xdr:rowOff>
              </to>
            </anchor>
          </controlPr>
        </control>
      </mc:Choice>
      <mc:Fallback>
        <control shapeId="2054" r:id="rId38" name="Control 6"/>
      </mc:Fallback>
    </mc:AlternateContent>
    <mc:AlternateContent xmlns:mc="http://schemas.openxmlformats.org/markup-compatibility/2006">
      <mc:Choice Requires="x14">
        <control shapeId="2055" r:id="rId40" name="Control 7">
          <controlPr defaultSize="0" r:id="rId41">
            <anchor moveWithCells="1">
              <from>
                <xdr:col>1</xdr:col>
                <xdr:colOff>0</xdr:colOff>
                <xdr:row>10</xdr:row>
                <xdr:rowOff>0</xdr:rowOff>
              </from>
              <to>
                <xdr:col>2</xdr:col>
                <xdr:colOff>304800</xdr:colOff>
                <xdr:row>11</xdr:row>
                <xdr:rowOff>45720</xdr:rowOff>
              </to>
            </anchor>
          </controlPr>
        </control>
      </mc:Choice>
      <mc:Fallback>
        <control shapeId="2055" r:id="rId40" name="Control 7"/>
      </mc:Fallback>
    </mc:AlternateContent>
    <mc:AlternateContent xmlns:mc="http://schemas.openxmlformats.org/markup-compatibility/2006">
      <mc:Choice Requires="x14">
        <control shapeId="2056" r:id="rId42" name="Control 8">
          <controlPr defaultSize="0" r:id="rId43">
            <anchor moveWithCells="1">
              <from>
                <xdr:col>1</xdr:col>
                <xdr:colOff>0</xdr:colOff>
                <xdr:row>11</xdr:row>
                <xdr:rowOff>0</xdr:rowOff>
              </from>
              <to>
                <xdr:col>2</xdr:col>
                <xdr:colOff>304800</xdr:colOff>
                <xdr:row>11</xdr:row>
                <xdr:rowOff>228600</xdr:rowOff>
              </to>
            </anchor>
          </controlPr>
        </control>
      </mc:Choice>
      <mc:Fallback>
        <control shapeId="2056" r:id="rId42" name="Control 8"/>
      </mc:Fallback>
    </mc:AlternateContent>
    <mc:AlternateContent xmlns:mc="http://schemas.openxmlformats.org/markup-compatibility/2006">
      <mc:Choice Requires="x14">
        <control shapeId="2057" r:id="rId44" name="Control 9">
          <controlPr defaultSize="0" r:id="rId45">
            <anchor moveWithCells="1">
              <from>
                <xdr:col>1</xdr:col>
                <xdr:colOff>0</xdr:colOff>
                <xdr:row>12</xdr:row>
                <xdr:rowOff>0</xdr:rowOff>
              </from>
              <to>
                <xdr:col>2</xdr:col>
                <xdr:colOff>304800</xdr:colOff>
                <xdr:row>13</xdr:row>
                <xdr:rowOff>45720</xdr:rowOff>
              </to>
            </anchor>
          </controlPr>
        </control>
      </mc:Choice>
      <mc:Fallback>
        <control shapeId="2057" r:id="rId44" name="Control 9"/>
      </mc:Fallback>
    </mc:AlternateContent>
    <mc:AlternateContent xmlns:mc="http://schemas.openxmlformats.org/markup-compatibility/2006">
      <mc:Choice Requires="x14">
        <control shapeId="2058" r:id="rId46" name="Control 10">
          <controlPr defaultSize="0" r:id="rId47">
            <anchor moveWithCells="1">
              <from>
                <xdr:col>1</xdr:col>
                <xdr:colOff>0</xdr:colOff>
                <xdr:row>13</xdr:row>
                <xdr:rowOff>0</xdr:rowOff>
              </from>
              <to>
                <xdr:col>2</xdr:col>
                <xdr:colOff>304800</xdr:colOff>
                <xdr:row>14</xdr:row>
                <xdr:rowOff>45720</xdr:rowOff>
              </to>
            </anchor>
          </controlPr>
        </control>
      </mc:Choice>
      <mc:Fallback>
        <control shapeId="2058" r:id="rId46" name="Control 10"/>
      </mc:Fallback>
    </mc:AlternateContent>
    <mc:AlternateContent xmlns:mc="http://schemas.openxmlformats.org/markup-compatibility/2006">
      <mc:Choice Requires="x14">
        <control shapeId="2059" r:id="rId48" name="Control 11">
          <controlPr defaultSize="0" r:id="rId49">
            <anchor moveWithCells="1">
              <from>
                <xdr:col>1</xdr:col>
                <xdr:colOff>0</xdr:colOff>
                <xdr:row>14</xdr:row>
                <xdr:rowOff>0</xdr:rowOff>
              </from>
              <to>
                <xdr:col>2</xdr:col>
                <xdr:colOff>304800</xdr:colOff>
                <xdr:row>15</xdr:row>
                <xdr:rowOff>45720</xdr:rowOff>
              </to>
            </anchor>
          </controlPr>
        </control>
      </mc:Choice>
      <mc:Fallback>
        <control shapeId="2059" r:id="rId48" name="Control 11"/>
      </mc:Fallback>
    </mc:AlternateContent>
    <mc:AlternateContent xmlns:mc="http://schemas.openxmlformats.org/markup-compatibility/2006">
      <mc:Choice Requires="x14">
        <control shapeId="2060" r:id="rId50" name="Control 12">
          <controlPr defaultSize="0" r:id="rId51">
            <anchor moveWithCells="1">
              <from>
                <xdr:col>1</xdr:col>
                <xdr:colOff>0</xdr:colOff>
                <xdr:row>15</xdr:row>
                <xdr:rowOff>0</xdr:rowOff>
              </from>
              <to>
                <xdr:col>2</xdr:col>
                <xdr:colOff>304800</xdr:colOff>
                <xdr:row>16</xdr:row>
                <xdr:rowOff>45720</xdr:rowOff>
              </to>
            </anchor>
          </controlPr>
        </control>
      </mc:Choice>
      <mc:Fallback>
        <control shapeId="2060" r:id="rId50" name="Control 12"/>
      </mc:Fallback>
    </mc:AlternateContent>
    <mc:AlternateContent xmlns:mc="http://schemas.openxmlformats.org/markup-compatibility/2006">
      <mc:Choice Requires="x14">
        <control shapeId="2061" r:id="rId52" name="Control 13">
          <controlPr defaultSize="0" r:id="rId53">
            <anchor moveWithCells="1">
              <from>
                <xdr:col>1</xdr:col>
                <xdr:colOff>0</xdr:colOff>
                <xdr:row>24</xdr:row>
                <xdr:rowOff>0</xdr:rowOff>
              </from>
              <to>
                <xdr:col>2</xdr:col>
                <xdr:colOff>304800</xdr:colOff>
                <xdr:row>25</xdr:row>
                <xdr:rowOff>38100</xdr:rowOff>
              </to>
            </anchor>
          </controlPr>
        </control>
      </mc:Choice>
      <mc:Fallback>
        <control shapeId="2061" r:id="rId52" name="Control 13"/>
      </mc:Fallback>
    </mc:AlternateContent>
    <mc:AlternateContent xmlns:mc="http://schemas.openxmlformats.org/markup-compatibility/2006">
      <mc:Choice Requires="x14">
        <control shapeId="2062" r:id="rId54" name="Control 14">
          <controlPr defaultSize="0" r:id="rId55">
            <anchor moveWithCells="1">
              <from>
                <xdr:col>1</xdr:col>
                <xdr:colOff>0</xdr:colOff>
                <xdr:row>25</xdr:row>
                <xdr:rowOff>0</xdr:rowOff>
              </from>
              <to>
                <xdr:col>2</xdr:col>
                <xdr:colOff>304800</xdr:colOff>
                <xdr:row>26</xdr:row>
                <xdr:rowOff>38100</xdr:rowOff>
              </to>
            </anchor>
          </controlPr>
        </control>
      </mc:Choice>
      <mc:Fallback>
        <control shapeId="2062" r:id="rId54" name="Control 14"/>
      </mc:Fallback>
    </mc:AlternateContent>
    <mc:AlternateContent xmlns:mc="http://schemas.openxmlformats.org/markup-compatibility/2006">
      <mc:Choice Requires="x14">
        <control shapeId="2063" r:id="rId56" name="Control 15">
          <controlPr defaultSize="0" r:id="rId57">
            <anchor moveWithCells="1">
              <from>
                <xdr:col>1</xdr:col>
                <xdr:colOff>0</xdr:colOff>
                <xdr:row>26</xdr:row>
                <xdr:rowOff>0</xdr:rowOff>
              </from>
              <to>
                <xdr:col>2</xdr:col>
                <xdr:colOff>304800</xdr:colOff>
                <xdr:row>27</xdr:row>
                <xdr:rowOff>38100</xdr:rowOff>
              </to>
            </anchor>
          </controlPr>
        </control>
      </mc:Choice>
      <mc:Fallback>
        <control shapeId="2063" r:id="rId56" name="Control 15"/>
      </mc:Fallback>
    </mc:AlternateContent>
    <mc:AlternateContent xmlns:mc="http://schemas.openxmlformats.org/markup-compatibility/2006">
      <mc:Choice Requires="x14">
        <control shapeId="2064" r:id="rId58" name="Control 16">
          <controlPr defaultSize="0" r:id="rId59">
            <anchor moveWithCells="1">
              <from>
                <xdr:col>1</xdr:col>
                <xdr:colOff>0</xdr:colOff>
                <xdr:row>27</xdr:row>
                <xdr:rowOff>0</xdr:rowOff>
              </from>
              <to>
                <xdr:col>2</xdr:col>
                <xdr:colOff>304800</xdr:colOff>
                <xdr:row>28</xdr:row>
                <xdr:rowOff>38100</xdr:rowOff>
              </to>
            </anchor>
          </controlPr>
        </control>
      </mc:Choice>
      <mc:Fallback>
        <control shapeId="2064" r:id="rId58" name="Control 16"/>
      </mc:Fallback>
    </mc:AlternateContent>
    <mc:AlternateContent xmlns:mc="http://schemas.openxmlformats.org/markup-compatibility/2006">
      <mc:Choice Requires="x14">
        <control shapeId="2065" r:id="rId60" name="Control 17">
          <controlPr defaultSize="0" r:id="rId61">
            <anchor moveWithCells="1">
              <from>
                <xdr:col>1</xdr:col>
                <xdr:colOff>0</xdr:colOff>
                <xdr:row>28</xdr:row>
                <xdr:rowOff>0</xdr:rowOff>
              </from>
              <to>
                <xdr:col>2</xdr:col>
                <xdr:colOff>304800</xdr:colOff>
                <xdr:row>29</xdr:row>
                <xdr:rowOff>38100</xdr:rowOff>
              </to>
            </anchor>
          </controlPr>
        </control>
      </mc:Choice>
      <mc:Fallback>
        <control shapeId="2065" r:id="rId60" name="Control 17"/>
      </mc:Fallback>
    </mc:AlternateContent>
    <mc:AlternateContent xmlns:mc="http://schemas.openxmlformats.org/markup-compatibility/2006">
      <mc:Choice Requires="x14">
        <control shapeId="2066" r:id="rId62" name="Control 18">
          <controlPr defaultSize="0" r:id="rId63">
            <anchor moveWithCells="1">
              <from>
                <xdr:col>1</xdr:col>
                <xdr:colOff>0</xdr:colOff>
                <xdr:row>29</xdr:row>
                <xdr:rowOff>0</xdr:rowOff>
              </from>
              <to>
                <xdr:col>2</xdr:col>
                <xdr:colOff>304800</xdr:colOff>
                <xdr:row>30</xdr:row>
                <xdr:rowOff>38100</xdr:rowOff>
              </to>
            </anchor>
          </controlPr>
        </control>
      </mc:Choice>
      <mc:Fallback>
        <control shapeId="2066" r:id="rId62" name="Control 18"/>
      </mc:Fallback>
    </mc:AlternateContent>
    <mc:AlternateContent xmlns:mc="http://schemas.openxmlformats.org/markup-compatibility/2006">
      <mc:Choice Requires="x14">
        <control shapeId="2067" r:id="rId64" name="Control 19">
          <controlPr defaultSize="0" r:id="rId65">
            <anchor moveWithCells="1">
              <from>
                <xdr:col>1</xdr:col>
                <xdr:colOff>0</xdr:colOff>
                <xdr:row>30</xdr:row>
                <xdr:rowOff>0</xdr:rowOff>
              </from>
              <to>
                <xdr:col>2</xdr:col>
                <xdr:colOff>304800</xdr:colOff>
                <xdr:row>31</xdr:row>
                <xdr:rowOff>38100</xdr:rowOff>
              </to>
            </anchor>
          </controlPr>
        </control>
      </mc:Choice>
      <mc:Fallback>
        <control shapeId="2067" r:id="rId64" name="Control 19"/>
      </mc:Fallback>
    </mc:AlternateContent>
    <mc:AlternateContent xmlns:mc="http://schemas.openxmlformats.org/markup-compatibility/2006">
      <mc:Choice Requires="x14">
        <control shapeId="2068" r:id="rId66" name="Control 20">
          <controlPr defaultSize="0" r:id="rId67">
            <anchor moveWithCells="1">
              <from>
                <xdr:col>1</xdr:col>
                <xdr:colOff>0</xdr:colOff>
                <xdr:row>31</xdr:row>
                <xdr:rowOff>0</xdr:rowOff>
              </from>
              <to>
                <xdr:col>2</xdr:col>
                <xdr:colOff>304800</xdr:colOff>
                <xdr:row>31</xdr:row>
                <xdr:rowOff>228600</xdr:rowOff>
              </to>
            </anchor>
          </controlPr>
        </control>
      </mc:Choice>
      <mc:Fallback>
        <control shapeId="2068" r:id="rId66" name="Control 20"/>
      </mc:Fallback>
    </mc:AlternateContent>
    <mc:AlternateContent xmlns:mc="http://schemas.openxmlformats.org/markup-compatibility/2006">
      <mc:Choice Requires="x14">
        <control shapeId="2069" r:id="rId68" name="Control 21">
          <controlPr defaultSize="0" r:id="rId69">
            <anchor moveWithCells="1">
              <from>
                <xdr:col>1</xdr:col>
                <xdr:colOff>0</xdr:colOff>
                <xdr:row>32</xdr:row>
                <xdr:rowOff>0</xdr:rowOff>
              </from>
              <to>
                <xdr:col>2</xdr:col>
                <xdr:colOff>304800</xdr:colOff>
                <xdr:row>33</xdr:row>
                <xdr:rowOff>38100</xdr:rowOff>
              </to>
            </anchor>
          </controlPr>
        </control>
      </mc:Choice>
      <mc:Fallback>
        <control shapeId="2069" r:id="rId68" name="Control 21"/>
      </mc:Fallback>
    </mc:AlternateContent>
    <mc:AlternateContent xmlns:mc="http://schemas.openxmlformats.org/markup-compatibility/2006">
      <mc:Choice Requires="x14">
        <control shapeId="2070" r:id="rId70" name="Control 22">
          <controlPr defaultSize="0" r:id="rId71">
            <anchor moveWithCells="1">
              <from>
                <xdr:col>1</xdr:col>
                <xdr:colOff>0</xdr:colOff>
                <xdr:row>33</xdr:row>
                <xdr:rowOff>0</xdr:rowOff>
              </from>
              <to>
                <xdr:col>2</xdr:col>
                <xdr:colOff>304800</xdr:colOff>
                <xdr:row>34</xdr:row>
                <xdr:rowOff>38100</xdr:rowOff>
              </to>
            </anchor>
          </controlPr>
        </control>
      </mc:Choice>
      <mc:Fallback>
        <control shapeId="2070" r:id="rId70" name="Control 22"/>
      </mc:Fallback>
    </mc:AlternateContent>
    <mc:AlternateContent xmlns:mc="http://schemas.openxmlformats.org/markup-compatibility/2006">
      <mc:Choice Requires="x14">
        <control shapeId="2071" r:id="rId72" name="Control 23">
          <controlPr defaultSize="0" r:id="rId73">
            <anchor moveWithCells="1">
              <from>
                <xdr:col>1</xdr:col>
                <xdr:colOff>0</xdr:colOff>
                <xdr:row>34</xdr:row>
                <xdr:rowOff>0</xdr:rowOff>
              </from>
              <to>
                <xdr:col>2</xdr:col>
                <xdr:colOff>304800</xdr:colOff>
                <xdr:row>35</xdr:row>
                <xdr:rowOff>38100</xdr:rowOff>
              </to>
            </anchor>
          </controlPr>
        </control>
      </mc:Choice>
      <mc:Fallback>
        <control shapeId="2071" r:id="rId72" name="Control 23"/>
      </mc:Fallback>
    </mc:AlternateContent>
    <mc:AlternateContent xmlns:mc="http://schemas.openxmlformats.org/markup-compatibility/2006">
      <mc:Choice Requires="x14">
        <control shapeId="2072" r:id="rId74" name="Control 24">
          <controlPr defaultSize="0" r:id="rId75">
            <anchor moveWithCells="1">
              <from>
                <xdr:col>1</xdr:col>
                <xdr:colOff>0</xdr:colOff>
                <xdr:row>35</xdr:row>
                <xdr:rowOff>0</xdr:rowOff>
              </from>
              <to>
                <xdr:col>2</xdr:col>
                <xdr:colOff>304800</xdr:colOff>
                <xdr:row>36</xdr:row>
                <xdr:rowOff>38100</xdr:rowOff>
              </to>
            </anchor>
          </controlPr>
        </control>
      </mc:Choice>
      <mc:Fallback>
        <control shapeId="2072" r:id="rId74" name="Control 24"/>
      </mc:Fallback>
    </mc:AlternateContent>
    <mc:AlternateContent xmlns:mc="http://schemas.openxmlformats.org/markup-compatibility/2006">
      <mc:Choice Requires="x14">
        <control shapeId="2073" r:id="rId76" name="Control 25">
          <controlPr defaultSize="0" r:id="rId77">
            <anchor moveWithCells="1">
              <from>
                <xdr:col>1</xdr:col>
                <xdr:colOff>0</xdr:colOff>
                <xdr:row>40</xdr:row>
                <xdr:rowOff>0</xdr:rowOff>
              </from>
              <to>
                <xdr:col>2</xdr:col>
                <xdr:colOff>304800</xdr:colOff>
                <xdr:row>40</xdr:row>
                <xdr:rowOff>228600</xdr:rowOff>
              </to>
            </anchor>
          </controlPr>
        </control>
      </mc:Choice>
      <mc:Fallback>
        <control shapeId="2073" r:id="rId76" name="Control 25"/>
      </mc:Fallback>
    </mc:AlternateContent>
    <mc:AlternateContent xmlns:mc="http://schemas.openxmlformats.org/markup-compatibility/2006">
      <mc:Choice Requires="x14">
        <control shapeId="2074" r:id="rId78" name="Control 26">
          <controlPr defaultSize="0" r:id="rId79">
            <anchor moveWithCells="1">
              <from>
                <xdr:col>1</xdr:col>
                <xdr:colOff>0</xdr:colOff>
                <xdr:row>40</xdr:row>
                <xdr:rowOff>0</xdr:rowOff>
              </from>
              <to>
                <xdr:col>2</xdr:col>
                <xdr:colOff>304800</xdr:colOff>
                <xdr:row>40</xdr:row>
                <xdr:rowOff>228600</xdr:rowOff>
              </to>
            </anchor>
          </controlPr>
        </control>
      </mc:Choice>
      <mc:Fallback>
        <control shapeId="2074" r:id="rId78" name="Control 26"/>
      </mc:Fallback>
    </mc:AlternateContent>
    <mc:AlternateContent xmlns:mc="http://schemas.openxmlformats.org/markup-compatibility/2006">
      <mc:Choice Requires="x14">
        <control shapeId="2075" r:id="rId80" name="Control 27">
          <controlPr defaultSize="0" r:id="rId81">
            <anchor moveWithCells="1">
              <from>
                <xdr:col>1</xdr:col>
                <xdr:colOff>0</xdr:colOff>
                <xdr:row>40</xdr:row>
                <xdr:rowOff>0</xdr:rowOff>
              </from>
              <to>
                <xdr:col>2</xdr:col>
                <xdr:colOff>304800</xdr:colOff>
                <xdr:row>40</xdr:row>
                <xdr:rowOff>228600</xdr:rowOff>
              </to>
            </anchor>
          </controlPr>
        </control>
      </mc:Choice>
      <mc:Fallback>
        <control shapeId="2075" r:id="rId80" name="Control 27"/>
      </mc:Fallback>
    </mc:AlternateContent>
    <mc:AlternateContent xmlns:mc="http://schemas.openxmlformats.org/markup-compatibility/2006">
      <mc:Choice Requires="x14">
        <control shapeId="2076" r:id="rId82" name="Control 28">
          <controlPr defaultSize="0" r:id="rId83">
            <anchor moveWithCells="1">
              <from>
                <xdr:col>1</xdr:col>
                <xdr:colOff>0</xdr:colOff>
                <xdr:row>40</xdr:row>
                <xdr:rowOff>0</xdr:rowOff>
              </from>
              <to>
                <xdr:col>2</xdr:col>
                <xdr:colOff>304800</xdr:colOff>
                <xdr:row>40</xdr:row>
                <xdr:rowOff>228600</xdr:rowOff>
              </to>
            </anchor>
          </controlPr>
        </control>
      </mc:Choice>
      <mc:Fallback>
        <control shapeId="2076" r:id="rId82" name="Control 28"/>
      </mc:Fallback>
    </mc:AlternateContent>
    <mc:AlternateContent xmlns:mc="http://schemas.openxmlformats.org/markup-compatibility/2006">
      <mc:Choice Requires="x14">
        <control shapeId="2077" r:id="rId84" name="Control 29">
          <controlPr defaultSize="0" r:id="rId85">
            <anchor moveWithCells="1">
              <from>
                <xdr:col>1</xdr:col>
                <xdr:colOff>0</xdr:colOff>
                <xdr:row>40</xdr:row>
                <xdr:rowOff>0</xdr:rowOff>
              </from>
              <to>
                <xdr:col>2</xdr:col>
                <xdr:colOff>304800</xdr:colOff>
                <xdr:row>40</xdr:row>
                <xdr:rowOff>228600</xdr:rowOff>
              </to>
            </anchor>
          </controlPr>
        </control>
      </mc:Choice>
      <mc:Fallback>
        <control shapeId="2077" r:id="rId84" name="Control 29"/>
      </mc:Fallback>
    </mc:AlternateContent>
    <mc:AlternateContent xmlns:mc="http://schemas.openxmlformats.org/markup-compatibility/2006">
      <mc:Choice Requires="x14">
        <control shapeId="2078" r:id="rId86" name="Control 30">
          <controlPr defaultSize="0" r:id="rId87">
            <anchor moveWithCells="1">
              <from>
                <xdr:col>1</xdr:col>
                <xdr:colOff>0</xdr:colOff>
                <xdr:row>40</xdr:row>
                <xdr:rowOff>0</xdr:rowOff>
              </from>
              <to>
                <xdr:col>2</xdr:col>
                <xdr:colOff>304800</xdr:colOff>
                <xdr:row>40</xdr:row>
                <xdr:rowOff>228600</xdr:rowOff>
              </to>
            </anchor>
          </controlPr>
        </control>
      </mc:Choice>
      <mc:Fallback>
        <control shapeId="2078" r:id="rId86" name="Control 30"/>
      </mc:Fallback>
    </mc:AlternateContent>
    <mc:AlternateContent xmlns:mc="http://schemas.openxmlformats.org/markup-compatibility/2006">
      <mc:Choice Requires="x14">
        <control shapeId="2079" r:id="rId88" name="Control 31">
          <controlPr defaultSize="0" r:id="rId89">
            <anchor moveWithCells="1">
              <from>
                <xdr:col>1</xdr:col>
                <xdr:colOff>0</xdr:colOff>
                <xdr:row>40</xdr:row>
                <xdr:rowOff>0</xdr:rowOff>
              </from>
              <to>
                <xdr:col>2</xdr:col>
                <xdr:colOff>304800</xdr:colOff>
                <xdr:row>40</xdr:row>
                <xdr:rowOff>228600</xdr:rowOff>
              </to>
            </anchor>
          </controlPr>
        </control>
      </mc:Choice>
      <mc:Fallback>
        <control shapeId="2079" r:id="rId88" name="Control 31"/>
      </mc:Fallback>
    </mc:AlternateContent>
    <mc:AlternateContent xmlns:mc="http://schemas.openxmlformats.org/markup-compatibility/2006">
      <mc:Choice Requires="x14">
        <control shapeId="2080" r:id="rId90" name="Control 32">
          <controlPr defaultSize="0" r:id="rId91">
            <anchor moveWithCells="1">
              <from>
                <xdr:col>1</xdr:col>
                <xdr:colOff>0</xdr:colOff>
                <xdr:row>40</xdr:row>
                <xdr:rowOff>0</xdr:rowOff>
              </from>
              <to>
                <xdr:col>2</xdr:col>
                <xdr:colOff>304800</xdr:colOff>
                <xdr:row>40</xdr:row>
                <xdr:rowOff>228600</xdr:rowOff>
              </to>
            </anchor>
          </controlPr>
        </control>
      </mc:Choice>
      <mc:Fallback>
        <control shapeId="2080" r:id="rId90" name="Control 32"/>
      </mc:Fallback>
    </mc:AlternateContent>
    <mc:AlternateContent xmlns:mc="http://schemas.openxmlformats.org/markup-compatibility/2006">
      <mc:Choice Requires="x14">
        <control shapeId="2081" r:id="rId92" name="Control 33">
          <controlPr defaultSize="0" r:id="rId93">
            <anchor moveWithCells="1">
              <from>
                <xdr:col>1</xdr:col>
                <xdr:colOff>0</xdr:colOff>
                <xdr:row>40</xdr:row>
                <xdr:rowOff>0</xdr:rowOff>
              </from>
              <to>
                <xdr:col>2</xdr:col>
                <xdr:colOff>304800</xdr:colOff>
                <xdr:row>40</xdr:row>
                <xdr:rowOff>228600</xdr:rowOff>
              </to>
            </anchor>
          </controlPr>
        </control>
      </mc:Choice>
      <mc:Fallback>
        <control shapeId="2081" r:id="rId92" name="Control 33"/>
      </mc:Fallback>
    </mc:AlternateContent>
    <mc:AlternateContent xmlns:mc="http://schemas.openxmlformats.org/markup-compatibility/2006">
      <mc:Choice Requires="x14">
        <control shapeId="2082" r:id="rId94" name="Control 34">
          <controlPr defaultSize="0" r:id="rId95">
            <anchor moveWithCells="1">
              <from>
                <xdr:col>1</xdr:col>
                <xdr:colOff>0</xdr:colOff>
                <xdr:row>40</xdr:row>
                <xdr:rowOff>0</xdr:rowOff>
              </from>
              <to>
                <xdr:col>2</xdr:col>
                <xdr:colOff>304800</xdr:colOff>
                <xdr:row>40</xdr:row>
                <xdr:rowOff>228600</xdr:rowOff>
              </to>
            </anchor>
          </controlPr>
        </control>
      </mc:Choice>
      <mc:Fallback>
        <control shapeId="2082" r:id="rId94" name="Control 34"/>
      </mc:Fallback>
    </mc:AlternateContent>
    <mc:AlternateContent xmlns:mc="http://schemas.openxmlformats.org/markup-compatibility/2006">
      <mc:Choice Requires="x14">
        <control shapeId="2083" r:id="rId96" name="Control 35">
          <controlPr defaultSize="0" r:id="rId97">
            <anchor moveWithCells="1">
              <from>
                <xdr:col>1</xdr:col>
                <xdr:colOff>0</xdr:colOff>
                <xdr:row>40</xdr:row>
                <xdr:rowOff>0</xdr:rowOff>
              </from>
              <to>
                <xdr:col>2</xdr:col>
                <xdr:colOff>304800</xdr:colOff>
                <xdr:row>40</xdr:row>
                <xdr:rowOff>228600</xdr:rowOff>
              </to>
            </anchor>
          </controlPr>
        </control>
      </mc:Choice>
      <mc:Fallback>
        <control shapeId="2083" r:id="rId96" name="Control 35"/>
      </mc:Fallback>
    </mc:AlternateContent>
    <mc:AlternateContent xmlns:mc="http://schemas.openxmlformats.org/markup-compatibility/2006">
      <mc:Choice Requires="x14">
        <control shapeId="2084" r:id="rId98" name="Control 36">
          <controlPr defaultSize="0" r:id="rId99">
            <anchor moveWithCells="1">
              <from>
                <xdr:col>1</xdr:col>
                <xdr:colOff>0</xdr:colOff>
                <xdr:row>40</xdr:row>
                <xdr:rowOff>0</xdr:rowOff>
              </from>
              <to>
                <xdr:col>2</xdr:col>
                <xdr:colOff>304800</xdr:colOff>
                <xdr:row>40</xdr:row>
                <xdr:rowOff>228600</xdr:rowOff>
              </to>
            </anchor>
          </controlPr>
        </control>
      </mc:Choice>
      <mc:Fallback>
        <control shapeId="2084" r:id="rId98" name="Control 36"/>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9"/>
  <sheetViews>
    <sheetView topLeftCell="A19" workbookViewId="0">
      <selection activeCell="H5" sqref="H5"/>
    </sheetView>
  </sheetViews>
  <sheetFormatPr defaultColWidth="9.109375" defaultRowHeight="14.4" x14ac:dyDescent="0.3"/>
  <cols>
    <col min="1" max="1" width="51" customWidth="1"/>
    <col min="2" max="2" width="12.6640625" bestFit="1" customWidth="1"/>
    <col min="3" max="3" width="14" customWidth="1"/>
    <col min="4" max="4" width="13" customWidth="1"/>
    <col min="5" max="5" width="13" hidden="1" customWidth="1"/>
    <col min="6" max="6" width="13.109375" customWidth="1"/>
    <col min="7" max="7" width="14.109375" bestFit="1" customWidth="1"/>
    <col min="8" max="9" width="13.88671875" customWidth="1"/>
    <col min="10" max="10" width="14.109375" hidden="1" customWidth="1"/>
    <col min="11" max="11" width="13.88671875" hidden="1" customWidth="1"/>
    <col min="12" max="12" width="0" hidden="1" customWidth="1"/>
  </cols>
  <sheetData>
    <row r="1" spans="1:12" ht="21" x14ac:dyDescent="0.4">
      <c r="C1" s="91" t="s">
        <v>182</v>
      </c>
      <c r="D1" s="92" t="s">
        <v>183</v>
      </c>
      <c r="E1" s="93" t="s">
        <v>183</v>
      </c>
    </row>
    <row r="2" spans="1:12" ht="21.6" thickBot="1" x14ac:dyDescent="0.45">
      <c r="C2" s="94" t="s">
        <v>184</v>
      </c>
      <c r="D2" s="95"/>
      <c r="E2" s="96"/>
    </row>
    <row r="3" spans="1:12" ht="21.6" thickBot="1" x14ac:dyDescent="0.45">
      <c r="C3" s="97" t="s">
        <v>185</v>
      </c>
      <c r="D3" s="98">
        <v>1</v>
      </c>
      <c r="E3" s="99">
        <v>3</v>
      </c>
      <c r="G3" s="175" t="s">
        <v>186</v>
      </c>
      <c r="H3" s="176"/>
      <c r="I3" s="100"/>
      <c r="J3" s="177" t="s">
        <v>187</v>
      </c>
      <c r="K3" s="178"/>
    </row>
    <row r="4" spans="1:12" ht="57.6" x14ac:dyDescent="0.3">
      <c r="A4" s="101" t="s">
        <v>188</v>
      </c>
      <c r="B4" s="102" t="s">
        <v>189</v>
      </c>
      <c r="C4" s="103"/>
      <c r="D4" s="104" t="s">
        <v>190</v>
      </c>
      <c r="E4" s="105" t="s">
        <v>191</v>
      </c>
      <c r="F4" s="106" t="s">
        <v>192</v>
      </c>
      <c r="G4" s="104" t="s">
        <v>193</v>
      </c>
      <c r="H4" s="104" t="s">
        <v>194</v>
      </c>
      <c r="I4" s="104"/>
      <c r="J4" s="105" t="s">
        <v>193</v>
      </c>
      <c r="K4" s="105" t="s">
        <v>195</v>
      </c>
    </row>
    <row r="5" spans="1:12" x14ac:dyDescent="0.3">
      <c r="A5" s="107" t="s">
        <v>196</v>
      </c>
      <c r="B5" s="108" t="s">
        <v>183</v>
      </c>
      <c r="C5" s="108"/>
      <c r="D5" s="109">
        <v>1</v>
      </c>
      <c r="E5" s="109">
        <v>3</v>
      </c>
      <c r="F5" s="110">
        <v>452</v>
      </c>
      <c r="G5" s="110">
        <v>452</v>
      </c>
      <c r="H5" s="110">
        <f>G5*1.12</f>
        <v>506.24000000000007</v>
      </c>
      <c r="I5" s="111"/>
      <c r="J5" s="110">
        <f>F5*E5</f>
        <v>1356</v>
      </c>
      <c r="K5" s="111">
        <f>J5*1.12</f>
        <v>1518.7200000000003</v>
      </c>
      <c r="L5" t="s">
        <v>197</v>
      </c>
    </row>
    <row r="6" spans="1:12" x14ac:dyDescent="0.3">
      <c r="A6" s="112" t="s">
        <v>198</v>
      </c>
      <c r="B6" s="113" t="s">
        <v>199</v>
      </c>
      <c r="C6" s="114"/>
      <c r="D6" s="115">
        <v>5496</v>
      </c>
      <c r="E6" s="115">
        <v>14808</v>
      </c>
      <c r="F6" s="116">
        <v>3.4000000000000002E-2</v>
      </c>
      <c r="G6" s="117">
        <f>D6*F6</f>
        <v>186.864</v>
      </c>
      <c r="H6" s="110">
        <f>G6</f>
        <v>186.864</v>
      </c>
      <c r="I6" s="118"/>
      <c r="J6" s="117">
        <f>E6*F6</f>
        <v>503.47200000000004</v>
      </c>
      <c r="K6" s="118">
        <f>J6</f>
        <v>503.47200000000004</v>
      </c>
    </row>
    <row r="7" spans="1:12" x14ac:dyDescent="0.3">
      <c r="A7" s="119" t="s">
        <v>200</v>
      </c>
      <c r="B7" s="120" t="s">
        <v>201</v>
      </c>
      <c r="C7" s="120"/>
      <c r="D7" s="121">
        <v>120</v>
      </c>
      <c r="E7" s="121">
        <v>120</v>
      </c>
      <c r="F7" s="122">
        <v>0.25</v>
      </c>
      <c r="G7" s="122">
        <f>F7*D7</f>
        <v>30</v>
      </c>
      <c r="H7" s="122">
        <f t="shared" ref="H7:H10" si="0">G7*1.12</f>
        <v>33.6</v>
      </c>
      <c r="I7" s="123"/>
      <c r="J7" s="122">
        <f>F7*E7</f>
        <v>30</v>
      </c>
      <c r="K7" s="123">
        <f>J7*1.12</f>
        <v>33.6</v>
      </c>
      <c r="L7" t="s">
        <v>197</v>
      </c>
    </row>
    <row r="8" spans="1:12" x14ac:dyDescent="0.3">
      <c r="A8" s="107" t="s">
        <v>202</v>
      </c>
      <c r="B8" s="87" t="s">
        <v>183</v>
      </c>
      <c r="C8" s="108"/>
      <c r="D8" s="124">
        <v>1</v>
      </c>
      <c r="E8" s="124">
        <v>3</v>
      </c>
      <c r="F8" s="125"/>
      <c r="G8" s="110">
        <f>F8*D8</f>
        <v>0</v>
      </c>
      <c r="H8" s="110">
        <f t="shared" si="0"/>
        <v>0</v>
      </c>
      <c r="I8" s="111"/>
      <c r="J8" s="110">
        <f>G8*E8</f>
        <v>0</v>
      </c>
      <c r="K8" s="111">
        <f>J8*1.12</f>
        <v>0</v>
      </c>
      <c r="L8" t="s">
        <v>197</v>
      </c>
    </row>
    <row r="9" spans="1:12" x14ac:dyDescent="0.3">
      <c r="A9" s="107" t="s">
        <v>203</v>
      </c>
      <c r="B9" s="87" t="s">
        <v>204</v>
      </c>
      <c r="C9" s="108"/>
      <c r="D9" s="124">
        <v>40</v>
      </c>
      <c r="E9" s="124">
        <v>120</v>
      </c>
      <c r="F9" s="125">
        <v>1.23</v>
      </c>
      <c r="G9" s="110">
        <f>F9*D9</f>
        <v>49.2</v>
      </c>
      <c r="H9" s="110">
        <f t="shared" si="0"/>
        <v>55.104000000000006</v>
      </c>
      <c r="I9" s="111"/>
      <c r="J9" s="110">
        <f>F9*E9</f>
        <v>147.6</v>
      </c>
      <c r="K9" s="111">
        <f t="shared" ref="K9:K10" si="1">J9*1.12</f>
        <v>165.31200000000001</v>
      </c>
      <c r="L9" t="s">
        <v>197</v>
      </c>
    </row>
    <row r="10" spans="1:12" x14ac:dyDescent="0.3">
      <c r="A10" s="107" t="s">
        <v>205</v>
      </c>
      <c r="B10" s="87" t="s">
        <v>204</v>
      </c>
      <c r="C10" s="108"/>
      <c r="D10" s="124">
        <v>40</v>
      </c>
      <c r="E10" s="124">
        <v>120</v>
      </c>
      <c r="F10" s="125">
        <v>0.27</v>
      </c>
      <c r="G10" s="110">
        <f>F10*D10</f>
        <v>10.8</v>
      </c>
      <c r="H10" s="110">
        <f t="shared" si="0"/>
        <v>12.096000000000002</v>
      </c>
      <c r="I10" s="111"/>
      <c r="J10" s="110">
        <f>F10*E10</f>
        <v>32.400000000000006</v>
      </c>
      <c r="K10" s="111">
        <f t="shared" si="1"/>
        <v>36.288000000000011</v>
      </c>
      <c r="L10" t="s">
        <v>197</v>
      </c>
    </row>
    <row r="11" spans="1:12" s="14" customFormat="1" x14ac:dyDescent="0.3">
      <c r="A11" s="112" t="s">
        <v>206</v>
      </c>
      <c r="B11" s="113" t="s">
        <v>201</v>
      </c>
      <c r="C11" s="114"/>
      <c r="D11" s="115">
        <f>'[1]ÜRETİM (ARKAÖN)(alumina)'!U31*60</f>
        <v>900</v>
      </c>
      <c r="E11" s="115">
        <f>'[1]ÜRETİM (ARKAÖN)(alumina)'!U31*3*60</f>
        <v>2700</v>
      </c>
      <c r="F11" s="116">
        <v>0.44</v>
      </c>
      <c r="G11" s="117">
        <f>D11*F11</f>
        <v>396</v>
      </c>
      <c r="H11" s="117">
        <f>G11</f>
        <v>396</v>
      </c>
      <c r="I11" s="118"/>
      <c r="J11" s="117">
        <f>E11*F11</f>
        <v>1188</v>
      </c>
      <c r="K11" s="118">
        <f>J11</f>
        <v>1188</v>
      </c>
      <c r="L11" s="14" t="s">
        <v>197</v>
      </c>
    </row>
    <row r="12" spans="1:12" x14ac:dyDescent="0.3">
      <c r="A12" s="107" t="s">
        <v>207</v>
      </c>
      <c r="B12" s="87" t="s">
        <v>208</v>
      </c>
      <c r="C12" s="108"/>
      <c r="D12" s="124">
        <v>50</v>
      </c>
      <c r="E12" s="124">
        <v>50</v>
      </c>
      <c r="F12" s="125">
        <v>0.44</v>
      </c>
      <c r="G12" s="110">
        <f>F12*D12</f>
        <v>22</v>
      </c>
      <c r="H12" s="110">
        <f>G12</f>
        <v>22</v>
      </c>
      <c r="I12" s="111"/>
      <c r="J12" s="110">
        <f>F12*E12</f>
        <v>22</v>
      </c>
      <c r="K12" s="111"/>
      <c r="L12" t="s">
        <v>197</v>
      </c>
    </row>
    <row r="13" spans="1:12" x14ac:dyDescent="0.3">
      <c r="A13" s="119" t="s">
        <v>209</v>
      </c>
      <c r="B13" s="126" t="s">
        <v>210</v>
      </c>
      <c r="C13" s="120"/>
      <c r="D13" s="127">
        <v>175</v>
      </c>
      <c r="E13" s="127">
        <v>175</v>
      </c>
      <c r="F13" s="128">
        <v>0.04</v>
      </c>
      <c r="G13" s="122">
        <f>F13*D13</f>
        <v>7</v>
      </c>
      <c r="H13" s="122">
        <f t="shared" ref="H13:H15" si="2">G13</f>
        <v>7</v>
      </c>
      <c r="I13" s="123"/>
      <c r="J13" s="122">
        <f>F13*E13</f>
        <v>7</v>
      </c>
      <c r="K13" s="123">
        <f>J13</f>
        <v>7</v>
      </c>
      <c r="L13" t="s">
        <v>197</v>
      </c>
    </row>
    <row r="14" spans="1:12" x14ac:dyDescent="0.3">
      <c r="A14" s="119" t="s">
        <v>211</v>
      </c>
      <c r="B14" s="126" t="s">
        <v>210</v>
      </c>
      <c r="C14" s="120"/>
      <c r="D14" s="127">
        <v>2000</v>
      </c>
      <c r="E14" s="127">
        <v>2000</v>
      </c>
      <c r="F14" s="128">
        <v>0.01</v>
      </c>
      <c r="G14" s="122">
        <f t="shared" ref="G14:G20" si="3">F14*D14</f>
        <v>20</v>
      </c>
      <c r="H14" s="122">
        <f t="shared" si="2"/>
        <v>20</v>
      </c>
      <c r="I14" s="123"/>
      <c r="J14" s="122">
        <f t="shared" ref="J14:J15" si="4">F14*E14</f>
        <v>20</v>
      </c>
      <c r="K14" s="123">
        <f t="shared" ref="K14:K15" si="5">J14</f>
        <v>20</v>
      </c>
      <c r="L14" t="s">
        <v>197</v>
      </c>
    </row>
    <row r="15" spans="1:12" x14ac:dyDescent="0.3">
      <c r="A15" s="119" t="s">
        <v>212</v>
      </c>
      <c r="B15" s="126" t="s">
        <v>210</v>
      </c>
      <c r="C15" s="120"/>
      <c r="D15" s="127">
        <v>250</v>
      </c>
      <c r="E15" s="127">
        <v>250</v>
      </c>
      <c r="F15" s="128">
        <v>1.46</v>
      </c>
      <c r="G15" s="122">
        <f t="shared" si="3"/>
        <v>365</v>
      </c>
      <c r="H15" s="122">
        <f t="shared" si="2"/>
        <v>365</v>
      </c>
      <c r="I15" s="123"/>
      <c r="J15" s="122">
        <f t="shared" si="4"/>
        <v>365</v>
      </c>
      <c r="K15" s="123">
        <f t="shared" si="5"/>
        <v>365</v>
      </c>
      <c r="L15" t="s">
        <v>197</v>
      </c>
    </row>
    <row r="16" spans="1:12" x14ac:dyDescent="0.3">
      <c r="A16" s="119" t="s">
        <v>213</v>
      </c>
      <c r="B16" s="126" t="s">
        <v>214</v>
      </c>
      <c r="C16" s="120"/>
      <c r="D16" s="127">
        <v>0.16</v>
      </c>
      <c r="E16" s="127">
        <f>D16*3</f>
        <v>0.48</v>
      </c>
      <c r="F16" s="128">
        <v>56.8</v>
      </c>
      <c r="G16" s="122">
        <f t="shared" si="3"/>
        <v>9.0879999999999992</v>
      </c>
      <c r="H16" s="122">
        <f>G16*1.12</f>
        <v>10.178560000000001</v>
      </c>
      <c r="I16" s="123"/>
      <c r="J16" s="122">
        <f>F16*E16</f>
        <v>27.263999999999999</v>
      </c>
      <c r="K16" s="123"/>
    </row>
    <row r="17" spans="1:12" x14ac:dyDescent="0.3">
      <c r="A17" s="119" t="s">
        <v>215</v>
      </c>
      <c r="B17" s="126" t="s">
        <v>208</v>
      </c>
      <c r="C17" s="120"/>
      <c r="D17" s="127">
        <v>0.32</v>
      </c>
      <c r="E17" s="127">
        <f>D17*3</f>
        <v>0.96</v>
      </c>
      <c r="F17" s="128">
        <v>48.29</v>
      </c>
      <c r="G17" s="122">
        <f t="shared" si="3"/>
        <v>15.4528</v>
      </c>
      <c r="H17" s="122">
        <f t="shared" ref="H17:H19" si="6">G17*1.12</f>
        <v>17.307136</v>
      </c>
      <c r="I17" s="123"/>
      <c r="J17" s="122">
        <f>F17*E17</f>
        <v>46.358399999999996</v>
      </c>
      <c r="K17" s="123"/>
      <c r="L17" t="s">
        <v>197</v>
      </c>
    </row>
    <row r="18" spans="1:12" x14ac:dyDescent="0.3">
      <c r="A18" s="107" t="s">
        <v>216</v>
      </c>
      <c r="B18" s="87" t="s">
        <v>204</v>
      </c>
      <c r="C18" s="108"/>
      <c r="D18" s="124">
        <v>1000</v>
      </c>
      <c r="E18" s="124">
        <v>1000</v>
      </c>
      <c r="F18" s="125">
        <v>0.02</v>
      </c>
      <c r="G18" s="110">
        <f t="shared" si="3"/>
        <v>20</v>
      </c>
      <c r="H18" s="117">
        <f t="shared" si="6"/>
        <v>22.400000000000002</v>
      </c>
      <c r="I18" s="111"/>
      <c r="J18" s="117">
        <f>F18*E18</f>
        <v>20</v>
      </c>
      <c r="K18" s="111">
        <f>J18*1.12</f>
        <v>22.400000000000002</v>
      </c>
      <c r="L18" t="s">
        <v>197</v>
      </c>
    </row>
    <row r="19" spans="1:12" x14ac:dyDescent="0.3">
      <c r="A19" s="107" t="s">
        <v>217</v>
      </c>
      <c r="B19" s="87" t="s">
        <v>204</v>
      </c>
      <c r="C19" s="108"/>
      <c r="D19" s="124">
        <v>250</v>
      </c>
      <c r="E19" s="124">
        <v>750</v>
      </c>
      <c r="F19" s="125">
        <v>0.02</v>
      </c>
      <c r="G19" s="110">
        <f t="shared" si="3"/>
        <v>5</v>
      </c>
      <c r="H19" s="117">
        <f t="shared" si="6"/>
        <v>5.6000000000000005</v>
      </c>
      <c r="I19" s="111"/>
      <c r="J19" s="110">
        <f>F19*E19</f>
        <v>15</v>
      </c>
      <c r="K19" s="111">
        <f>J19*1.12</f>
        <v>16.8</v>
      </c>
      <c r="L19" t="s">
        <v>197</v>
      </c>
    </row>
    <row r="20" spans="1:12" x14ac:dyDescent="0.3">
      <c r="A20" s="107" t="s">
        <v>218</v>
      </c>
      <c r="B20" s="87" t="s">
        <v>219</v>
      </c>
      <c r="C20" s="108"/>
      <c r="D20" s="124">
        <v>480</v>
      </c>
      <c r="E20" s="124">
        <f>480*3</f>
        <v>1440</v>
      </c>
      <c r="F20" s="125">
        <v>9.1999999999999998E-2</v>
      </c>
      <c r="G20" s="110">
        <f t="shared" si="3"/>
        <v>44.16</v>
      </c>
      <c r="H20" s="110">
        <f>G20</f>
        <v>44.16</v>
      </c>
      <c r="I20" s="111"/>
      <c r="J20" s="110">
        <f>F20*E20</f>
        <v>132.47999999999999</v>
      </c>
      <c r="K20" s="111">
        <f>J20</f>
        <v>132.47999999999999</v>
      </c>
      <c r="L20" t="s">
        <v>197</v>
      </c>
    </row>
    <row r="21" spans="1:12" x14ac:dyDescent="0.3">
      <c r="A21" s="119" t="s">
        <v>220</v>
      </c>
      <c r="B21" s="126" t="s">
        <v>183</v>
      </c>
      <c r="C21" s="120"/>
      <c r="D21" s="127">
        <v>1</v>
      </c>
      <c r="E21" s="127">
        <v>3</v>
      </c>
      <c r="F21" s="128">
        <v>108.45</v>
      </c>
      <c r="G21" s="122">
        <f t="shared" ref="G21:G29" si="7">D21*F21</f>
        <v>108.45</v>
      </c>
      <c r="H21" s="122">
        <f>G21</f>
        <v>108.45</v>
      </c>
      <c r="I21" s="123"/>
      <c r="J21" s="122">
        <f>E21*F21</f>
        <v>325.35000000000002</v>
      </c>
      <c r="K21" s="123">
        <f>J21</f>
        <v>325.35000000000002</v>
      </c>
      <c r="L21" t="s">
        <v>197</v>
      </c>
    </row>
    <row r="22" spans="1:12" x14ac:dyDescent="0.3">
      <c r="A22" s="119" t="s">
        <v>221</v>
      </c>
      <c r="B22" s="126" t="s">
        <v>183</v>
      </c>
      <c r="C22" s="120"/>
      <c r="D22" s="127">
        <v>0.01</v>
      </c>
      <c r="E22" s="127">
        <v>0.03</v>
      </c>
      <c r="F22" s="128">
        <v>23.15</v>
      </c>
      <c r="G22" s="122">
        <f t="shared" si="7"/>
        <v>0.23149999999999998</v>
      </c>
      <c r="H22" s="122">
        <f>G22*1.12</f>
        <v>0.25928000000000001</v>
      </c>
      <c r="I22" s="123"/>
      <c r="J22" s="122">
        <f>F22*E22</f>
        <v>0.6944999999999999</v>
      </c>
      <c r="K22" s="123">
        <f>J22*1.12</f>
        <v>0.77783999999999998</v>
      </c>
    </row>
    <row r="23" spans="1:12" x14ac:dyDescent="0.3">
      <c r="A23" s="119" t="s">
        <v>222</v>
      </c>
      <c r="B23" s="126" t="s">
        <v>223</v>
      </c>
      <c r="C23" s="120"/>
      <c r="D23" s="127">
        <v>0.1</v>
      </c>
      <c r="E23" s="127">
        <v>0.3</v>
      </c>
      <c r="F23" s="128">
        <v>44.11</v>
      </c>
      <c r="G23" s="122">
        <f t="shared" si="7"/>
        <v>4.4110000000000005</v>
      </c>
      <c r="H23" s="122">
        <f t="shared" ref="H23:H30" si="8">G23</f>
        <v>4.4110000000000005</v>
      </c>
      <c r="I23" s="123"/>
      <c r="J23" s="122">
        <f>E23*F23</f>
        <v>13.232999999999999</v>
      </c>
      <c r="K23" s="123">
        <f>J23</f>
        <v>13.232999999999999</v>
      </c>
      <c r="L23" t="s">
        <v>197</v>
      </c>
    </row>
    <row r="24" spans="1:12" x14ac:dyDescent="0.3">
      <c r="A24" s="119" t="s">
        <v>224</v>
      </c>
      <c r="B24" s="126" t="s">
        <v>223</v>
      </c>
      <c r="C24" s="120"/>
      <c r="D24" s="127">
        <v>0.2</v>
      </c>
      <c r="E24" s="127">
        <v>0.6</v>
      </c>
      <c r="F24" s="128">
        <v>40.96</v>
      </c>
      <c r="G24" s="122">
        <f t="shared" si="7"/>
        <v>8.1920000000000002</v>
      </c>
      <c r="H24" s="122">
        <f t="shared" si="8"/>
        <v>8.1920000000000002</v>
      </c>
      <c r="I24" s="123"/>
      <c r="J24" s="122">
        <f>E24*F24</f>
        <v>24.576000000000001</v>
      </c>
      <c r="K24" s="123">
        <f>J24</f>
        <v>24.576000000000001</v>
      </c>
      <c r="L24" t="s">
        <v>197</v>
      </c>
    </row>
    <row r="25" spans="1:12" x14ac:dyDescent="0.3">
      <c r="A25" s="119" t="s">
        <v>225</v>
      </c>
      <c r="B25" s="126" t="s">
        <v>183</v>
      </c>
      <c r="C25" s="120"/>
      <c r="D25" s="127">
        <v>1</v>
      </c>
      <c r="E25" s="127">
        <v>3</v>
      </c>
      <c r="F25" s="128">
        <v>0.18</v>
      </c>
      <c r="G25" s="122">
        <f t="shared" si="7"/>
        <v>0.18</v>
      </c>
      <c r="H25" s="122">
        <f t="shared" si="8"/>
        <v>0.18</v>
      </c>
      <c r="I25" s="123"/>
      <c r="J25" s="122">
        <f>E25*F25</f>
        <v>0.54</v>
      </c>
      <c r="K25" s="123">
        <f>J25</f>
        <v>0.54</v>
      </c>
      <c r="L25" t="s">
        <v>197</v>
      </c>
    </row>
    <row r="26" spans="1:12" x14ac:dyDescent="0.3">
      <c r="A26" s="119" t="s">
        <v>226</v>
      </c>
      <c r="B26" s="126" t="s">
        <v>227</v>
      </c>
      <c r="C26" s="120"/>
      <c r="D26" s="127">
        <v>0.05</v>
      </c>
      <c r="E26" s="127">
        <v>0.15</v>
      </c>
      <c r="F26" s="128">
        <v>2.2999999999999998</v>
      </c>
      <c r="G26" s="122">
        <f t="shared" si="7"/>
        <v>0.11499999999999999</v>
      </c>
      <c r="H26" s="122">
        <f t="shared" si="8"/>
        <v>0.11499999999999999</v>
      </c>
      <c r="I26" s="123"/>
      <c r="J26" s="122">
        <f>E26*F26</f>
        <v>0.34499999999999997</v>
      </c>
      <c r="K26" s="123">
        <f>J26</f>
        <v>0.34499999999999997</v>
      </c>
      <c r="L26" t="s">
        <v>197</v>
      </c>
    </row>
    <row r="27" spans="1:12" x14ac:dyDescent="0.3">
      <c r="A27" s="129" t="s">
        <v>171</v>
      </c>
      <c r="B27" s="126" t="s">
        <v>201</v>
      </c>
      <c r="C27" s="120"/>
      <c r="D27" s="127">
        <f>'[1]ÜRETİM (ARKAÖN)(alumina)'!I31*60</f>
        <v>840</v>
      </c>
      <c r="E27" s="127">
        <f>'[1]ÜRETİM (ARKAÖN)(alumina)'!I31*60</f>
        <v>840</v>
      </c>
      <c r="F27" s="128">
        <v>0.02</v>
      </c>
      <c r="G27" s="122">
        <f t="shared" si="7"/>
        <v>16.8</v>
      </c>
      <c r="H27" s="122">
        <f t="shared" si="8"/>
        <v>16.8</v>
      </c>
      <c r="I27" s="123"/>
      <c r="J27" s="122">
        <f>F27*E27</f>
        <v>16.8</v>
      </c>
      <c r="K27" s="123">
        <f>J27</f>
        <v>16.8</v>
      </c>
      <c r="L27" t="s">
        <v>197</v>
      </c>
    </row>
    <row r="28" spans="1:12" x14ac:dyDescent="0.3">
      <c r="A28" s="119" t="s">
        <v>228</v>
      </c>
      <c r="B28" s="126" t="s">
        <v>183</v>
      </c>
      <c r="C28" s="120"/>
      <c r="D28" s="127">
        <v>1</v>
      </c>
      <c r="E28" s="127"/>
      <c r="F28" s="128">
        <v>3.7499999999999999E-2</v>
      </c>
      <c r="G28" s="122">
        <f t="shared" ref="G28" si="9">D28*F28</f>
        <v>3.7499999999999999E-2</v>
      </c>
      <c r="H28" s="122">
        <f t="shared" si="8"/>
        <v>3.7499999999999999E-2</v>
      </c>
      <c r="I28" s="123"/>
      <c r="J28" s="122">
        <v>0</v>
      </c>
      <c r="K28" s="123"/>
    </row>
    <row r="29" spans="1:12" x14ac:dyDescent="0.3">
      <c r="A29" s="119" t="s">
        <v>229</v>
      </c>
      <c r="B29" s="126" t="s">
        <v>183</v>
      </c>
      <c r="C29" s="120"/>
      <c r="D29" s="127">
        <v>10</v>
      </c>
      <c r="E29" s="127"/>
      <c r="F29" s="130">
        <v>9.36</v>
      </c>
      <c r="G29" s="122">
        <f t="shared" si="7"/>
        <v>93.6</v>
      </c>
      <c r="H29" s="122">
        <f t="shared" si="8"/>
        <v>93.6</v>
      </c>
      <c r="I29" s="132"/>
      <c r="J29" s="131">
        <v>0</v>
      </c>
      <c r="K29" s="132"/>
    </row>
    <row r="30" spans="1:12" ht="15" thickBot="1" x14ac:dyDescent="0.35">
      <c r="A30" s="119" t="s">
        <v>233</v>
      </c>
      <c r="B30" s="126" t="s">
        <v>204</v>
      </c>
      <c r="C30" s="120"/>
      <c r="D30" s="127">
        <v>15</v>
      </c>
      <c r="E30" s="127"/>
      <c r="F30" s="141">
        <v>60</v>
      </c>
      <c r="G30" s="122">
        <f t="shared" ref="G30" si="10">D30*F30</f>
        <v>900</v>
      </c>
      <c r="H30" s="122">
        <f t="shared" si="8"/>
        <v>900</v>
      </c>
      <c r="I30" s="132"/>
      <c r="J30" s="131">
        <v>0</v>
      </c>
      <c r="K30" s="132"/>
    </row>
    <row r="31" spans="1:12" ht="21.6" thickBot="1" x14ac:dyDescent="0.45">
      <c r="A31" s="133"/>
      <c r="D31" s="85"/>
      <c r="E31" s="85"/>
      <c r="F31" s="134" t="s">
        <v>230</v>
      </c>
      <c r="G31" s="135">
        <f>SUM(G5:G30)</f>
        <v>2764.5817999999999</v>
      </c>
      <c r="H31" s="136">
        <f>SUM(H5:H30)</f>
        <v>2835.5944760000002</v>
      </c>
      <c r="I31" s="137">
        <f>G31*1.2</f>
        <v>3317.4981599999996</v>
      </c>
      <c r="J31" s="135">
        <f>SUM(J5:J29)</f>
        <v>4294.1129000000001</v>
      </c>
      <c r="K31" s="138">
        <f>SUM(K5:K29)</f>
        <v>4390.6938400000008</v>
      </c>
    </row>
    <row r="32" spans="1:12" x14ac:dyDescent="0.3">
      <c r="D32" s="85"/>
      <c r="E32" s="85"/>
      <c r="G32" s="139"/>
    </row>
    <row r="33" spans="1:5" x14ac:dyDescent="0.3">
      <c r="D33" s="85"/>
      <c r="E33" s="85"/>
    </row>
    <row r="34" spans="1:5" x14ac:dyDescent="0.3">
      <c r="D34" s="85"/>
      <c r="E34" s="85"/>
    </row>
    <row r="35" spans="1:5" x14ac:dyDescent="0.3">
      <c r="D35" s="85"/>
      <c r="E35" s="85"/>
    </row>
    <row r="36" spans="1:5" x14ac:dyDescent="0.3">
      <c r="D36" s="85"/>
      <c r="E36" s="85"/>
    </row>
    <row r="37" spans="1:5" x14ac:dyDescent="0.3">
      <c r="D37" s="85"/>
      <c r="E37" s="85"/>
    </row>
    <row r="38" spans="1:5" x14ac:dyDescent="0.3">
      <c r="D38" s="85"/>
      <c r="E38" s="85"/>
    </row>
    <row r="39" spans="1:5" x14ac:dyDescent="0.3">
      <c r="A39" s="126" t="s">
        <v>231</v>
      </c>
      <c r="B39" s="126" t="s">
        <v>232</v>
      </c>
      <c r="C39" s="140"/>
      <c r="D39" s="85"/>
      <c r="E39" s="85"/>
    </row>
  </sheetData>
  <mergeCells count="2">
    <mergeCell ref="G3:H3"/>
    <mergeCell ref="J3:K3"/>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topLeftCell="A13" workbookViewId="0">
      <selection activeCell="D34" sqref="D34"/>
    </sheetView>
  </sheetViews>
  <sheetFormatPr defaultRowHeight="14.4" x14ac:dyDescent="0.3"/>
  <cols>
    <col min="1" max="1" width="29.88671875" bestFit="1" customWidth="1"/>
    <col min="2" max="2" width="12" customWidth="1"/>
    <col min="3" max="3" width="13.109375" bestFit="1" customWidth="1"/>
    <col min="4" max="4" width="16.33203125" customWidth="1"/>
    <col min="5" max="5" width="13.5546875" bestFit="1" customWidth="1"/>
    <col min="6" max="6" width="13.109375" bestFit="1" customWidth="1"/>
    <col min="7" max="9" width="12.44140625" bestFit="1" customWidth="1"/>
    <col min="10" max="10" width="10.44140625" customWidth="1"/>
    <col min="13" max="13" width="33.6640625" customWidth="1"/>
  </cols>
  <sheetData>
    <row r="2" spans="1:7" x14ac:dyDescent="0.3">
      <c r="A2" s="142">
        <v>300</v>
      </c>
      <c r="B2" s="142" t="s">
        <v>234</v>
      </c>
    </row>
    <row r="3" spans="1:7" x14ac:dyDescent="0.3">
      <c r="A3" s="143">
        <v>2565.1600000000003</v>
      </c>
      <c r="B3" s="144" t="s">
        <v>235</v>
      </c>
    </row>
    <row r="4" spans="1:7" x14ac:dyDescent="0.3">
      <c r="A4" s="143">
        <v>1903.2</v>
      </c>
      <c r="B4" s="144" t="s">
        <v>236</v>
      </c>
    </row>
    <row r="5" spans="1:7" x14ac:dyDescent="0.3">
      <c r="A5" s="143">
        <v>936</v>
      </c>
      <c r="B5" s="144" t="s">
        <v>237</v>
      </c>
    </row>
    <row r="6" spans="1:7" x14ac:dyDescent="0.3">
      <c r="A6" s="143">
        <v>2695.5466798040984</v>
      </c>
      <c r="B6" s="144" t="s">
        <v>238</v>
      </c>
    </row>
    <row r="7" spans="1:7" x14ac:dyDescent="0.3">
      <c r="A7" s="145">
        <v>0.2</v>
      </c>
      <c r="B7" s="144" t="s">
        <v>239</v>
      </c>
    </row>
    <row r="8" spans="1:7" x14ac:dyDescent="0.3">
      <c r="A8" s="146">
        <v>8099.9066798040985</v>
      </c>
      <c r="B8" s="147" t="s">
        <v>44</v>
      </c>
      <c r="C8" s="163">
        <f>+A8/300</f>
        <v>26.999688932680328</v>
      </c>
    </row>
    <row r="9" spans="1:7" x14ac:dyDescent="0.3">
      <c r="A9" s="146">
        <f>+A8*1.2</f>
        <v>9719.8880157649182</v>
      </c>
      <c r="B9" s="147" t="s">
        <v>240</v>
      </c>
    </row>
    <row r="11" spans="1:7" x14ac:dyDescent="0.3">
      <c r="A11" s="148">
        <f>+A9/300</f>
        <v>32.399626719216393</v>
      </c>
      <c r="B11" s="149" t="s">
        <v>241</v>
      </c>
    </row>
    <row r="14" spans="1:7" x14ac:dyDescent="0.3">
      <c r="A14" s="150" t="s">
        <v>242</v>
      </c>
      <c r="B14" s="151"/>
    </row>
    <row r="15" spans="1:7" x14ac:dyDescent="0.3">
      <c r="A15" s="152" t="s">
        <v>243</v>
      </c>
      <c r="B15" s="153"/>
    </row>
    <row r="16" spans="1:7" x14ac:dyDescent="0.3">
      <c r="A16" s="154">
        <v>2020</v>
      </c>
      <c r="B16" s="154">
        <v>2021</v>
      </c>
      <c r="C16" s="155">
        <v>2022</v>
      </c>
      <c r="D16" s="154">
        <v>2023</v>
      </c>
      <c r="E16" s="154">
        <v>2024</v>
      </c>
      <c r="F16" s="154">
        <v>2025</v>
      </c>
      <c r="G16" s="154">
        <v>2026</v>
      </c>
    </row>
    <row r="17" spans="1:10" x14ac:dyDescent="0.3">
      <c r="A17" s="156">
        <v>22.5</v>
      </c>
      <c r="B17" s="156">
        <f t="shared" ref="B17:G17" si="0">+A17*1.06</f>
        <v>23.85</v>
      </c>
      <c r="C17" s="156">
        <f t="shared" si="0"/>
        <v>25.281000000000002</v>
      </c>
      <c r="D17" s="156">
        <f t="shared" si="0"/>
        <v>26.797860000000004</v>
      </c>
      <c r="E17" s="156">
        <f t="shared" si="0"/>
        <v>28.405731600000006</v>
      </c>
      <c r="F17" s="156">
        <f t="shared" si="0"/>
        <v>30.110075496000007</v>
      </c>
      <c r="G17" s="156">
        <f t="shared" si="0"/>
        <v>31.916680025760009</v>
      </c>
      <c r="H17" s="157"/>
      <c r="I17" s="157"/>
    </row>
    <row r="18" spans="1:10" x14ac:dyDescent="0.3">
      <c r="A18" s="158"/>
      <c r="B18" s="154"/>
      <c r="C18" s="157"/>
      <c r="D18" s="154"/>
      <c r="E18" s="159">
        <f>+E17*1.1</f>
        <v>31.246304760000008</v>
      </c>
      <c r="F18" s="159">
        <f>+F17*1.1</f>
        <v>33.12108304560001</v>
      </c>
      <c r="G18" s="159">
        <f>+G17*1.1</f>
        <v>35.10834802833601</v>
      </c>
      <c r="H18" s="157"/>
      <c r="I18" s="157"/>
    </row>
    <row r="22" spans="1:10" ht="41.4" x14ac:dyDescent="0.3">
      <c r="A22" s="160" t="s">
        <v>77</v>
      </c>
      <c r="B22" s="161" t="s">
        <v>78</v>
      </c>
      <c r="C22" s="161" t="s">
        <v>79</v>
      </c>
      <c r="D22" s="161" t="s">
        <v>80</v>
      </c>
      <c r="E22" s="161" t="s">
        <v>81</v>
      </c>
      <c r="F22" s="161" t="s">
        <v>82</v>
      </c>
      <c r="G22" s="161" t="s">
        <v>83</v>
      </c>
      <c r="H22" s="161" t="s">
        <v>84</v>
      </c>
      <c r="I22" s="161" t="s">
        <v>85</v>
      </c>
      <c r="J22" s="161" t="s">
        <v>86</v>
      </c>
    </row>
    <row r="23" spans="1:10" x14ac:dyDescent="0.3">
      <c r="A23" s="162" t="s">
        <v>244</v>
      </c>
      <c r="B23" s="163">
        <v>22</v>
      </c>
      <c r="C23" s="163">
        <v>32</v>
      </c>
      <c r="D23" s="163">
        <v>64</v>
      </c>
      <c r="E23" s="163">
        <v>10</v>
      </c>
      <c r="F23" s="163">
        <v>17</v>
      </c>
      <c r="G23" s="163">
        <v>8</v>
      </c>
      <c r="H23" s="163">
        <v>7</v>
      </c>
      <c r="I23" s="163">
        <v>8</v>
      </c>
      <c r="J23" s="163" t="s">
        <v>245</v>
      </c>
    </row>
    <row r="24" spans="1:10" x14ac:dyDescent="0.3">
      <c r="A24" s="162" t="s">
        <v>246</v>
      </c>
      <c r="B24" s="163">
        <v>39</v>
      </c>
      <c r="C24" s="163">
        <v>15.6</v>
      </c>
      <c r="D24" s="163">
        <v>78</v>
      </c>
      <c r="E24" s="163">
        <v>28.6</v>
      </c>
      <c r="F24" s="163">
        <v>9.1</v>
      </c>
      <c r="G24" s="163">
        <v>13</v>
      </c>
      <c r="H24" s="163">
        <v>13</v>
      </c>
      <c r="I24" s="163">
        <v>13</v>
      </c>
      <c r="J24" s="163">
        <v>20.8</v>
      </c>
    </row>
    <row r="25" spans="1:10" x14ac:dyDescent="0.3">
      <c r="A25" s="164" t="s">
        <v>247</v>
      </c>
      <c r="B25" s="165">
        <f>+(B24-B23)/22*100</f>
        <v>77.272727272727266</v>
      </c>
      <c r="C25" s="166">
        <f>+(C24-C23)/C23*100</f>
        <v>-51.249999999999993</v>
      </c>
      <c r="D25" s="166">
        <f>+(D24-D23)/64*100</f>
        <v>21.875</v>
      </c>
      <c r="E25" s="166">
        <f>+(E24-E23)/E23*100</f>
        <v>186</v>
      </c>
      <c r="F25" s="166">
        <f>+(F24-F23)/F23*100</f>
        <v>-46.470588235294116</v>
      </c>
      <c r="G25" s="166">
        <f>(G24-G23)/G23*100</f>
        <v>62.5</v>
      </c>
      <c r="H25" s="166">
        <f>(H24-H23)/H23*100</f>
        <v>85.714285714285708</v>
      </c>
      <c r="I25" s="166">
        <f>(I24-I23)/I23*100</f>
        <v>62.5</v>
      </c>
      <c r="J25" s="166"/>
    </row>
    <row r="26" spans="1:10" x14ac:dyDescent="0.3">
      <c r="A26" s="167" t="s">
        <v>248</v>
      </c>
      <c r="B26" s="168">
        <v>0.5</v>
      </c>
    </row>
    <row r="27" spans="1:10" x14ac:dyDescent="0.3">
      <c r="A27" s="167" t="s">
        <v>249</v>
      </c>
      <c r="B27" s="168">
        <v>0.3</v>
      </c>
    </row>
    <row r="28" spans="1:10" x14ac:dyDescent="0.3">
      <c r="A28" s="179" t="s">
        <v>250</v>
      </c>
      <c r="B28" s="179"/>
      <c r="C28" s="179"/>
      <c r="D28" s="179"/>
      <c r="E28" s="169"/>
      <c r="F28" s="169"/>
      <c r="G28" s="169"/>
      <c r="H28" s="169"/>
    </row>
    <row r="34" spans="3:8" x14ac:dyDescent="0.3">
      <c r="C34">
        <v>22.5</v>
      </c>
      <c r="D34">
        <f>+C34*1.5*1.3</f>
        <v>43.875</v>
      </c>
      <c r="E34" t="s">
        <v>251</v>
      </c>
      <c r="F34" t="s">
        <v>252</v>
      </c>
      <c r="H34" t="s">
        <v>253</v>
      </c>
    </row>
    <row r="35" spans="3:8" x14ac:dyDescent="0.3">
      <c r="H35" t="s">
        <v>254</v>
      </c>
    </row>
  </sheetData>
  <mergeCells count="1">
    <mergeCell ref="A28:D28"/>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6" zoomScale="68" zoomScaleNormal="68" workbookViewId="0">
      <selection activeCell="E33" sqref="E33"/>
    </sheetView>
  </sheetViews>
  <sheetFormatPr defaultRowHeight="14.4" x14ac:dyDescent="0.3"/>
  <cols>
    <col min="1" max="1" width="43.5546875" bestFit="1" customWidth="1"/>
    <col min="2" max="2" width="36.6640625" bestFit="1" customWidth="1"/>
    <col min="3" max="3" width="84.109375" customWidth="1"/>
    <col min="4" max="4" width="36.6640625" customWidth="1"/>
    <col min="5" max="5" width="36.6640625" bestFit="1" customWidth="1"/>
    <col min="6" max="6" width="64" customWidth="1"/>
    <col min="7" max="7" width="63.44140625" customWidth="1"/>
    <col min="8" max="9" width="9.109375" customWidth="1"/>
  </cols>
  <sheetData>
    <row r="1" spans="1:6" ht="33.6" x14ac:dyDescent="0.3">
      <c r="A1" s="180" t="s">
        <v>93</v>
      </c>
      <c r="B1" s="181"/>
      <c r="C1" s="181"/>
      <c r="D1" s="181"/>
      <c r="E1" s="181"/>
      <c r="F1" s="182"/>
    </row>
    <row r="2" spans="1:6" s="68" customFormat="1" ht="51.6" x14ac:dyDescent="0.5">
      <c r="A2" s="66" t="s">
        <v>94</v>
      </c>
      <c r="B2" s="67" t="s">
        <v>95</v>
      </c>
      <c r="C2" s="66" t="s">
        <v>96</v>
      </c>
      <c r="D2" s="67" t="s">
        <v>97</v>
      </c>
      <c r="E2" s="67" t="s">
        <v>98</v>
      </c>
      <c r="F2" s="66" t="s">
        <v>99</v>
      </c>
    </row>
    <row r="3" spans="1:6" ht="21" x14ac:dyDescent="0.3">
      <c r="A3" s="69" t="s">
        <v>100</v>
      </c>
      <c r="B3" s="70">
        <v>3</v>
      </c>
      <c r="C3" s="70">
        <v>0.5</v>
      </c>
      <c r="D3" s="71">
        <v>16.899999999999999</v>
      </c>
      <c r="E3" s="71">
        <f>Table1321143[[#This Row],[Cihaz Kullanım Süresi (Saatlik)]]*Table1321143[[#This Row],[Cihaz Saatlik Kiralama Ücreti]]</f>
        <v>50.699999999999996</v>
      </c>
      <c r="F3" s="72" t="s">
        <v>101</v>
      </c>
    </row>
    <row r="4" spans="1:6" ht="21" x14ac:dyDescent="0.3">
      <c r="A4" s="69" t="s">
        <v>102</v>
      </c>
      <c r="B4" s="70">
        <v>0.5</v>
      </c>
      <c r="C4" s="70">
        <v>0.5</v>
      </c>
      <c r="D4" s="71">
        <v>15.6</v>
      </c>
      <c r="E4" s="71">
        <f>Table1321143[[#This Row],[Cihaz Kullanım Süresi (Saatlik)]]*Table1321143[[#This Row],[Cihaz Saatlik Kiralama Ücreti]]</f>
        <v>7.8</v>
      </c>
      <c r="F4" s="72" t="s">
        <v>103</v>
      </c>
    </row>
    <row r="5" spans="1:6" ht="21" x14ac:dyDescent="0.3">
      <c r="A5" s="69" t="s">
        <v>104</v>
      </c>
      <c r="B5" s="70">
        <v>0.1</v>
      </c>
      <c r="C5" s="70">
        <v>0.1</v>
      </c>
      <c r="D5" s="71"/>
      <c r="E5" s="71">
        <f>Table1321143[[#This Row],[Cihaz Kullanım Süresi (Saatlik)]]*Table1321143[[#This Row],[Cihaz Saatlik Kiralama Ücreti]]</f>
        <v>0</v>
      </c>
      <c r="F5" s="72" t="s">
        <v>105</v>
      </c>
    </row>
    <row r="6" spans="1:6" ht="21" x14ac:dyDescent="0.3">
      <c r="A6" s="69" t="s">
        <v>106</v>
      </c>
      <c r="B6" s="70">
        <v>0.5</v>
      </c>
      <c r="C6" s="70">
        <v>0.5</v>
      </c>
      <c r="D6" s="71">
        <v>28.6</v>
      </c>
      <c r="E6" s="71">
        <f>Table1321143[[#This Row],[Cihaz Kullanım Süresi (Saatlik)]]*Table1321143[[#This Row],[Cihaz Saatlik Kiralama Ücreti]]</f>
        <v>14.3</v>
      </c>
      <c r="F6" s="72" t="s">
        <v>107</v>
      </c>
    </row>
    <row r="7" spans="1:6" ht="21" x14ac:dyDescent="0.3">
      <c r="A7" s="69" t="s">
        <v>108</v>
      </c>
      <c r="B7" s="70">
        <v>0.5</v>
      </c>
      <c r="C7" s="70">
        <v>0.5</v>
      </c>
      <c r="D7" s="71">
        <v>39</v>
      </c>
      <c r="E7" s="71">
        <f>Table1321143[[#This Row],[Cihaz Kullanım Süresi (Saatlik)]]*Table1321143[[#This Row],[Cihaz Saatlik Kiralama Ücreti]]</f>
        <v>19.5</v>
      </c>
      <c r="F7" s="72" t="s">
        <v>109</v>
      </c>
    </row>
    <row r="8" spans="1:6" ht="21" x14ac:dyDescent="0.3">
      <c r="A8" s="69" t="s">
        <v>110</v>
      </c>
      <c r="B8" s="70">
        <v>0.1</v>
      </c>
      <c r="C8" s="70">
        <v>0.1</v>
      </c>
      <c r="D8" s="71">
        <v>19.5</v>
      </c>
      <c r="E8" s="71">
        <f>Table1321143[[#This Row],[Cihaz Kullanım Süresi (Saatlik)]]*Table1321143[[#This Row],[Cihaz Saatlik Kiralama Ücreti]]</f>
        <v>1.9500000000000002</v>
      </c>
      <c r="F8" s="72" t="s">
        <v>111</v>
      </c>
    </row>
    <row r="9" spans="1:6" ht="21" x14ac:dyDescent="0.3">
      <c r="A9" s="69" t="s">
        <v>112</v>
      </c>
      <c r="B9" s="70">
        <v>2</v>
      </c>
      <c r="C9" s="70">
        <v>0.5</v>
      </c>
      <c r="D9" s="71">
        <v>78</v>
      </c>
      <c r="E9" s="71">
        <f>Table1321143[[#This Row],[Cihaz Kullanım Süresi (Saatlik)]]*Table1321143[[#This Row],[Cihaz Saatlik Kiralama Ücreti]]</f>
        <v>156</v>
      </c>
      <c r="F9" s="72" t="s">
        <v>113</v>
      </c>
    </row>
    <row r="10" spans="1:6" ht="21" x14ac:dyDescent="0.3">
      <c r="A10" s="69" t="s">
        <v>108</v>
      </c>
      <c r="B10" s="70">
        <v>2</v>
      </c>
      <c r="C10" s="70">
        <v>0.5</v>
      </c>
      <c r="D10" s="71">
        <v>39</v>
      </c>
      <c r="E10" s="71">
        <f>Table1321143[[#This Row],[Cihaz Kullanım Süresi (Saatlik)]]*Table1321143[[#This Row],[Cihaz Saatlik Kiralama Ücreti]]</f>
        <v>78</v>
      </c>
      <c r="F10" s="72" t="s">
        <v>114</v>
      </c>
    </row>
    <row r="11" spans="1:6" ht="21" x14ac:dyDescent="0.3">
      <c r="A11" s="69" t="s">
        <v>115</v>
      </c>
      <c r="B11" s="70">
        <v>0.1</v>
      </c>
      <c r="C11" s="70">
        <v>0.1</v>
      </c>
      <c r="D11" s="71">
        <v>13</v>
      </c>
      <c r="E11" s="71">
        <f>Table1321143[[#This Row],[Cihaz Kullanım Süresi (Saatlik)]]*Table1321143[[#This Row],[Cihaz Saatlik Kiralama Ücreti]]</f>
        <v>1.3</v>
      </c>
      <c r="F11" s="72" t="s">
        <v>116</v>
      </c>
    </row>
    <row r="12" spans="1:6" ht="21" x14ac:dyDescent="0.3">
      <c r="A12" s="69" t="s">
        <v>102</v>
      </c>
      <c r="B12" s="70">
        <v>0.5</v>
      </c>
      <c r="C12" s="70">
        <v>0.5</v>
      </c>
      <c r="D12" s="71">
        <v>15.6</v>
      </c>
      <c r="E12" s="71">
        <f>Table1321143[[#This Row],[Cihaz Kullanım Süresi (Saatlik)]]*Table1321143[[#This Row],[Cihaz Saatlik Kiralama Ücreti]]</f>
        <v>7.8</v>
      </c>
      <c r="F12" s="72" t="s">
        <v>103</v>
      </c>
    </row>
    <row r="13" spans="1:6" ht="21" x14ac:dyDescent="0.3">
      <c r="A13" s="69" t="s">
        <v>104</v>
      </c>
      <c r="B13" s="70">
        <v>0.1</v>
      </c>
      <c r="C13" s="70">
        <v>0.1</v>
      </c>
      <c r="D13" s="71"/>
      <c r="E13" s="71">
        <f>Table1321143[[#This Row],[Cihaz Kullanım Süresi (Saatlik)]]*Table1321143[[#This Row],[Cihaz Saatlik Kiralama Ücreti]]</f>
        <v>0</v>
      </c>
      <c r="F13" s="72" t="s">
        <v>105</v>
      </c>
    </row>
    <row r="14" spans="1:6" ht="21" x14ac:dyDescent="0.3">
      <c r="A14" s="69" t="s">
        <v>106</v>
      </c>
      <c r="B14" s="70">
        <v>0.5</v>
      </c>
      <c r="C14" s="70">
        <v>0.5</v>
      </c>
      <c r="D14" s="71">
        <v>28.6</v>
      </c>
      <c r="E14" s="71">
        <f>Table1321143[[#This Row],[Cihaz Kullanım Süresi (Saatlik)]]*Table1321143[[#This Row],[Cihaz Saatlik Kiralama Ücreti]]</f>
        <v>14.3</v>
      </c>
      <c r="F14" s="72" t="s">
        <v>107</v>
      </c>
    </row>
    <row r="15" spans="1:6" ht="21" x14ac:dyDescent="0.3">
      <c r="A15" s="69" t="s">
        <v>108</v>
      </c>
      <c r="B15" s="70">
        <v>0.5</v>
      </c>
      <c r="C15" s="70">
        <v>0.5</v>
      </c>
      <c r="D15" s="71">
        <v>39</v>
      </c>
      <c r="E15" s="71">
        <f>Table1321143[[#This Row],[Cihaz Kullanım Süresi (Saatlik)]]*Table1321143[[#This Row],[Cihaz Saatlik Kiralama Ücreti]]</f>
        <v>19.5</v>
      </c>
      <c r="F15" s="72" t="s">
        <v>109</v>
      </c>
    </row>
    <row r="16" spans="1:6" ht="21" x14ac:dyDescent="0.3">
      <c r="A16" s="69" t="s">
        <v>110</v>
      </c>
      <c r="B16" s="70">
        <v>0.1</v>
      </c>
      <c r="C16" s="70">
        <v>0.1</v>
      </c>
      <c r="D16" s="71">
        <v>19.5</v>
      </c>
      <c r="E16" s="71">
        <f>Table1321143[[#This Row],[Cihaz Kullanım Süresi (Saatlik)]]*Table1321143[[#This Row],[Cihaz Saatlik Kiralama Ücreti]]</f>
        <v>1.9500000000000002</v>
      </c>
      <c r="F16" s="72" t="s">
        <v>111</v>
      </c>
    </row>
    <row r="17" spans="1:6" ht="21" x14ac:dyDescent="0.3">
      <c r="A17" s="69" t="s">
        <v>108</v>
      </c>
      <c r="B17" s="70">
        <v>1</v>
      </c>
      <c r="C17" s="70">
        <v>1</v>
      </c>
      <c r="D17" s="71">
        <v>39</v>
      </c>
      <c r="E17" s="71">
        <f>Table1321143[[#This Row],[Cihaz Kullanım Süresi (Saatlik)]]*Table1321143[[#This Row],[Cihaz Saatlik Kiralama Ücreti]]</f>
        <v>39</v>
      </c>
      <c r="F17" s="72" t="s">
        <v>117</v>
      </c>
    </row>
    <row r="18" spans="1:6" ht="21" x14ac:dyDescent="0.3">
      <c r="A18" s="69" t="s">
        <v>108</v>
      </c>
      <c r="B18" s="70">
        <v>0.5</v>
      </c>
      <c r="C18" s="70">
        <v>0.5</v>
      </c>
      <c r="D18" s="71">
        <v>39</v>
      </c>
      <c r="E18" s="71">
        <f>Table1321143[[#This Row],[Cihaz Kullanım Süresi (Saatlik)]]*Table1321143[[#This Row],[Cihaz Saatlik Kiralama Ücreti]]</f>
        <v>19.5</v>
      </c>
      <c r="F18" s="72" t="s">
        <v>118</v>
      </c>
    </row>
    <row r="19" spans="1:6" ht="21" x14ac:dyDescent="0.3">
      <c r="A19" s="69" t="s">
        <v>115</v>
      </c>
      <c r="B19" s="70">
        <v>0.1</v>
      </c>
      <c r="C19" s="70">
        <v>0.1</v>
      </c>
      <c r="D19" s="71">
        <v>13</v>
      </c>
      <c r="E19" s="71">
        <f>Table1321143[[#This Row],[Cihaz Kullanım Süresi (Saatlik)]]*Table1321143[[#This Row],[Cihaz Saatlik Kiralama Ücreti]]</f>
        <v>1.3</v>
      </c>
      <c r="F19" s="72" t="s">
        <v>116</v>
      </c>
    </row>
    <row r="20" spans="1:6" ht="21" x14ac:dyDescent="0.3">
      <c r="A20" s="73" t="s">
        <v>119</v>
      </c>
      <c r="B20" s="70">
        <v>3</v>
      </c>
      <c r="C20" s="70">
        <v>3</v>
      </c>
      <c r="D20" s="71">
        <v>13</v>
      </c>
      <c r="E20" s="71">
        <f>Table1321143[[#This Row],[Cihaz Kullanım Süresi (Saatlik)]]*Table1321143[[#This Row],[Cihaz Saatlik Kiralama Ücreti]]</f>
        <v>39</v>
      </c>
      <c r="F20" s="72" t="s">
        <v>120</v>
      </c>
    </row>
    <row r="21" spans="1:6" ht="21" x14ac:dyDescent="0.3">
      <c r="A21" s="69" t="s">
        <v>102</v>
      </c>
      <c r="B21" s="70">
        <v>0.5</v>
      </c>
      <c r="C21" s="70">
        <v>0.5</v>
      </c>
      <c r="D21" s="71">
        <v>15.6</v>
      </c>
      <c r="E21" s="71">
        <f>Table1321143[[#This Row],[Cihaz Kullanım Süresi (Saatlik)]]*Table1321143[[#This Row],[Cihaz Saatlik Kiralama Ücreti]]</f>
        <v>7.8</v>
      </c>
      <c r="F21" s="72" t="s">
        <v>121</v>
      </c>
    </row>
    <row r="22" spans="1:6" ht="21" x14ac:dyDescent="0.3">
      <c r="A22" s="69" t="s">
        <v>110</v>
      </c>
      <c r="B22" s="70">
        <v>0.1</v>
      </c>
      <c r="C22" s="70">
        <v>0.1</v>
      </c>
      <c r="D22" s="71">
        <v>19.5</v>
      </c>
      <c r="E22" s="71">
        <f>Table1321143[[#This Row],[Cihaz Kullanım Süresi (Saatlik)]]*Table1321143[[#This Row],[Cihaz Saatlik Kiralama Ücreti]]</f>
        <v>1.9500000000000002</v>
      </c>
      <c r="F22" s="72" t="s">
        <v>105</v>
      </c>
    </row>
    <row r="23" spans="1:6" ht="21" x14ac:dyDescent="0.3">
      <c r="A23" s="69" t="s">
        <v>106</v>
      </c>
      <c r="B23" s="70">
        <v>0.5</v>
      </c>
      <c r="C23" s="70">
        <v>0.5</v>
      </c>
      <c r="D23" s="71">
        <v>28.6</v>
      </c>
      <c r="E23" s="71">
        <f>Table1321143[[#This Row],[Cihaz Kullanım Süresi (Saatlik)]]*Table1321143[[#This Row],[Cihaz Saatlik Kiralama Ücreti]]</f>
        <v>14.3</v>
      </c>
      <c r="F23" s="72" t="s">
        <v>107</v>
      </c>
    </row>
    <row r="24" spans="1:6" ht="21" x14ac:dyDescent="0.3">
      <c r="A24" s="69" t="s">
        <v>102</v>
      </c>
      <c r="B24" s="70">
        <v>1</v>
      </c>
      <c r="C24" s="70">
        <v>1</v>
      </c>
      <c r="D24" s="71">
        <v>15.6</v>
      </c>
      <c r="E24" s="71">
        <f>Table1321143[[#This Row],[Cihaz Kullanım Süresi (Saatlik)]]*Table1321143[[#This Row],[Cihaz Saatlik Kiralama Ücreti]]</f>
        <v>15.6</v>
      </c>
      <c r="F24" s="72" t="s">
        <v>122</v>
      </c>
    </row>
    <row r="25" spans="1:6" ht="21" x14ac:dyDescent="0.3">
      <c r="A25" s="69" t="s">
        <v>123</v>
      </c>
      <c r="B25" s="70">
        <v>3</v>
      </c>
      <c r="C25" s="70">
        <v>0.1</v>
      </c>
      <c r="D25" s="71">
        <v>9.1</v>
      </c>
      <c r="E25" s="71">
        <f>Table1321143[[#This Row],[Cihaz Kullanım Süresi (Saatlik)]]*Table1321143[[#This Row],[Cihaz Saatlik Kiralama Ücreti]]</f>
        <v>27.299999999999997</v>
      </c>
      <c r="F25" s="72" t="s">
        <v>124</v>
      </c>
    </row>
    <row r="26" spans="1:6" ht="21" x14ac:dyDescent="0.3">
      <c r="A26" s="73" t="s">
        <v>119</v>
      </c>
      <c r="B26" s="70">
        <v>3</v>
      </c>
      <c r="C26" s="70">
        <v>3</v>
      </c>
      <c r="D26" s="71">
        <v>13</v>
      </c>
      <c r="E26" s="71">
        <f>Table1321143[[#This Row],[Cihaz Kullanım Süresi (Saatlik)]]*Table1321143[[#This Row],[Cihaz Saatlik Kiralama Ücreti]]</f>
        <v>39</v>
      </c>
      <c r="F26" s="72" t="s">
        <v>125</v>
      </c>
    </row>
    <row r="27" spans="1:6" ht="21" x14ac:dyDescent="0.3">
      <c r="A27" s="69" t="s">
        <v>126</v>
      </c>
      <c r="B27" s="70">
        <v>1</v>
      </c>
      <c r="C27" s="70">
        <v>1</v>
      </c>
      <c r="D27" s="71">
        <v>13</v>
      </c>
      <c r="E27" s="71">
        <f>Table1321143[[#This Row],[Cihaz Kullanım Süresi (Saatlik)]]*Table1321143[[#This Row],[Cihaz Saatlik Kiralama Ücreti]]</f>
        <v>13</v>
      </c>
      <c r="F27" s="72" t="s">
        <v>127</v>
      </c>
    </row>
    <row r="28" spans="1:6" ht="21" x14ac:dyDescent="0.3">
      <c r="A28" s="69" t="s">
        <v>128</v>
      </c>
      <c r="B28" s="70">
        <v>1</v>
      </c>
      <c r="C28" s="70">
        <v>1</v>
      </c>
      <c r="D28" s="71">
        <v>13</v>
      </c>
      <c r="E28" s="71">
        <f>Table1321143[[#This Row],[Cihaz Kullanım Süresi (Saatlik)]]*Table1321143[[#This Row],[Cihaz Saatlik Kiralama Ücreti]]</f>
        <v>13</v>
      </c>
      <c r="F28" s="72" t="s">
        <v>129</v>
      </c>
    </row>
    <row r="29" spans="1:6" ht="21" x14ac:dyDescent="0.3">
      <c r="A29" s="69" t="s">
        <v>130</v>
      </c>
      <c r="B29" s="70">
        <v>3</v>
      </c>
      <c r="C29" s="70">
        <v>1</v>
      </c>
      <c r="D29" s="71">
        <v>20.8</v>
      </c>
      <c r="E29" s="71">
        <f>Table1321143[[#This Row],[Cihaz Kullanım Süresi (Saatlik)]]*Table1321143[[#This Row],[Cihaz Saatlik Kiralama Ücreti]]</f>
        <v>62.400000000000006</v>
      </c>
      <c r="F29" s="72" t="s">
        <v>131</v>
      </c>
    </row>
    <row r="30" spans="1:6" ht="21" x14ac:dyDescent="0.3">
      <c r="A30" s="74" t="s">
        <v>132</v>
      </c>
      <c r="B30" s="70">
        <v>18</v>
      </c>
      <c r="C30" s="70">
        <v>18</v>
      </c>
      <c r="D30" s="71">
        <v>1.9</v>
      </c>
      <c r="E30" s="71">
        <f>Table1321143[[#This Row],[Cihaz Kullanım Süresi (Saatlik)]]*Table1321143[[#This Row],[Cihaz Saatlik Kiralama Ücreti]]</f>
        <v>34.199999999999996</v>
      </c>
      <c r="F30" s="75" t="s">
        <v>133</v>
      </c>
    </row>
    <row r="31" spans="1:6" ht="21" x14ac:dyDescent="0.3">
      <c r="A31" s="76" t="s">
        <v>134</v>
      </c>
      <c r="B31" s="77">
        <f>SUM(Table1321143[Cihaz Kullanım Süresi (Saatlik)])</f>
        <v>46.199999999999996</v>
      </c>
      <c r="C31" s="77"/>
      <c r="D31" s="77"/>
      <c r="E31" s="78">
        <f>SUM(Table1321143[Toplam Cihaz Kiralama Süresi])</f>
        <v>700.45</v>
      </c>
      <c r="F31" s="79" t="s">
        <v>135</v>
      </c>
    </row>
    <row r="32" spans="1:6" ht="21" x14ac:dyDescent="0.3">
      <c r="A32" s="76" t="s">
        <v>136</v>
      </c>
      <c r="B32" s="77"/>
      <c r="C32" s="77">
        <f>SUM(Table1321143[Cihaz Başında Geçen İşçilik Süresi (Saatlik)])</f>
        <v>35.799999999999997</v>
      </c>
      <c r="D32" s="78">
        <v>30</v>
      </c>
      <c r="E32" s="78">
        <f>C32*D32</f>
        <v>1074</v>
      </c>
      <c r="F32" s="79" t="s">
        <v>136</v>
      </c>
    </row>
    <row r="33" spans="1:6" ht="28.8" x14ac:dyDescent="0.3">
      <c r="A33" s="183" t="s">
        <v>137</v>
      </c>
      <c r="B33" s="184"/>
      <c r="C33" s="184"/>
      <c r="D33" s="185"/>
      <c r="E33" s="80">
        <f>E31+E32</f>
        <v>1774.45</v>
      </c>
      <c r="F33" s="81" t="s">
        <v>138</v>
      </c>
    </row>
    <row r="34" spans="1:6" ht="28.8" x14ac:dyDescent="0.3">
      <c r="A34" s="183" t="s">
        <v>139</v>
      </c>
      <c r="B34" s="184"/>
      <c r="C34" s="184"/>
      <c r="D34" s="185"/>
      <c r="E34" s="80">
        <f>E33/760</f>
        <v>2.3348026315789476</v>
      </c>
      <c r="F34" s="81" t="s">
        <v>140</v>
      </c>
    </row>
  </sheetData>
  <mergeCells count="3">
    <mergeCell ref="A1:F1"/>
    <mergeCell ref="A33:D33"/>
    <mergeCell ref="A34:D34"/>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B17" sqref="B17"/>
    </sheetView>
  </sheetViews>
  <sheetFormatPr defaultRowHeight="14.4" x14ac:dyDescent="0.3"/>
  <cols>
    <col min="1" max="1" width="52.88671875" customWidth="1"/>
    <col min="2" max="2" width="49.77734375" style="85" customWidth="1"/>
    <col min="3" max="3" width="41.6640625" customWidth="1"/>
    <col min="4" max="4" width="62.44140625" customWidth="1"/>
    <col min="5" max="5" width="31.21875" customWidth="1"/>
    <col min="18" max="18" width="13.109375" customWidth="1"/>
  </cols>
  <sheetData>
    <row r="1" spans="1:18" ht="25.8" x14ac:dyDescent="0.5">
      <c r="A1" s="186" t="s">
        <v>142</v>
      </c>
      <c r="B1" s="186"/>
      <c r="C1" s="186"/>
      <c r="D1" s="186"/>
      <c r="E1" s="186"/>
      <c r="F1" s="186"/>
      <c r="G1" s="186"/>
      <c r="H1" s="186"/>
      <c r="I1" s="186"/>
      <c r="J1" s="186"/>
      <c r="K1" s="186"/>
      <c r="L1" s="186"/>
      <c r="M1" s="186"/>
      <c r="N1" s="186"/>
      <c r="O1" s="186"/>
      <c r="P1" s="186"/>
      <c r="Q1" s="186"/>
      <c r="R1" s="186"/>
    </row>
    <row r="2" spans="1:18" ht="21" x14ac:dyDescent="0.4">
      <c r="A2" s="82" t="s">
        <v>143</v>
      </c>
      <c r="B2" s="82" t="s">
        <v>144</v>
      </c>
      <c r="C2" s="82" t="s">
        <v>145</v>
      </c>
      <c r="D2" s="82" t="s">
        <v>146</v>
      </c>
      <c r="E2" s="82" t="s">
        <v>147</v>
      </c>
    </row>
    <row r="3" spans="1:18" ht="21" x14ac:dyDescent="0.4">
      <c r="A3" s="83" t="s">
        <v>148</v>
      </c>
      <c r="B3" s="83" t="s">
        <v>149</v>
      </c>
      <c r="C3" s="84"/>
      <c r="D3" s="84"/>
      <c r="E3" s="84"/>
    </row>
    <row r="4" spans="1:18" ht="21" x14ac:dyDescent="0.4">
      <c r="A4" s="83" t="s">
        <v>150</v>
      </c>
      <c r="B4" s="83" t="s">
        <v>149</v>
      </c>
      <c r="C4" s="84"/>
      <c r="D4" s="84"/>
      <c r="E4" s="84"/>
    </row>
    <row r="5" spans="1:18" ht="21" x14ac:dyDescent="0.4">
      <c r="A5" s="83" t="s">
        <v>151</v>
      </c>
      <c r="B5" s="83" t="s">
        <v>152</v>
      </c>
      <c r="C5" s="84"/>
      <c r="D5" s="84"/>
      <c r="E5" s="84"/>
    </row>
    <row r="6" spans="1:18" ht="21" x14ac:dyDescent="0.4">
      <c r="A6" s="83" t="s">
        <v>153</v>
      </c>
      <c r="B6" s="83" t="s">
        <v>149</v>
      </c>
      <c r="C6" s="84"/>
      <c r="D6" s="84"/>
      <c r="E6" s="84"/>
    </row>
    <row r="7" spans="1:18" ht="21" x14ac:dyDescent="0.4">
      <c r="A7" s="83" t="s">
        <v>154</v>
      </c>
      <c r="B7" s="83" t="s">
        <v>152</v>
      </c>
      <c r="C7" s="84"/>
      <c r="D7" s="84"/>
      <c r="E7" s="84"/>
    </row>
    <row r="8" spans="1:18" ht="21" x14ac:dyDescent="0.4">
      <c r="A8" s="83" t="s">
        <v>155</v>
      </c>
      <c r="B8" s="83" t="s">
        <v>152</v>
      </c>
      <c r="C8" s="84"/>
      <c r="D8" s="84"/>
      <c r="E8" s="84"/>
    </row>
    <row r="9" spans="1:18" ht="21" x14ac:dyDescent="0.4">
      <c r="A9" s="83" t="s">
        <v>156</v>
      </c>
      <c r="B9" s="83" t="s">
        <v>152</v>
      </c>
      <c r="C9" s="84"/>
      <c r="D9" s="84"/>
      <c r="E9" s="84"/>
    </row>
    <row r="10" spans="1:18" ht="21" x14ac:dyDescent="0.4">
      <c r="A10" s="83" t="s">
        <v>157</v>
      </c>
      <c r="B10" s="83" t="s">
        <v>149</v>
      </c>
      <c r="C10" s="84"/>
      <c r="D10" s="84"/>
      <c r="E10" s="84"/>
    </row>
    <row r="11" spans="1:18" ht="21" x14ac:dyDescent="0.4">
      <c r="A11" s="83" t="s">
        <v>158</v>
      </c>
      <c r="B11" s="83" t="s">
        <v>149</v>
      </c>
      <c r="C11" s="84"/>
      <c r="D11" s="84"/>
      <c r="E11" s="84"/>
    </row>
    <row r="12" spans="1:18" ht="21" x14ac:dyDescent="0.4">
      <c r="A12" s="83" t="s">
        <v>159</v>
      </c>
      <c r="B12" s="83" t="s">
        <v>149</v>
      </c>
      <c r="C12" s="84"/>
      <c r="D12" s="84"/>
      <c r="E12" s="84"/>
    </row>
  </sheetData>
  <mergeCells count="1">
    <mergeCell ref="A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12" sqref="A12"/>
    </sheetView>
  </sheetViews>
  <sheetFormatPr defaultRowHeight="14.4" x14ac:dyDescent="0.3"/>
  <cols>
    <col min="1" max="1" width="44.88671875" bestFit="1" customWidth="1"/>
    <col min="2" max="2" width="19.6640625" bestFit="1" customWidth="1"/>
    <col min="3" max="3" width="7.109375" bestFit="1" customWidth="1"/>
    <col min="4" max="4" width="33" bestFit="1" customWidth="1"/>
    <col min="5" max="5" width="31.44140625" bestFit="1" customWidth="1"/>
    <col min="6" max="6" width="20.77734375" bestFit="1" customWidth="1"/>
  </cols>
  <sheetData>
    <row r="1" spans="1:6" ht="25.8" x14ac:dyDescent="0.5">
      <c r="A1" s="187" t="s">
        <v>160</v>
      </c>
      <c r="B1" s="187"/>
      <c r="C1" s="187"/>
      <c r="D1" s="187"/>
      <c r="E1" s="187"/>
    </row>
    <row r="2" spans="1:6" ht="21" x14ac:dyDescent="0.4">
      <c r="A2" s="82" t="s">
        <v>161</v>
      </c>
      <c r="B2" s="86" t="s">
        <v>162</v>
      </c>
      <c r="C2" s="82" t="s">
        <v>152</v>
      </c>
      <c r="D2" s="82" t="s">
        <v>163</v>
      </c>
      <c r="E2" s="82" t="s">
        <v>164</v>
      </c>
      <c r="F2" s="82" t="s">
        <v>181</v>
      </c>
    </row>
    <row r="3" spans="1:6" ht="21" x14ac:dyDescent="0.4">
      <c r="A3" s="83" t="s">
        <v>165</v>
      </c>
      <c r="B3" s="89">
        <v>1440</v>
      </c>
      <c r="C3" s="84">
        <v>5</v>
      </c>
      <c r="D3" s="84">
        <v>0</v>
      </c>
      <c r="E3" s="84"/>
      <c r="F3" s="89">
        <f>+B3*C3</f>
        <v>7200</v>
      </c>
    </row>
    <row r="4" spans="1:6" ht="21" x14ac:dyDescent="0.4">
      <c r="A4" s="83" t="s">
        <v>104</v>
      </c>
      <c r="B4" s="89">
        <v>2500</v>
      </c>
      <c r="C4" s="84">
        <v>2</v>
      </c>
      <c r="D4" s="84">
        <v>0</v>
      </c>
      <c r="E4" s="84"/>
      <c r="F4" s="89">
        <f t="shared" ref="F4:F14" si="0">+B4*C4</f>
        <v>5000</v>
      </c>
    </row>
    <row r="5" spans="1:6" ht="21" x14ac:dyDescent="0.4">
      <c r="A5" s="83" t="s">
        <v>166</v>
      </c>
      <c r="B5" s="89">
        <v>500000</v>
      </c>
      <c r="C5" s="84">
        <v>1</v>
      </c>
      <c r="D5" s="84">
        <v>0</v>
      </c>
      <c r="E5" s="84"/>
      <c r="F5" s="89">
        <f t="shared" si="0"/>
        <v>500000</v>
      </c>
    </row>
    <row r="6" spans="1:6" ht="21" x14ac:dyDescent="0.4">
      <c r="A6" s="83" t="s">
        <v>167</v>
      </c>
      <c r="B6" s="89">
        <v>18000</v>
      </c>
      <c r="C6" s="84">
        <v>1</v>
      </c>
      <c r="D6" s="84" t="s">
        <v>168</v>
      </c>
      <c r="E6" s="84"/>
      <c r="F6" s="89">
        <f t="shared" si="0"/>
        <v>18000</v>
      </c>
    </row>
    <row r="7" spans="1:6" ht="21" x14ac:dyDescent="0.4">
      <c r="A7" s="83" t="s">
        <v>169</v>
      </c>
      <c r="B7" s="89">
        <v>3289</v>
      </c>
      <c r="C7" s="84">
        <v>1</v>
      </c>
      <c r="D7" s="84">
        <v>0</v>
      </c>
      <c r="E7" s="84"/>
      <c r="F7" s="89">
        <f t="shared" si="0"/>
        <v>3289</v>
      </c>
    </row>
    <row r="8" spans="1:6" ht="21" x14ac:dyDescent="0.4">
      <c r="A8" s="83" t="s">
        <v>170</v>
      </c>
      <c r="B8" s="89">
        <v>185775</v>
      </c>
      <c r="C8" s="84">
        <v>2</v>
      </c>
      <c r="D8" s="84" t="s">
        <v>171</v>
      </c>
      <c r="E8" s="84"/>
      <c r="F8" s="89">
        <f t="shared" si="0"/>
        <v>371550</v>
      </c>
    </row>
    <row r="9" spans="1:6" ht="21" x14ac:dyDescent="0.4">
      <c r="A9" s="83" t="s">
        <v>172</v>
      </c>
      <c r="B9" s="89">
        <v>10000</v>
      </c>
      <c r="C9" s="84">
        <v>1</v>
      </c>
      <c r="D9" s="84" t="s">
        <v>173</v>
      </c>
      <c r="E9" s="84"/>
      <c r="F9" s="89">
        <f t="shared" si="0"/>
        <v>10000</v>
      </c>
    </row>
    <row r="10" spans="1:6" ht="21" x14ac:dyDescent="0.4">
      <c r="A10" s="83" t="s">
        <v>174</v>
      </c>
      <c r="B10" s="89">
        <v>16228</v>
      </c>
      <c r="C10" s="84">
        <v>1</v>
      </c>
      <c r="D10" s="84">
        <v>0</v>
      </c>
      <c r="E10" s="84"/>
      <c r="F10" s="89">
        <f t="shared" si="0"/>
        <v>16228</v>
      </c>
    </row>
    <row r="11" spans="1:6" ht="21" x14ac:dyDescent="0.4">
      <c r="A11" s="83" t="s">
        <v>175</v>
      </c>
      <c r="B11" s="89">
        <v>95000</v>
      </c>
      <c r="C11" s="84">
        <v>1</v>
      </c>
      <c r="D11" s="84">
        <v>0</v>
      </c>
      <c r="E11" s="84"/>
      <c r="F11" s="89">
        <f t="shared" si="0"/>
        <v>95000</v>
      </c>
    </row>
    <row r="12" spans="1:6" ht="21" x14ac:dyDescent="0.4">
      <c r="A12" s="83" t="s">
        <v>176</v>
      </c>
      <c r="B12" s="89">
        <v>500000</v>
      </c>
      <c r="C12" s="84">
        <v>1</v>
      </c>
      <c r="D12" s="84" t="s">
        <v>177</v>
      </c>
      <c r="E12" s="84" t="s">
        <v>178</v>
      </c>
      <c r="F12" s="89">
        <f t="shared" si="0"/>
        <v>500000</v>
      </c>
    </row>
    <row r="13" spans="1:6" ht="21" x14ac:dyDescent="0.4">
      <c r="A13" s="83" t="s">
        <v>179</v>
      </c>
      <c r="B13" s="89">
        <v>42201</v>
      </c>
      <c r="C13" s="84">
        <v>1</v>
      </c>
      <c r="D13" s="84" t="s">
        <v>171</v>
      </c>
      <c r="E13" s="87"/>
      <c r="F13" s="89">
        <f t="shared" si="0"/>
        <v>42201</v>
      </c>
    </row>
    <row r="14" spans="1:6" ht="21" x14ac:dyDescent="0.4">
      <c r="A14" s="83" t="s">
        <v>256</v>
      </c>
      <c r="B14" s="89">
        <v>100000</v>
      </c>
      <c r="C14" s="84">
        <v>1</v>
      </c>
      <c r="D14" s="84"/>
      <c r="E14" s="87"/>
      <c r="F14" s="89">
        <f t="shared" si="0"/>
        <v>100000</v>
      </c>
    </row>
    <row r="15" spans="1:6" ht="21" x14ac:dyDescent="0.4">
      <c r="A15" s="88" t="s">
        <v>180</v>
      </c>
      <c r="B15" s="90"/>
      <c r="C15" s="87"/>
      <c r="D15" s="87"/>
      <c r="E15" s="87"/>
      <c r="F15" s="90">
        <f>SUM(F3:F14)</f>
        <v>1668468</v>
      </c>
    </row>
  </sheetData>
  <mergeCells count="1">
    <mergeCell ref="A1:E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7</vt:i4>
      </vt:variant>
      <vt:variant>
        <vt:lpstr>Adlandırılmış Aralıklar</vt:lpstr>
      </vt:variant>
      <vt:variant>
        <vt:i4>1</vt:i4>
      </vt:variant>
    </vt:vector>
  </HeadingPairs>
  <TitlesOfParts>
    <vt:vector size="8" baseType="lpstr">
      <vt:lpstr>LEEFI (EFI) Projesi</vt:lpstr>
      <vt:lpstr>işçi maliyeti</vt:lpstr>
      <vt:lpstr>sarf malz 8 ınch</vt:lpstr>
      <vt:lpstr>değişken maliyet</vt:lpstr>
      <vt:lpstr>proses maliyet </vt:lpstr>
      <vt:lpstr>sarf maliyet</vt:lpstr>
      <vt:lpstr>cihaz maliyetleri</vt:lpstr>
      <vt:lpstr>'LEEFI (EFI) Projesi'!Yazdırma_Alanı</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Ayfer BONCUK</dc:creator>
  <cp:lastModifiedBy>teouzun7@gmail.com</cp:lastModifiedBy>
  <cp:lastPrinted>2015-09-22T08:39:35Z</cp:lastPrinted>
  <dcterms:created xsi:type="dcterms:W3CDTF">2015-09-04T14:59:29Z</dcterms:created>
  <dcterms:modified xsi:type="dcterms:W3CDTF">2024-12-26T17:12:38Z</dcterms:modified>
</cp:coreProperties>
</file>