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_Ljutovac_N2\"/>
    </mc:Choice>
  </mc:AlternateContent>
  <bookViews>
    <workbookView xWindow="0" yWindow="0" windowWidth="20490" windowHeight="7320"/>
  </bookViews>
  <sheets>
    <sheet name="INPUTS" sheetId="15" r:id="rId1"/>
    <sheet name="Fit leaf_L" sheetId="21" r:id="rId2"/>
    <sheet name="SL_ratio" sheetId="2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6" i="15" l="1"/>
  <c r="J2" i="15"/>
  <c r="AW5" i="15" s="1"/>
  <c r="V15" i="15" l="1"/>
  <c r="V16" i="15"/>
  <c r="V17" i="15"/>
  <c r="V18" i="15"/>
  <c r="V19" i="15"/>
  <c r="V20" i="15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C14" i="22" l="1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S6" i="15" l="1"/>
  <c r="AS7" i="15"/>
  <c r="AS8" i="15"/>
  <c r="AS9" i="15"/>
  <c r="AS10" i="15"/>
  <c r="AS11" i="15"/>
  <c r="AS12" i="15"/>
  <c r="AS5" i="15"/>
  <c r="BF8" i="15" l="1"/>
  <c r="D7" i="21"/>
  <c r="D8" i="21"/>
  <c r="D9" i="21"/>
  <c r="D10" i="21"/>
  <c r="D11" i="21"/>
  <c r="D6" i="21"/>
  <c r="C7" i="21"/>
  <c r="C8" i="21"/>
  <c r="C9" i="21"/>
  <c r="C10" i="21"/>
  <c r="C11" i="21"/>
  <c r="C6" i="21"/>
  <c r="G19" i="15" l="1"/>
  <c r="G17" i="15" l="1"/>
  <c r="G18" i="15"/>
  <c r="AB16" i="15"/>
  <c r="E28" i="15" s="1"/>
  <c r="AA18" i="15"/>
  <c r="G16" i="15" l="1"/>
  <c r="G15" i="15" l="1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K20" i="15"/>
  <c r="K19" i="15"/>
  <c r="L19" i="15" s="1"/>
  <c r="K18" i="15"/>
  <c r="K17" i="15"/>
  <c r="AX16" i="15"/>
  <c r="K16" i="15"/>
  <c r="P16" i="15" s="1"/>
  <c r="K15" i="15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O19" i="15" l="1"/>
  <c r="AI7" i="15"/>
  <c r="AK7" i="15" s="1"/>
  <c r="P20" i="15"/>
  <c r="O17" i="15"/>
  <c r="W16" i="15"/>
  <c r="X16" i="15" s="1"/>
  <c r="S16" i="15" s="1"/>
  <c r="W20" i="15"/>
  <c r="X20" i="15" s="1"/>
  <c r="N20" i="15" s="1"/>
  <c r="AE9" i="15"/>
  <c r="AG9" i="15"/>
  <c r="AX6" i="15"/>
  <c r="AX9" i="15"/>
  <c r="AX7" i="15"/>
  <c r="AX8" i="15"/>
  <c r="AX10" i="15"/>
  <c r="AX11" i="15"/>
  <c r="AX12" i="15"/>
  <c r="AX5" i="15"/>
  <c r="O15" i="15"/>
  <c r="AE10" i="15"/>
  <c r="AG10" i="15"/>
  <c r="P18" i="15"/>
  <c r="O18" i="15"/>
  <c r="W15" i="15"/>
  <c r="X15" i="15" s="1"/>
  <c r="P19" i="15"/>
  <c r="AN12" i="15"/>
  <c r="O16" i="15"/>
  <c r="E8" i="15"/>
  <c r="W8" i="15" s="1"/>
  <c r="E6" i="15"/>
  <c r="W6" i="15" s="1"/>
  <c r="E9" i="15"/>
  <c r="W9" i="15" s="1"/>
  <c r="AL9" i="15"/>
  <c r="AN9" i="15" s="1"/>
  <c r="E11" i="15"/>
  <c r="W11" i="15" s="1"/>
  <c r="O20" i="15"/>
  <c r="E7" i="15"/>
  <c r="W7" i="15" s="1"/>
  <c r="W18" i="15"/>
  <c r="X18" i="15" s="1"/>
  <c r="S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L15" i="15"/>
  <c r="L20" i="15"/>
  <c r="AL6" i="15"/>
  <c r="AN6" i="15" s="1"/>
  <c r="AL8" i="15"/>
  <c r="AN8" i="15" s="1"/>
  <c r="E10" i="15"/>
  <c r="W10" i="15" s="1"/>
  <c r="AL10" i="15"/>
  <c r="AN10" i="15" s="1"/>
  <c r="E12" i="15"/>
  <c r="W12" i="15" s="1"/>
  <c r="P15" i="15"/>
  <c r="L16" i="15"/>
  <c r="P17" i="15"/>
  <c r="L18" i="15"/>
  <c r="W19" i="15"/>
  <c r="L17" i="15"/>
  <c r="AK12" i="15"/>
  <c r="AG12" i="15" s="1"/>
  <c r="N16" i="15" l="1"/>
  <c r="AG7" i="15"/>
  <c r="AE7" i="15"/>
  <c r="AL7" i="15"/>
  <c r="AN7" i="15" s="1"/>
  <c r="M16" i="15"/>
  <c r="M20" i="15"/>
  <c r="AD20" i="15" s="1"/>
  <c r="AE20" i="15" s="1"/>
  <c r="N18" i="15"/>
  <c r="M15" i="15"/>
  <c r="N15" i="15"/>
  <c r="M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N17" i="15"/>
  <c r="BC6" i="15"/>
  <c r="J7" i="15"/>
  <c r="K6" i="15"/>
  <c r="BD6" i="15"/>
  <c r="X19" i="15"/>
  <c r="S19" i="15" s="1"/>
  <c r="M19" i="15"/>
  <c r="F28" i="15"/>
  <c r="M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R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N19" i="15"/>
  <c r="AC19" i="15" l="1"/>
  <c r="R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R20" i="15" s="1"/>
  <c r="AC16" i="15"/>
  <c r="R16" i="15" s="1"/>
  <c r="AC18" i="15"/>
  <c r="R18" i="15" s="1"/>
  <c r="AC17" i="15"/>
  <c r="R17" i="15" s="1"/>
  <c r="AU8" i="15"/>
  <c r="AV8" i="15" s="1"/>
  <c r="K8" i="15"/>
  <c r="J9" i="15"/>
  <c r="BD8" i="15"/>
  <c r="BE8" i="15" s="1"/>
  <c r="P33" i="15" l="1" a="1"/>
  <c r="P33" i="15" s="1"/>
  <c r="K27" i="15" s="1"/>
  <c r="G27" i="15" s="1"/>
  <c r="Y23" i="15"/>
  <c r="J10" i="15"/>
  <c r="K9" i="15"/>
  <c r="BD9" i="15"/>
  <c r="BE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<sst xmlns="http://schemas.openxmlformats.org/spreadsheetml/2006/main" count="370" uniqueCount="167">
  <si>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</si>
  <si>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</si>
  <si>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</si>
  <si>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</si>
  <si>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</si>
  <si>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</si>
  <si>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</si>
  <si>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</si>
  <si>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</si>
  <si>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</si>
  <si>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</si>
  <si>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</si>
  <si>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</si>
  <si>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</si>
  <si>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</si>
  <si>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</si>
  <si>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</si>
  <si>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</si>
  <si>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</si>
  <si>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</si>
  <si>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</si>
  <si>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</si>
  <si>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</si>
  <si>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</si>
  <si>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</si>
  <si>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</si>
  <si>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</si>
  <si>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</si>
  <si>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</si>
  <si>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</si>
  <si>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</si>
  <si>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</si>
  <si>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</si>
  <si>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</si>
  <si>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</si>
  <si>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</si>
  <si>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</si>
  <si>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</si>
  <si>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</si>
  <si>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</si>
  <si>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</si>
  <si>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</si>
  <si>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</si>
  <si>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</si>
  <si>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</si>
  <si>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</si>
  <si>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</si>
  <si>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</si>
  <si>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</si>
  <si>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</si>
  <si>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</si>
  <si>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</si>
  <si>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</si>
  <si>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</si>
  <si>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</si>
  <si>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</si>
  <si>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</si>
  <si>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</si>
  <si>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</si>
  <si>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</si>
  <si>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</si>
  <si>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</si>
  <si>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</si>
  <si>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</si>
  <si>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</si>
  <si>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</si>
  <si>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</si>
  <si>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</si>
  <si>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</si>
  <si>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</si>
  <si>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</si>
  <si>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</si>
  <si>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</si>
  <si>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</si>
  <si>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</si>
  <si>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</si>
  <si>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</si>
  <si>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</si>
  <si>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</si>
  <si>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</si>
  <si>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</si>
  <si>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</si>
  <si>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</si>
  <si>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</si>
  <si>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</si>
  <si>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</si>
  <si>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</si>
  <si>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</si>
  <si>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</si>
  <si>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</si>
  <si>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</si>
  <si>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</si>
  <si>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</si>
  <si>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</si>
  <si>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</si>
  <si>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</si>
  <si>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</si>
  <si>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</si>
  <si>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</si>
  <si>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</si>
  <si>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</si>
  <si>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</si>
  <si>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</si>
  <si>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</si>
  <si>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</si>
  <si>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</si>
  <si>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</si>
  <si>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</si>
  <si>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</si>
  <si>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</si>
  <si>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</si>
  <si>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</si>
  <si>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</si>
  <si>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</si>
  <si>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</si>
  <si>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</si>
  <si>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</si>
  <si>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</si>
  <si>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</si>
  <si>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</si>
  <si>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</si>
  <si>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</si>
  <si>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</si>
  <si>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</si>
  <si>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</si>
  <si>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</si>
  <si>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</si>
  <si>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</si>
  <si>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</si>
  <si>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</si>
  <si>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</si>
  <si>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</si>
  <si>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</si>
  <si>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</si>
  <si>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</si>
  <si>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</si>
  <si>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</si>
  <si>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</si>
  <si>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</si>
  <si>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</si>
  <si>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</si>
  <si>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</si>
  <si>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</si>
  <si>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</si>
  <si>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</si>
  <si>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</si>
  <si>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</si>
  <si>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</si>
  <si>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</si>
  <si>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</si>
  <si>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</si>
  <si>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</si>
  <si>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</si>
  <si>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</si>
  <si>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</si>
  <si>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</si>
  <si>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</si>
  <si>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</si>
  <si>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</si>
  <si>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</si>
  <si>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</si>
  <si>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</si>
  <si>
    <t>Wmax</t>
  </si>
  <si>
    <t xml:space="preserve">%N Shoot </t>
  </si>
  <si>
    <t>Ljutovac</t>
  </si>
  <si>
    <t>target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</si>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</sst>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" fillId="3" borderId="21" xfId="0" applyFont="1" applyFill="1" applyBorder="1"/>
    <xf numFmtId="167" fontId="0" fillId="3" borderId="0" xfId="0" applyNumberFormat="1" applyFill="1" applyBorder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2" fillId="4" borderId="15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8" xfId="0" applyFont="1" applyFill="1" applyBorder="1" applyAlignment="1">
      <alignment horizontal="left"/>
    </xf>
    <xf numFmtId="9" fontId="2" fillId="4" borderId="19" xfId="1" applyFont="1" applyFill="1" applyBorder="1" applyAlignment="1">
      <alignment horizontal="center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275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workbookViewId="0">
      <selection activeCell="A4" sqref="A4:A12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G1" s="96" t="s">
        <v>163</v>
      </c>
      <c r="H1" s="97" t="s">
        <v>164</v>
      </c>
      <c r="I1" s="98">
        <v>4.4000000000000004</v>
      </c>
      <c r="J1" s="99" t="s">
        <v>166</v>
      </c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G2" s="100"/>
      <c r="H2" s="101" t="s">
        <v>165</v>
      </c>
      <c r="I2" s="102">
        <v>2.4</v>
      </c>
      <c r="J2" s="103">
        <f>I2/I1</f>
        <v>0.54545454545454541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10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04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10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0.41630765292409649</v>
      </c>
      <c r="AG5" s="24">
        <f t="shared" ref="AG5:AG12" si="2">AK5*$BA5</f>
        <v>8.9088436646547198</v>
      </c>
      <c r="AH5" s="26">
        <f t="shared" ref="AH5:AH12" si="3">AK5*$AY5</f>
        <v>4.1630765292409642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2.7030295385889573E-3</v>
      </c>
      <c r="AV5" s="56">
        <f t="shared" ref="AV5:AV12" si="5">(1-AK5/AU5)*100</f>
        <v>25.293531998326714</v>
      </c>
      <c r="AW5" s="105">
        <f>J2*4.6</f>
        <v>2.5090909090909088</v>
      </c>
      <c r="AX5" s="13">
        <f t="shared" ref="AX5:AX12" si="6">(($AW5/100)*(1+($AV$15+$BA5)*$E$31)-$Y$16)/(((1+1/$X$23)*(14*10^(-6)))-(($J$31/$X$23+$F$31)*$AW5/100))</f>
        <v>206.16047144771986</v>
      </c>
      <c r="AY5" s="13">
        <f t="shared" ref="AY5:AY12" si="7">$AX5/$X$23</f>
        <v>2061.6047144771983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10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0.25730625190892253</v>
      </c>
      <c r="AG6" s="24">
        <f t="shared" si="2"/>
        <v>1.7940610426583556</v>
      </c>
      <c r="AH6" s="26">
        <f t="shared" si="3"/>
        <v>2.5730625190892251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1.1810711457096302E-3</v>
      </c>
      <c r="AV6" s="56">
        <f t="shared" si="5"/>
        <v>31.138130363592687</v>
      </c>
      <c r="AW6" s="105">
        <f>J2*6.5</f>
        <v>3.545454545454545</v>
      </c>
      <c r="AX6" s="13">
        <f t="shared" si="6"/>
        <v>316.37012726518202</v>
      </c>
      <c r="AY6" s="13">
        <f t="shared" si="7"/>
        <v>3163.7012726518201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25">
      <c r="A7" s="10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25">
      <c r="A8" s="10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25">
      <c r="A9" s="10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25">
      <c r="A10" s="10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25">
      <c r="A11" s="10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10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10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162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04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>
        <v>3.0000000000000001E-3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 t="shared" ref="M15:M20" si="23">K15*$W15</f>
        <v>0.67651555100176974</v>
      </c>
      <c r="N15">
        <f t="shared" ref="N15:N20" si="24">K15*$X15</f>
        <v>6.7651555100176974</v>
      </c>
      <c r="O15">
        <f t="shared" ref="O15:O20" si="25">AA15*$K15</f>
        <v>0</v>
      </c>
      <c r="P15" s="1">
        <f t="shared" ref="P15:P20" si="26">K15*$AB$16</f>
        <v>18.09675</v>
      </c>
      <c r="Q15">
        <v>1.9532999999999999E-4</v>
      </c>
      <c r="R15" s="1">
        <f t="shared" ref="R15:R20" si="27">K15*$AC15</f>
        <v>0.25842159000000003</v>
      </c>
      <c r="S15">
        <v>4250</v>
      </c>
      <c r="T15">
        <v>0</v>
      </c>
      <c r="U15" s="13">
        <v>21</v>
      </c>
      <c r="V15" s="105">
        <f>4.3*J2</f>
        <v>2.3454545454545452</v>
      </c>
      <c r="W15" s="13">
        <f t="shared" ref="W15:W20" si="28">(($V15/100)*(1+$AB$16*$E$31)-$Y$16)/(((1+1/$X$23)*(14*10^(-6)))-(($J$31/$X$23+$F$31)*$V15/100))</f>
        <v>164.92615695581586</v>
      </c>
      <c r="X15" s="13">
        <f>$W15/$X$23</f>
        <v>1649.2615695581585</v>
      </c>
      <c r="Y15" s="64" t="s">
        <v>43</v>
      </c>
      <c r="Z15" s="64" t="s">
        <v>27</v>
      </c>
      <c r="AA15" s="73">
        <f t="shared" ref="AA15:AA20" si="29">IF(F15="HiddenElement",$AA$22/100/(1-$X$33)*$X$32*10^6/$X$30,0)</f>
        <v>0</v>
      </c>
      <c r="AB15" s="72" t="s">
        <v>21</v>
      </c>
      <c r="AC15" s="13">
        <f>ROUND(X15/$AY$6*120,0)</f>
        <v>63</v>
      </c>
      <c r="AD15" s="13">
        <f t="shared" ref="AD15:AD20" si="30">K15+M15*$F$31+N15*$J$31+P15*$E$31</f>
        <v>5.3163701294457293E-3</v>
      </c>
      <c r="AE15" s="56">
        <f t="shared" ref="AE15:AE20" si="31">(1-K15/AD15)*100</f>
        <v>22.843408187840819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J16" s="36" t="s">
        <v>33</v>
      </c>
      <c r="K16">
        <f>H16*$U$16</f>
        <v>1.7099999999999999E-3</v>
      </c>
      <c r="L16">
        <f t="shared" ref="L16:L20" si="32">K16*0.005</f>
        <v>8.5499999999999995E-6</v>
      </c>
      <c r="M16">
        <f t="shared" si="23"/>
        <v>7.1972785200827977E-2</v>
      </c>
      <c r="N16">
        <f t="shared" si="24"/>
        <v>0.71972785200827982</v>
      </c>
      <c r="O16">
        <f t="shared" si="25"/>
        <v>0</v>
      </c>
      <c r="P16" s="1">
        <f t="shared" si="26"/>
        <v>7.5441176470588234</v>
      </c>
      <c r="Q16">
        <v>2.6861000000000002E-4</v>
      </c>
      <c r="R16" s="1">
        <f t="shared" si="27"/>
        <v>2.7359999999999999E-2</v>
      </c>
      <c r="S16">
        <f>X16</f>
        <v>420.89348070659639</v>
      </c>
      <c r="T16">
        <v>0</v>
      </c>
      <c r="U16" s="13">
        <v>0.06</v>
      </c>
      <c r="V16" s="105">
        <f>J2*1.8</f>
        <v>0.98181818181818181</v>
      </c>
      <c r="W16" s="13">
        <f t="shared" si="28"/>
        <v>42.089348070659639</v>
      </c>
      <c r="X16" s="13">
        <f>$W16/$X$23</f>
        <v>420.89348070659639</v>
      </c>
      <c r="Y16" s="16">
        <v>5.0000000000000001E-3</v>
      </c>
      <c r="Z16" s="16">
        <v>1</v>
      </c>
      <c r="AA16" s="73">
        <f t="shared" si="29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30"/>
        <v>1.9997397975018761E-3</v>
      </c>
      <c r="AE16" s="56">
        <f t="shared" si="31"/>
        <v>14.48887489581525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>
        <v>3.3E-3</v>
      </c>
      <c r="J17" s="36" t="s">
        <v>33</v>
      </c>
      <c r="K17">
        <f>Q17*$U$17</f>
        <v>5.0624699999999995E-3</v>
      </c>
      <c r="L17">
        <f t="shared" si="32"/>
        <v>2.5312349999999998E-5</v>
      </c>
      <c r="M17">
        <f t="shared" si="23"/>
        <v>0.97582334357123479</v>
      </c>
      <c r="N17">
        <f t="shared" si="24"/>
        <v>9.7582334357123468</v>
      </c>
      <c r="O17">
        <f t="shared" si="25"/>
        <v>0</v>
      </c>
      <c r="P17" s="1">
        <f t="shared" si="26"/>
        <v>22.334426470588234</v>
      </c>
      <c r="Q17">
        <v>2.4106999999999999E-4</v>
      </c>
      <c r="R17" s="1">
        <f t="shared" si="27"/>
        <v>0.36956030999999995</v>
      </c>
      <c r="S17">
        <v>4250</v>
      </c>
      <c r="T17">
        <v>0</v>
      </c>
      <c r="U17" s="13">
        <v>21</v>
      </c>
      <c r="V17" s="105">
        <f>J2*4.8</f>
        <v>2.6181818181818177</v>
      </c>
      <c r="W17" s="13">
        <f t="shared" si="28"/>
        <v>192.75637061972415</v>
      </c>
      <c r="X17" s="13">
        <f t="shared" ref="X17:X20" si="34">$W17/$X$23</f>
        <v>1927.5637061972413</v>
      </c>
      <c r="Z17" s="24"/>
      <c r="AA17" s="73">
        <f t="shared" si="29"/>
        <v>0</v>
      </c>
      <c r="AB17" s="39">
        <v>10</v>
      </c>
      <c r="AC17" s="13">
        <f t="shared" si="33"/>
        <v>73</v>
      </c>
      <c r="AD17" s="13">
        <f t="shared" si="30"/>
        <v>6.7065298403113614E-3</v>
      </c>
      <c r="AE17" s="56">
        <f t="shared" si="31"/>
        <v>24.514314846245931</v>
      </c>
      <c r="AF17" s="1"/>
      <c r="AG17" s="1"/>
    </row>
    <row r="18" spans="1:55" x14ac:dyDescent="0.25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J18" s="36" t="s">
        <v>33</v>
      </c>
      <c r="K18">
        <f>H18*$U$18</f>
        <v>2.2800000000000003E-3</v>
      </c>
      <c r="L18">
        <f t="shared" si="32"/>
        <v>1.1400000000000003E-5</v>
      </c>
      <c r="M18">
        <f t="shared" si="23"/>
        <v>0.14751197268785746</v>
      </c>
      <c r="N18">
        <f t="shared" si="24"/>
        <v>1.4751197268785745</v>
      </c>
      <c r="O18">
        <f t="shared" si="25"/>
        <v>3.0176470588235293</v>
      </c>
      <c r="P18" s="1">
        <f t="shared" si="26"/>
        <v>10.058823529411766</v>
      </c>
      <c r="Q18">
        <v>2.4800000000000001E-4</v>
      </c>
      <c r="R18" s="1">
        <f t="shared" si="27"/>
        <v>5.7000000000000009E-2</v>
      </c>
      <c r="S18">
        <f>X18</f>
        <v>646.9823363502519</v>
      </c>
      <c r="T18">
        <v>0</v>
      </c>
      <c r="U18" s="13">
        <v>0.08</v>
      </c>
      <c r="V18" s="105">
        <f>J2*2.3</f>
        <v>1.2545454545454544</v>
      </c>
      <c r="W18" s="13">
        <f t="shared" si="28"/>
        <v>64.69823363502519</v>
      </c>
      <c r="X18" s="13">
        <f t="shared" si="34"/>
        <v>646.9823363502519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3"/>
        <v>25</v>
      </c>
      <c r="AD18" s="13">
        <f t="shared" si="30"/>
        <v>2.7194585632842796E-3</v>
      </c>
      <c r="AE18" s="56">
        <f t="shared" si="31"/>
        <v>16.159781554220366</v>
      </c>
      <c r="AF18" s="1"/>
      <c r="AG18" s="1"/>
    </row>
    <row r="19" spans="1:55" x14ac:dyDescent="0.25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J19" s="36" t="s">
        <v>33</v>
      </c>
      <c r="K19">
        <f>H19*$U$19</f>
        <v>4.0000000000000003E-5</v>
      </c>
      <c r="L19">
        <f t="shared" si="32"/>
        <v>2.0000000000000002E-7</v>
      </c>
      <c r="M19">
        <f t="shared" si="23"/>
        <v>2.5879293454010078E-3</v>
      </c>
      <c r="N19">
        <f t="shared" si="24"/>
        <v>2.5879293454010077E-2</v>
      </c>
      <c r="O19">
        <f t="shared" si="25"/>
        <v>0</v>
      </c>
      <c r="P19" s="1">
        <f t="shared" si="26"/>
        <v>0.17647058823529413</v>
      </c>
      <c r="Q19">
        <v>4.7099999999999998E-6</v>
      </c>
      <c r="R19" s="1">
        <f t="shared" si="27"/>
        <v>1E-3</v>
      </c>
      <c r="S19">
        <f>X19</f>
        <v>646.9823363502519</v>
      </c>
      <c r="T19">
        <v>0</v>
      </c>
      <c r="U19" s="13">
        <v>0.08</v>
      </c>
      <c r="V19" s="105">
        <f>J2*2.3</f>
        <v>1.2545454545454544</v>
      </c>
      <c r="W19" s="13">
        <f t="shared" si="28"/>
        <v>64.69823363502519</v>
      </c>
      <c r="X19" s="13">
        <f t="shared" si="34"/>
        <v>646.9823363502519</v>
      </c>
      <c r="AA19" s="73">
        <f t="shared" si="29"/>
        <v>0</v>
      </c>
      <c r="AB19" s="1"/>
      <c r="AC19" s="13">
        <f t="shared" si="33"/>
        <v>25</v>
      </c>
      <c r="AD19" s="13">
        <f t="shared" si="30"/>
        <v>4.7709799355864554E-5</v>
      </c>
      <c r="AE19" s="56">
        <f t="shared" si="31"/>
        <v>16.159781554220377</v>
      </c>
      <c r="BA19" s="63" t="s">
        <v>57</v>
      </c>
      <c r="BB19" s="7" t="s">
        <v>47</v>
      </c>
      <c r="BC19" s="8">
        <v>0</v>
      </c>
    </row>
    <row r="20" spans="1:55" x14ac:dyDescent="0.25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>
        <v>4.0000000000000001E-3</v>
      </c>
      <c r="J20" s="36" t="s">
        <v>31</v>
      </c>
      <c r="K20">
        <f>Q20*$U$20</f>
        <v>4.0322099999999996E-3</v>
      </c>
      <c r="L20">
        <f t="shared" si="32"/>
        <v>2.0161049999999999E-5</v>
      </c>
      <c r="M20">
        <f t="shared" si="23"/>
        <v>0.84698123792208213</v>
      </c>
      <c r="N20">
        <f t="shared" si="24"/>
        <v>8.4698123792208211</v>
      </c>
      <c r="O20">
        <f t="shared" si="25"/>
        <v>0</v>
      </c>
      <c r="P20" s="1">
        <f t="shared" si="26"/>
        <v>17.789161764705881</v>
      </c>
      <c r="Q20">
        <v>1.9201E-4</v>
      </c>
      <c r="R20" s="1">
        <f t="shared" si="27"/>
        <v>0.3225768</v>
      </c>
      <c r="S20">
        <v>0</v>
      </c>
      <c r="T20">
        <v>0</v>
      </c>
      <c r="U20" s="14">
        <v>21</v>
      </c>
      <c r="V20" s="106">
        <f>J2*5.1</f>
        <v>2.7818181818181813</v>
      </c>
      <c r="W20" s="14">
        <f t="shared" si="28"/>
        <v>210.05385084657848</v>
      </c>
      <c r="X20" s="14">
        <f t="shared" si="34"/>
        <v>2100.5385084657846</v>
      </c>
      <c r="AA20" s="74">
        <f t="shared" si="29"/>
        <v>0</v>
      </c>
      <c r="AC20" s="14">
        <f t="shared" si="33"/>
        <v>80</v>
      </c>
      <c r="AD20" s="14">
        <f t="shared" si="30"/>
        <v>5.4135874739869531E-3</v>
      </c>
      <c r="AE20" s="57">
        <f t="shared" si="31"/>
        <v>25.516858841288993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2.3918300592182447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10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10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107"/>
      <c r="B27">
        <v>1</v>
      </c>
      <c r="C27" t="s">
        <v>30</v>
      </c>
      <c r="D27" t="s">
        <v>68</v>
      </c>
      <c r="E27" s="24">
        <f>E28*$K$27</f>
        <v>125.46171870639404</v>
      </c>
      <c r="F27" s="24">
        <f>F28*$K$27</f>
        <v>1.7076654857326292</v>
      </c>
      <c r="G27" s="24">
        <f>G28*$K$27</f>
        <v>17.07665485732629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2.8437989573449313E-2</v>
      </c>
      <c r="L27" s="24">
        <f>K27*$Y$16</f>
        <v>1.4218994786724656E-4</v>
      </c>
      <c r="M27" s="24">
        <f>M28*$K$27</f>
        <v>7.1094973933623278</v>
      </c>
      <c r="N27" s="61" t="s">
        <v>112</v>
      </c>
      <c r="O27" s="17" t="s">
        <v>69</v>
      </c>
      <c r="P27" s="17" t="s">
        <v>83</v>
      </c>
      <c r="Q27" s="17" t="s">
        <v>82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0.70685937843129876</v>
      </c>
      <c r="O28" s="14">
        <v>0.8</v>
      </c>
      <c r="P28" s="14">
        <v>0.1</v>
      </c>
      <c r="Q28" s="14">
        <v>1.2</v>
      </c>
      <c r="R28" s="10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10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K27+SUM(K15:K20)+SUM(AK5:AK12)</f>
        <v>4.8539649207173449E-2</v>
      </c>
      <c r="R30" s="10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2.6606763155703522E-2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3.3258453944629403E-2</v>
      </c>
    </row>
    <row r="35" spans="1:24" ht="15" customHeight="1" x14ac:dyDescent="0.25">
      <c r="A35" s="10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5.9865217100332921E-2</v>
      </c>
      <c r="Q35" s="25"/>
    </row>
    <row r="36" spans="1:24" x14ac:dyDescent="0.25">
      <c r="A36" s="10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0.24449060127725186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1-SUM($AK$5:$AK$12,$K$15:$K$20)/($P$33+N28/(1+N28)*P32)</f>
        <v>0.24449060127725186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1.7297022485414419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G27" sqref="G27"/>
    </sheetView>
  </sheetViews>
  <sheetFormatPr baseColWidth="10" defaultRowHeight="15" x14ac:dyDescent="0.25"/>
  <sheetData>
    <row r="1" spans="1:4" x14ac:dyDescent="0.25">
      <c r="A1" s="93" t="s">
        <v>153</v>
      </c>
    </row>
    <row r="2" spans="1:4" x14ac:dyDescent="0.25">
      <c r="A2" s="94" t="s">
        <v>154</v>
      </c>
    </row>
    <row r="4" spans="1:4" x14ac:dyDescent="0.25">
      <c r="B4" s="92" t="s">
        <v>152</v>
      </c>
    </row>
    <row r="6" spans="1:4" x14ac:dyDescent="0.25">
      <c r="A6" s="92" t="s">
        <v>155</v>
      </c>
      <c r="B6">
        <v>-2.0999999999999999E-3</v>
      </c>
      <c r="C6">
        <v>0</v>
      </c>
      <c r="D6">
        <v>0</v>
      </c>
    </row>
    <row r="7" spans="1:4" x14ac:dyDescent="0.25">
      <c r="A7" s="95" t="s">
        <v>156</v>
      </c>
      <c r="B7">
        <v>3.6999999999999998E-2</v>
      </c>
      <c r="C7">
        <v>0</v>
      </c>
      <c r="D7">
        <v>0</v>
      </c>
    </row>
    <row r="8" spans="1:4" x14ac:dyDescent="0.25">
      <c r="A8" s="95" t="s">
        <v>157</v>
      </c>
      <c r="B8">
        <v>-0.1527</v>
      </c>
      <c r="C8">
        <v>1.763E-2</v>
      </c>
      <c r="D8">
        <v>1.2E-2</v>
      </c>
    </row>
    <row r="9" spans="1:4" x14ac:dyDescent="0.25">
      <c r="A9" s="95" t="s">
        <v>158</v>
      </c>
      <c r="B9">
        <v>0.49619999999999997</v>
      </c>
      <c r="C9">
        <v>0.25</v>
      </c>
      <c r="D9">
        <v>0.3</v>
      </c>
    </row>
    <row r="12" spans="1:4" x14ac:dyDescent="0.25">
      <c r="A12" t="s">
        <v>2</v>
      </c>
      <c r="B12" s="95" t="s">
        <v>159</v>
      </c>
      <c r="C12" t="s">
        <v>160</v>
      </c>
      <c r="D12" t="s">
        <v>161</v>
      </c>
    </row>
    <row r="13" spans="1:4" x14ac:dyDescent="0.25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25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25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25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25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25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25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25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25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25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25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25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25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25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INPUTS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2020-06-25T13:05:15Z</dcterms:modified>
</cp:coreProperties>
</file>