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WheatFspm\fspm-wheat\example\Scenarii_monoculms\inputs_Ljutovac2\"/>
    </mc:Choice>
  </mc:AlternateContent>
  <bookViews>
    <workbookView xWindow="0" yWindow="0" windowWidth="20490" windowHeight="7320"/>
  </bookViews>
  <sheets>
    <sheet name="INPUTS" sheetId="15" r:id="rId1"/>
    <sheet name="Diff_Traitements" sheetId="26" r:id="rId2"/>
    <sheet name="Fit leaf_L" sheetId="21" r:id="rId3"/>
    <sheet name="SL_ratio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5" l="1"/>
  <c r="H20" i="15" l="1"/>
  <c r="L6" i="15"/>
  <c r="L5" i="15"/>
  <c r="H19" i="15"/>
  <c r="H18" i="15"/>
  <c r="G22" i="15"/>
  <c r="H17" i="15"/>
  <c r="H16" i="15"/>
  <c r="H15" i="15"/>
  <c r="L10" i="15"/>
  <c r="L9" i="15"/>
  <c r="L8" i="15"/>
  <c r="L7" i="15"/>
  <c r="C12" i="26" l="1"/>
  <c r="C11" i="26"/>
  <c r="C10" i="26"/>
  <c r="C9" i="26"/>
  <c r="C8" i="26"/>
  <c r="C7" i="26"/>
  <c r="C6" i="26"/>
  <c r="D5" i="26"/>
  <c r="C5" i="26" s="1"/>
  <c r="C4" i="26"/>
  <c r="C3" i="26"/>
  <c r="D14" i="22" l="1"/>
  <c r="D15" i="22"/>
  <c r="D16" i="22"/>
  <c r="D17" i="22"/>
  <c r="D18" i="22"/>
  <c r="D19" i="22"/>
  <c r="D20" i="22"/>
  <c r="D21" i="22"/>
  <c r="D22" i="22"/>
  <c r="D23" i="22"/>
  <c r="D24" i="22"/>
  <c r="D25" i="22"/>
  <c r="D26" i="22"/>
  <c r="D13" i="22"/>
  <c r="C14" i="22" l="1"/>
  <c r="C15" i="22"/>
  <c r="C16" i="22"/>
  <c r="C17" i="22"/>
  <c r="C18" i="22"/>
  <c r="C19" i="22"/>
  <c r="C20" i="22"/>
  <c r="C21" i="22"/>
  <c r="C22" i="22"/>
  <c r="C23" i="22"/>
  <c r="C24" i="22"/>
  <c r="C25" i="22"/>
  <c r="C26" i="22"/>
  <c r="C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13" i="22"/>
  <c r="AS6" i="15" l="1"/>
  <c r="AS7" i="15"/>
  <c r="AS8" i="15"/>
  <c r="AS9" i="15"/>
  <c r="AS10" i="15"/>
  <c r="AS11" i="15"/>
  <c r="AS12" i="15"/>
  <c r="AS5" i="15"/>
  <c r="BF8" i="15" l="1"/>
  <c r="D7" i="21"/>
  <c r="D8" i="21"/>
  <c r="D9" i="21"/>
  <c r="D10" i="21"/>
  <c r="D11" i="21"/>
  <c r="D6" i="21"/>
  <c r="C7" i="21"/>
  <c r="C8" i="21"/>
  <c r="C9" i="21"/>
  <c r="C10" i="21"/>
  <c r="C11" i="21"/>
  <c r="C6" i="21"/>
  <c r="G19" i="15" l="1"/>
  <c r="G17" i="15" l="1"/>
  <c r="G18" i="15"/>
  <c r="AB16" i="15"/>
  <c r="E28" i="15" s="1"/>
  <c r="AA18" i="15"/>
  <c r="G16" i="15" l="1"/>
  <c r="G15" i="15" l="1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K20" i="15"/>
  <c r="K19" i="15"/>
  <c r="L19" i="15" s="1"/>
  <c r="K18" i="15"/>
  <c r="K17" i="15"/>
  <c r="AX16" i="15"/>
  <c r="K16" i="15"/>
  <c r="P16" i="15" s="1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O19" i="15" l="1"/>
  <c r="AI7" i="15"/>
  <c r="AK7" i="15" s="1"/>
  <c r="P20" i="15"/>
  <c r="O17" i="15"/>
  <c r="W16" i="15"/>
  <c r="X16" i="15" s="1"/>
  <c r="S16" i="15" s="1"/>
  <c r="W20" i="15"/>
  <c r="X20" i="15" s="1"/>
  <c r="AE9" i="15"/>
  <c r="AG9" i="15"/>
  <c r="AX6" i="15"/>
  <c r="AX9" i="15"/>
  <c r="AX7" i="15"/>
  <c r="AX8" i="15"/>
  <c r="AX10" i="15"/>
  <c r="AX11" i="15"/>
  <c r="AX12" i="15"/>
  <c r="AX5" i="15"/>
  <c r="O15" i="15"/>
  <c r="AE10" i="15"/>
  <c r="AG10" i="15"/>
  <c r="P18" i="15"/>
  <c r="O18" i="15"/>
  <c r="W15" i="15"/>
  <c r="X15" i="15" s="1"/>
  <c r="P19" i="15"/>
  <c r="AN12" i="15"/>
  <c r="O16" i="15"/>
  <c r="E8" i="15"/>
  <c r="W8" i="15" s="1"/>
  <c r="E6" i="15"/>
  <c r="W6" i="15" s="1"/>
  <c r="E9" i="15"/>
  <c r="W9" i="15" s="1"/>
  <c r="AL9" i="15"/>
  <c r="AN9" i="15" s="1"/>
  <c r="E11" i="15"/>
  <c r="W11" i="15" s="1"/>
  <c r="O20" i="15"/>
  <c r="E7" i="15"/>
  <c r="W7" i="15" s="1"/>
  <c r="W18" i="15"/>
  <c r="X18" i="15" s="1"/>
  <c r="S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L15" i="15"/>
  <c r="L20" i="15"/>
  <c r="AL6" i="15"/>
  <c r="AN6" i="15" s="1"/>
  <c r="AL8" i="15"/>
  <c r="AN8" i="15" s="1"/>
  <c r="E10" i="15"/>
  <c r="W10" i="15" s="1"/>
  <c r="AL10" i="15"/>
  <c r="AN10" i="15" s="1"/>
  <c r="E12" i="15"/>
  <c r="W12" i="15" s="1"/>
  <c r="P15" i="15"/>
  <c r="L16" i="15"/>
  <c r="P17" i="15"/>
  <c r="L18" i="15"/>
  <c r="W19" i="15"/>
  <c r="N20" i="15"/>
  <c r="L17" i="15"/>
  <c r="AK12" i="15"/>
  <c r="AG12" i="15" s="1"/>
  <c r="N16" i="15" l="1"/>
  <c r="AG7" i="15"/>
  <c r="AE7" i="15"/>
  <c r="AL7" i="15"/>
  <c r="AN7" i="15" s="1"/>
  <c r="M16" i="15"/>
  <c r="M20" i="15"/>
  <c r="AD20" i="15" s="1"/>
  <c r="AE20" i="15" s="1"/>
  <c r="N18" i="15"/>
  <c r="M15" i="15"/>
  <c r="N15" i="15"/>
  <c r="M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N17" i="15"/>
  <c r="BC6" i="15"/>
  <c r="J7" i="15"/>
  <c r="K6" i="15"/>
  <c r="BD6" i="15"/>
  <c r="X19" i="15"/>
  <c r="S19" i="15" s="1"/>
  <c r="M19" i="15"/>
  <c r="F28" i="15"/>
  <c r="M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R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N19" i="15"/>
  <c r="AC19" i="15" l="1"/>
  <c r="R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R20" i="15" s="1"/>
  <c r="AC16" i="15"/>
  <c r="R16" i="15" s="1"/>
  <c r="AC18" i="15"/>
  <c r="R18" i="15" s="1"/>
  <c r="AC17" i="15"/>
  <c r="R17" i="15" s="1"/>
  <c r="AU8" i="15"/>
  <c r="AV8" i="15" s="1"/>
  <c r="K8" i="15"/>
  <c r="J9" i="15"/>
  <c r="BD8" i="15"/>
  <c r="BE8" i="15" s="1"/>
  <c r="P33" i="15" l="1" a="1"/>
  <c r="P33" i="15" s="1"/>
  <c r="K27" i="15" s="1"/>
  <c r="Y23" i="15"/>
  <c r="J10" i="15"/>
  <c r="K9" i="15"/>
  <c r="BD9" i="15"/>
  <c r="BE9" i="15" s="1"/>
  <c r="G27" i="15" l="1"/>
  <c r="P30" i="15"/>
  <c r="E27" i="15"/>
  <c r="L27" i="15"/>
  <c r="N28" i="15"/>
  <c r="P37" i="15"/>
  <c r="F27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<sst xmlns="http://schemas.openxmlformats.org/spreadsheetml/2006/main" count="374" uniqueCount="171">
  <si>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</si>
  <si>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</si>
  <si>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</si>
  <si>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</si>
  <si>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</si>
  <si>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</si>
  <si>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</si>
  <si>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</si>
  <si>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</si>
  <si>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</si>
  <si>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</si>
  <si>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</si>
  <si>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</si>
  <si>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</si>
  <si>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</si>
  <si>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</si>
  <si>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</si>
  <si>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</si>
  <si>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</si>
  <si>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</si>
  <si>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</si>
  <si>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</si>
  <si>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</si>
  <si>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</si>
  <si>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</si>
  <si>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</si>
  <si>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</si>
  <si>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</si>
  <si>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</si>
  <si>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</si>
  <si>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</si>
  <si>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</si>
  <si>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</si>
  <si>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</si>
  <si>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</si>
  <si>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</si>
  <si>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</si>
  <si>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</si>
  <si>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</si>
  <si>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</si>
  <si>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</si>
  <si>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</si>
  <si>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</si>
  <si>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</si>
  <si>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</si>
  <si>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</si>
  <si>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</si>
  <si>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</si>
  <si>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</si>
  <si>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</si>
  <si>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</si>
  <si>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</si>
  <si>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</si>
  <si>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</si>
  <si>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</si>
  <si>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</si>
  <si>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</si>
  <si>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</si>
  <si>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</si>
  <si>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</si>
  <si>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</si>
  <si>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</si>
  <si>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</si>
  <si>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</si>
  <si>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</si>
  <si>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</si>
  <si>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</si>
  <si>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</si>
  <si>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</si>
  <si>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</si>
  <si>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</si>
  <si>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</si>
  <si>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</si>
  <si>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</si>
  <si>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</si>
  <si>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</si>
  <si>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</si>
  <si>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</si>
  <si>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</si>
  <si>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</si>
  <si>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</si>
  <si>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</si>
  <si>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</si>
  <si>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</si>
  <si>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</si>
  <si>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</si>
  <si>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</si>
  <si>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</si>
  <si>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</si>
  <si>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</si>
  <si>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</si>
  <si>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</si>
  <si>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</si>
  <si>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</si>
  <si>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</si>
  <si>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</si>
  <si>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</si>
  <si>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</si>
  <si>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</si>
  <si>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</si>
  <si>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</si>
  <si>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</si>
  <si>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</si>
  <si>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</si>
  <si>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</si>
  <si>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</si>
  <si>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</si>
  <si>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</si>
  <si>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</si>
  <si>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</si>
  <si>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</si>
  <si>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</si>
  <si>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</si>
  <si>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</si>
  <si>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</si>
  <si>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</si>
  <si>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</si>
  <si>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</si>
  <si>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</si>
  <si>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</si>
  <si>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</si>
  <si>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</si>
  <si>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</si>
  <si>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</si>
  <si>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</si>
  <si>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</si>
  <si>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</si>
  <si>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</si>
  <si>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</si>
  <si>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</si>
  <si>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</si>
  <si>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</si>
  <si>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</si>
  <si>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</si>
  <si>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</si>
  <si>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</si>
  <si>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</si>
  <si>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</si>
  <si>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</si>
  <si>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</si>
  <si>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</si>
  <si>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</si>
  <si>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</si>
  <si>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</si>
  <si>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</si>
  <si>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</si>
  <si>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is_over</t>
  </si>
  <si>
    <t>leaf_is_remobilizing</t>
  </si>
  <si>
    <t>internode_is_remobilizing</t>
  </si>
  <si>
    <t>leaf_Lmax_em</t>
  </si>
  <si>
    <t>internode_Lmax_lig</t>
  </si>
  <si>
    <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SL_ratio_a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3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SL_ratio_b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2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SL_ratio_c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>SL_ratio_d</t>
    </r>
  </si>
  <si>
    <r>
      <t xml:space="preserve">def </t>
    </r>
    <r>
      <rPr>
        <sz val="10"/>
        <color rgb="FF000000"/>
        <rFont val="Courier New"/>
        <family val="3"/>
      </rPr>
      <t>calculate_SL_ratio</t>
    </r>
    <r>
      <rPr>
        <sz val="10"/>
        <color rgb="FF000066"/>
        <rFont val="Courier New"/>
        <family val="3"/>
      </rPr>
      <t>(</t>
    </r>
    <r>
      <rPr>
        <i/>
        <sz val="10"/>
        <color rgb="FF000066"/>
        <rFont val="Courier New"/>
        <family val="3"/>
      </rPr>
      <t>leaf_rank</t>
    </r>
    <r>
      <rPr>
        <sz val="10"/>
        <color rgb="FF000066"/>
        <rFont val="Courier New"/>
        <family val="3"/>
      </rPr>
      <t>)</t>
    </r>
    <r>
      <rPr>
        <sz val="10"/>
        <color rgb="FF333333"/>
        <rFont val="Courier New"/>
        <family val="3"/>
      </rPr>
      <t>:</t>
    </r>
  </si>
  <si>
    <r>
      <t xml:space="preserve">    </t>
    </r>
    <r>
      <rPr>
        <sz val="10"/>
        <color rgb="FF0EB242"/>
        <rFont val="Courier New"/>
        <family val="3"/>
      </rPr>
      <t>""" Sheath:Lamina final length ratio according to the rank. Parameters from Dornbush (2011).</t>
    </r>
  </si>
  <si>
    <t xml:space="preserve">SL_ratio_a </t>
  </si>
  <si>
    <t xml:space="preserve">SL_ratio_b </t>
  </si>
  <si>
    <t xml:space="preserve">SL_ratio_c </t>
  </si>
  <si>
    <t xml:space="preserve">SL_ratio_d </t>
  </si>
  <si>
    <t>SLratio_Vmodel</t>
  </si>
  <si>
    <t>SLratio_Vnew</t>
  </si>
  <si>
    <t>SLratio_Vnew2</t>
  </si>
  <si>
    <t>Wmax</t>
  </si>
  <si>
    <t xml:space="preserve">Modif </t>
  </si>
  <si>
    <t>phytomère</t>
  </si>
  <si>
    <t>Ljutovac</t>
  </si>
  <si>
    <t>Ljutovac_modif</t>
  </si>
  <si>
    <t>T_Ombrage</t>
  </si>
  <si>
    <t>T_Témoin</t>
  </si>
  <si>
    <t>Increase F1 to F2</t>
  </si>
  <si>
    <t>%</t>
  </si>
  <si>
    <t>Sheath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</si>
</sst>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67" formatCode="0.000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i/>
      <sz val="10"/>
      <color rgb="FF000066"/>
      <name val="Courier New"/>
      <family val="3"/>
    </font>
    <font>
      <b/>
      <sz val="10"/>
      <color rgb="FF2D4293"/>
      <name val="Courier New"/>
      <family val="3"/>
    </font>
    <font>
      <b/>
      <sz val="10"/>
      <color rgb="FFFA0000"/>
      <name val="Courier New"/>
      <family val="3"/>
    </font>
    <font>
      <sz val="10"/>
      <color rgb="FF000066"/>
      <name val="Courier New"/>
      <family val="3"/>
    </font>
    <font>
      <sz val="10"/>
      <color rgb="FF0EB24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08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67" fontId="0" fillId="0" borderId="0" xfId="0" applyNumberFormat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11" fontId="16" fillId="0" borderId="0" xfId="0" applyNumberFormat="1" applyFont="1"/>
    <xf numFmtId="0" fontId="16" fillId="3" borderId="0" xfId="0" applyFont="1" applyFill="1"/>
    <xf numFmtId="167" fontId="0" fillId="3" borderId="0" xfId="0" applyNumberFormat="1" applyFill="1" applyBorder="1"/>
    <xf numFmtId="167" fontId="0" fillId="0" borderId="0" xfId="0" applyNumberFormat="1" applyFill="1" applyBorder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167" fontId="16" fillId="3" borderId="0" xfId="0" applyNumberFormat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Etats initiaux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Diff_Traitements!$B$2</c:f>
              <c:strCache>
                <c:ptCount val="1"/>
                <c:pt idx="0">
                  <c:v>Ljutovac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Diff_Traitements!$A$3:$A$12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Diff_Traitements!$B$3:$B$12</c:f>
              <c:numCache>
                <c:formatCode>0.00E+00</c:formatCode>
                <c:ptCount val="10"/>
                <c:pt idx="0">
                  <c:v>0.1105</c:v>
                </c:pt>
                <c:pt idx="1">
                  <c:v>0.121</c:v>
                </c:pt>
                <c:pt idx="2">
                  <c:v>9.2499999999999999E-2</c:v>
                </c:pt>
                <c:pt idx="3">
                  <c:v>2.6499999999999999E-2</c:v>
                </c:pt>
                <c:pt idx="4">
                  <c:v>1.9677388526365687E-3</c:v>
                </c:pt>
                <c:pt idx="5">
                  <c:v>7.5411160325070082E-4</c:v>
                </c:pt>
                <c:pt idx="6">
                  <c:v>3.1376376813217782E-4</c:v>
                </c:pt>
                <c:pt idx="7">
                  <c:v>1.4587358230165945E-4</c:v>
                </c:pt>
                <c:pt idx="8">
                  <c:v>7.7994660715105795E-5</c:v>
                </c:pt>
                <c:pt idx="9">
                  <c:v>4.9359999623829953E-5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2-4F1E-9D2C-47662C635937}"/>
            </c:ext>
          </c:extLst>
        </c:ser>
        <c:ser>
          <c:idx val="3"/>
          <c:order val="1"/>
          <c:tx>
            <c:strRef>
              <c:f>Diff_Traitements!$D$2</c:f>
              <c:strCache>
                <c:ptCount val="1"/>
                <c:pt idx="0">
                  <c:v>T_Ombrage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Diff_Traitements!$A$3:$A$12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Diff_Traitements!$D$3:$D$12</c:f>
              <c:numCache>
                <c:formatCode>0.00E+00</c:formatCode>
                <c:ptCount val="10"/>
                <c:pt idx="0">
                  <c:v>8.7499999999999994E-2</c:v>
                </c:pt>
                <c:pt idx="1">
                  <c:v>9.7000000000000003E-2</c:v>
                </c:pt>
                <c:pt idx="2">
                  <c:v>8.3000000000000004E-2</c:v>
                </c:pt>
                <c:pt idx="3">
                  <c:v>1.325E-2</c:v>
                </c:pt>
                <c:pt idx="4">
                  <c:v>8.437500000000001E-4</c:v>
                </c:pt>
                <c:pt idx="5">
                  <c:v>3.6250000000000003E-4</c:v>
                </c:pt>
                <c:pt idx="6">
                  <c:v>1.8999999999999998E-4</c:v>
                </c:pt>
                <c:pt idx="7">
                  <c:v>1E-4</c:v>
                </c:pt>
                <c:pt idx="8">
                  <c:v>7.0000000000000007E-5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2-4F1E-9D2C-47662C635937}"/>
            </c:ext>
          </c:extLst>
        </c:ser>
        <c:ser>
          <c:idx val="0"/>
          <c:order val="2"/>
          <c:tx>
            <c:strRef>
              <c:f>Diff_Traitements!$E$2</c:f>
              <c:strCache>
                <c:ptCount val="1"/>
                <c:pt idx="0">
                  <c:v>T_Témoin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Diff_Traitements!$A$3:$A$12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Diff_Traitements!$E$3:$E$12</c:f>
              <c:numCache>
                <c:formatCode>0.00E+00</c:formatCode>
                <c:ptCount val="10"/>
                <c:pt idx="0">
                  <c:v>7.1999999999999995E-2</c:v>
                </c:pt>
                <c:pt idx="1">
                  <c:v>6.8500000000000005E-2</c:v>
                </c:pt>
                <c:pt idx="2">
                  <c:v>4.8000000000000001E-2</c:v>
                </c:pt>
                <c:pt idx="3">
                  <c:v>1.4E-2</c:v>
                </c:pt>
                <c:pt idx="4">
                  <c:v>1E-3</c:v>
                </c:pt>
                <c:pt idx="5">
                  <c:v>4.0000000000000002E-4</c:v>
                </c:pt>
                <c:pt idx="6">
                  <c:v>1.7000000000000001E-4</c:v>
                </c:pt>
                <c:pt idx="7">
                  <c:v>1.0999999999999999E-4</c:v>
                </c:pt>
                <c:pt idx="8">
                  <c:v>7.0000000000000007E-5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2-4F1E-9D2C-47662C635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426528"/>
        <c:axId val="953422368"/>
      </c:scatterChart>
      <c:valAx>
        <c:axId val="95342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Phytomère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3422368"/>
        <c:crosses val="autoZero"/>
        <c:crossBetween val="midCat"/>
      </c:valAx>
      <c:valAx>
        <c:axId val="953422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Longueur (m)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3426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SL ratio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SL_ratio!$B$12</c:f>
              <c:strCache>
                <c:ptCount val="1"/>
                <c:pt idx="0">
                  <c:v>SLratio_Vmodel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SL_ratio!$B$13:$B$26</c:f>
              <c:numCache>
                <c:formatCode>General</c:formatCode>
                <c:ptCount val="14"/>
                <c:pt idx="0">
                  <c:v>0.37839999999999996</c:v>
                </c:pt>
                <c:pt idx="1">
                  <c:v>0.32199999999999995</c:v>
                </c:pt>
                <c:pt idx="2">
                  <c:v>0.31439999999999996</c:v>
                </c:pt>
                <c:pt idx="3">
                  <c:v>0.34299999999999997</c:v>
                </c:pt>
                <c:pt idx="4">
                  <c:v>0.39519999999999977</c:v>
                </c:pt>
                <c:pt idx="5">
                  <c:v>0.45839999999999981</c:v>
                </c:pt>
                <c:pt idx="6">
                  <c:v>0.52</c:v>
                </c:pt>
                <c:pt idx="7">
                  <c:v>0.5673999999999999</c:v>
                </c:pt>
                <c:pt idx="8">
                  <c:v>0.58799999999999986</c:v>
                </c:pt>
                <c:pt idx="9">
                  <c:v>0.56919999999999948</c:v>
                </c:pt>
                <c:pt idx="10">
                  <c:v>0.49839999999999973</c:v>
                </c:pt>
                <c:pt idx="11">
                  <c:v>0.36299999999999977</c:v>
                </c:pt>
                <c:pt idx="12">
                  <c:v>0.15040000000000031</c:v>
                </c:pt>
                <c:pt idx="13">
                  <c:v>-0.15199999999999969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06-481C-BAC0-5898482901C7}"/>
            </c:ext>
          </c:extLst>
        </c:ser>
        <c:ser>
          <c:idx val="3"/>
          <c:order val="1"/>
          <c:tx>
            <c:strRef>
              <c:f>SL_ratio!$C$12</c:f>
              <c:strCache>
                <c:ptCount val="1"/>
                <c:pt idx="0">
                  <c:v>SLratio_Vnew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SL_ratio!$C$13:$C$26</c:f>
              <c:numCache>
                <c:formatCode>General</c:formatCode>
                <c:ptCount val="14"/>
                <c:pt idx="0">
                  <c:v>0.26762999999999998</c:v>
                </c:pt>
                <c:pt idx="1">
                  <c:v>0.28526000000000001</c:v>
                </c:pt>
                <c:pt idx="2">
                  <c:v>0.30288999999999999</c:v>
                </c:pt>
                <c:pt idx="3">
                  <c:v>0.32052000000000003</c:v>
                </c:pt>
                <c:pt idx="4">
                  <c:v>0.33815000000000001</c:v>
                </c:pt>
                <c:pt idx="5">
                  <c:v>0.35577999999999999</c:v>
                </c:pt>
                <c:pt idx="6">
                  <c:v>0.37341000000000002</c:v>
                </c:pt>
                <c:pt idx="7">
                  <c:v>0.39104</c:v>
                </c:pt>
                <c:pt idx="8">
                  <c:v>0.40866999999999998</c:v>
                </c:pt>
                <c:pt idx="9">
                  <c:v>0.42630000000000001</c:v>
                </c:pt>
                <c:pt idx="10">
                  <c:v>0.44392999999999999</c:v>
                </c:pt>
                <c:pt idx="11">
                  <c:v>0.46155999999999997</c:v>
                </c:pt>
                <c:pt idx="12">
                  <c:v>0.47919</c:v>
                </c:pt>
                <c:pt idx="13">
                  <c:v>0.49681999999999998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06-481C-BAC0-5898482901C7}"/>
            </c:ext>
          </c:extLst>
        </c:ser>
        <c:ser>
          <c:idx val="0"/>
          <c:order val="2"/>
          <c:tx>
            <c:strRef>
              <c:f>SL_ratio!$D$12</c:f>
              <c:strCache>
                <c:ptCount val="1"/>
                <c:pt idx="0">
                  <c:v>SLratio_Vnew2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SL_ratio!$D$13:$D$26</c:f>
              <c:numCache>
                <c:formatCode>General</c:formatCode>
                <c:ptCount val="14"/>
                <c:pt idx="0">
                  <c:v>0.312</c:v>
                </c:pt>
                <c:pt idx="1">
                  <c:v>0.32400000000000001</c:v>
                </c:pt>
                <c:pt idx="2">
                  <c:v>0.33599999999999997</c:v>
                </c:pt>
                <c:pt idx="3">
                  <c:v>0.34799999999999998</c:v>
                </c:pt>
                <c:pt idx="4">
                  <c:v>0.36</c:v>
                </c:pt>
                <c:pt idx="5">
                  <c:v>0.372</c:v>
                </c:pt>
                <c:pt idx="6">
                  <c:v>0.38400000000000001</c:v>
                </c:pt>
                <c:pt idx="7">
                  <c:v>0.39600000000000002</c:v>
                </c:pt>
                <c:pt idx="8">
                  <c:v>0.40799999999999997</c:v>
                </c:pt>
                <c:pt idx="9">
                  <c:v>0.42</c:v>
                </c:pt>
                <c:pt idx="10">
                  <c:v>0.432</c:v>
                </c:pt>
                <c:pt idx="11">
                  <c:v>0.44400000000000001</c:v>
                </c:pt>
                <c:pt idx="12">
                  <c:v>0.45599999999999996</c:v>
                </c:pt>
                <c:pt idx="13">
                  <c:v>0.46799999999999997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06-481C-BAC0-5898482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27551"/>
        <c:axId val="1219613823"/>
      </c:scatterChart>
      <c:valAx>
        <c:axId val="1219627551"/>
        <c:scaling>
          <c:orientation val="minMax"/>
        </c:scaling>
        <c:delete val="0"/>
        <c:axPos val="b"/>
        <c:title>
          <c:tx>
            <c:strRef>
              <c:f>SL_ratio!$A$12</c:f>
              <c:strCache>
                <c:ptCount val="1"/>
                <c:pt idx="0">
                  <c:v>metamer</c:v>
                </c:pt>
              </c:strCache>
            </c:strRef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13823"/>
        <c:crosses val="autoZero"/>
        <c:crossBetween val="midCat"/>
      </c:valAx>
      <c:valAx>
        <c:axId val="12196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SL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962755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542924</xdr:colOff>
      <xdr:row>2</xdr:row>
      <xdr:rowOff>38100</xdr:rowOff>
    </xdr:from>
    <xdr:to>
      <xdr:col>14</xdr:col>
      <xdr:colOff>419099</xdr:colOff>
      <xdr:row>22</xdr:row>
      <xdr:rowOff>57150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8</xdr:row>
      <xdr:rowOff>19050</xdr:rowOff>
    </xdr:from>
    <xdr:to>
      <xdr:col>11</xdr:col>
      <xdr:colOff>180974</xdr:colOff>
      <xdr:row>22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topLeftCell="A7" workbookViewId="0">
      <selection activeCell="B25" sqref="B25:M27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96</v>
      </c>
      <c r="B1" s="47" t="s">
        <v>97</v>
      </c>
      <c r="C1" s="48"/>
      <c r="E1" s="52" t="s">
        <v>120</v>
      </c>
      <c r="L1" s="101" t="s">
        <v>162</v>
      </c>
      <c r="M1" s="102" t="s">
        <v>168</v>
      </c>
      <c r="N1" s="103"/>
      <c r="W1" s="81" t="s">
        <v>136</v>
      </c>
      <c r="X1" s="82" t="s">
        <v>137</v>
      </c>
    </row>
    <row r="2" spans="1:60" s="27" customFormat="1" ht="15.75" thickBot="1" x14ac:dyDescent="0.3">
      <c r="A2" s="49" t="s">
        <v>96</v>
      </c>
      <c r="B2" s="50" t="s">
        <v>98</v>
      </c>
      <c r="C2" s="51"/>
      <c r="E2" s="53">
        <f xml:space="preserve"> 76.1/12*24*3600</f>
        <v>547920</v>
      </c>
      <c r="L2" s="104"/>
      <c r="M2" s="105">
        <v>10</v>
      </c>
      <c r="N2" s="106" t="s">
        <v>169</v>
      </c>
      <c r="W2" s="83">
        <v>9.9999999999999995E-7</v>
      </c>
      <c r="X2" s="83">
        <v>9.9999999999999995E-7</v>
      </c>
    </row>
    <row r="4" spans="1:60" s="2" customFormat="1" ht="15" customHeight="1" x14ac:dyDescent="0.25">
      <c r="A4" s="98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146</v>
      </c>
      <c r="AQ4" s="5" t="s">
        <v>147</v>
      </c>
      <c r="AR4" s="5" t="s">
        <v>148</v>
      </c>
      <c r="AS4" s="5" t="s">
        <v>149</v>
      </c>
      <c r="AT4" s="85" t="s">
        <v>150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98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3.1850000000000003E-2</v>
      </c>
      <c r="K5" s="36">
        <f>J5-M5</f>
        <v>3.1800000000000002E-2</v>
      </c>
      <c r="L5" s="96">
        <f>0.0925*(1+$M$2/100)</f>
        <v>0.10175000000000001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9.8421782224668846</v>
      </c>
      <c r="AF5" s="1">
        <f t="shared" ref="AF5:AF12" si="1">AK5*$AX5</f>
        <v>1.1009272427513612</v>
      </c>
      <c r="AG5" s="24">
        <f t="shared" ref="AG5:AG12" si="2">AK5*$BA5</f>
        <v>9.8421782224668846</v>
      </c>
      <c r="AH5" s="26">
        <f t="shared" ref="AH5:AH12" si="3">AK5*$AY5</f>
        <v>11.009272427513611</v>
      </c>
      <c r="AI5" s="1">
        <f>BE5</f>
        <v>2.2295692441512342E-3</v>
      </c>
      <c r="AJ5" s="1">
        <f>BH5</f>
        <v>1.3244862745926676E-6</v>
      </c>
      <c r="AK5" s="1">
        <f>AI5+AJ5</f>
        <v>2.2308937304258269E-3</v>
      </c>
      <c r="AL5" s="1">
        <f>AI5*0.005</f>
        <v>1.1147846220756171E-5</v>
      </c>
      <c r="AM5">
        <f>AJ5*0.005</f>
        <v>6.6224313729633385E-9</v>
      </c>
      <c r="AN5">
        <f>AL5+AM5</f>
        <v>1.1154468652129133E-5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3.6469963000129689E-3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1.0289330482330101E-3</v>
      </c>
      <c r="BD5" s="7">
        <f t="shared" ref="BD5:BD12" si="9">J5*Z5</f>
        <v>2.8665000000000001E-3</v>
      </c>
      <c r="BE5" s="8">
        <f>((BD5-BC5)/($T$31-BB5))*(F5-$T$31)+BD5</f>
        <v>2.2295692441512342E-3</v>
      </c>
      <c r="BF5" s="8">
        <f t="shared" ref="BF5:BF12" si="10">$T$27+$T$28*$T$30*(L5)^$T$29</f>
        <v>4.5503252076173591E-3</v>
      </c>
      <c r="BG5" s="7"/>
      <c r="BH5" s="7">
        <f t="shared" ref="BH5:BH12" si="11">$BC$20*$BB$22*$BB$24*(M5)^$BB$21</f>
        <v>1.3244862745926676E-6</v>
      </c>
    </row>
    <row r="6" spans="1:60" x14ac:dyDescent="0.25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3.184E-2</v>
      </c>
      <c r="K6" s="36">
        <f t="shared" ref="K6:K12" si="13">J6-M6</f>
        <v>3.1829999999999997E-2</v>
      </c>
      <c r="L6" s="96">
        <f>0.0265*(1+$M$2/100)</f>
        <v>2.9150000000000002E-2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4.0535718106553595</v>
      </c>
      <c r="AF6" s="1">
        <f t="shared" si="1"/>
        <v>0.76350548009338337</v>
      </c>
      <c r="AG6" s="24">
        <f t="shared" si="2"/>
        <v>2.0267859053276798</v>
      </c>
      <c r="AH6" s="26">
        <f t="shared" si="3"/>
        <v>7.6350548009338333</v>
      </c>
      <c r="AI6" s="1">
        <f>BF6</f>
        <v>9.1864081297490005E-4</v>
      </c>
      <c r="AJ6" s="1">
        <f>BH6</f>
        <v>1.6879744031468265E-7</v>
      </c>
      <c r="AK6">
        <f t="shared" ref="AK6:AK12" si="15">AI6+AJ6</f>
        <v>9.1880961041521472E-4</v>
      </c>
      <c r="AL6">
        <f t="shared" ref="AL6:AM12" si="16">AI6*0.005</f>
        <v>4.5932040648745004E-6</v>
      </c>
      <c r="AM6">
        <f t="shared" si="16"/>
        <v>8.4398720157341326E-10</v>
      </c>
      <c r="AN6">
        <f t="shared" ref="AN6:AN12" si="17">AL6+AM6</f>
        <v>4.5940480520760735E-6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1.8216901695295384E-3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1.0285195655054594E-3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9.1864081297490005E-4</v>
      </c>
      <c r="BG6" s="7"/>
      <c r="BH6" s="7">
        <f t="shared" si="11"/>
        <v>1.6879744031468265E-7</v>
      </c>
    </row>
    <row r="7" spans="1:60" x14ac:dyDescent="0.25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3.184E-2</v>
      </c>
      <c r="K7" s="36">
        <f t="shared" si="13"/>
        <v>3.184E-2</v>
      </c>
      <c r="L7" s="97">
        <f>0.00196773885263657</f>
        <v>1.96773885263657E-3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0.12873040793583429</v>
      </c>
      <c r="AF7" s="1">
        <f t="shared" si="1"/>
        <v>5.3069049208309585E-2</v>
      </c>
      <c r="AG7" s="24">
        <f t="shared" si="2"/>
        <v>0</v>
      </c>
      <c r="AH7" s="26">
        <f t="shared" si="3"/>
        <v>0.53069049208309582</v>
      </c>
      <c r="AI7" s="1">
        <f>BF7</f>
        <v>2.9178892465455773E-5</v>
      </c>
      <c r="AJ7" s="1">
        <v>0</v>
      </c>
      <c r="AK7">
        <f t="shared" si="15"/>
        <v>2.9178892465455773E-5</v>
      </c>
      <c r="AL7">
        <f t="shared" si="16"/>
        <v>1.4589446232727887E-7</v>
      </c>
      <c r="AM7">
        <f t="shared" si="16"/>
        <v>0</v>
      </c>
      <c r="AN7">
        <f t="shared" si="17"/>
        <v>1.4589446232727887E-7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8.7563453056915323E-5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2.9178892465455773E-5</v>
      </c>
      <c r="BG7" s="7"/>
      <c r="BH7" s="7">
        <f t="shared" si="11"/>
        <v>0</v>
      </c>
    </row>
    <row r="8" spans="1:60" x14ac:dyDescent="0.25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3.184E-2</v>
      </c>
      <c r="K8" s="36">
        <f t="shared" si="13"/>
        <v>3.184E-2</v>
      </c>
      <c r="L8" s="97">
        <f>0.000754111603250701</f>
        <v>7.5411160325070104E-4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3.7798204342272275E-2</v>
      </c>
      <c r="AF8" s="1">
        <f t="shared" si="1"/>
        <v>1.5582291693083403E-2</v>
      </c>
      <c r="AG8" s="24">
        <f t="shared" si="2"/>
        <v>0</v>
      </c>
      <c r="AH8" s="26">
        <f t="shared" si="3"/>
        <v>0.155822916930834</v>
      </c>
      <c r="AI8" s="1">
        <f t="shared" ref="AI8:AI12" si="22">BF8</f>
        <v>8.5675929842483821E-6</v>
      </c>
      <c r="AJ8" s="1">
        <v>0</v>
      </c>
      <c r="AK8">
        <f t="shared" si="15"/>
        <v>8.5675929842483821E-6</v>
      </c>
      <c r="AL8">
        <f t="shared" si="16"/>
        <v>4.2837964921241912E-8</v>
      </c>
      <c r="AM8">
        <f t="shared" si="16"/>
        <v>0</v>
      </c>
      <c r="AN8">
        <f t="shared" si="17"/>
        <v>4.2837964921241912E-8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2.5710640901643011E-5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8.5675929842483821E-6</v>
      </c>
      <c r="BG8" s="7"/>
      <c r="BH8" s="7">
        <f t="shared" si="11"/>
        <v>0</v>
      </c>
    </row>
    <row r="9" spans="1:60" x14ac:dyDescent="0.25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3.184E-2</v>
      </c>
      <c r="K9" s="36">
        <f t="shared" si="13"/>
        <v>3.184E-2</v>
      </c>
      <c r="L9" s="97">
        <f>0.000313763768132178</f>
        <v>3.1376376813217798E-4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1.2381691922498217E-2</v>
      </c>
      <c r="AF9" s="1">
        <f t="shared" si="1"/>
        <v>5.1043465833240514E-3</v>
      </c>
      <c r="AG9" s="24">
        <f t="shared" si="2"/>
        <v>0</v>
      </c>
      <c r="AH9" s="26">
        <f t="shared" si="3"/>
        <v>5.1043465833240508E-2</v>
      </c>
      <c r="AI9" s="1">
        <f t="shared" si="22"/>
        <v>2.8065168357662623E-6</v>
      </c>
      <c r="AJ9" s="1">
        <v>0</v>
      </c>
      <c r="AK9">
        <f t="shared" si="15"/>
        <v>2.8065168357662623E-6</v>
      </c>
      <c r="AL9">
        <f t="shared" si="16"/>
        <v>1.4032584178831312E-8</v>
      </c>
      <c r="AM9">
        <f t="shared" si="16"/>
        <v>0</v>
      </c>
      <c r="AN9">
        <f t="shared" si="17"/>
        <v>1.4032584178831312E-8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8.4221258737972134E-6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2.8065168357662623E-6</v>
      </c>
      <c r="BG9" s="7"/>
      <c r="BH9" s="7">
        <f t="shared" si="11"/>
        <v>0</v>
      </c>
    </row>
    <row r="10" spans="1:60" x14ac:dyDescent="0.25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3.184E-2</v>
      </c>
      <c r="K10" s="36">
        <f t="shared" si="13"/>
        <v>3.184E-2</v>
      </c>
      <c r="L10" s="97">
        <f>0.000145873582301659</f>
        <v>1.4587358230165899E-4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4.7183998739784424E-3</v>
      </c>
      <c r="AF10" s="1">
        <f t="shared" si="1"/>
        <v>1.9451580952144279E-3</v>
      </c>
      <c r="AG10" s="24">
        <f t="shared" si="2"/>
        <v>0</v>
      </c>
      <c r="AH10" s="26">
        <f t="shared" si="3"/>
        <v>1.9451580952144276E-2</v>
      </c>
      <c r="AI10" s="1">
        <f t="shared" si="22"/>
        <v>1.0695039714351136E-6</v>
      </c>
      <c r="AJ10" s="1">
        <v>0</v>
      </c>
      <c r="AK10">
        <f t="shared" si="15"/>
        <v>1.0695039714351136E-6</v>
      </c>
      <c r="AL10">
        <f t="shared" si="16"/>
        <v>5.3475198571755686E-9</v>
      </c>
      <c r="AM10">
        <f t="shared" si="16"/>
        <v>0</v>
      </c>
      <c r="AN10">
        <f t="shared" si="17"/>
        <v>5.3475198571755686E-9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3.2094933317915523E-6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1.0695039714351136E-6</v>
      </c>
      <c r="BG10" s="7"/>
      <c r="BH10" s="7">
        <f t="shared" si="11"/>
        <v>0</v>
      </c>
    </row>
    <row r="11" spans="1:60" x14ac:dyDescent="0.25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3.184E-2</v>
      </c>
      <c r="K11" s="36">
        <f t="shared" si="13"/>
        <v>3.184E-2</v>
      </c>
      <c r="L11" s="97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25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3.184E-2</v>
      </c>
      <c r="K12" s="36">
        <f t="shared" si="13"/>
        <v>3.184E-2</v>
      </c>
      <c r="L12" s="97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161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25">
      <c r="A15" s="98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95">
        <f>0.082*(1+$M$2/100)</f>
        <v>9.0200000000000016E-2</v>
      </c>
      <c r="I15">
        <v>3.0000000000000001E-3</v>
      </c>
      <c r="J15" s="36" t="s">
        <v>33</v>
      </c>
      <c r="K15">
        <f>Q15*$U$15</f>
        <v>4.5122700000000005E-3</v>
      </c>
      <c r="L15">
        <f>K15*0.005</f>
        <v>2.2561350000000004E-5</v>
      </c>
      <c r="M15">
        <f t="shared" ref="M15:M20" si="23">K15*$W15</f>
        <v>1.7864303924221669</v>
      </c>
      <c r="N15">
        <f t="shared" ref="N15:N20" si="24">K15*$X15</f>
        <v>17.864303924221669</v>
      </c>
      <c r="O15">
        <f t="shared" ref="O15:O20" si="25">AA15*$K15</f>
        <v>0</v>
      </c>
      <c r="P15" s="1">
        <f t="shared" ref="P15:P20" si="26">K15*$AB$16</f>
        <v>19.907073529411768</v>
      </c>
      <c r="Q15">
        <v>2.1487000000000001E-4</v>
      </c>
      <c r="R15" s="1">
        <f t="shared" ref="R15:R20" si="27">K15*$AC15</f>
        <v>0.25719939000000003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8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9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 t="shared" ref="AD15:AD20" si="30">K15+M15*$F$31+N15*$J$31+P15*$E$31</f>
        <v>6.9225960565817146E-3</v>
      </c>
      <c r="AE15" s="56">
        <f t="shared" ref="AE15:AE20" si="31">(1-K15/AD15)*100</f>
        <v>34.81823923974413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25">
      <c r="A16" s="98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95">
        <f>0.0285*(1+$M$2/100)</f>
        <v>3.1350000000000003E-2</v>
      </c>
      <c r="J16" s="36" t="s">
        <v>33</v>
      </c>
      <c r="K16">
        <f>H16*$U$16</f>
        <v>1.8810000000000001E-3</v>
      </c>
      <c r="L16">
        <f t="shared" ref="L16:L20" si="32">K16*0.005</f>
        <v>9.4050000000000006E-6</v>
      </c>
      <c r="M16">
        <f t="shared" si="23"/>
        <v>0.21204844567316275</v>
      </c>
      <c r="N16">
        <f t="shared" si="24"/>
        <v>2.1204844567316274</v>
      </c>
      <c r="O16">
        <f t="shared" si="25"/>
        <v>0</v>
      </c>
      <c r="P16" s="1">
        <f t="shared" si="26"/>
        <v>8.2985294117647062</v>
      </c>
      <c r="Q16">
        <v>4.4221000000000001E-4</v>
      </c>
      <c r="R16" s="1">
        <f t="shared" si="27"/>
        <v>3.0096000000000001E-2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8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9"/>
        <v>0</v>
      </c>
      <c r="AB16" s="42">
        <f>$AB$17/100/(1-$X$33)*$X$32*10^6/$X$30</f>
        <v>4411.7647058823532</v>
      </c>
      <c r="AC16" s="13">
        <f t="shared" ref="AC16:AC20" si="33">ROUND(X16/$AY$6*120,0)</f>
        <v>16</v>
      </c>
      <c r="AD16" s="13">
        <f t="shared" si="30"/>
        <v>2.3366922574259478E-3</v>
      </c>
      <c r="AE16" s="56">
        <f t="shared" si="31"/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25">
      <c r="A17" s="98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95">
        <f>0.092*(1+$M$2/100)</f>
        <v>0.10120000000000001</v>
      </c>
      <c r="I17">
        <v>3.3E-3</v>
      </c>
      <c r="J17" s="36" t="s">
        <v>33</v>
      </c>
      <c r="K17">
        <f>Q17*$U$17</f>
        <v>5.5687799999999997E-3</v>
      </c>
      <c r="L17">
        <f t="shared" si="32"/>
        <v>2.7843899999999999E-5</v>
      </c>
      <c r="M17">
        <f t="shared" si="23"/>
        <v>2.6134122170270064</v>
      </c>
      <c r="N17">
        <f t="shared" si="24"/>
        <v>26.134122170270064</v>
      </c>
      <c r="O17">
        <f t="shared" si="25"/>
        <v>0</v>
      </c>
      <c r="P17" s="1">
        <f t="shared" si="26"/>
        <v>24.568147058823531</v>
      </c>
      <c r="Q17">
        <v>2.6518000000000001E-4</v>
      </c>
      <c r="R17" s="1">
        <f t="shared" si="27"/>
        <v>0.37867703999999996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28"/>
        <v>469.29708428542818</v>
      </c>
      <c r="X17" s="13">
        <f t="shared" ref="X17:X20" si="34">$W17/$X$23</f>
        <v>4692.9708428542817</v>
      </c>
      <c r="Z17" s="24"/>
      <c r="AA17" s="73">
        <f t="shared" si="29"/>
        <v>0</v>
      </c>
      <c r="AB17" s="39">
        <v>10</v>
      </c>
      <c r="AC17" s="13">
        <f t="shared" si="33"/>
        <v>68</v>
      </c>
      <c r="AD17" s="13">
        <f t="shared" si="30"/>
        <v>8.9647787796283129E-3</v>
      </c>
      <c r="AE17" s="56">
        <f t="shared" si="31"/>
        <v>37.881568113486829</v>
      </c>
      <c r="AF17" s="1"/>
      <c r="AG17" s="1"/>
    </row>
    <row r="18" spans="1:55" x14ac:dyDescent="0.25">
      <c r="A18" s="98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95">
        <f>H16</f>
        <v>3.1350000000000003E-2</v>
      </c>
      <c r="J18" s="36" t="s">
        <v>33</v>
      </c>
      <c r="K18">
        <f>H18*$U$18</f>
        <v>2.5080000000000002E-3</v>
      </c>
      <c r="L18">
        <f t="shared" si="32"/>
        <v>1.2540000000000002E-5</v>
      </c>
      <c r="M18">
        <f t="shared" si="23"/>
        <v>0.40229462829662521</v>
      </c>
      <c r="N18">
        <f t="shared" si="24"/>
        <v>4.0229462829662515</v>
      </c>
      <c r="O18">
        <f t="shared" si="25"/>
        <v>3.3194117647058818</v>
      </c>
      <c r="P18" s="1">
        <f t="shared" si="26"/>
        <v>11.064705882352943</v>
      </c>
      <c r="Q18">
        <v>2.4800000000000001E-4</v>
      </c>
      <c r="R18" s="1">
        <f t="shared" si="27"/>
        <v>5.7684000000000006E-2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8"/>
        <v>160.40455673709138</v>
      </c>
      <c r="X18" s="13">
        <f t="shared" si="34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33"/>
        <v>23</v>
      </c>
      <c r="AD18" s="13">
        <f t="shared" si="30"/>
        <v>3.2388422938121864E-3</v>
      </c>
      <c r="AE18" s="56">
        <f t="shared" si="31"/>
        <v>22.564923744773303</v>
      </c>
      <c r="AF18" s="1"/>
      <c r="AG18" s="1"/>
    </row>
    <row r="19" spans="1:55" x14ac:dyDescent="0.25">
      <c r="A19" s="98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95">
        <f>G22-H18</f>
        <v>5.5000000000000188E-4</v>
      </c>
      <c r="J19" s="36" t="s">
        <v>33</v>
      </c>
      <c r="K19">
        <f>H19*$U$19</f>
        <v>4.4000000000000148E-5</v>
      </c>
      <c r="L19">
        <f t="shared" si="32"/>
        <v>2.2000000000000075E-7</v>
      </c>
      <c r="M19">
        <f t="shared" si="23"/>
        <v>7.0578004964320443E-3</v>
      </c>
      <c r="N19">
        <f t="shared" si="24"/>
        <v>7.0578004964320443E-2</v>
      </c>
      <c r="O19">
        <f t="shared" si="25"/>
        <v>0</v>
      </c>
      <c r="P19" s="1">
        <f t="shared" si="26"/>
        <v>0.1941176470588242</v>
      </c>
      <c r="Q19">
        <v>7.7600000000000002E-6</v>
      </c>
      <c r="R19" s="1">
        <f t="shared" si="27"/>
        <v>1.0120000000000033E-3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8"/>
        <v>160.40455673709138</v>
      </c>
      <c r="X19" s="13">
        <f t="shared" si="34"/>
        <v>1604.0455673709137</v>
      </c>
      <c r="AA19" s="73">
        <f t="shared" si="29"/>
        <v>0</v>
      </c>
      <c r="AB19" s="1"/>
      <c r="AC19" s="13">
        <f t="shared" si="33"/>
        <v>23</v>
      </c>
      <c r="AD19" s="13">
        <f t="shared" si="30"/>
        <v>5.6821794628284163E-5</v>
      </c>
      <c r="AE19" s="56">
        <f t="shared" si="31"/>
        <v>22.564923744773303</v>
      </c>
      <c r="BA19" s="63" t="s">
        <v>57</v>
      </c>
      <c r="BB19" s="7" t="s">
        <v>47</v>
      </c>
      <c r="BC19" s="8">
        <v>0</v>
      </c>
    </row>
    <row r="20" spans="1:55" x14ac:dyDescent="0.25">
      <c r="A20" s="98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107">
        <f>L5-H18-H19</f>
        <v>6.9849999999999995E-2</v>
      </c>
      <c r="I20">
        <v>4.0000000000000001E-3</v>
      </c>
      <c r="J20" s="36" t="s">
        <v>31</v>
      </c>
      <c r="K20">
        <f>Q20*$U$20</f>
        <v>3.60108E-3</v>
      </c>
      <c r="L20">
        <f t="shared" si="32"/>
        <v>1.8005399999999999E-5</v>
      </c>
      <c r="M20">
        <f t="shared" si="23"/>
        <v>1.8614442225098378</v>
      </c>
      <c r="N20">
        <f t="shared" si="24"/>
        <v>18.614442225098376</v>
      </c>
      <c r="O20">
        <f t="shared" si="25"/>
        <v>0</v>
      </c>
      <c r="P20" s="1">
        <f t="shared" si="26"/>
        <v>15.887117647058824</v>
      </c>
      <c r="Q20">
        <v>1.7148E-4</v>
      </c>
      <c r="R20" s="1">
        <f t="shared" si="27"/>
        <v>0.27008100000000002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8"/>
        <v>516.91276575633913</v>
      </c>
      <c r="X20" s="14">
        <f t="shared" si="34"/>
        <v>5169.127657563391</v>
      </c>
      <c r="AA20" s="74">
        <f t="shared" si="29"/>
        <v>0</v>
      </c>
      <c r="AC20" s="14">
        <f t="shared" si="33"/>
        <v>75</v>
      </c>
      <c r="AD20" s="14">
        <f t="shared" si="30"/>
        <v>5.9738786326767645E-3</v>
      </c>
      <c r="AE20" s="57">
        <f t="shared" si="31"/>
        <v>39.719565437732463</v>
      </c>
      <c r="BA20" s="63"/>
      <c r="BB20" s="7" t="s">
        <v>48</v>
      </c>
      <c r="BC20" s="7">
        <v>0.106</v>
      </c>
    </row>
    <row r="21" spans="1:55" x14ac:dyDescent="0.25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25">
      <c r="A22" s="2"/>
      <c r="F22" s="30" t="s">
        <v>170</v>
      </c>
      <c r="G22" s="30">
        <f>0.029*(1+$M$2/100)</f>
        <v>3.1900000000000005E-2</v>
      </c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25">
      <c r="A23" s="2"/>
      <c r="X23" s="14">
        <v>0.1</v>
      </c>
      <c r="Y23" s="59">
        <f>(SUMPRODUCT(V15:V20,AD15:AD20)+SUMPRODUCT(AW5:AW12,AU5:AU12))/SUM(AD15:AD20,AU5:AU12)</f>
        <v>4.3783315783251417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25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25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25">
      <c r="A27" s="98"/>
      <c r="B27">
        <v>1</v>
      </c>
      <c r="C27" t="s">
        <v>30</v>
      </c>
      <c r="D27" t="s">
        <v>68</v>
      </c>
      <c r="E27" s="24">
        <f>E28*$K$27</f>
        <v>158.0769530624429</v>
      </c>
      <c r="F27" s="24">
        <f>F28*$K$27</f>
        <v>2.1515930087505906</v>
      </c>
      <c r="G27" s="24">
        <f>G28*$K$27</f>
        <v>21.515930087505904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3.5830776027487056E-2</v>
      </c>
      <c r="L27" s="24">
        <f>K27*$Y$16</f>
        <v>1.7915388013743527E-4</v>
      </c>
      <c r="M27" s="24">
        <f>M28*$K$27</f>
        <v>8.9576940068717636</v>
      </c>
      <c r="N27" s="61" t="s">
        <v>112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25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0.59466301785443099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25">
      <c r="F29" s="1"/>
      <c r="R29" s="99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25">
      <c r="D30" s="23" t="s">
        <v>78</v>
      </c>
      <c r="F30" s="1"/>
      <c r="O30" s="28" t="s">
        <v>116</v>
      </c>
      <c r="P30" s="29">
        <f>K27+SUM(K15:K20)+SUM(AK5:AK12)</f>
        <v>5.713801343205871E-2</v>
      </c>
      <c r="R30" s="99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99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25">
      <c r="O33" s="28" t="s">
        <v>92</v>
      </c>
      <c r="P33" s="54">
        <f t="array" ref="P33">SUM(K15:K20,AK5:AK12)+SUM(AF5:AF12*F31,M15:M20*F31)+SUM(AH5:AH12*J31,N15:N20*J31)+SUM(AE5:AE12*E31,P15:P20*E31)+SUM(O15:O20*E31,AG5:AG12*E31)</f>
        <v>3.352350098399641E-2</v>
      </c>
      <c r="W33" s="28" t="s">
        <v>105</v>
      </c>
      <c r="X33" s="41">
        <v>0.2</v>
      </c>
    </row>
    <row r="34" spans="1:24" x14ac:dyDescent="0.25">
      <c r="O34" s="28" t="s">
        <v>93</v>
      </c>
      <c r="P34" s="29">
        <f>K27+E27*E31+F27*F31+G27*G31</f>
        <v>4.1904376229995516E-2</v>
      </c>
    </row>
    <row r="35" spans="1:24" ht="15" customHeight="1" x14ac:dyDescent="0.25">
      <c r="A35" s="100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7.5427877213991926E-2</v>
      </c>
      <c r="Q35" s="25"/>
    </row>
    <row r="36" spans="1:24" x14ac:dyDescent="0.25">
      <c r="A36" s="100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25">
      <c r="O37" s="28" t="s">
        <v>114</v>
      </c>
      <c r="P37" s="32">
        <f>1-SUM($AK$5:$AK$12,$K$15:$K$20)/$P$33</f>
        <v>0.36440894360217946</v>
      </c>
    </row>
    <row r="38" spans="1:24" x14ac:dyDescent="0.25">
      <c r="O38" s="28" t="s">
        <v>115</v>
      </c>
      <c r="P38" s="32">
        <f>1-$K$27/$P$34</f>
        <v>0.14493952061648696</v>
      </c>
    </row>
    <row r="39" spans="1:24" x14ac:dyDescent="0.25">
      <c r="O39" s="28" t="s">
        <v>94</v>
      </c>
      <c r="P39" s="32">
        <f>1-SUM($AK$5:$AK$12,$K$15:$K$20)/($P$33+N28/(1+N28)*P32)</f>
        <v>0.36440894360217946</v>
      </c>
    </row>
    <row r="40" spans="1:24" x14ac:dyDescent="0.25">
      <c r="O40" s="28" t="s">
        <v>95</v>
      </c>
      <c r="P40" s="32">
        <f>1-$K$27/($P$34+1/(1+N28)*P32)</f>
        <v>0.14493952061648696</v>
      </c>
    </row>
    <row r="42" spans="1:24" x14ac:dyDescent="0.25">
      <c r="O42" s="28" t="s">
        <v>110</v>
      </c>
      <c r="P42" s="60" t="e">
        <f>(F26*14*10^-6)/(E26*E31+F26*F31)*100</f>
        <v>#DIV/0!</v>
      </c>
    </row>
    <row r="43" spans="1:24" x14ac:dyDescent="0.25">
      <c r="O43" s="28" t="s">
        <v>109</v>
      </c>
      <c r="P43" s="60" t="e">
        <f>($Y$23*$P$33+$Q$28*$P$34+$P$32*$P$42)/$P$35</f>
        <v>#DIV/0!</v>
      </c>
    </row>
    <row r="44" spans="1:24" x14ac:dyDescent="0.25">
      <c r="O44" s="28" t="s">
        <v>113</v>
      </c>
      <c r="P44" s="60">
        <f>($Y$23*$P$33+$Q$28*$P$34)/($P$33+$P$34)</f>
        <v>2.6125918125889518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Normal="100" workbookViewId="0">
      <selection activeCell="E16" sqref="E16"/>
    </sheetView>
  </sheetViews>
  <sheetFormatPr baseColWidth="10" defaultRowHeight="15" x14ac:dyDescent="0.25"/>
  <sheetData>
    <row r="2" spans="1:7" x14ac:dyDescent="0.25">
      <c r="A2" s="5" t="s">
        <v>163</v>
      </c>
      <c r="B2" s="5" t="s">
        <v>164</v>
      </c>
      <c r="C2" s="5" t="s">
        <v>165</v>
      </c>
      <c r="D2" s="5" t="s">
        <v>166</v>
      </c>
      <c r="E2" s="5" t="s">
        <v>167</v>
      </c>
      <c r="F2" s="5"/>
      <c r="G2" s="5"/>
    </row>
    <row r="3" spans="1:7" x14ac:dyDescent="0.25">
      <c r="A3">
        <v>1</v>
      </c>
      <c r="B3" s="94">
        <v>0.1105</v>
      </c>
      <c r="C3" s="94">
        <f>B3*F3</f>
        <v>0</v>
      </c>
      <c r="D3" s="94">
        <v>8.7499999999999994E-2</v>
      </c>
      <c r="E3" s="94">
        <v>7.1999999999999995E-2</v>
      </c>
      <c r="F3" s="24"/>
      <c r="G3" s="24"/>
    </row>
    <row r="4" spans="1:7" x14ac:dyDescent="0.25">
      <c r="A4">
        <v>2</v>
      </c>
      <c r="B4" s="94">
        <v>0.121</v>
      </c>
      <c r="C4" s="94">
        <f t="shared" ref="C4:C12" si="0">B4*F4</f>
        <v>0</v>
      </c>
      <c r="D4" s="94">
        <v>9.7000000000000003E-2</v>
      </c>
      <c r="E4" s="94">
        <v>6.8500000000000005E-2</v>
      </c>
      <c r="F4" s="24"/>
      <c r="G4" s="24"/>
    </row>
    <row r="5" spans="1:7" x14ac:dyDescent="0.25">
      <c r="A5">
        <v>3</v>
      </c>
      <c r="B5" s="94">
        <v>9.2499999999999999E-2</v>
      </c>
      <c r="C5" s="94">
        <f t="shared" si="0"/>
        <v>0</v>
      </c>
      <c r="D5" s="94">
        <f>0.083</f>
        <v>8.3000000000000004E-2</v>
      </c>
      <c r="E5" s="94">
        <v>4.8000000000000001E-2</v>
      </c>
      <c r="F5" s="24"/>
      <c r="G5" s="24"/>
    </row>
    <row r="6" spans="1:7" x14ac:dyDescent="0.25">
      <c r="A6">
        <v>4</v>
      </c>
      <c r="B6" s="94">
        <v>2.6499999999999999E-2</v>
      </c>
      <c r="C6" s="94">
        <f t="shared" si="0"/>
        <v>0</v>
      </c>
      <c r="D6" s="94">
        <v>1.325E-2</v>
      </c>
      <c r="E6" s="94">
        <v>1.4E-2</v>
      </c>
      <c r="F6" s="24"/>
      <c r="G6" s="24"/>
    </row>
    <row r="7" spans="1:7" x14ac:dyDescent="0.25">
      <c r="A7">
        <v>5</v>
      </c>
      <c r="B7" s="94">
        <v>1.9677388526365687E-3</v>
      </c>
      <c r="C7" s="94">
        <f t="shared" si="0"/>
        <v>0</v>
      </c>
      <c r="D7" s="94">
        <v>8.437500000000001E-4</v>
      </c>
      <c r="E7" s="94">
        <v>1E-3</v>
      </c>
      <c r="F7" s="24"/>
      <c r="G7" s="24"/>
    </row>
    <row r="8" spans="1:7" x14ac:dyDescent="0.25">
      <c r="A8">
        <v>6</v>
      </c>
      <c r="B8" s="94">
        <v>7.5411160325070082E-4</v>
      </c>
      <c r="C8" s="94">
        <f t="shared" si="0"/>
        <v>0</v>
      </c>
      <c r="D8" s="94">
        <v>3.6250000000000003E-4</v>
      </c>
      <c r="E8" s="94">
        <v>4.0000000000000002E-4</v>
      </c>
      <c r="F8" s="24"/>
      <c r="G8" s="24"/>
    </row>
    <row r="9" spans="1:7" x14ac:dyDescent="0.25">
      <c r="A9">
        <v>7</v>
      </c>
      <c r="B9" s="94">
        <v>3.1376376813217782E-4</v>
      </c>
      <c r="C9" s="94">
        <f t="shared" si="0"/>
        <v>0</v>
      </c>
      <c r="D9" s="94">
        <v>1.8999999999999998E-4</v>
      </c>
      <c r="E9" s="94">
        <v>1.7000000000000001E-4</v>
      </c>
      <c r="F9" s="24"/>
      <c r="G9" s="24"/>
    </row>
    <row r="10" spans="1:7" x14ac:dyDescent="0.25">
      <c r="A10">
        <v>8</v>
      </c>
      <c r="B10" s="94">
        <v>1.4587358230165945E-4</v>
      </c>
      <c r="C10" s="94">
        <f t="shared" si="0"/>
        <v>0</v>
      </c>
      <c r="D10" s="94">
        <v>1E-4</v>
      </c>
      <c r="E10" s="94">
        <v>1.0999999999999999E-4</v>
      </c>
      <c r="F10" s="24"/>
      <c r="G10" s="24"/>
    </row>
    <row r="11" spans="1:7" x14ac:dyDescent="0.25">
      <c r="A11">
        <v>9</v>
      </c>
      <c r="B11" s="94">
        <v>7.7994660715105795E-5</v>
      </c>
      <c r="C11" s="94">
        <f t="shared" si="0"/>
        <v>0</v>
      </c>
      <c r="D11" s="94">
        <v>7.0000000000000007E-5</v>
      </c>
      <c r="E11" s="94">
        <v>7.0000000000000007E-5</v>
      </c>
      <c r="F11" s="24"/>
      <c r="G11" s="24"/>
    </row>
    <row r="12" spans="1:7" x14ac:dyDescent="0.25">
      <c r="A12">
        <v>10</v>
      </c>
      <c r="B12" s="94">
        <v>4.9359999623829953E-5</v>
      </c>
      <c r="C12" s="94">
        <f t="shared" si="0"/>
        <v>0</v>
      </c>
      <c r="D12" s="9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baseColWidth="10" defaultRowHeight="15" x14ac:dyDescent="0.25"/>
  <sheetData>
    <row r="1" spans="1:4" x14ac:dyDescent="0.25">
      <c r="A1" s="2" t="s">
        <v>139</v>
      </c>
    </row>
    <row r="3" spans="1:4" x14ac:dyDescent="0.25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25">
      <c r="A4">
        <v>3</v>
      </c>
      <c r="B4">
        <v>9.25</v>
      </c>
    </row>
    <row r="5" spans="1:4" x14ac:dyDescent="0.25">
      <c r="A5">
        <v>4</v>
      </c>
      <c r="B5">
        <v>2.6</v>
      </c>
    </row>
    <row r="6" spans="1:4" x14ac:dyDescent="0.25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25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25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25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25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25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25">
      <c r="A17" t="s">
        <v>141</v>
      </c>
      <c r="B17">
        <v>4.7999999999999996E-3</v>
      </c>
    </row>
    <row r="18" spans="1:2" x14ac:dyDescent="0.25">
      <c r="A18" t="s">
        <v>142</v>
      </c>
      <c r="B18">
        <v>-4.53E-2</v>
      </c>
    </row>
    <row r="19" spans="1:2" x14ac:dyDescent="0.25">
      <c r="A19" t="s">
        <v>143</v>
      </c>
      <c r="B19">
        <v>-0.89759999999999995</v>
      </c>
    </row>
    <row r="20" spans="1:2" x14ac:dyDescent="0.25">
      <c r="A20" t="s">
        <v>144</v>
      </c>
      <c r="B20">
        <v>3.3948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G27" sqref="G27"/>
    </sheetView>
  </sheetViews>
  <sheetFormatPr baseColWidth="10" defaultRowHeight="15" x14ac:dyDescent="0.25"/>
  <sheetData>
    <row r="1" spans="1:4" x14ac:dyDescent="0.25">
      <c r="A1" s="91" t="s">
        <v>152</v>
      </c>
    </row>
    <row r="2" spans="1:4" x14ac:dyDescent="0.25">
      <c r="A2" s="92" t="s">
        <v>153</v>
      </c>
    </row>
    <row r="4" spans="1:4" x14ac:dyDescent="0.25">
      <c r="B4" s="90" t="s">
        <v>151</v>
      </c>
    </row>
    <row r="6" spans="1:4" x14ac:dyDescent="0.25">
      <c r="A6" s="90" t="s">
        <v>154</v>
      </c>
      <c r="B6">
        <v>-2.0999999999999999E-3</v>
      </c>
      <c r="C6">
        <v>0</v>
      </c>
      <c r="D6">
        <v>0</v>
      </c>
    </row>
    <row r="7" spans="1:4" x14ac:dyDescent="0.25">
      <c r="A7" s="93" t="s">
        <v>155</v>
      </c>
      <c r="B7">
        <v>3.6999999999999998E-2</v>
      </c>
      <c r="C7">
        <v>0</v>
      </c>
      <c r="D7">
        <v>0</v>
      </c>
    </row>
    <row r="8" spans="1:4" x14ac:dyDescent="0.25">
      <c r="A8" s="93" t="s">
        <v>156</v>
      </c>
      <c r="B8">
        <v>-0.1527</v>
      </c>
      <c r="C8">
        <v>1.763E-2</v>
      </c>
      <c r="D8">
        <v>1.2E-2</v>
      </c>
    </row>
    <row r="9" spans="1:4" x14ac:dyDescent="0.25">
      <c r="A9" s="93" t="s">
        <v>157</v>
      </c>
      <c r="B9">
        <v>0.49619999999999997</v>
      </c>
      <c r="C9">
        <v>0.25</v>
      </c>
      <c r="D9">
        <v>0.3</v>
      </c>
    </row>
    <row r="12" spans="1:4" x14ac:dyDescent="0.25">
      <c r="A12" t="s">
        <v>2</v>
      </c>
      <c r="B12" s="93" t="s">
        <v>158</v>
      </c>
      <c r="C12" t="s">
        <v>159</v>
      </c>
      <c r="D12" t="s">
        <v>160</v>
      </c>
    </row>
    <row r="13" spans="1:4" x14ac:dyDescent="0.25">
      <c r="A13">
        <v>1</v>
      </c>
      <c r="B13">
        <f>$B$6*$A13^3 + $B$7*$A13^2 + $B$8*$A13 + $B$9</f>
        <v>0.37839999999999996</v>
      </c>
      <c r="C13">
        <f>$C$6*$A13^3 + $C$7*$A13^2 + $C$8*$A13 + $C$9</f>
        <v>0.26762999999999998</v>
      </c>
      <c r="D13">
        <f>$D$6*$A13^3 + $D$7*$A13^2 + $D$8*$A13 + $D$9</f>
        <v>0.312</v>
      </c>
    </row>
    <row r="14" spans="1:4" x14ac:dyDescent="0.25">
      <c r="A14">
        <v>2</v>
      </c>
      <c r="B14">
        <f t="shared" ref="B14:B26" si="0">$B$6*$A14^3 + $B$7*$A14^2 + $B$8*$A14 + $B$9</f>
        <v>0.32199999999999995</v>
      </c>
      <c r="C14">
        <f t="shared" ref="C14:C26" si="1">$C$6*$A14^3 + $C$7*$A14^2 + $C$8*$A14 + $C$9</f>
        <v>0.28526000000000001</v>
      </c>
      <c r="D14">
        <f t="shared" ref="D14:D26" si="2">$D$6*$A14^3 + $D$7*$A14^2 + $D$8*$A14 + $D$9</f>
        <v>0.32400000000000001</v>
      </c>
    </row>
    <row r="15" spans="1:4" x14ac:dyDescent="0.25">
      <c r="A15">
        <v>3</v>
      </c>
      <c r="B15">
        <f t="shared" si="0"/>
        <v>0.31439999999999996</v>
      </c>
      <c r="C15">
        <f t="shared" si="1"/>
        <v>0.30288999999999999</v>
      </c>
      <c r="D15">
        <f t="shared" si="2"/>
        <v>0.33599999999999997</v>
      </c>
    </row>
    <row r="16" spans="1:4" x14ac:dyDescent="0.25">
      <c r="A16">
        <v>4</v>
      </c>
      <c r="B16">
        <f t="shared" si="0"/>
        <v>0.34299999999999997</v>
      </c>
      <c r="C16">
        <f t="shared" si="1"/>
        <v>0.32052000000000003</v>
      </c>
      <c r="D16">
        <f t="shared" si="2"/>
        <v>0.34799999999999998</v>
      </c>
    </row>
    <row r="17" spans="1:4" x14ac:dyDescent="0.25">
      <c r="A17">
        <v>5</v>
      </c>
      <c r="B17">
        <f t="shared" si="0"/>
        <v>0.39519999999999977</v>
      </c>
      <c r="C17">
        <f t="shared" si="1"/>
        <v>0.33815000000000001</v>
      </c>
      <c r="D17">
        <f t="shared" si="2"/>
        <v>0.36</v>
      </c>
    </row>
    <row r="18" spans="1:4" x14ac:dyDescent="0.25">
      <c r="A18">
        <v>6</v>
      </c>
      <c r="B18">
        <f t="shared" si="0"/>
        <v>0.45839999999999981</v>
      </c>
      <c r="C18">
        <f t="shared" si="1"/>
        <v>0.35577999999999999</v>
      </c>
      <c r="D18">
        <f t="shared" si="2"/>
        <v>0.372</v>
      </c>
    </row>
    <row r="19" spans="1:4" x14ac:dyDescent="0.25">
      <c r="A19">
        <v>7</v>
      </c>
      <c r="B19">
        <f t="shared" si="0"/>
        <v>0.52</v>
      </c>
      <c r="C19">
        <f t="shared" si="1"/>
        <v>0.37341000000000002</v>
      </c>
      <c r="D19">
        <f t="shared" si="2"/>
        <v>0.38400000000000001</v>
      </c>
    </row>
    <row r="20" spans="1:4" x14ac:dyDescent="0.25">
      <c r="A20">
        <v>8</v>
      </c>
      <c r="B20">
        <f t="shared" si="0"/>
        <v>0.5673999999999999</v>
      </c>
      <c r="C20">
        <f t="shared" si="1"/>
        <v>0.39104</v>
      </c>
      <c r="D20">
        <f t="shared" si="2"/>
        <v>0.39600000000000002</v>
      </c>
    </row>
    <row r="21" spans="1:4" x14ac:dyDescent="0.25">
      <c r="A21">
        <v>9</v>
      </c>
      <c r="B21">
        <f t="shared" si="0"/>
        <v>0.58799999999999986</v>
      </c>
      <c r="C21">
        <f t="shared" si="1"/>
        <v>0.40866999999999998</v>
      </c>
      <c r="D21">
        <f t="shared" si="2"/>
        <v>0.40799999999999997</v>
      </c>
    </row>
    <row r="22" spans="1:4" x14ac:dyDescent="0.25">
      <c r="A22">
        <v>10</v>
      </c>
      <c r="B22">
        <f t="shared" si="0"/>
        <v>0.56919999999999948</v>
      </c>
      <c r="C22">
        <f t="shared" si="1"/>
        <v>0.42630000000000001</v>
      </c>
      <c r="D22">
        <f t="shared" si="2"/>
        <v>0.42</v>
      </c>
    </row>
    <row r="23" spans="1:4" x14ac:dyDescent="0.25">
      <c r="A23">
        <v>11</v>
      </c>
      <c r="B23">
        <f t="shared" si="0"/>
        <v>0.49839999999999973</v>
      </c>
      <c r="C23">
        <f t="shared" si="1"/>
        <v>0.44392999999999999</v>
      </c>
      <c r="D23">
        <f t="shared" si="2"/>
        <v>0.432</v>
      </c>
    </row>
    <row r="24" spans="1:4" x14ac:dyDescent="0.25">
      <c r="A24">
        <v>12</v>
      </c>
      <c r="B24">
        <f t="shared" si="0"/>
        <v>0.36299999999999977</v>
      </c>
      <c r="C24">
        <f t="shared" si="1"/>
        <v>0.46155999999999997</v>
      </c>
      <c r="D24">
        <f t="shared" si="2"/>
        <v>0.44400000000000001</v>
      </c>
    </row>
    <row r="25" spans="1:4" x14ac:dyDescent="0.25">
      <c r="A25">
        <v>13</v>
      </c>
      <c r="B25">
        <f t="shared" si="0"/>
        <v>0.15040000000000031</v>
      </c>
      <c r="C25">
        <f t="shared" si="1"/>
        <v>0.47919</v>
      </c>
      <c r="D25">
        <f t="shared" si="2"/>
        <v>0.45599999999999996</v>
      </c>
    </row>
    <row r="26" spans="1:4" x14ac:dyDescent="0.25">
      <c r="A26">
        <v>14</v>
      </c>
      <c r="B26">
        <f t="shared" si="0"/>
        <v>-0.15199999999999969</v>
      </c>
      <c r="C26">
        <f t="shared" si="1"/>
        <v>0.49681999999999998</v>
      </c>
      <c r="D26">
        <f t="shared" si="2"/>
        <v>0.46799999999999997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INPUTS</vt:lpstr>
      <vt:lpstr>Diff_Traitements</vt:lpstr>
      <vt:lpstr>Fit leaf_L</vt:lpstr>
      <vt:lpstr>SL_ratio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2020-06-22T13:35:03Z</dcterms:modified>
</cp:coreProperties>
</file>