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WheatFspm\fspm-wheat\example\Scenarii_monoculms\inputs_Ljutovac5\"/>
    </mc:Choice>
  </mc:AlternateContent>
  <bookViews>
    <workbookView xWindow="0" yWindow="0" windowWidth="20490" windowHeight="7320"/>
  </bookViews>
  <sheets>
    <sheet name="INPUTS" sheetId="15" r:id="rId1"/>
    <sheet name="Diff_Traitements" sheetId="26" r:id="rId2"/>
    <sheet name="Fit leaf_L" sheetId="21" r:id="rId3"/>
    <sheet name="SL_ratio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5" l="1"/>
  <c r="L6" i="15" l="1"/>
  <c r="L5" i="15"/>
  <c r="G22" i="15"/>
  <c r="H17" i="15"/>
  <c r="H16" i="15"/>
  <c r="H18" i="15" s="1"/>
  <c r="H15" i="15"/>
  <c r="L10" i="15"/>
  <c r="L9" i="15"/>
  <c r="L8" i="15"/>
  <c r="L7" i="15"/>
  <c r="H19" i="15" l="1"/>
  <c r="H20" i="15"/>
  <c r="C12" i="26"/>
  <c r="C11" i="26"/>
  <c r="C10" i="26"/>
  <c r="C9" i="26"/>
  <c r="C8" i="26"/>
  <c r="C7" i="26"/>
  <c r="C6" i="26"/>
  <c r="D5" i="26"/>
  <c r="C5" i="26" s="1"/>
  <c r="C4" i="26"/>
  <c r="C3" i="26"/>
  <c r="D14" i="22" l="1"/>
  <c r="D15" i="22"/>
  <c r="D16" i="22"/>
  <c r="D17" i="22"/>
  <c r="D18" i="22"/>
  <c r="D19" i="22"/>
  <c r="D20" i="22"/>
  <c r="D21" i="22"/>
  <c r="D22" i="22"/>
  <c r="D23" i="22"/>
  <c r="D24" i="22"/>
  <c r="D25" i="22"/>
  <c r="D26" i="22"/>
  <c r="D13" i="22"/>
  <c r="C14" i="22" l="1"/>
  <c r="C15" i="22"/>
  <c r="C16" i="22"/>
  <c r="C17" i="22"/>
  <c r="C18" i="22"/>
  <c r="C19" i="22"/>
  <c r="C20" i="22"/>
  <c r="C21" i="22"/>
  <c r="C22" i="22"/>
  <c r="C23" i="22"/>
  <c r="C24" i="22"/>
  <c r="C25" i="22"/>
  <c r="C26" i="22"/>
  <c r="C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13" i="22"/>
  <c r="AS6" i="15" l="1"/>
  <c r="AS7" i="15"/>
  <c r="AS8" i="15"/>
  <c r="AS9" i="15"/>
  <c r="AS10" i="15"/>
  <c r="AS11" i="15"/>
  <c r="AS12" i="15"/>
  <c r="AS5" i="15"/>
  <c r="BF8" i="15" l="1"/>
  <c r="D7" i="21"/>
  <c r="D8" i="21"/>
  <c r="D9" i="21"/>
  <c r="D10" i="21"/>
  <c r="D11" i="21"/>
  <c r="D6" i="21"/>
  <c r="C7" i="21"/>
  <c r="C8" i="21"/>
  <c r="C9" i="21"/>
  <c r="C10" i="21"/>
  <c r="C11" i="21"/>
  <c r="C6" i="21"/>
  <c r="G19" i="15" l="1"/>
  <c r="G17" i="15" l="1"/>
  <c r="G18" i="15"/>
  <c r="AB16" i="15"/>
  <c r="E28" i="15" s="1"/>
  <c r="AA18" i="15"/>
  <c r="G16" i="15" l="1"/>
  <c r="G15" i="15" l="1"/>
  <c r="BA6" i="15" l="1"/>
  <c r="BA7" i="15"/>
  <c r="BA8" i="15"/>
  <c r="BA9" i="15"/>
  <c r="BA10" i="15"/>
  <c r="BA11" i="15"/>
  <c r="BA12" i="15"/>
  <c r="BA5" i="15"/>
  <c r="AW15" i="15"/>
  <c r="AA16" i="15" l="1"/>
  <c r="AA17" i="15"/>
  <c r="AA19" i="15"/>
  <c r="AA20" i="15"/>
  <c r="AA15" i="15"/>
  <c r="AV15" i="15"/>
  <c r="T31" i="15"/>
  <c r="J31" i="15"/>
  <c r="G31" i="15"/>
  <c r="F31" i="15"/>
  <c r="E31" i="15"/>
  <c r="BA25" i="15"/>
  <c r="BB23" i="15"/>
  <c r="K20" i="15"/>
  <c r="K19" i="15"/>
  <c r="L19" i="15" s="1"/>
  <c r="K18" i="15"/>
  <c r="K17" i="15"/>
  <c r="AX16" i="15"/>
  <c r="K16" i="15"/>
  <c r="P16" i="15" s="1"/>
  <c r="BH12" i="15"/>
  <c r="BF12" i="15"/>
  <c r="AI12" i="15" s="1"/>
  <c r="AL12" i="15" s="1"/>
  <c r="BC12" i="15"/>
  <c r="AM12" i="15"/>
  <c r="BH11" i="15"/>
  <c r="BF11" i="15"/>
  <c r="AI11" i="15" s="1"/>
  <c r="BC11" i="15"/>
  <c r="AM11" i="15"/>
  <c r="BH10" i="15"/>
  <c r="BF10" i="15"/>
  <c r="AI10" i="15" s="1"/>
  <c r="AK10" i="15" s="1"/>
  <c r="BC10" i="15"/>
  <c r="AM10" i="15"/>
  <c r="BH9" i="15"/>
  <c r="BF9" i="15"/>
  <c r="AI9" i="15" s="1"/>
  <c r="AK9" i="15" s="1"/>
  <c r="BC9" i="15"/>
  <c r="AM9" i="15"/>
  <c r="BH8" i="15"/>
  <c r="AI8" i="15"/>
  <c r="AK8" i="15" s="1"/>
  <c r="AG8" i="15" s="1"/>
  <c r="BC8" i="15"/>
  <c r="AM8" i="15"/>
  <c r="BH7" i="15"/>
  <c r="BF7" i="15"/>
  <c r="BC7" i="15"/>
  <c r="AM7" i="15"/>
  <c r="BH6" i="15"/>
  <c r="AJ6" i="15" s="1"/>
  <c r="AM6" i="15" s="1"/>
  <c r="BF6" i="15"/>
  <c r="AI6" i="15" s="1"/>
  <c r="AK6" i="15" s="1"/>
  <c r="AG6" i="15" s="1"/>
  <c r="BH5" i="15"/>
  <c r="AJ5" i="15" s="1"/>
  <c r="AM5" i="15" s="1"/>
  <c r="BF5" i="15"/>
  <c r="J5" i="15"/>
  <c r="K5" i="15" s="1"/>
  <c r="G5" i="15"/>
  <c r="E2" i="15"/>
  <c r="E5" i="15" s="1"/>
  <c r="W5" i="15" s="1"/>
  <c r="O19" i="15" l="1"/>
  <c r="AI7" i="15"/>
  <c r="AK7" i="15" s="1"/>
  <c r="P20" i="15"/>
  <c r="O17" i="15"/>
  <c r="W16" i="15"/>
  <c r="X16" i="15" s="1"/>
  <c r="S16" i="15" s="1"/>
  <c r="W20" i="15"/>
  <c r="X20" i="15" s="1"/>
  <c r="AE9" i="15"/>
  <c r="AG9" i="15"/>
  <c r="AX6" i="15"/>
  <c r="AX9" i="15"/>
  <c r="AX7" i="15"/>
  <c r="AX8" i="15"/>
  <c r="AX10" i="15"/>
  <c r="AX11" i="15"/>
  <c r="AX12" i="15"/>
  <c r="AX5" i="15"/>
  <c r="O15" i="15"/>
  <c r="AE10" i="15"/>
  <c r="AG10" i="15"/>
  <c r="P18" i="15"/>
  <c r="O18" i="15"/>
  <c r="W15" i="15"/>
  <c r="X15" i="15" s="1"/>
  <c r="P19" i="15"/>
  <c r="AN12" i="15"/>
  <c r="O16" i="15"/>
  <c r="E8" i="15"/>
  <c r="W8" i="15" s="1"/>
  <c r="E6" i="15"/>
  <c r="W6" i="15" s="1"/>
  <c r="E9" i="15"/>
  <c r="W9" i="15" s="1"/>
  <c r="AL9" i="15"/>
  <c r="AN9" i="15" s="1"/>
  <c r="E11" i="15"/>
  <c r="W11" i="15" s="1"/>
  <c r="O20" i="15"/>
  <c r="E7" i="15"/>
  <c r="W7" i="15" s="1"/>
  <c r="W18" i="15"/>
  <c r="X18" i="15" s="1"/>
  <c r="S18" i="15" s="1"/>
  <c r="AX15" i="15"/>
  <c r="AE8" i="15"/>
  <c r="AE6" i="15"/>
  <c r="BC5" i="15"/>
  <c r="J6" i="15"/>
  <c r="BD5" i="15"/>
  <c r="AL11" i="15"/>
  <c r="AN11" i="15" s="1"/>
  <c r="AK11" i="15"/>
  <c r="AG11" i="15" s="1"/>
  <c r="W17" i="15"/>
  <c r="X17" i="15" s="1"/>
  <c r="L15" i="15"/>
  <c r="L20" i="15"/>
  <c r="AL6" i="15"/>
  <c r="AN6" i="15" s="1"/>
  <c r="AL8" i="15"/>
  <c r="AN8" i="15" s="1"/>
  <c r="E10" i="15"/>
  <c r="W10" i="15" s="1"/>
  <c r="AL10" i="15"/>
  <c r="AN10" i="15" s="1"/>
  <c r="E12" i="15"/>
  <c r="W12" i="15" s="1"/>
  <c r="P15" i="15"/>
  <c r="L16" i="15"/>
  <c r="P17" i="15"/>
  <c r="L18" i="15"/>
  <c r="W19" i="15"/>
  <c r="N20" i="15"/>
  <c r="L17" i="15"/>
  <c r="AK12" i="15"/>
  <c r="AG12" i="15" s="1"/>
  <c r="N16" i="15" l="1"/>
  <c r="AG7" i="15"/>
  <c r="AE7" i="15"/>
  <c r="AL7" i="15"/>
  <c r="AN7" i="15" s="1"/>
  <c r="M16" i="15"/>
  <c r="M20" i="15"/>
  <c r="AD20" i="15" s="1"/>
  <c r="AE20" i="15" s="1"/>
  <c r="N18" i="15"/>
  <c r="M15" i="15"/>
  <c r="N15" i="15"/>
  <c r="M18" i="15"/>
  <c r="BE5" i="15"/>
  <c r="AI5" i="15" s="1"/>
  <c r="AK5" i="15" s="1"/>
  <c r="AG5" i="15" s="1"/>
  <c r="AE12" i="15"/>
  <c r="AE11" i="15"/>
  <c r="AD16" i="15"/>
  <c r="AE16" i="15" s="1"/>
  <c r="AY5" i="15"/>
  <c r="AY9" i="15"/>
  <c r="AH9" i="15" s="1"/>
  <c r="AY12" i="15"/>
  <c r="AH12" i="15" s="1"/>
  <c r="AY7" i="15"/>
  <c r="AH7" i="15" s="1"/>
  <c r="AY11" i="15"/>
  <c r="AH11" i="15" s="1"/>
  <c r="N17" i="15"/>
  <c r="BC6" i="15"/>
  <c r="J7" i="15"/>
  <c r="K6" i="15"/>
  <c r="BD6" i="15"/>
  <c r="X19" i="15"/>
  <c r="S19" i="15" s="1"/>
  <c r="M19" i="15"/>
  <c r="F28" i="15"/>
  <c r="M17" i="15"/>
  <c r="AD18" i="15" l="1"/>
  <c r="AE18" i="15" s="1"/>
  <c r="AD15" i="15"/>
  <c r="AE15" i="15" s="1"/>
  <c r="BE6" i="15"/>
  <c r="AF9" i="15"/>
  <c r="AU9" i="15" s="1"/>
  <c r="AV9" i="15" s="1"/>
  <c r="AL5" i="15"/>
  <c r="AN5" i="15" s="1"/>
  <c r="AF11" i="15"/>
  <c r="AU11" i="15" s="1"/>
  <c r="AV11" i="15" s="1"/>
  <c r="AE5" i="15"/>
  <c r="AF8" i="15"/>
  <c r="AY8" i="15"/>
  <c r="AH8" i="15" s="1"/>
  <c r="AY6" i="15"/>
  <c r="AC15" i="15" s="1"/>
  <c r="R15" i="15" s="1"/>
  <c r="AF6" i="15"/>
  <c r="AF12" i="15"/>
  <c r="AU12" i="15" s="1"/>
  <c r="AV12" i="15" s="1"/>
  <c r="AF7" i="15"/>
  <c r="AU7" i="15" s="1"/>
  <c r="AV7" i="15" s="1"/>
  <c r="AY10" i="15"/>
  <c r="AH10" i="15" s="1"/>
  <c r="AF10" i="15"/>
  <c r="G28" i="15"/>
  <c r="J8" i="15"/>
  <c r="K7" i="15"/>
  <c r="BD7" i="15"/>
  <c r="BE7" i="15" s="1"/>
  <c r="AH5" i="15"/>
  <c r="AF5" i="15"/>
  <c r="AD17" i="15"/>
  <c r="AE17" i="15" s="1"/>
  <c r="N19" i="15"/>
  <c r="AC19" i="15" l="1"/>
  <c r="R19" i="15" s="1"/>
  <c r="AD19" i="15"/>
  <c r="AE19" i="15" s="1"/>
  <c r="AU10" i="15"/>
  <c r="AV10" i="15" s="1"/>
  <c r="AU5" i="15"/>
  <c r="AV5" i="15" s="1"/>
  <c r="AH6" i="15"/>
  <c r="AU6" i="15" s="1"/>
  <c r="AV6" i="15" s="1"/>
  <c r="AC20" i="15"/>
  <c r="R20" i="15" s="1"/>
  <c r="AC16" i="15"/>
  <c r="R16" i="15" s="1"/>
  <c r="AC18" i="15"/>
  <c r="R18" i="15" s="1"/>
  <c r="AC17" i="15"/>
  <c r="R17" i="15" s="1"/>
  <c r="AU8" i="15"/>
  <c r="AV8" i="15" s="1"/>
  <c r="K8" i="15"/>
  <c r="J9" i="15"/>
  <c r="BD8" i="15"/>
  <c r="BE8" i="15" s="1"/>
  <c r="P33" i="15" l="1" a="1"/>
  <c r="P33" i="15" s="1"/>
  <c r="K27" i="15" s="1"/>
  <c r="Y23" i="15"/>
  <c r="J10" i="15"/>
  <c r="K9" i="15"/>
  <c r="BD9" i="15"/>
  <c r="BE9" i="15" s="1"/>
  <c r="G27" i="15" l="1"/>
  <c r="P30" i="15"/>
  <c r="E27" i="15"/>
  <c r="L27" i="15"/>
  <c r="N28" i="15"/>
  <c r="P37" i="15"/>
  <c r="F27" i="15"/>
  <c r="M27" i="15"/>
  <c r="P32" i="15"/>
  <c r="E32" i="15"/>
  <c r="F32" i="15"/>
  <c r="P42" i="15"/>
  <c r="K10" i="15"/>
  <c r="BD10" i="15"/>
  <c r="BE10" i="15" s="1"/>
  <c r="J11" i="15"/>
  <c r="P34" i="15" l="1"/>
  <c r="P38" i="15" s="1"/>
  <c r="P39" i="15"/>
  <c r="BD11" i="15"/>
  <c r="BE11" i="15" s="1"/>
  <c r="J12" i="15"/>
  <c r="K11" i="15"/>
  <c r="P40" i="15" l="1"/>
  <c r="P44" i="15"/>
  <c r="P35" i="15"/>
  <c r="P43" i="15" s="1"/>
  <c r="K12" i="15"/>
  <c r="BD12" i="15"/>
  <c r="BE12" i="15" s="1"/>
</calcChain>
</file>

<file path=xl/comments1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<sst xmlns="http://schemas.openxmlformats.org/spreadsheetml/2006/main" count="374" uniqueCount="171">
  <si>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</si>
  <si>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</si>
  <si>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</si>
  <si>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</si>
  <si>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</si>
  <si>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</si>
  <si>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</si>
  <si>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</si>
  <si>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</si>
  <si>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</si>
  <si>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</si>
  <si>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</si>
  <si>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</si>
  <si>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</si>
  <si>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</si>
  <si>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</si>
  <si>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</si>
  <si>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</si>
  <si>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</si>
  <si>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</si>
  <si>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</si>
  <si>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</si>
  <si>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</si>
  <si>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</si>
  <si>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</si>
  <si>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</si>
  <si>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</si>
  <si>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</si>
  <si>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</si>
  <si>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</si>
  <si>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</si>
  <si>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</si>
  <si>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</si>
  <si>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</si>
  <si>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</si>
  <si>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</si>
  <si>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</si>
  <si>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</si>
  <si>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</si>
  <si>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</si>
  <si>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</si>
  <si>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</si>
  <si>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</si>
  <si>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</si>
  <si>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</si>
  <si>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</si>
  <si>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</si>
  <si>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</si>
  <si>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</si>
  <si>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</si>
  <si>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</si>
  <si>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</si>
  <si>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</si>
  <si>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</si>
  <si>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</si>
  <si>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</si>
  <si>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</si>
  <si>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</si>
  <si>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</si>
  <si>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</si>
  <si>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</si>
  <si>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</si>
  <si>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</si>
  <si>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</si>
  <si>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</si>
  <si>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</si>
  <si>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</si>
  <si>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</si>
  <si>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</si>
  <si>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</si>
  <si>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</si>
  <si>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</si>
  <si>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</si>
  <si>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</si>
  <si>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</si>
  <si>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</si>
  <si>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</si>
  <si>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</si>
  <si>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</si>
  <si>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</si>
  <si>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</si>
  <si>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</si>
  <si>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</si>
  <si>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</si>
  <si>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</si>
  <si>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</si>
  <si>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</si>
  <si>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</si>
  <si>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</si>
  <si>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</si>
  <si>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</si>
  <si>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</si>
  <si>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</si>
  <si>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</si>
  <si>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</si>
  <si>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</si>
  <si>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</si>
  <si>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</si>
  <si>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</si>
  <si>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</si>
  <si>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</si>
  <si>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</si>
  <si>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</si>
  <si>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</si>
  <si>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</si>
  <si>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</si>
  <si>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</si>
  <si>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</si>
  <si>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</si>
  <si>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</si>
  <si>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</si>
  <si>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</si>
  <si>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</si>
  <si>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</si>
  <si>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</si>
  <si>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</si>
  <si>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</si>
  <si>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</si>
  <si>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</si>
  <si>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</si>
  <si>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</si>
  <si>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</si>
  <si>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</si>
  <si>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</si>
  <si>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</si>
  <si>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</si>
  <si>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</si>
  <si>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</si>
  <si>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</si>
  <si>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</si>
  <si>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</si>
  <si>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</si>
  <si>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</si>
  <si>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%Fructans</t>
  </si>
  <si>
    <t>fructans</t>
  </si>
  <si>
    <t>leaf_Wmax_int</t>
  </si>
  <si>
    <t>Wmax_init</t>
  </si>
  <si>
    <t>RER_Wmax_int</t>
  </si>
  <si>
    <t>mean_conc_sucrose</t>
  </si>
  <si>
    <t>Valeurs médianes des observations de Ljutovac 2002 le 17/12/19 (F4 pointante)</t>
  </si>
  <si>
    <t>ln(leaf_L)</t>
  </si>
  <si>
    <t>a</t>
  </si>
  <si>
    <t>b</t>
  </si>
  <si>
    <t>c</t>
  </si>
  <si>
    <t>d</t>
  </si>
  <si>
    <t>fit</t>
  </si>
  <si>
    <t>is_over</t>
  </si>
  <si>
    <t>leaf_is_remobilizing</t>
  </si>
  <si>
    <t>internode_is_remobilizing</t>
  </si>
  <si>
    <t>leaf_Lmax_em</t>
  </si>
  <si>
    <t>internode_Lmax_lig</t>
  </si>
  <si>
    <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SL_ratio_a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3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SL_ratio_b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2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SL_ratio_c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>SL_ratio_d</t>
    </r>
  </si>
  <si>
    <r>
      <t xml:space="preserve">def </t>
    </r>
    <r>
      <rPr>
        <sz val="10"/>
        <color rgb="FF000000"/>
        <rFont val="Courier New"/>
        <family val="3"/>
      </rPr>
      <t>calculate_SL_ratio</t>
    </r>
    <r>
      <rPr>
        <sz val="10"/>
        <color rgb="FF000066"/>
        <rFont val="Courier New"/>
        <family val="3"/>
      </rPr>
      <t>(</t>
    </r>
    <r>
      <rPr>
        <i/>
        <sz val="10"/>
        <color rgb="FF000066"/>
        <rFont val="Courier New"/>
        <family val="3"/>
      </rPr>
      <t>leaf_rank</t>
    </r>
    <r>
      <rPr>
        <sz val="10"/>
        <color rgb="FF000066"/>
        <rFont val="Courier New"/>
        <family val="3"/>
      </rPr>
      <t>)</t>
    </r>
    <r>
      <rPr>
        <sz val="10"/>
        <color rgb="FF333333"/>
        <rFont val="Courier New"/>
        <family val="3"/>
      </rPr>
      <t>:</t>
    </r>
  </si>
  <si>
    <r>
      <t xml:space="preserve">    </t>
    </r>
    <r>
      <rPr>
        <sz val="10"/>
        <color rgb="FF0EB242"/>
        <rFont val="Courier New"/>
        <family val="3"/>
      </rPr>
      <t>""" Sheath:Lamina final length ratio according to the rank. Parameters from Dornbush (2011).</t>
    </r>
  </si>
  <si>
    <t xml:space="preserve">SL_ratio_a </t>
  </si>
  <si>
    <t xml:space="preserve">SL_ratio_b </t>
  </si>
  <si>
    <t xml:space="preserve">SL_ratio_c </t>
  </si>
  <si>
    <t xml:space="preserve">SL_ratio_d </t>
  </si>
  <si>
    <t>SLratio_Vmodel</t>
  </si>
  <si>
    <t>SLratio_Vnew</t>
  </si>
  <si>
    <t>SLratio_Vnew2</t>
  </si>
  <si>
    <t>Wmax</t>
  </si>
  <si>
    <t xml:space="preserve">Modif </t>
  </si>
  <si>
    <t>phytomère</t>
  </si>
  <si>
    <t>Ljutovac</t>
  </si>
  <si>
    <t>Ljutovac_modif</t>
  </si>
  <si>
    <t>T_Ombrage</t>
  </si>
  <si>
    <t>T_Témoin</t>
  </si>
  <si>
    <t>Increase F1 to F2</t>
  </si>
  <si>
    <t>%</t>
  </si>
  <si>
    <t>Sheath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</si>
</sst>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E+00"/>
    <numFmt numFmtId="165" formatCode="0.000"/>
    <numFmt numFmtId="166" formatCode="0.0"/>
    <numFmt numFmtId="167" formatCode="0.000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i/>
      <sz val="10"/>
      <color rgb="FF000066"/>
      <name val="Courier New"/>
      <family val="3"/>
    </font>
    <font>
      <b/>
      <sz val="10"/>
      <color rgb="FF2D4293"/>
      <name val="Courier New"/>
      <family val="3"/>
    </font>
    <font>
      <b/>
      <sz val="10"/>
      <color rgb="FFFA0000"/>
      <name val="Courier New"/>
      <family val="3"/>
    </font>
    <font>
      <sz val="10"/>
      <color rgb="FF000066"/>
      <name val="Courier New"/>
      <family val="3"/>
    </font>
    <font>
      <sz val="10"/>
      <color rgb="FF0EB24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08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2" fillId="0" borderId="0" xfId="0" applyFont="1"/>
    <xf numFmtId="11" fontId="12" fillId="0" borderId="0" xfId="0" applyNumberFormat="1" applyFont="1"/>
    <xf numFmtId="0" fontId="13" fillId="0" borderId="0" xfId="0" applyFont="1"/>
    <xf numFmtId="11" fontId="13" fillId="0" borderId="0" xfId="0" applyNumberFormat="1" applyFont="1"/>
    <xf numFmtId="9" fontId="12" fillId="0" borderId="0" xfId="1" applyFont="1"/>
    <xf numFmtId="0" fontId="12" fillId="0" borderId="2" xfId="0" applyFont="1" applyBorder="1"/>
    <xf numFmtId="0" fontId="1" fillId="0" borderId="0" xfId="0" applyFont="1"/>
    <xf numFmtId="0" fontId="15" fillId="0" borderId="1" xfId="0" applyFont="1" applyBorder="1"/>
    <xf numFmtId="0" fontId="16" fillId="0" borderId="0" xfId="0" applyFont="1"/>
    <xf numFmtId="0" fontId="12" fillId="0" borderId="0" xfId="0" applyFont="1" applyBorder="1"/>
    <xf numFmtId="0" fontId="13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3" fillId="0" borderId="0" xfId="1" applyFont="1"/>
    <xf numFmtId="1" fontId="13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4" fillId="0" borderId="15" xfId="0" applyFont="1" applyBorder="1"/>
    <xf numFmtId="0" fontId="0" fillId="0" borderId="16" xfId="0" applyBorder="1"/>
    <xf numFmtId="0" fontId="12" fillId="0" borderId="17" xfId="0" applyFont="1" applyBorder="1"/>
    <xf numFmtId="0" fontId="14" fillId="0" borderId="18" xfId="0" applyFont="1" applyBorder="1"/>
    <xf numFmtId="0" fontId="0" fillId="0" borderId="19" xfId="0" applyBorder="1"/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2" fillId="0" borderId="4" xfId="0" applyNumberFormat="1" applyFont="1" applyBorder="1"/>
    <xf numFmtId="2" fontId="12" fillId="0" borderId="0" xfId="0" applyNumberFormat="1" applyFont="1"/>
    <xf numFmtId="0" fontId="13" fillId="0" borderId="2" xfId="0" applyFont="1" applyBorder="1"/>
    <xf numFmtId="165" fontId="13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2" fillId="0" borderId="7" xfId="0" applyFont="1" applyBorder="1"/>
    <xf numFmtId="0" fontId="0" fillId="0" borderId="20" xfId="0" applyBorder="1"/>
    <xf numFmtId="0" fontId="1" fillId="0" borderId="8" xfId="0" applyFont="1" applyBorder="1"/>
    <xf numFmtId="1" fontId="13" fillId="0" borderId="0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3" fillId="0" borderId="3" xfId="0" applyNumberFormat="1" applyFont="1" applyBorder="1"/>
    <xf numFmtId="1" fontId="13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0" fontId="4" fillId="0" borderId="0" xfId="0" applyFont="1" applyAlignment="1">
      <alignment horizontal="center" vertical="center"/>
    </xf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167" fontId="0" fillId="0" borderId="0" xfId="0" applyNumberFormat="1"/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11" fontId="16" fillId="0" borderId="0" xfId="0" applyNumberFormat="1" applyFont="1"/>
    <xf numFmtId="0" fontId="16" fillId="3" borderId="0" xfId="0" applyFont="1" applyFill="1"/>
    <xf numFmtId="167" fontId="0" fillId="3" borderId="0" xfId="0" applyNumberFormat="1" applyFill="1" applyBorder="1"/>
    <xf numFmtId="167" fontId="0" fillId="0" borderId="0" xfId="0" applyNumberFormat="1" applyFill="1" applyBorder="1"/>
    <xf numFmtId="0" fontId="2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167" fontId="16" fillId="3" borderId="0" xfId="0" applyNumberFormat="1" applyFont="1" applyFill="1"/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Etats initiaux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Diff_Traitements!$B$2</c:f>
              <c:strCache>
                <c:ptCount val="1"/>
                <c:pt idx="0">
                  <c:v>Ljutovac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Diff_Traitements!$A$3:$A$12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Diff_Traitements!$B$3:$B$12</c:f>
              <c:numCache>
                <c:formatCode>0.00E+00</c:formatCode>
                <c:ptCount val="10"/>
                <c:pt idx="0">
                  <c:v>0.1105</c:v>
                </c:pt>
                <c:pt idx="1">
                  <c:v>0.121</c:v>
                </c:pt>
                <c:pt idx="2">
                  <c:v>9.2499999999999999E-2</c:v>
                </c:pt>
                <c:pt idx="3">
                  <c:v>2.6499999999999999E-2</c:v>
                </c:pt>
                <c:pt idx="4">
                  <c:v>1.9677388526365687E-3</c:v>
                </c:pt>
                <c:pt idx="5">
                  <c:v>7.5411160325070082E-4</c:v>
                </c:pt>
                <c:pt idx="6">
                  <c:v>3.1376376813217782E-4</c:v>
                </c:pt>
                <c:pt idx="7">
                  <c:v>1.4587358230165945E-4</c:v>
                </c:pt>
                <c:pt idx="8">
                  <c:v>7.7994660715105795E-5</c:v>
                </c:pt>
                <c:pt idx="9">
                  <c:v>4.9359999623829953E-5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2-4F1E-9D2C-47662C635937}"/>
            </c:ext>
          </c:extLst>
        </c:ser>
        <c:ser>
          <c:idx val="3"/>
          <c:order val="1"/>
          <c:tx>
            <c:strRef>
              <c:f>Diff_Traitements!$D$2</c:f>
              <c:strCache>
                <c:ptCount val="1"/>
                <c:pt idx="0">
                  <c:v>T_Ombrage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Diff_Traitements!$A$3:$A$12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Diff_Traitements!$D$3:$D$12</c:f>
              <c:numCache>
                <c:formatCode>0.00E+00</c:formatCode>
                <c:ptCount val="10"/>
                <c:pt idx="0">
                  <c:v>8.7499999999999994E-2</c:v>
                </c:pt>
                <c:pt idx="1">
                  <c:v>9.7000000000000003E-2</c:v>
                </c:pt>
                <c:pt idx="2">
                  <c:v>8.3000000000000004E-2</c:v>
                </c:pt>
                <c:pt idx="3">
                  <c:v>1.325E-2</c:v>
                </c:pt>
                <c:pt idx="4">
                  <c:v>8.437500000000001E-4</c:v>
                </c:pt>
                <c:pt idx="5">
                  <c:v>3.6250000000000003E-4</c:v>
                </c:pt>
                <c:pt idx="6">
                  <c:v>1.8999999999999998E-4</c:v>
                </c:pt>
                <c:pt idx="7">
                  <c:v>1E-4</c:v>
                </c:pt>
                <c:pt idx="8">
                  <c:v>7.0000000000000007E-5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2-4F1E-9D2C-47662C635937}"/>
            </c:ext>
          </c:extLst>
        </c:ser>
        <c:ser>
          <c:idx val="0"/>
          <c:order val="2"/>
          <c:tx>
            <c:strRef>
              <c:f>Diff_Traitements!$E$2</c:f>
              <c:strCache>
                <c:ptCount val="1"/>
                <c:pt idx="0">
                  <c:v>T_Témoin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Diff_Traitements!$A$3:$A$12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Diff_Traitements!$E$3:$E$12</c:f>
              <c:numCache>
                <c:formatCode>0.00E+00</c:formatCode>
                <c:ptCount val="10"/>
                <c:pt idx="0">
                  <c:v>7.1999999999999995E-2</c:v>
                </c:pt>
                <c:pt idx="1">
                  <c:v>6.8500000000000005E-2</c:v>
                </c:pt>
                <c:pt idx="2">
                  <c:v>4.8000000000000001E-2</c:v>
                </c:pt>
                <c:pt idx="3">
                  <c:v>1.4E-2</c:v>
                </c:pt>
                <c:pt idx="4">
                  <c:v>1E-3</c:v>
                </c:pt>
                <c:pt idx="5">
                  <c:v>4.0000000000000002E-4</c:v>
                </c:pt>
                <c:pt idx="6">
                  <c:v>1.7000000000000001E-4</c:v>
                </c:pt>
                <c:pt idx="7">
                  <c:v>1.0999999999999999E-4</c:v>
                </c:pt>
                <c:pt idx="8">
                  <c:v>7.0000000000000007E-5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2-4F1E-9D2C-47662C635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426528"/>
        <c:axId val="953422368"/>
      </c:scatterChart>
      <c:valAx>
        <c:axId val="95342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Phytomère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3422368"/>
        <c:crosses val="autoZero"/>
        <c:crossBetween val="midCat"/>
      </c:valAx>
      <c:valAx>
        <c:axId val="953422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Longueur (m)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3426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leaf_L'!$B$3</c:f>
              <c:strCache>
                <c:ptCount val="1"/>
                <c:pt idx="0">
                  <c:v>leaf_L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leaf_L'!$A$4:$A$11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'Fit leaf_L'!$B$4:$B$11</c:f>
              <c:numCache>
                <c:formatCode>General</c:formatCode>
                <c:ptCount val="8"/>
                <c:pt idx="0">
                  <c:v>9.25</c:v>
                </c:pt>
                <c:pt idx="1">
                  <c:v>2.6</c:v>
                </c:pt>
                <c:pt idx="2">
                  <c:v>0.2</c:v>
                </c:pt>
                <c:pt idx="3">
                  <c:v>7.2000000000000008E-2</c:v>
                </c:pt>
                <c:pt idx="4">
                  <c:v>3.1E-2</c:v>
                </c:pt>
                <c:pt idx="5">
                  <c:v>1.6E-2</c:v>
                </c:pt>
                <c:pt idx="6">
                  <c:v>6.9999999999999993E-3</c:v>
                </c:pt>
                <c:pt idx="7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E-4303-AA42-410826D5F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leaf_L'!$C$3</c:f>
              <c:strCache>
                <c:ptCount val="1"/>
                <c:pt idx="0">
                  <c:v>ln(leaf_L)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622900262467191"/>
                  <c:y val="-8.41378681831437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'Fit leaf_L'!$A$6:$A$11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'Fit leaf_L'!$C$6:$C$11</c:f>
              <c:numCache>
                <c:formatCode>General</c:formatCode>
                <c:ptCount val="6"/>
                <c:pt idx="0">
                  <c:v>-1.6094379124341003</c:v>
                </c:pt>
                <c:pt idx="1">
                  <c:v>-2.6310891599660815</c:v>
                </c:pt>
                <c:pt idx="2">
                  <c:v>-3.473768074496991</c:v>
                </c:pt>
                <c:pt idx="3">
                  <c:v>-4.1351665567423561</c:v>
                </c:pt>
                <c:pt idx="4">
                  <c:v>-4.9618451299268242</c:v>
                </c:pt>
                <c:pt idx="5">
                  <c:v>-5.2983173665480363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2-4A1F-BB10-780CDD41A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SL ratio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SL_ratio!$B$12</c:f>
              <c:strCache>
                <c:ptCount val="1"/>
                <c:pt idx="0">
                  <c:v>SLratio_Vmodel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SL_ratio!$B$13:$B$26</c:f>
              <c:numCache>
                <c:formatCode>General</c:formatCode>
                <c:ptCount val="14"/>
                <c:pt idx="0">
                  <c:v>0.37839999999999996</c:v>
                </c:pt>
                <c:pt idx="1">
                  <c:v>0.32199999999999995</c:v>
                </c:pt>
                <c:pt idx="2">
                  <c:v>0.31439999999999996</c:v>
                </c:pt>
                <c:pt idx="3">
                  <c:v>0.34299999999999997</c:v>
                </c:pt>
                <c:pt idx="4">
                  <c:v>0.39519999999999977</c:v>
                </c:pt>
                <c:pt idx="5">
                  <c:v>0.45839999999999981</c:v>
                </c:pt>
                <c:pt idx="6">
                  <c:v>0.52</c:v>
                </c:pt>
                <c:pt idx="7">
                  <c:v>0.5673999999999999</c:v>
                </c:pt>
                <c:pt idx="8">
                  <c:v>0.58799999999999986</c:v>
                </c:pt>
                <c:pt idx="9">
                  <c:v>0.56919999999999948</c:v>
                </c:pt>
                <c:pt idx="10">
                  <c:v>0.49839999999999973</c:v>
                </c:pt>
                <c:pt idx="11">
                  <c:v>0.36299999999999977</c:v>
                </c:pt>
                <c:pt idx="12">
                  <c:v>0.15040000000000031</c:v>
                </c:pt>
                <c:pt idx="13">
                  <c:v>-0.15199999999999969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06-481C-BAC0-5898482901C7}"/>
            </c:ext>
          </c:extLst>
        </c:ser>
        <c:ser>
          <c:idx val="3"/>
          <c:order val="1"/>
          <c:tx>
            <c:strRef>
              <c:f>SL_ratio!$C$12</c:f>
              <c:strCache>
                <c:ptCount val="1"/>
                <c:pt idx="0">
                  <c:v>SLratio_Vnew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SL_ratio!$C$13:$C$26</c:f>
              <c:numCache>
                <c:formatCode>General</c:formatCode>
                <c:ptCount val="14"/>
                <c:pt idx="0">
                  <c:v>0.26762999999999998</c:v>
                </c:pt>
                <c:pt idx="1">
                  <c:v>0.28526000000000001</c:v>
                </c:pt>
                <c:pt idx="2">
                  <c:v>0.30288999999999999</c:v>
                </c:pt>
                <c:pt idx="3">
                  <c:v>0.32052000000000003</c:v>
                </c:pt>
                <c:pt idx="4">
                  <c:v>0.33815000000000001</c:v>
                </c:pt>
                <c:pt idx="5">
                  <c:v>0.35577999999999999</c:v>
                </c:pt>
                <c:pt idx="6">
                  <c:v>0.37341000000000002</c:v>
                </c:pt>
                <c:pt idx="7">
                  <c:v>0.39104</c:v>
                </c:pt>
                <c:pt idx="8">
                  <c:v>0.40866999999999998</c:v>
                </c:pt>
                <c:pt idx="9">
                  <c:v>0.42630000000000001</c:v>
                </c:pt>
                <c:pt idx="10">
                  <c:v>0.44392999999999999</c:v>
                </c:pt>
                <c:pt idx="11">
                  <c:v>0.46155999999999997</c:v>
                </c:pt>
                <c:pt idx="12">
                  <c:v>0.47919</c:v>
                </c:pt>
                <c:pt idx="13">
                  <c:v>0.49681999999999998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06-481C-BAC0-5898482901C7}"/>
            </c:ext>
          </c:extLst>
        </c:ser>
        <c:ser>
          <c:idx val="0"/>
          <c:order val="2"/>
          <c:tx>
            <c:strRef>
              <c:f>SL_ratio!$D$12</c:f>
              <c:strCache>
                <c:ptCount val="1"/>
                <c:pt idx="0">
                  <c:v>SLratio_Vnew2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SL_ratio!$D$13:$D$26</c:f>
              <c:numCache>
                <c:formatCode>General</c:formatCode>
                <c:ptCount val="14"/>
                <c:pt idx="0">
                  <c:v>0.312</c:v>
                </c:pt>
                <c:pt idx="1">
                  <c:v>0.32400000000000001</c:v>
                </c:pt>
                <c:pt idx="2">
                  <c:v>0.33599999999999997</c:v>
                </c:pt>
                <c:pt idx="3">
                  <c:v>0.34799999999999998</c:v>
                </c:pt>
                <c:pt idx="4">
                  <c:v>0.36</c:v>
                </c:pt>
                <c:pt idx="5">
                  <c:v>0.372</c:v>
                </c:pt>
                <c:pt idx="6">
                  <c:v>0.38400000000000001</c:v>
                </c:pt>
                <c:pt idx="7">
                  <c:v>0.39600000000000002</c:v>
                </c:pt>
                <c:pt idx="8">
                  <c:v>0.40799999999999997</c:v>
                </c:pt>
                <c:pt idx="9">
                  <c:v>0.42</c:v>
                </c:pt>
                <c:pt idx="10">
                  <c:v>0.432</c:v>
                </c:pt>
                <c:pt idx="11">
                  <c:v>0.44400000000000001</c:v>
                </c:pt>
                <c:pt idx="12">
                  <c:v>0.45599999999999996</c:v>
                </c:pt>
                <c:pt idx="13">
                  <c:v>0.46799999999999997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06-481C-BAC0-58984829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27551"/>
        <c:axId val="1219613823"/>
      </c:scatterChart>
      <c:valAx>
        <c:axId val="1219627551"/>
        <c:scaling>
          <c:orientation val="minMax"/>
        </c:scaling>
        <c:delete val="0"/>
        <c:axPos val="b"/>
        <c:title>
          <c:tx>
            <c:strRef>
              <c:f>SL_ratio!$A$12</c:f>
              <c:strCache>
                <c:ptCount val="1"/>
                <c:pt idx="0">
                  <c:v>metamer</c:v>
                </c:pt>
              </c:strCache>
            </c:strRef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13823"/>
        <c:crosses val="autoZero"/>
        <c:crossBetween val="midCat"/>
      </c:valAx>
      <c:valAx>
        <c:axId val="121961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SL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2755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542924</xdr:colOff>
      <xdr:row>2</xdr:row>
      <xdr:rowOff>38100</xdr:rowOff>
    </xdr:from>
    <xdr:to>
      <xdr:col>14</xdr:col>
      <xdr:colOff>419099</xdr:colOff>
      <xdr:row>22</xdr:row>
      <xdr:rowOff>57150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114300</xdr:rowOff>
    </xdr:from>
    <xdr:to>
      <xdr:col>11</xdr:col>
      <xdr:colOff>238125</xdr:colOff>
      <xdr:row>17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10</xdr:row>
      <xdr:rowOff>152400</xdr:rowOff>
    </xdr:from>
    <xdr:to>
      <xdr:col>10</xdr:col>
      <xdr:colOff>371475</xdr:colOff>
      <xdr:row>25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8</xdr:row>
      <xdr:rowOff>19050</xdr:rowOff>
    </xdr:from>
    <xdr:to>
      <xdr:col>11</xdr:col>
      <xdr:colOff>180974</xdr:colOff>
      <xdr:row>22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abSelected="1" topLeftCell="A15" workbookViewId="0">
      <selection activeCell="K33" sqref="K33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96</v>
      </c>
      <c r="B1" s="47" t="s">
        <v>97</v>
      </c>
      <c r="C1" s="48"/>
      <c r="E1" s="52" t="s">
        <v>120</v>
      </c>
      <c r="L1" s="98" t="s">
        <v>162</v>
      </c>
      <c r="M1" s="99" t="s">
        <v>168</v>
      </c>
      <c r="N1" s="100"/>
      <c r="W1" s="81" t="s">
        <v>136</v>
      </c>
      <c r="X1" s="82" t="s">
        <v>137</v>
      </c>
    </row>
    <row r="2" spans="1:60" s="27" customFormat="1" ht="15.75" thickBot="1" x14ac:dyDescent="0.3">
      <c r="A2" s="49" t="s">
        <v>96</v>
      </c>
      <c r="B2" s="50" t="s">
        <v>98</v>
      </c>
      <c r="C2" s="51"/>
      <c r="E2" s="53">
        <f xml:space="preserve"> 76.1/12*24*3600</f>
        <v>547920</v>
      </c>
      <c r="L2" s="101"/>
      <c r="M2" s="102">
        <v>5</v>
      </c>
      <c r="N2" s="103" t="s">
        <v>169</v>
      </c>
      <c r="W2" s="83">
        <v>9.9999999999999995E-7</v>
      </c>
      <c r="X2" s="83">
        <v>9.9999999999999995E-7</v>
      </c>
    </row>
    <row r="4" spans="1:60" s="2" customFormat="1" ht="15" customHeight="1" x14ac:dyDescent="0.25">
      <c r="A4" s="105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146</v>
      </c>
      <c r="AQ4" s="5" t="s">
        <v>147</v>
      </c>
      <c r="AR4" s="5" t="s">
        <v>148</v>
      </c>
      <c r="AS4" s="5" t="s">
        <v>149</v>
      </c>
      <c r="AT4" s="85" t="s">
        <v>150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105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3.04E-2</v>
      </c>
      <c r="K5" s="36">
        <f>J5-M5</f>
        <v>3.0349999999999999E-2</v>
      </c>
      <c r="L5" s="96">
        <f>0.0925*(1+$M$2/100)</f>
        <v>9.7125000000000003E-2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9.3749064881013791</v>
      </c>
      <c r="AF5" s="1">
        <f t="shared" ref="AF5:AF12" si="1">AK5*$AX5</f>
        <v>1.0486591197299389</v>
      </c>
      <c r="AG5" s="24">
        <f t="shared" ref="AG5:AG12" si="2">AK5*$BA5</f>
        <v>9.3749064881013791</v>
      </c>
      <c r="AH5" s="26">
        <f t="shared" ref="AH5:AH12" si="3">AK5*$AY5</f>
        <v>10.486591197299388</v>
      </c>
      <c r="AI5" s="1">
        <f>BE5</f>
        <v>2.123654317695053E-3</v>
      </c>
      <c r="AJ5" s="1">
        <f>BH5</f>
        <v>1.3244862745926676E-6</v>
      </c>
      <c r="AK5" s="1">
        <f>AI5+AJ5</f>
        <v>2.1249788039696457E-3</v>
      </c>
      <c r="AL5" s="1">
        <f>AI5*0.005</f>
        <v>1.0618271588475265E-5</v>
      </c>
      <c r="AM5">
        <f>AJ5*0.005</f>
        <v>6.6224313729633385E-9</v>
      </c>
      <c r="AN5">
        <f>AL5+AM5</f>
        <v>1.0624894019848227E-5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3.4738498432213636E-3</v>
      </c>
      <c r="AV5" s="56">
        <f t="shared" ref="AV5:AV12" si="5">(1-AK5/AU5)*100</f>
        <v>38.829284515098252</v>
      </c>
      <c r="AW5" s="13">
        <v>4.5999999999999996</v>
      </c>
      <c r="AX5" s="13">
        <f t="shared" ref="AX5:AX12" si="6">(($AW5/100)*(1+($AV$15+$BA5)*$E$31)-$Y$16)/(((1+1/$X$23)*(14*10^(-6)))-(($J$31/$X$23+$F$31)*$AW5/100))</f>
        <v>493.49156696102204</v>
      </c>
      <c r="AY5" s="13">
        <f t="shared" ref="AY5:AY12" si="7">$AX5/$X$23</f>
        <v>4934.91566961022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9.6936182382758988E-4</v>
      </c>
      <c r="BD5" s="7">
        <f t="shared" ref="BD5:BD12" si="9">J5*Z5</f>
        <v>2.7359999999999997E-3</v>
      </c>
      <c r="BE5" s="8">
        <f>((BD5-BC5)/($T$31-BB5))*(F5-$T$31)+BD5</f>
        <v>2.123654317695053E-3</v>
      </c>
      <c r="BF5" s="8">
        <f t="shared" ref="BF5:BF12" si="10">$T$27+$T$28*$T$30*(L5)^$T$29</f>
        <v>4.2872840415666327E-3</v>
      </c>
      <c r="BG5" s="7"/>
      <c r="BH5" s="7">
        <f t="shared" ref="BH5:BH12" si="11">$BC$20*$BB$22*$BB$24*(M5)^$BB$21</f>
        <v>1.3244862745926676E-6</v>
      </c>
    </row>
    <row r="6" spans="1:60" x14ac:dyDescent="0.25">
      <c r="A6" s="105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3.039E-2</v>
      </c>
      <c r="K6" s="36">
        <f t="shared" ref="K6:K12" si="13">J6-M6</f>
        <v>3.0380000000000001E-2</v>
      </c>
      <c r="L6" s="96">
        <f>0.0265*(1+$M$2/100)</f>
        <v>2.7824999999999999E-2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3.8192949672427607</v>
      </c>
      <c r="AF6" s="1">
        <f t="shared" si="1"/>
        <v>0.71937855644192361</v>
      </c>
      <c r="AG6" s="24">
        <f t="shared" si="2"/>
        <v>1.9096474836213804</v>
      </c>
      <c r="AH6" s="26">
        <f t="shared" si="3"/>
        <v>7.1937855644192359</v>
      </c>
      <c r="AI6" s="1">
        <f>BF6</f>
        <v>8.6553806180137772E-4</v>
      </c>
      <c r="AJ6" s="1">
        <f>BH6</f>
        <v>1.6879744031468265E-7</v>
      </c>
      <c r="AK6">
        <f t="shared" ref="AK6:AK12" si="15">AI6+AJ6</f>
        <v>8.6570685924169239E-4</v>
      </c>
      <c r="AL6">
        <f t="shared" ref="AL6:AM12" si="16">AI6*0.005</f>
        <v>4.3276903090068885E-6</v>
      </c>
      <c r="AM6">
        <f t="shared" si="16"/>
        <v>8.4398720157341326E-10</v>
      </c>
      <c r="AN6">
        <f t="shared" ref="AN6:AN12" si="17">AL6+AM6</f>
        <v>4.3285342962084616E-6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1.7164052892984067E-3</v>
      </c>
      <c r="AV6" s="56">
        <f t="shared" si="5"/>
        <v>49.562794717583493</v>
      </c>
      <c r="AW6" s="13">
        <v>6.5</v>
      </c>
      <c r="AX6" s="13">
        <f t="shared" si="6"/>
        <v>830.97245766546928</v>
      </c>
      <c r="AY6" s="13">
        <f t="shared" si="7"/>
        <v>8309.724576654693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9.6895370143606997E-4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8.6553806180137772E-4</v>
      </c>
      <c r="BG6" s="7"/>
      <c r="BH6" s="7">
        <f t="shared" si="11"/>
        <v>1.6879744031468265E-7</v>
      </c>
    </row>
    <row r="7" spans="1:60" x14ac:dyDescent="0.25">
      <c r="A7" s="105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3.039E-2</v>
      </c>
      <c r="K7" s="36">
        <f t="shared" si="13"/>
        <v>3.039E-2</v>
      </c>
      <c r="L7" s="97">
        <f>0.00196773885263657</f>
        <v>1.96773885263657E-3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0.12873040793583429</v>
      </c>
      <c r="AF7" s="1">
        <f t="shared" si="1"/>
        <v>5.3069049208309585E-2</v>
      </c>
      <c r="AG7" s="24">
        <f t="shared" si="2"/>
        <v>0</v>
      </c>
      <c r="AH7" s="26">
        <f t="shared" si="3"/>
        <v>0.53069049208309582</v>
      </c>
      <c r="AI7" s="1">
        <f>BF7</f>
        <v>2.9178892465455773E-5</v>
      </c>
      <c r="AJ7" s="1">
        <v>0</v>
      </c>
      <c r="AK7">
        <f t="shared" si="15"/>
        <v>2.9178892465455773E-5</v>
      </c>
      <c r="AL7">
        <f t="shared" si="16"/>
        <v>1.4589446232727887E-7</v>
      </c>
      <c r="AM7">
        <f t="shared" si="16"/>
        <v>0</v>
      </c>
      <c r="AN7">
        <f t="shared" si="17"/>
        <v>1.4589446232727887E-7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8.7563453056915323E-5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2.9178892465455773E-5</v>
      </c>
      <c r="BG7" s="7"/>
      <c r="BH7" s="7">
        <f t="shared" si="11"/>
        <v>0</v>
      </c>
    </row>
    <row r="8" spans="1:60" x14ac:dyDescent="0.25">
      <c r="A8" s="105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3.039E-2</v>
      </c>
      <c r="K8" s="36">
        <f t="shared" si="13"/>
        <v>3.039E-2</v>
      </c>
      <c r="L8" s="97">
        <f>0.000754111603250701</f>
        <v>7.5411160325070104E-4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3.7798204342272275E-2</v>
      </c>
      <c r="AF8" s="1">
        <f t="shared" si="1"/>
        <v>1.5582291693083403E-2</v>
      </c>
      <c r="AG8" s="24">
        <f t="shared" si="2"/>
        <v>0</v>
      </c>
      <c r="AH8" s="26">
        <f t="shared" si="3"/>
        <v>0.155822916930834</v>
      </c>
      <c r="AI8" s="1">
        <f t="shared" ref="AI8:AI12" si="22">BF8</f>
        <v>8.5675929842483821E-6</v>
      </c>
      <c r="AJ8" s="1">
        <v>0</v>
      </c>
      <c r="AK8">
        <f t="shared" si="15"/>
        <v>8.5675929842483821E-6</v>
      </c>
      <c r="AL8">
        <f t="shared" si="16"/>
        <v>4.2837964921241912E-8</v>
      </c>
      <c r="AM8">
        <f t="shared" si="16"/>
        <v>0</v>
      </c>
      <c r="AN8">
        <f t="shared" si="17"/>
        <v>4.2837964921241912E-8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2.5710640901643011E-5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8.5675929842483821E-6</v>
      </c>
      <c r="BG8" s="7"/>
      <c r="BH8" s="7">
        <f t="shared" si="11"/>
        <v>0</v>
      </c>
    </row>
    <row r="9" spans="1:60" x14ac:dyDescent="0.25">
      <c r="A9" s="105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3.039E-2</v>
      </c>
      <c r="K9" s="36">
        <f t="shared" si="13"/>
        <v>3.039E-2</v>
      </c>
      <c r="L9" s="97">
        <f>0.000313763768132178</f>
        <v>3.1376376813217798E-4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1.2381691922498217E-2</v>
      </c>
      <c r="AF9" s="1">
        <f t="shared" si="1"/>
        <v>5.1043465833240514E-3</v>
      </c>
      <c r="AG9" s="24">
        <f t="shared" si="2"/>
        <v>0</v>
      </c>
      <c r="AH9" s="26">
        <f t="shared" si="3"/>
        <v>5.1043465833240508E-2</v>
      </c>
      <c r="AI9" s="1">
        <f t="shared" si="22"/>
        <v>2.8065168357662623E-6</v>
      </c>
      <c r="AJ9" s="1">
        <v>0</v>
      </c>
      <c r="AK9">
        <f t="shared" si="15"/>
        <v>2.8065168357662623E-6</v>
      </c>
      <c r="AL9">
        <f t="shared" si="16"/>
        <v>1.4032584178831312E-8</v>
      </c>
      <c r="AM9">
        <f t="shared" si="16"/>
        <v>0</v>
      </c>
      <c r="AN9">
        <f t="shared" si="17"/>
        <v>1.4032584178831312E-8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8.4221258737972134E-6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2.8065168357662623E-6</v>
      </c>
      <c r="BG9" s="7"/>
      <c r="BH9" s="7">
        <f t="shared" si="11"/>
        <v>0</v>
      </c>
    </row>
    <row r="10" spans="1:60" x14ac:dyDescent="0.25">
      <c r="A10" s="105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3.039E-2</v>
      </c>
      <c r="K10" s="36">
        <f t="shared" si="13"/>
        <v>3.039E-2</v>
      </c>
      <c r="L10" s="97">
        <f>0.000145873582301659</f>
        <v>1.4587358230165899E-4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4.7183998739784424E-3</v>
      </c>
      <c r="AF10" s="1">
        <f t="shared" si="1"/>
        <v>1.9451580952144279E-3</v>
      </c>
      <c r="AG10" s="24">
        <f t="shared" si="2"/>
        <v>0</v>
      </c>
      <c r="AH10" s="26">
        <f t="shared" si="3"/>
        <v>1.9451580952144276E-2</v>
      </c>
      <c r="AI10" s="1">
        <f t="shared" si="22"/>
        <v>1.0695039714351136E-6</v>
      </c>
      <c r="AJ10" s="1">
        <v>0</v>
      </c>
      <c r="AK10">
        <f t="shared" si="15"/>
        <v>1.0695039714351136E-6</v>
      </c>
      <c r="AL10">
        <f t="shared" si="16"/>
        <v>5.3475198571755686E-9</v>
      </c>
      <c r="AM10">
        <f t="shared" si="16"/>
        <v>0</v>
      </c>
      <c r="AN10">
        <f t="shared" si="17"/>
        <v>5.3475198571755686E-9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3.2094933317915523E-6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1.0695039714351136E-6</v>
      </c>
      <c r="BG10" s="7"/>
      <c r="BH10" s="7">
        <f t="shared" si="11"/>
        <v>0</v>
      </c>
    </row>
    <row r="11" spans="1:60" x14ac:dyDescent="0.25">
      <c r="A11" s="105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3.039E-2</v>
      </c>
      <c r="K11" s="36">
        <f t="shared" si="13"/>
        <v>3.039E-2</v>
      </c>
      <c r="L11" s="97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25">
      <c r="A12" s="105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3.039E-2</v>
      </c>
      <c r="K12" s="36">
        <f t="shared" si="13"/>
        <v>3.039E-2</v>
      </c>
      <c r="L12" s="97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105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5" t="s">
        <v>161</v>
      </c>
      <c r="J14" s="35" t="s">
        <v>37</v>
      </c>
      <c r="K14" s="5" t="s">
        <v>27</v>
      </c>
      <c r="L14" s="5" t="s">
        <v>43</v>
      </c>
      <c r="M14" s="5" t="s">
        <v>22</v>
      </c>
      <c r="N14" s="5" t="s">
        <v>24</v>
      </c>
      <c r="O14" s="5" t="s">
        <v>23</v>
      </c>
      <c r="P14" s="5" t="s">
        <v>21</v>
      </c>
      <c r="Q14" s="5" t="s">
        <v>44</v>
      </c>
      <c r="R14" s="5" t="s">
        <v>45</v>
      </c>
      <c r="S14" s="5" t="s">
        <v>84</v>
      </c>
      <c r="T14" s="5" t="s">
        <v>64</v>
      </c>
      <c r="U14" s="12" t="s">
        <v>62</v>
      </c>
      <c r="V14" s="12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25">
      <c r="A15" s="105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95">
        <f>0.082*(1+$M$2/100)</f>
        <v>8.610000000000001E-2</v>
      </c>
      <c r="I15">
        <v>3.0000000000000001E-3</v>
      </c>
      <c r="J15" s="36" t="s">
        <v>33</v>
      </c>
      <c r="K15">
        <f>Q15*$U$15</f>
        <v>4.3071000000000003E-3</v>
      </c>
      <c r="L15">
        <f>K15*0.005</f>
        <v>2.1535500000000001E-5</v>
      </c>
      <c r="M15">
        <f t="shared" ref="M15:M20" si="23">K15*$W15</f>
        <v>1.7052025572941147</v>
      </c>
      <c r="N15">
        <f t="shared" ref="N15:N20" si="24">K15*$X15</f>
        <v>17.052025572941147</v>
      </c>
      <c r="O15">
        <f t="shared" ref="O15:O20" si="25">AA15*$K15</f>
        <v>0</v>
      </c>
      <c r="P15" s="1">
        <f t="shared" ref="P15:P20" si="26">K15*$AB$16</f>
        <v>19.001911764705884</v>
      </c>
      <c r="Q15">
        <v>2.051E-4</v>
      </c>
      <c r="R15" s="1">
        <f t="shared" ref="R15:R20" si="27">K15*$AC15</f>
        <v>0.24550470000000002</v>
      </c>
      <c r="S15">
        <v>4250</v>
      </c>
      <c r="T15">
        <v>0</v>
      </c>
      <c r="U15" s="13">
        <v>21</v>
      </c>
      <c r="V15" s="13">
        <v>4.3</v>
      </c>
      <c r="W15" s="13">
        <f t="shared" ref="W15:W20" si="28"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29">IF(F15="HiddenElement",$AA$22/100/(1-$X$33)*$X$32*10^6/$X$30,0)</f>
        <v>0</v>
      </c>
      <c r="AB15" s="72" t="s">
        <v>21</v>
      </c>
      <c r="AC15" s="13">
        <f>ROUND(X15/$AY$6*120,0)</f>
        <v>57</v>
      </c>
      <c r="AD15" s="13">
        <f t="shared" ref="AD15:AD20" si="30">K15+M15*$F$31+N15*$J$31+P15*$E$31</f>
        <v>6.6078300889138072E-3</v>
      </c>
      <c r="AE15" s="56">
        <f t="shared" ref="AE15:AE20" si="31">(1-K15/AD15)*100</f>
        <v>34.81823923974413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25">
      <c r="A16" s="105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95">
        <f>0.0285*(1+$M$2/100)</f>
        <v>2.9925000000000004E-2</v>
      </c>
      <c r="J16" s="36" t="s">
        <v>33</v>
      </c>
      <c r="K16">
        <f>H16*$U$16</f>
        <v>1.7955000000000002E-3</v>
      </c>
      <c r="L16">
        <f t="shared" ref="L16:L20" si="32">K16*0.005</f>
        <v>8.9775000000000017E-6</v>
      </c>
      <c r="M16">
        <f t="shared" si="23"/>
        <v>0.20240987996074628</v>
      </c>
      <c r="N16">
        <f t="shared" si="24"/>
        <v>2.0240987996074624</v>
      </c>
      <c r="O16">
        <f t="shared" si="25"/>
        <v>0</v>
      </c>
      <c r="P16" s="1">
        <f t="shared" si="26"/>
        <v>7.9213235294117661</v>
      </c>
      <c r="Q16">
        <v>4.2211000000000001E-4</v>
      </c>
      <c r="R16" s="1">
        <f t="shared" si="27"/>
        <v>2.8728000000000004E-2</v>
      </c>
      <c r="S16">
        <f>X16</f>
        <v>1127.3176271832149</v>
      </c>
      <c r="T16">
        <v>0</v>
      </c>
      <c r="U16" s="13">
        <v>0.06</v>
      </c>
      <c r="V16" s="13">
        <v>1.8</v>
      </c>
      <c r="W16" s="13">
        <f t="shared" si="28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29"/>
        <v>0</v>
      </c>
      <c r="AB16" s="42">
        <f>$AB$17/100/(1-$X$33)*$X$32*10^6/$X$30</f>
        <v>4411.7647058823532</v>
      </c>
      <c r="AC16" s="13">
        <f t="shared" ref="AC16:AC20" si="33">ROUND(X16/$AY$6*120,0)</f>
        <v>16</v>
      </c>
      <c r="AD16" s="13">
        <f t="shared" si="30"/>
        <v>2.2304789729974961E-3</v>
      </c>
      <c r="AE16" s="56">
        <f t="shared" si="31"/>
        <v>19.501594871030605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25">
      <c r="A17" s="105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95">
        <f>0.092*(1+$M$2/100)</f>
        <v>9.6600000000000005E-2</v>
      </c>
      <c r="I17">
        <v>3.3E-3</v>
      </c>
      <c r="J17" s="36" t="s">
        <v>33</v>
      </c>
      <c r="K17">
        <f>Q17*$U$17</f>
        <v>5.3155200000000007E-3</v>
      </c>
      <c r="L17">
        <f t="shared" si="32"/>
        <v>2.6577600000000005E-5</v>
      </c>
      <c r="M17">
        <f t="shared" si="23"/>
        <v>2.4945580374608793</v>
      </c>
      <c r="N17">
        <f t="shared" si="24"/>
        <v>24.945580374608795</v>
      </c>
      <c r="O17">
        <f t="shared" si="25"/>
        <v>0</v>
      </c>
      <c r="P17" s="1">
        <f t="shared" si="26"/>
        <v>23.450823529411768</v>
      </c>
      <c r="Q17">
        <v>2.5312000000000002E-4</v>
      </c>
      <c r="R17" s="1">
        <f t="shared" si="27"/>
        <v>0.36145536000000006</v>
      </c>
      <c r="S17">
        <v>4250</v>
      </c>
      <c r="T17">
        <v>0</v>
      </c>
      <c r="U17" s="13">
        <v>21</v>
      </c>
      <c r="V17" s="13">
        <v>4.8</v>
      </c>
      <c r="W17" s="13">
        <f t="shared" si="28"/>
        <v>469.29708428542818</v>
      </c>
      <c r="X17" s="13">
        <f t="shared" ref="X17:X20" si="34">$W17/$X$23</f>
        <v>4692.9708428542817</v>
      </c>
      <c r="Z17" s="24"/>
      <c r="AA17" s="73">
        <f t="shared" si="29"/>
        <v>0</v>
      </c>
      <c r="AB17" s="39">
        <v>10</v>
      </c>
      <c r="AC17" s="13">
        <f t="shared" si="33"/>
        <v>68</v>
      </c>
      <c r="AD17" s="13">
        <f t="shared" si="30"/>
        <v>8.557073703520322E-3</v>
      </c>
      <c r="AE17" s="56">
        <f t="shared" si="31"/>
        <v>37.881568113486829</v>
      </c>
      <c r="AF17" s="1"/>
      <c r="AG17" s="1"/>
    </row>
    <row r="18" spans="1:55" x14ac:dyDescent="0.25">
      <c r="A18" s="105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95">
        <f>H16</f>
        <v>2.9925000000000004E-2</v>
      </c>
      <c r="J18" s="36" t="s">
        <v>33</v>
      </c>
      <c r="K18">
        <f>H18*$U$18</f>
        <v>2.3940000000000003E-3</v>
      </c>
      <c r="L18">
        <f t="shared" si="32"/>
        <v>1.1970000000000002E-5</v>
      </c>
      <c r="M18">
        <f t="shared" si="23"/>
        <v>0.38400850882859683</v>
      </c>
      <c r="N18">
        <f t="shared" si="24"/>
        <v>3.8400850882859676</v>
      </c>
      <c r="O18">
        <f t="shared" si="25"/>
        <v>3.1685294117647058</v>
      </c>
      <c r="P18" s="1">
        <f t="shared" si="26"/>
        <v>10.561764705882355</v>
      </c>
      <c r="Q18">
        <v>2.4800000000000001E-4</v>
      </c>
      <c r="R18" s="1">
        <f t="shared" si="27"/>
        <v>5.5062000000000007E-2</v>
      </c>
      <c r="S18">
        <f>X18</f>
        <v>1604.0455673709137</v>
      </c>
      <c r="T18">
        <v>0</v>
      </c>
      <c r="U18" s="13">
        <v>0.08</v>
      </c>
      <c r="V18" s="13">
        <v>2.2999999999999998</v>
      </c>
      <c r="W18" s="13">
        <f t="shared" si="28"/>
        <v>160.40455673709138</v>
      </c>
      <c r="X18" s="13">
        <f t="shared" si="34"/>
        <v>1604.0455673709137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33"/>
        <v>23</v>
      </c>
      <c r="AD18" s="13">
        <f t="shared" si="30"/>
        <v>3.0916221895479963E-3</v>
      </c>
      <c r="AE18" s="56">
        <f t="shared" si="31"/>
        <v>22.564923744773303</v>
      </c>
      <c r="AF18" s="1"/>
      <c r="AG18" s="1"/>
    </row>
    <row r="19" spans="1:55" x14ac:dyDescent="0.25">
      <c r="A19" s="105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95">
        <f>G22-H18</f>
        <v>5.2499999999999769E-4</v>
      </c>
      <c r="J19" s="36" t="s">
        <v>33</v>
      </c>
      <c r="K19">
        <f>H19*$U$19</f>
        <v>4.1999999999999815E-5</v>
      </c>
      <c r="L19">
        <f t="shared" si="32"/>
        <v>2.0999999999999907E-7</v>
      </c>
      <c r="M19">
        <f t="shared" si="23"/>
        <v>6.7369913829578082E-3</v>
      </c>
      <c r="N19">
        <f t="shared" si="24"/>
        <v>6.7369913829578076E-2</v>
      </c>
      <c r="O19">
        <f t="shared" si="25"/>
        <v>0</v>
      </c>
      <c r="P19" s="1">
        <f t="shared" si="26"/>
        <v>0.18529411764705803</v>
      </c>
      <c r="Q19">
        <v>7.4100000000000002E-6</v>
      </c>
      <c r="R19" s="1">
        <f t="shared" si="27"/>
        <v>9.6599999999999572E-4</v>
      </c>
      <c r="S19">
        <f>X19</f>
        <v>1604.0455673709137</v>
      </c>
      <c r="T19">
        <v>0</v>
      </c>
      <c r="U19" s="13">
        <v>0.08</v>
      </c>
      <c r="V19" s="13">
        <v>2.2999999999999998</v>
      </c>
      <c r="W19" s="13">
        <f t="shared" si="28"/>
        <v>160.40455673709138</v>
      </c>
      <c r="X19" s="13">
        <f t="shared" si="34"/>
        <v>1604.0455673709137</v>
      </c>
      <c r="AA19" s="73">
        <f t="shared" si="29"/>
        <v>0</v>
      </c>
      <c r="AB19" s="1"/>
      <c r="AC19" s="13">
        <f t="shared" si="33"/>
        <v>23</v>
      </c>
      <c r="AD19" s="13">
        <f t="shared" si="30"/>
        <v>5.4238985781543551E-5</v>
      </c>
      <c r="AE19" s="56">
        <f t="shared" si="31"/>
        <v>22.564923744773303</v>
      </c>
      <c r="BA19" s="63" t="s">
        <v>57</v>
      </c>
      <c r="BB19" s="7" t="s">
        <v>47</v>
      </c>
      <c r="BC19" s="8">
        <v>0</v>
      </c>
    </row>
    <row r="20" spans="1:55" x14ac:dyDescent="0.25">
      <c r="A20" s="105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104">
        <f>L5-H18-H19</f>
        <v>6.6674999999999998E-2</v>
      </c>
      <c r="I20">
        <v>4.0000000000000001E-3</v>
      </c>
      <c r="J20" s="36" t="s">
        <v>31</v>
      </c>
      <c r="K20">
        <f>Q20*$U$20</f>
        <v>4.3799699999999995E-3</v>
      </c>
      <c r="L20">
        <f t="shared" si="32"/>
        <v>2.1899849999999997E-5</v>
      </c>
      <c r="M20">
        <f t="shared" si="23"/>
        <v>2.2640624066297925</v>
      </c>
      <c r="N20">
        <f t="shared" si="24"/>
        <v>22.640624066297924</v>
      </c>
      <c r="O20">
        <f t="shared" si="25"/>
        <v>0</v>
      </c>
      <c r="P20" s="1">
        <f t="shared" si="26"/>
        <v>19.323397058823527</v>
      </c>
      <c r="Q20">
        <v>2.0856999999999999E-4</v>
      </c>
      <c r="R20" s="1">
        <f t="shared" si="27"/>
        <v>0.32849774999999998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8"/>
        <v>516.91276575633913</v>
      </c>
      <c r="X20" s="14">
        <f t="shared" si="34"/>
        <v>5169.127657563391</v>
      </c>
      <c r="AA20" s="74">
        <f t="shared" si="29"/>
        <v>0</v>
      </c>
      <c r="AC20" s="14">
        <f t="shared" si="33"/>
        <v>75</v>
      </c>
      <c r="AD20" s="14">
        <f t="shared" si="30"/>
        <v>7.265989423940941E-3</v>
      </c>
      <c r="AE20" s="57">
        <f t="shared" si="31"/>
        <v>39.719565437732449</v>
      </c>
      <c r="BA20" s="63"/>
      <c r="BB20" s="7" t="s">
        <v>48</v>
      </c>
      <c r="BC20" s="7">
        <v>0.106</v>
      </c>
    </row>
    <row r="21" spans="1:55" x14ac:dyDescent="0.25">
      <c r="A21" s="2"/>
      <c r="V21" s="75"/>
      <c r="W21" s="15"/>
      <c r="X21" s="45"/>
      <c r="Z21" s="1"/>
      <c r="AN21" s="63"/>
      <c r="AO21" s="84"/>
      <c r="AP21" s="86"/>
      <c r="AQ21" s="86"/>
      <c r="AR21" s="86"/>
      <c r="AS21" s="86"/>
      <c r="AT21" s="86"/>
      <c r="AU21" s="63"/>
      <c r="AV21" s="63"/>
      <c r="AW21" s="63"/>
      <c r="AX21" s="63"/>
      <c r="AY21" s="77"/>
      <c r="AZ21" s="77"/>
      <c r="BA21" s="7" t="s">
        <v>49</v>
      </c>
      <c r="BB21" s="7">
        <v>1.28</v>
      </c>
    </row>
    <row r="22" spans="1:55" x14ac:dyDescent="0.25">
      <c r="A22" s="2"/>
      <c r="F22" s="30" t="s">
        <v>170</v>
      </c>
      <c r="G22" s="30">
        <f>0.029*(1+$M$2/100)</f>
        <v>3.0450000000000001E-2</v>
      </c>
      <c r="V22" s="27"/>
      <c r="W22" s="76"/>
      <c r="X22" s="17" t="s">
        <v>80</v>
      </c>
      <c r="Y22" s="33" t="s">
        <v>81</v>
      </c>
      <c r="AA22" s="39">
        <v>3</v>
      </c>
      <c r="AN22" s="63"/>
      <c r="AO22" s="84"/>
      <c r="AP22" s="86"/>
      <c r="AQ22" s="86"/>
      <c r="AR22" s="86"/>
      <c r="AS22" s="86"/>
      <c r="AT22" s="86"/>
      <c r="AU22" s="63"/>
      <c r="AV22" s="63"/>
      <c r="AW22" s="63"/>
      <c r="AX22" s="63"/>
      <c r="AY22" s="77"/>
      <c r="AZ22" s="77"/>
      <c r="BA22" s="7" t="s">
        <v>50</v>
      </c>
      <c r="BB22" s="7">
        <v>0.8</v>
      </c>
    </row>
    <row r="23" spans="1:55" x14ac:dyDescent="0.25">
      <c r="A23" s="2"/>
      <c r="X23" s="14">
        <v>0.1</v>
      </c>
      <c r="Y23" s="59">
        <f>(SUMPRODUCT(V15:V20,AD15:AD20)+SUMPRODUCT(AW5:AW12,AU5:AU12))/SUM(AD15:AD20,AU5:AU12)</f>
        <v>4.4118004541716784</v>
      </c>
      <c r="AA23" s="40" t="s">
        <v>104</v>
      </c>
      <c r="AN23" s="63"/>
      <c r="AO23" s="84"/>
      <c r="AP23" s="86"/>
      <c r="AQ23" s="86"/>
      <c r="AR23" s="86"/>
      <c r="AS23" s="86"/>
      <c r="AT23" s="86"/>
      <c r="AU23" s="63"/>
      <c r="AV23" s="63"/>
      <c r="AW23" s="63"/>
      <c r="AX23" s="63"/>
      <c r="AY23" s="77"/>
      <c r="AZ23" s="77"/>
      <c r="BA23" s="7" t="s">
        <v>60</v>
      </c>
      <c r="BB23" s="7">
        <f>210*3600*24/12</f>
        <v>1512000</v>
      </c>
    </row>
    <row r="24" spans="1:55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25">
      <c r="A25" s="105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25">
      <c r="A26" s="105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25">
      <c r="A27" s="105"/>
      <c r="B27">
        <v>1</v>
      </c>
      <c r="C27" t="s">
        <v>30</v>
      </c>
      <c r="D27" t="s">
        <v>68</v>
      </c>
      <c r="E27" s="24">
        <f>E28*$K$27</f>
        <v>158.14383571486232</v>
      </c>
      <c r="F27" s="24">
        <f>F28*$K$27</f>
        <v>2.152503351748507</v>
      </c>
      <c r="G27" s="24">
        <f>G28*$K$27</f>
        <v>21.525033517485067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3.5845936095368791E-2</v>
      </c>
      <c r="L27" s="24">
        <f>K27*$Y$16</f>
        <v>1.7922968047684397E-4</v>
      </c>
      <c r="M27" s="24">
        <f>M28*$K$27</f>
        <v>8.961484023842198</v>
      </c>
      <c r="N27" s="61" t="s">
        <v>112</v>
      </c>
      <c r="O27" s="17" t="s">
        <v>69</v>
      </c>
      <c r="P27" s="17" t="s">
        <v>83</v>
      </c>
      <c r="Q27" s="17" t="s">
        <v>82</v>
      </c>
      <c r="R27" s="106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25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SUM(AK5:AK12,K15:K20)/K27</f>
        <v>0.59329402558661648</v>
      </c>
      <c r="O28" s="14">
        <v>0.8</v>
      </c>
      <c r="P28" s="14">
        <v>0.1</v>
      </c>
      <c r="Q28" s="14">
        <v>1.2</v>
      </c>
      <c r="R28" s="106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25">
      <c r="F29" s="1"/>
      <c r="R29" s="106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25">
      <c r="D30" s="23" t="s">
        <v>78</v>
      </c>
      <c r="F30" s="1"/>
      <c r="O30" s="28" t="s">
        <v>116</v>
      </c>
      <c r="P30" s="29">
        <f>K27+SUM(K15:K20)+SUM(AK5:AK12)</f>
        <v>5.7113115822310739E-2</v>
      </c>
      <c r="R30" s="106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106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106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25">
      <c r="O33" s="28" t="s">
        <v>92</v>
      </c>
      <c r="P33" s="54">
        <f t="array" ref="P33">SUM(K15:K20,AK5:AK12)+SUM(AF5:AF12*F31,M15:M20*F31)+SUM(AH5:AH12*J31,N15:N20*J31)+SUM(AE5:AE12*E31,P15:P20*E31)+SUM(O15:O20*E31,AG5:AG12*E31)</f>
        <v>3.35376848395222E-2</v>
      </c>
      <c r="W33" s="28" t="s">
        <v>105</v>
      </c>
      <c r="X33" s="41">
        <v>0.2</v>
      </c>
    </row>
    <row r="34" spans="1:24" x14ac:dyDescent="0.25">
      <c r="O34" s="28" t="s">
        <v>93</v>
      </c>
      <c r="P34" s="29">
        <f>K27+E27*E31+F27*F31+G27*G31</f>
        <v>4.1922106049402746E-2</v>
      </c>
    </row>
    <row r="35" spans="1:24" ht="15" customHeight="1" x14ac:dyDescent="0.25">
      <c r="A35" s="107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7.5459790888924946E-2</v>
      </c>
      <c r="Q35" s="25"/>
    </row>
    <row r="36" spans="1:24" x14ac:dyDescent="0.25">
      <c r="A36" s="107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25">
      <c r="O37" s="28" t="s">
        <v>114</v>
      </c>
      <c r="P37" s="32">
        <f>1-SUM($AK$5:$AK$12,$K$15:$K$20)/$P$33</f>
        <v>0.36587215758316671</v>
      </c>
    </row>
    <row r="38" spans="1:24" x14ac:dyDescent="0.25">
      <c r="O38" s="28" t="s">
        <v>115</v>
      </c>
      <c r="P38" s="32">
        <f>1-$K$27/$P$34</f>
        <v>0.14493952061648685</v>
      </c>
    </row>
    <row r="39" spans="1:24" x14ac:dyDescent="0.25">
      <c r="O39" s="28" t="s">
        <v>94</v>
      </c>
      <c r="P39" s="32">
        <f>1-SUM($AK$5:$AK$12,$K$15:$K$20)/($P$33+N28/(1+N28)*P32)</f>
        <v>0.36587215758316671</v>
      </c>
    </row>
    <row r="40" spans="1:24" x14ac:dyDescent="0.25">
      <c r="O40" s="28" t="s">
        <v>95</v>
      </c>
      <c r="P40" s="32">
        <f>1-$K$27/($P$34+1/(1+N28)*P32)</f>
        <v>0.14493952061648685</v>
      </c>
    </row>
    <row r="42" spans="1:24" x14ac:dyDescent="0.25">
      <c r="O42" s="28" t="s">
        <v>110</v>
      </c>
      <c r="P42" s="60" t="e">
        <f>(F26*14*10^-6)/(E26*E31+F26*F31)*100</f>
        <v>#DIV/0!</v>
      </c>
    </row>
    <row r="43" spans="1:24" x14ac:dyDescent="0.25">
      <c r="O43" s="28" t="s">
        <v>109</v>
      </c>
      <c r="P43" s="60" t="e">
        <f>($Y$23*$P$33+$Q$28*$P$34+$P$32*$P$42)/$P$35</f>
        <v>#DIV/0!</v>
      </c>
    </row>
    <row r="44" spans="1:24" x14ac:dyDescent="0.25">
      <c r="O44" s="28" t="s">
        <v>113</v>
      </c>
      <c r="P44" s="60">
        <f>($Y$23*$P$33+$Q$28*$P$34)/($P$33+$P$34)</f>
        <v>2.6274668685207461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Normal="100" workbookViewId="0">
      <selection activeCell="E16" sqref="E16"/>
    </sheetView>
  </sheetViews>
  <sheetFormatPr baseColWidth="10" defaultRowHeight="15" x14ac:dyDescent="0.25"/>
  <sheetData>
    <row r="2" spans="1:7" x14ac:dyDescent="0.25">
      <c r="A2" s="5" t="s">
        <v>163</v>
      </c>
      <c r="B2" s="5" t="s">
        <v>164</v>
      </c>
      <c r="C2" s="5" t="s">
        <v>165</v>
      </c>
      <c r="D2" s="5" t="s">
        <v>166</v>
      </c>
      <c r="E2" s="5" t="s">
        <v>167</v>
      </c>
      <c r="F2" s="5"/>
      <c r="G2" s="5"/>
    </row>
    <row r="3" spans="1:7" x14ac:dyDescent="0.25">
      <c r="A3">
        <v>1</v>
      </c>
      <c r="B3" s="94">
        <v>0.1105</v>
      </c>
      <c r="C3" s="94">
        <f>B3*F3</f>
        <v>0</v>
      </c>
      <c r="D3" s="94">
        <v>8.7499999999999994E-2</v>
      </c>
      <c r="E3" s="94">
        <v>7.1999999999999995E-2</v>
      </c>
      <c r="F3" s="24"/>
      <c r="G3" s="24"/>
    </row>
    <row r="4" spans="1:7" x14ac:dyDescent="0.25">
      <c r="A4">
        <v>2</v>
      </c>
      <c r="B4" s="94">
        <v>0.121</v>
      </c>
      <c r="C4" s="94">
        <f t="shared" ref="C4:C12" si="0">B4*F4</f>
        <v>0</v>
      </c>
      <c r="D4" s="94">
        <v>9.7000000000000003E-2</v>
      </c>
      <c r="E4" s="94">
        <v>6.8500000000000005E-2</v>
      </c>
      <c r="F4" s="24"/>
      <c r="G4" s="24"/>
    </row>
    <row r="5" spans="1:7" x14ac:dyDescent="0.25">
      <c r="A5">
        <v>3</v>
      </c>
      <c r="B5" s="94">
        <v>9.2499999999999999E-2</v>
      </c>
      <c r="C5" s="94">
        <f t="shared" si="0"/>
        <v>0</v>
      </c>
      <c r="D5" s="94">
        <f>0.083</f>
        <v>8.3000000000000004E-2</v>
      </c>
      <c r="E5" s="94">
        <v>4.8000000000000001E-2</v>
      </c>
      <c r="F5" s="24"/>
      <c r="G5" s="24"/>
    </row>
    <row r="6" spans="1:7" x14ac:dyDescent="0.25">
      <c r="A6">
        <v>4</v>
      </c>
      <c r="B6" s="94">
        <v>2.6499999999999999E-2</v>
      </c>
      <c r="C6" s="94">
        <f t="shared" si="0"/>
        <v>0</v>
      </c>
      <c r="D6" s="94">
        <v>1.325E-2</v>
      </c>
      <c r="E6" s="94">
        <v>1.4E-2</v>
      </c>
      <c r="F6" s="24"/>
      <c r="G6" s="24"/>
    </row>
    <row r="7" spans="1:7" x14ac:dyDescent="0.25">
      <c r="A7">
        <v>5</v>
      </c>
      <c r="B7" s="94">
        <v>1.9677388526365687E-3</v>
      </c>
      <c r="C7" s="94">
        <f t="shared" si="0"/>
        <v>0</v>
      </c>
      <c r="D7" s="94">
        <v>8.437500000000001E-4</v>
      </c>
      <c r="E7" s="94">
        <v>1E-3</v>
      </c>
      <c r="F7" s="24"/>
      <c r="G7" s="24"/>
    </row>
    <row r="8" spans="1:7" x14ac:dyDescent="0.25">
      <c r="A8">
        <v>6</v>
      </c>
      <c r="B8" s="94">
        <v>7.5411160325070082E-4</v>
      </c>
      <c r="C8" s="94">
        <f t="shared" si="0"/>
        <v>0</v>
      </c>
      <c r="D8" s="94">
        <v>3.6250000000000003E-4</v>
      </c>
      <c r="E8" s="94">
        <v>4.0000000000000002E-4</v>
      </c>
      <c r="F8" s="24"/>
      <c r="G8" s="24"/>
    </row>
    <row r="9" spans="1:7" x14ac:dyDescent="0.25">
      <c r="A9">
        <v>7</v>
      </c>
      <c r="B9" s="94">
        <v>3.1376376813217782E-4</v>
      </c>
      <c r="C9" s="94">
        <f t="shared" si="0"/>
        <v>0</v>
      </c>
      <c r="D9" s="94">
        <v>1.8999999999999998E-4</v>
      </c>
      <c r="E9" s="94">
        <v>1.7000000000000001E-4</v>
      </c>
      <c r="F9" s="24"/>
      <c r="G9" s="24"/>
    </row>
    <row r="10" spans="1:7" x14ac:dyDescent="0.25">
      <c r="A10">
        <v>8</v>
      </c>
      <c r="B10" s="94">
        <v>1.4587358230165945E-4</v>
      </c>
      <c r="C10" s="94">
        <f t="shared" si="0"/>
        <v>0</v>
      </c>
      <c r="D10" s="94">
        <v>1E-4</v>
      </c>
      <c r="E10" s="94">
        <v>1.0999999999999999E-4</v>
      </c>
      <c r="F10" s="24"/>
      <c r="G10" s="24"/>
    </row>
    <row r="11" spans="1:7" x14ac:dyDescent="0.25">
      <c r="A11">
        <v>9</v>
      </c>
      <c r="B11" s="94">
        <v>7.7994660715105795E-5</v>
      </c>
      <c r="C11" s="94">
        <f t="shared" si="0"/>
        <v>0</v>
      </c>
      <c r="D11" s="94">
        <v>7.0000000000000007E-5</v>
      </c>
      <c r="E11" s="94">
        <v>7.0000000000000007E-5</v>
      </c>
      <c r="F11" s="24"/>
      <c r="G11" s="24"/>
    </row>
    <row r="12" spans="1:7" x14ac:dyDescent="0.25">
      <c r="A12">
        <v>10</v>
      </c>
      <c r="B12" s="94">
        <v>4.9359999623829953E-5</v>
      </c>
      <c r="C12" s="94">
        <f t="shared" si="0"/>
        <v>0</v>
      </c>
      <c r="D12" s="9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baseColWidth="10" defaultRowHeight="15" x14ac:dyDescent="0.25"/>
  <sheetData>
    <row r="1" spans="1:4" x14ac:dyDescent="0.25">
      <c r="A1" s="2" t="s">
        <v>139</v>
      </c>
    </row>
    <row r="3" spans="1:4" x14ac:dyDescent="0.25">
      <c r="A3" s="87" t="s">
        <v>2</v>
      </c>
      <c r="B3" s="87" t="s">
        <v>9</v>
      </c>
      <c r="C3" s="87" t="s">
        <v>140</v>
      </c>
      <c r="D3" s="88" t="s">
        <v>145</v>
      </c>
    </row>
    <row r="4" spans="1:4" x14ac:dyDescent="0.25">
      <c r="A4">
        <v>3</v>
      </c>
      <c r="B4">
        <v>9.25</v>
      </c>
    </row>
    <row r="5" spans="1:4" x14ac:dyDescent="0.25">
      <c r="A5">
        <v>4</v>
      </c>
      <c r="B5">
        <v>2.6</v>
      </c>
    </row>
    <row r="6" spans="1:4" x14ac:dyDescent="0.25">
      <c r="A6">
        <v>5</v>
      </c>
      <c r="B6">
        <v>0.2</v>
      </c>
      <c r="C6">
        <f>LN(B6)</f>
        <v>-1.6094379124341003</v>
      </c>
      <c r="D6" s="89">
        <f>EXP($B$17*A6^3+$B$18*A6^2+$B$19*A6+$B$20)</f>
        <v>0.19677388526365688</v>
      </c>
    </row>
    <row r="7" spans="1:4" x14ac:dyDescent="0.25">
      <c r="A7">
        <v>6</v>
      </c>
      <c r="B7">
        <v>7.2000000000000008E-2</v>
      </c>
      <c r="C7">
        <f t="shared" ref="C7:C11" si="0">LN(B7)</f>
        <v>-2.6310891599660815</v>
      </c>
      <c r="D7" s="89">
        <f t="shared" ref="D7:D11" si="1">EXP($B$17*A7^3+$B$18*A7^2+$B$19*A7+$B$20)</f>
        <v>7.5411160325070087E-2</v>
      </c>
    </row>
    <row r="8" spans="1:4" x14ac:dyDescent="0.25">
      <c r="A8">
        <v>7</v>
      </c>
      <c r="B8">
        <v>3.1E-2</v>
      </c>
      <c r="C8">
        <f t="shared" si="0"/>
        <v>-3.473768074496991</v>
      </c>
      <c r="D8" s="89">
        <f t="shared" si="1"/>
        <v>3.1376376813217782E-2</v>
      </c>
    </row>
    <row r="9" spans="1:4" x14ac:dyDescent="0.25">
      <c r="A9">
        <v>8</v>
      </c>
      <c r="B9">
        <v>1.6E-2</v>
      </c>
      <c r="C9">
        <f t="shared" si="0"/>
        <v>-4.1351665567423561</v>
      </c>
      <c r="D9" s="89">
        <f t="shared" si="1"/>
        <v>1.4587358230165945E-2</v>
      </c>
    </row>
    <row r="10" spans="1:4" x14ac:dyDescent="0.25">
      <c r="A10">
        <v>9</v>
      </c>
      <c r="B10">
        <v>6.9999999999999993E-3</v>
      </c>
      <c r="C10">
        <f t="shared" si="0"/>
        <v>-4.9618451299268242</v>
      </c>
      <c r="D10" s="89">
        <f t="shared" si="1"/>
        <v>7.7994660715105801E-3</v>
      </c>
    </row>
    <row r="11" spans="1:4" x14ac:dyDescent="0.25">
      <c r="A11">
        <v>10</v>
      </c>
      <c r="B11">
        <v>5.0000000000000001E-3</v>
      </c>
      <c r="C11">
        <f t="shared" si="0"/>
        <v>-5.2983173665480363</v>
      </c>
      <c r="D11" s="89">
        <f t="shared" si="1"/>
        <v>4.9359999623829953E-3</v>
      </c>
    </row>
    <row r="17" spans="1:2" x14ac:dyDescent="0.25">
      <c r="A17" t="s">
        <v>141</v>
      </c>
      <c r="B17">
        <v>4.7999999999999996E-3</v>
      </c>
    </row>
    <row r="18" spans="1:2" x14ac:dyDescent="0.25">
      <c r="A18" t="s">
        <v>142</v>
      </c>
      <c r="B18">
        <v>-4.53E-2</v>
      </c>
    </row>
    <row r="19" spans="1:2" x14ac:dyDescent="0.25">
      <c r="A19" t="s">
        <v>143</v>
      </c>
      <c r="B19">
        <v>-0.89759999999999995</v>
      </c>
    </row>
    <row r="20" spans="1:2" x14ac:dyDescent="0.25">
      <c r="A20" t="s">
        <v>144</v>
      </c>
      <c r="B20">
        <v>3.3948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G27" sqref="G27"/>
    </sheetView>
  </sheetViews>
  <sheetFormatPr baseColWidth="10" defaultRowHeight="15" x14ac:dyDescent="0.25"/>
  <sheetData>
    <row r="1" spans="1:4" x14ac:dyDescent="0.25">
      <c r="A1" s="91" t="s">
        <v>152</v>
      </c>
    </row>
    <row r="2" spans="1:4" x14ac:dyDescent="0.25">
      <c r="A2" s="92" t="s">
        <v>153</v>
      </c>
    </row>
    <row r="4" spans="1:4" x14ac:dyDescent="0.25">
      <c r="B4" s="90" t="s">
        <v>151</v>
      </c>
    </row>
    <row r="6" spans="1:4" x14ac:dyDescent="0.25">
      <c r="A6" s="90" t="s">
        <v>154</v>
      </c>
      <c r="B6">
        <v>-2.0999999999999999E-3</v>
      </c>
      <c r="C6">
        <v>0</v>
      </c>
      <c r="D6">
        <v>0</v>
      </c>
    </row>
    <row r="7" spans="1:4" x14ac:dyDescent="0.25">
      <c r="A7" s="93" t="s">
        <v>155</v>
      </c>
      <c r="B7">
        <v>3.6999999999999998E-2</v>
      </c>
      <c r="C7">
        <v>0</v>
      </c>
      <c r="D7">
        <v>0</v>
      </c>
    </row>
    <row r="8" spans="1:4" x14ac:dyDescent="0.25">
      <c r="A8" s="93" t="s">
        <v>156</v>
      </c>
      <c r="B8">
        <v>-0.1527</v>
      </c>
      <c r="C8">
        <v>1.763E-2</v>
      </c>
      <c r="D8">
        <v>1.2E-2</v>
      </c>
    </row>
    <row r="9" spans="1:4" x14ac:dyDescent="0.25">
      <c r="A9" s="93" t="s">
        <v>157</v>
      </c>
      <c r="B9">
        <v>0.49619999999999997</v>
      </c>
      <c r="C9">
        <v>0.25</v>
      </c>
      <c r="D9">
        <v>0.3</v>
      </c>
    </row>
    <row r="12" spans="1:4" x14ac:dyDescent="0.25">
      <c r="A12" t="s">
        <v>2</v>
      </c>
      <c r="B12" s="93" t="s">
        <v>158</v>
      </c>
      <c r="C12" t="s">
        <v>159</v>
      </c>
      <c r="D12" t="s">
        <v>160</v>
      </c>
    </row>
    <row r="13" spans="1:4" x14ac:dyDescent="0.25">
      <c r="A13">
        <v>1</v>
      </c>
      <c r="B13">
        <f>$B$6*$A13^3 + $B$7*$A13^2 + $B$8*$A13 + $B$9</f>
        <v>0.37839999999999996</v>
      </c>
      <c r="C13">
        <f>$C$6*$A13^3 + $C$7*$A13^2 + $C$8*$A13 + $C$9</f>
        <v>0.26762999999999998</v>
      </c>
      <c r="D13">
        <f>$D$6*$A13^3 + $D$7*$A13^2 + $D$8*$A13 + $D$9</f>
        <v>0.312</v>
      </c>
    </row>
    <row r="14" spans="1:4" x14ac:dyDescent="0.25">
      <c r="A14">
        <v>2</v>
      </c>
      <c r="B14">
        <f t="shared" ref="B14:B26" si="0">$B$6*$A14^3 + $B$7*$A14^2 + $B$8*$A14 + $B$9</f>
        <v>0.32199999999999995</v>
      </c>
      <c r="C14">
        <f t="shared" ref="C14:C26" si="1">$C$6*$A14^3 + $C$7*$A14^2 + $C$8*$A14 + $C$9</f>
        <v>0.28526000000000001</v>
      </c>
      <c r="D14">
        <f t="shared" ref="D14:D26" si="2">$D$6*$A14^3 + $D$7*$A14^2 + $D$8*$A14 + $D$9</f>
        <v>0.32400000000000001</v>
      </c>
    </row>
    <row r="15" spans="1:4" x14ac:dyDescent="0.25">
      <c r="A15">
        <v>3</v>
      </c>
      <c r="B15">
        <f t="shared" si="0"/>
        <v>0.31439999999999996</v>
      </c>
      <c r="C15">
        <f t="shared" si="1"/>
        <v>0.30288999999999999</v>
      </c>
      <c r="D15">
        <f t="shared" si="2"/>
        <v>0.33599999999999997</v>
      </c>
    </row>
    <row r="16" spans="1:4" x14ac:dyDescent="0.25">
      <c r="A16">
        <v>4</v>
      </c>
      <c r="B16">
        <f t="shared" si="0"/>
        <v>0.34299999999999997</v>
      </c>
      <c r="C16">
        <f t="shared" si="1"/>
        <v>0.32052000000000003</v>
      </c>
      <c r="D16">
        <f t="shared" si="2"/>
        <v>0.34799999999999998</v>
      </c>
    </row>
    <row r="17" spans="1:4" x14ac:dyDescent="0.25">
      <c r="A17">
        <v>5</v>
      </c>
      <c r="B17">
        <f t="shared" si="0"/>
        <v>0.39519999999999977</v>
      </c>
      <c r="C17">
        <f t="shared" si="1"/>
        <v>0.33815000000000001</v>
      </c>
      <c r="D17">
        <f t="shared" si="2"/>
        <v>0.36</v>
      </c>
    </row>
    <row r="18" spans="1:4" x14ac:dyDescent="0.25">
      <c r="A18">
        <v>6</v>
      </c>
      <c r="B18">
        <f t="shared" si="0"/>
        <v>0.45839999999999981</v>
      </c>
      <c r="C18">
        <f t="shared" si="1"/>
        <v>0.35577999999999999</v>
      </c>
      <c r="D18">
        <f t="shared" si="2"/>
        <v>0.372</v>
      </c>
    </row>
    <row r="19" spans="1:4" x14ac:dyDescent="0.25">
      <c r="A19">
        <v>7</v>
      </c>
      <c r="B19">
        <f t="shared" si="0"/>
        <v>0.52</v>
      </c>
      <c r="C19">
        <f t="shared" si="1"/>
        <v>0.37341000000000002</v>
      </c>
      <c r="D19">
        <f t="shared" si="2"/>
        <v>0.38400000000000001</v>
      </c>
    </row>
    <row r="20" spans="1:4" x14ac:dyDescent="0.25">
      <c r="A20">
        <v>8</v>
      </c>
      <c r="B20">
        <f t="shared" si="0"/>
        <v>0.5673999999999999</v>
      </c>
      <c r="C20">
        <f t="shared" si="1"/>
        <v>0.39104</v>
      </c>
      <c r="D20">
        <f t="shared" si="2"/>
        <v>0.39600000000000002</v>
      </c>
    </row>
    <row r="21" spans="1:4" x14ac:dyDescent="0.25">
      <c r="A21">
        <v>9</v>
      </c>
      <c r="B21">
        <f t="shared" si="0"/>
        <v>0.58799999999999986</v>
      </c>
      <c r="C21">
        <f t="shared" si="1"/>
        <v>0.40866999999999998</v>
      </c>
      <c r="D21">
        <f t="shared" si="2"/>
        <v>0.40799999999999997</v>
      </c>
    </row>
    <row r="22" spans="1:4" x14ac:dyDescent="0.25">
      <c r="A22">
        <v>10</v>
      </c>
      <c r="B22">
        <f t="shared" si="0"/>
        <v>0.56919999999999948</v>
      </c>
      <c r="C22">
        <f t="shared" si="1"/>
        <v>0.42630000000000001</v>
      </c>
      <c r="D22">
        <f t="shared" si="2"/>
        <v>0.42</v>
      </c>
    </row>
    <row r="23" spans="1:4" x14ac:dyDescent="0.25">
      <c r="A23">
        <v>11</v>
      </c>
      <c r="B23">
        <f t="shared" si="0"/>
        <v>0.49839999999999973</v>
      </c>
      <c r="C23">
        <f t="shared" si="1"/>
        <v>0.44392999999999999</v>
      </c>
      <c r="D23">
        <f t="shared" si="2"/>
        <v>0.432</v>
      </c>
    </row>
    <row r="24" spans="1:4" x14ac:dyDescent="0.25">
      <c r="A24">
        <v>12</v>
      </c>
      <c r="B24">
        <f t="shared" si="0"/>
        <v>0.36299999999999977</v>
      </c>
      <c r="C24">
        <f t="shared" si="1"/>
        <v>0.46155999999999997</v>
      </c>
      <c r="D24">
        <f t="shared" si="2"/>
        <v>0.44400000000000001</v>
      </c>
    </row>
    <row r="25" spans="1:4" x14ac:dyDescent="0.25">
      <c r="A25">
        <v>13</v>
      </c>
      <c r="B25">
        <f t="shared" si="0"/>
        <v>0.15040000000000031</v>
      </c>
      <c r="C25">
        <f t="shared" si="1"/>
        <v>0.47919</v>
      </c>
      <c r="D25">
        <f t="shared" si="2"/>
        <v>0.45599999999999996</v>
      </c>
    </row>
    <row r="26" spans="1:4" x14ac:dyDescent="0.25">
      <c r="A26">
        <v>14</v>
      </c>
      <c r="B26">
        <f t="shared" si="0"/>
        <v>-0.15199999999999969</v>
      </c>
      <c r="C26">
        <f t="shared" si="1"/>
        <v>0.49681999999999998</v>
      </c>
      <c r="D26">
        <f t="shared" si="2"/>
        <v>0.46799999999999997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INPUTS</vt:lpstr>
      <vt:lpstr>Diff_Traitements</vt:lpstr>
      <vt:lpstr>Fit leaf_L</vt:lpstr>
      <vt:lpstr>SL_ratio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2020-06-22T13:51:41Z</dcterms:modified>
</cp:coreProperties>
</file>