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WheatFspm\fspm-wheat\example\Scenarii_monoculms\inputs_O1\"/>
    </mc:Choice>
  </mc:AlternateContent>
  <bookViews>
    <workbookView xWindow="0" yWindow="0" windowWidth="20490" windowHeight="7320"/>
  </bookViews>
  <sheets>
    <sheet name="INPUTS O1" sheetId="15" r:id="rId1"/>
    <sheet name="SSLW et LSSW" sheetId="30" r:id="rId2"/>
    <sheet name="Scans_F4point" sheetId="25" r:id="rId3"/>
    <sheet name="Scans_OrganesVisibles" sheetId="26" r:id="rId4"/>
    <sheet name="Scans_Largeur_ttes_Dates" sheetId="28" r:id="rId5"/>
    <sheet name="Prelevement_Profils_Longueurs_P" sheetId="2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6" i="15" l="1"/>
  <c r="W18" i="15"/>
  <c r="W19" i="15"/>
  <c r="E36" i="15"/>
  <c r="AC5" i="15"/>
  <c r="Y5" i="15"/>
  <c r="I13" i="28" l="1"/>
  <c r="L20" i="29" l="1"/>
  <c r="L19" i="29"/>
  <c r="K15" i="15"/>
  <c r="W15" i="15" s="1"/>
  <c r="N29" i="26"/>
  <c r="M29" i="26"/>
  <c r="N27" i="26"/>
  <c r="N26" i="26"/>
  <c r="N25" i="26"/>
  <c r="M27" i="26"/>
  <c r="M26" i="26"/>
  <c r="M25" i="26"/>
  <c r="E8" i="26"/>
  <c r="E3" i="26"/>
  <c r="E9" i="26"/>
  <c r="E4" i="26"/>
  <c r="E10" i="26"/>
  <c r="E5" i="26"/>
  <c r="E11" i="26"/>
  <c r="E6" i="26"/>
  <c r="E12" i="26"/>
  <c r="E14" i="26"/>
  <c r="E18" i="26"/>
  <c r="E15" i="26"/>
  <c r="E19" i="26"/>
  <c r="E16" i="26"/>
  <c r="E20" i="26"/>
  <c r="E7" i="26"/>
  <c r="E13" i="26"/>
  <c r="E17" i="26"/>
  <c r="E21" i="26"/>
  <c r="E2" i="26"/>
  <c r="D8" i="26"/>
  <c r="D3" i="26"/>
  <c r="D9" i="26"/>
  <c r="D4" i="26"/>
  <c r="D10" i="26"/>
  <c r="D5" i="26"/>
  <c r="D11" i="26"/>
  <c r="D6" i="26"/>
  <c r="D12" i="26"/>
  <c r="D14" i="26"/>
  <c r="D18" i="26"/>
  <c r="D15" i="26"/>
  <c r="D19" i="26"/>
  <c r="D16" i="26"/>
  <c r="D20" i="26"/>
  <c r="D7" i="26"/>
  <c r="D13" i="26"/>
  <c r="D17" i="26"/>
  <c r="D21" i="26"/>
  <c r="D2" i="26"/>
  <c r="R17" i="25" l="1"/>
  <c r="J17" i="25"/>
  <c r="Y15" i="25"/>
  <c r="X15" i="25"/>
  <c r="W15" i="25"/>
  <c r="V15" i="25"/>
  <c r="U15" i="25"/>
  <c r="T15" i="25"/>
  <c r="S15" i="25"/>
  <c r="R15" i="25"/>
  <c r="Q15" i="25"/>
  <c r="P15" i="25"/>
  <c r="N15" i="25"/>
  <c r="M15" i="25"/>
  <c r="L15" i="25"/>
  <c r="K15" i="25"/>
  <c r="J15" i="25"/>
  <c r="I15" i="25"/>
  <c r="H15" i="25"/>
  <c r="G15" i="25"/>
  <c r="Y14" i="25"/>
  <c r="X14" i="25"/>
  <c r="W14" i="25"/>
  <c r="V14" i="25"/>
  <c r="U14" i="25"/>
  <c r="T14" i="25"/>
  <c r="S14" i="25"/>
  <c r="R14" i="25"/>
  <c r="Q14" i="25"/>
  <c r="P14" i="25"/>
  <c r="N14" i="25"/>
  <c r="M14" i="25"/>
  <c r="L14" i="25"/>
  <c r="K14" i="25"/>
  <c r="J14" i="25"/>
  <c r="I14" i="25"/>
  <c r="H14" i="25"/>
  <c r="G14" i="25"/>
  <c r="Y13" i="25"/>
  <c r="Y17" i="25" s="1"/>
  <c r="X13" i="25"/>
  <c r="X17" i="25" s="1"/>
  <c r="W13" i="25"/>
  <c r="W17" i="25" s="1"/>
  <c r="V13" i="25"/>
  <c r="V17" i="25" s="1"/>
  <c r="U13" i="25"/>
  <c r="U17" i="25" s="1"/>
  <c r="T13" i="25"/>
  <c r="T17" i="25" s="1"/>
  <c r="S13" i="25"/>
  <c r="S17" i="25" s="1"/>
  <c r="R13" i="25"/>
  <c r="Q13" i="25"/>
  <c r="Q17" i="25" s="1"/>
  <c r="P13" i="25"/>
  <c r="P17" i="25" s="1"/>
  <c r="N13" i="25"/>
  <c r="N17" i="25" s="1"/>
  <c r="M13" i="25"/>
  <c r="M17" i="25" s="1"/>
  <c r="L13" i="25"/>
  <c r="L17" i="25" s="1"/>
  <c r="K13" i="25"/>
  <c r="K17" i="25" s="1"/>
  <c r="J13" i="25"/>
  <c r="I13" i="25"/>
  <c r="I17" i="25" s="1"/>
  <c r="H13" i="25"/>
  <c r="H17" i="25" s="1"/>
  <c r="G13" i="25"/>
  <c r="G17" i="25" s="1"/>
  <c r="O11" i="25"/>
  <c r="O10" i="25"/>
  <c r="O9" i="25"/>
  <c r="O8" i="25"/>
  <c r="O7" i="25"/>
  <c r="O6" i="25"/>
  <c r="O5" i="25"/>
  <c r="O4" i="25"/>
  <c r="O3" i="25"/>
  <c r="O2" i="25"/>
  <c r="O14" i="25" s="1"/>
  <c r="T31" i="15"/>
  <c r="J31" i="15"/>
  <c r="G31" i="15"/>
  <c r="F31" i="15"/>
  <c r="E31" i="15"/>
  <c r="P42" i="15" s="1"/>
  <c r="BA25" i="15"/>
  <c r="BE23" i="15"/>
  <c r="AD20" i="15"/>
  <c r="K20" i="15"/>
  <c r="AD19" i="15"/>
  <c r="H19" i="15"/>
  <c r="K19" i="15" s="1"/>
  <c r="M19" i="15" s="1"/>
  <c r="G19" i="15"/>
  <c r="G18" i="15" s="1"/>
  <c r="AD18" i="15"/>
  <c r="H18" i="15"/>
  <c r="K18" i="15" s="1"/>
  <c r="M18" i="15" s="1"/>
  <c r="AD17" i="15"/>
  <c r="K17" i="15"/>
  <c r="BA16" i="15"/>
  <c r="AE16" i="15"/>
  <c r="AD16" i="15"/>
  <c r="K16" i="15"/>
  <c r="M16" i="15" s="1"/>
  <c r="AZ15" i="15"/>
  <c r="AY15" i="15"/>
  <c r="AD15" i="15"/>
  <c r="P15" i="15"/>
  <c r="M15" i="15"/>
  <c r="BH12" i="15"/>
  <c r="BF12" i="15"/>
  <c r="BD12" i="15"/>
  <c r="BC12" i="15"/>
  <c r="BE12" i="15" s="1"/>
  <c r="BA12" i="15"/>
  <c r="BH11" i="15"/>
  <c r="BF11" i="15"/>
  <c r="AI11" i="15" s="1"/>
  <c r="AL11" i="15" s="1"/>
  <c r="BC11" i="15"/>
  <c r="BA11" i="15"/>
  <c r="AS11" i="15"/>
  <c r="AM11" i="15"/>
  <c r="BH10" i="15"/>
  <c r="BF10" i="15"/>
  <c r="AI10" i="15" s="1"/>
  <c r="AL10" i="15" s="1"/>
  <c r="AN10" i="15" s="1"/>
  <c r="BC10" i="15"/>
  <c r="BA10" i="15"/>
  <c r="AS10" i="15"/>
  <c r="AM10" i="15"/>
  <c r="BH9" i="15"/>
  <c r="BF9" i="15"/>
  <c r="AI9" i="15" s="1"/>
  <c r="AL9" i="15" s="1"/>
  <c r="AN9" i="15" s="1"/>
  <c r="BC9" i="15"/>
  <c r="BA9" i="15"/>
  <c r="AS9" i="15"/>
  <c r="AM9" i="15"/>
  <c r="BH8" i="15"/>
  <c r="BF8" i="15"/>
  <c r="AI8" i="15" s="1"/>
  <c r="AL8" i="15" s="1"/>
  <c r="BC8" i="15"/>
  <c r="BA8" i="15"/>
  <c r="AS8" i="15"/>
  <c r="AM8" i="15"/>
  <c r="BH7" i="15"/>
  <c r="BF7" i="15"/>
  <c r="BC7" i="15"/>
  <c r="BA7" i="15"/>
  <c r="AS7" i="15"/>
  <c r="AM7" i="15"/>
  <c r="AI7" i="15"/>
  <c r="AL7" i="15" s="1"/>
  <c r="AN7" i="15" s="1"/>
  <c r="BH6" i="15"/>
  <c r="AJ6" i="15" s="1"/>
  <c r="AM6" i="15" s="1"/>
  <c r="BF6" i="15"/>
  <c r="BA6" i="15"/>
  <c r="AS6" i="15"/>
  <c r="AI6" i="15"/>
  <c r="AL6" i="15" s="1"/>
  <c r="BH5" i="15"/>
  <c r="AJ5" i="15" s="1"/>
  <c r="AM5" i="15" s="1"/>
  <c r="BA5" i="15"/>
  <c r="AS5" i="15"/>
  <c r="L5" i="15"/>
  <c r="BF5" i="15" s="1"/>
  <c r="G5" i="15"/>
  <c r="E2" i="15"/>
  <c r="M20" i="15" l="1"/>
  <c r="W20" i="15"/>
  <c r="M17" i="15"/>
  <c r="W17" i="15"/>
  <c r="AN8" i="15"/>
  <c r="AN11" i="15"/>
  <c r="Z19" i="15"/>
  <c r="N19" i="15" s="1"/>
  <c r="J5" i="15"/>
  <c r="BD5" i="15" s="1"/>
  <c r="AX6" i="15"/>
  <c r="AY6" i="15" s="1"/>
  <c r="AX12" i="15"/>
  <c r="AY12" i="15" s="1"/>
  <c r="E8" i="15"/>
  <c r="E5" i="15"/>
  <c r="G2" i="15"/>
  <c r="E7" i="15" s="1"/>
  <c r="E6" i="15"/>
  <c r="G17" i="15"/>
  <c r="G16" i="15" s="1"/>
  <c r="G15" i="15" s="1"/>
  <c r="P17" i="15"/>
  <c r="BA15" i="15"/>
  <c r="AX5" i="15"/>
  <c r="AY5" i="15" s="1"/>
  <c r="P19" i="15"/>
  <c r="P18" i="15"/>
  <c r="P20" i="15"/>
  <c r="P16" i="15"/>
  <c r="AN6" i="15"/>
  <c r="AX8" i="15"/>
  <c r="AY8" i="15" s="1"/>
  <c r="AX11" i="15"/>
  <c r="AY11" i="15" s="1"/>
  <c r="Q20" i="15"/>
  <c r="AK6" i="15"/>
  <c r="AK7" i="15"/>
  <c r="AK8" i="15"/>
  <c r="AK9" i="15"/>
  <c r="AK10" i="15"/>
  <c r="AK11" i="15"/>
  <c r="Q16" i="15"/>
  <c r="Q18" i="15"/>
  <c r="Q19" i="15"/>
  <c r="E28" i="15"/>
  <c r="O15" i="25"/>
  <c r="BC5" i="15"/>
  <c r="Z15" i="15"/>
  <c r="AA15" i="15" s="1"/>
  <c r="Q17" i="15"/>
  <c r="H20" i="15"/>
  <c r="Z20" i="15"/>
  <c r="AA20" i="15" s="1"/>
  <c r="E32" i="15"/>
  <c r="O13" i="25"/>
  <c r="O17" i="25" s="1"/>
  <c r="AX7" i="15"/>
  <c r="AY7" i="15" s="1"/>
  <c r="AX10" i="15"/>
  <c r="AY10" i="15" s="1"/>
  <c r="Q15" i="15"/>
  <c r="F32" i="15"/>
  <c r="AX9" i="15"/>
  <c r="AY9" i="15" s="1"/>
  <c r="AU12" i="15"/>
  <c r="AV12" i="15" s="1"/>
  <c r="Z16" i="15"/>
  <c r="Z17" i="15"/>
  <c r="Z18" i="15"/>
  <c r="P32" i="15"/>
  <c r="BE5" i="15" l="1"/>
  <c r="AI5" i="15" s="1"/>
  <c r="J6" i="15"/>
  <c r="E11" i="15"/>
  <c r="E10" i="15"/>
  <c r="BC6" i="15"/>
  <c r="J7" i="15"/>
  <c r="K7" i="15" s="1"/>
  <c r="AA19" i="15"/>
  <c r="AF19" i="15" s="1"/>
  <c r="S19" i="15" s="1"/>
  <c r="E9" i="15"/>
  <c r="K5" i="15"/>
  <c r="AL5" i="15"/>
  <c r="AN5" i="15" s="1"/>
  <c r="AK5" i="15"/>
  <c r="AG10" i="15"/>
  <c r="AF10" i="15"/>
  <c r="AE10" i="15"/>
  <c r="AH10" i="15"/>
  <c r="AG8" i="15"/>
  <c r="AF8" i="15"/>
  <c r="AE8" i="15"/>
  <c r="AH8" i="15"/>
  <c r="N15" i="15"/>
  <c r="AG9" i="15"/>
  <c r="AF9" i="15"/>
  <c r="AE9" i="15"/>
  <c r="AH9" i="15"/>
  <c r="F28" i="15"/>
  <c r="AG7" i="15"/>
  <c r="AF7" i="15"/>
  <c r="AE7" i="15"/>
  <c r="AH7" i="15"/>
  <c r="N16" i="15"/>
  <c r="AA16" i="15"/>
  <c r="O20" i="15"/>
  <c r="AF20" i="15"/>
  <c r="S20" i="15" s="1"/>
  <c r="N20" i="15"/>
  <c r="O15" i="15"/>
  <c r="AF15" i="15"/>
  <c r="S15" i="15" s="1"/>
  <c r="N18" i="15"/>
  <c r="AA18" i="15"/>
  <c r="AH6" i="15"/>
  <c r="AG6" i="15"/>
  <c r="AF6" i="15"/>
  <c r="AE6" i="15"/>
  <c r="AG11" i="15"/>
  <c r="AH11" i="15"/>
  <c r="AF11" i="15"/>
  <c r="AE11" i="15"/>
  <c r="AA17" i="15"/>
  <c r="N17" i="15"/>
  <c r="O19" i="15" l="1"/>
  <c r="AG19" i="15" s="1"/>
  <c r="AH19" i="15" s="1"/>
  <c r="T19" i="15"/>
  <c r="BD7" i="15"/>
  <c r="BE7" i="15" s="1"/>
  <c r="BD6" i="15"/>
  <c r="BE6" i="15" s="1"/>
  <c r="K6" i="15"/>
  <c r="AU6" i="15"/>
  <c r="AV6" i="15" s="1"/>
  <c r="AU11" i="15"/>
  <c r="AV11" i="15" s="1"/>
  <c r="AU7" i="15"/>
  <c r="AV7" i="15" s="1"/>
  <c r="AU9" i="15"/>
  <c r="AV9" i="15" s="1"/>
  <c r="J8" i="15"/>
  <c r="AU10" i="15"/>
  <c r="AV10" i="15" s="1"/>
  <c r="AU8" i="15"/>
  <c r="AV8" i="15" s="1"/>
  <c r="AG15" i="15"/>
  <c r="AH15" i="15" s="1"/>
  <c r="AG20" i="15"/>
  <c r="AH20" i="15" s="1"/>
  <c r="G28" i="15"/>
  <c r="O16" i="15"/>
  <c r="AG16" i="15" s="1"/>
  <c r="AH16" i="15" s="1"/>
  <c r="AF16" i="15"/>
  <c r="S16" i="15" s="1"/>
  <c r="T16" i="15"/>
  <c r="BD8" i="15"/>
  <c r="BE8" i="15" s="1"/>
  <c r="K8" i="15"/>
  <c r="J9" i="15"/>
  <c r="AH5" i="15"/>
  <c r="AG5" i="15"/>
  <c r="AF5" i="15"/>
  <c r="P33" i="15" s="1" a="1"/>
  <c r="AE5" i="15"/>
  <c r="AF17" i="15"/>
  <c r="S17" i="15" s="1"/>
  <c r="O17" i="15"/>
  <c r="AG17" i="15" s="1"/>
  <c r="AH17" i="15" s="1"/>
  <c r="AF18" i="15"/>
  <c r="S18" i="15" s="1"/>
  <c r="O18" i="15"/>
  <c r="AG18" i="15" s="1"/>
  <c r="AH18" i="15" s="1"/>
  <c r="T18" i="15"/>
  <c r="AU5" i="15" l="1"/>
  <c r="AV5" i="15" s="1"/>
  <c r="P33" i="15"/>
  <c r="K27" i="15" s="1"/>
  <c r="BD9" i="15"/>
  <c r="BE9" i="15" s="1"/>
  <c r="K9" i="15"/>
  <c r="J10" i="15"/>
  <c r="AB23" i="15"/>
  <c r="G27" i="15" l="1"/>
  <c r="N36" i="15"/>
  <c r="P37" i="15"/>
  <c r="BD10" i="15"/>
  <c r="BE10" i="15" s="1"/>
  <c r="K10" i="15"/>
  <c r="J11" i="15"/>
  <c r="L27" i="15"/>
  <c r="P30" i="15"/>
  <c r="N28" i="15"/>
  <c r="P39" i="15" s="1"/>
  <c r="M27" i="15"/>
  <c r="E27" i="15"/>
  <c r="F27" i="15"/>
  <c r="P34" i="15" l="1"/>
  <c r="P35" i="15" s="1"/>
  <c r="P44" i="15"/>
  <c r="P38" i="15"/>
  <c r="P40" i="15"/>
  <c r="BD11" i="15"/>
  <c r="BE11" i="15" s="1"/>
  <c r="K11" i="15"/>
  <c r="P43" i="15" l="1"/>
</calcChain>
</file>

<file path=xl/comments1.xml><?xml version="1.0" encoding="utf-8"?>
<comments xmlns="http://schemas.openxmlformats.org/spreadsheetml/2006/main">
  <authors>
    <author>mngauthier</author>
  </authors>
  <commentList>
    <comment ref="AO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Calculé pour que à l'émergence de F4, la largeur max de F4 correspondent aux observations. NB : ça ne va peut-être pas fonctionné pour les SSLW et LSSW</t>
        </r>
      </text>
    </commen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<sst xmlns="http://schemas.openxmlformats.org/spreadsheetml/2006/main" count="1009" uniqueCount="221">
  <si>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</si>
  <si>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</si>
  <si>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</si>
  <si>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</si>
  <si>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</si>
  <si>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</si>
  <si>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</si>
  <si>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</si>
  <si>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</si>
  <si>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</si>
  <si>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</si>
  <si>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</si>
  <si>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</si>
  <si>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</si>
  <si>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</si>
  <si>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</si>
  <si>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</si>
  <si>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</si>
  <si>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</si>
  <si>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</si>
  <si>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</si>
  <si>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</si>
  <si>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</si>
  <si>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</si>
  <si>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</si>
  <si>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</si>
  <si>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</si>
  <si>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</si>
  <si>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</si>
  <si>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</si>
  <si>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</si>
  <si>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</si>
  <si>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</si>
  <si>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</si>
  <si>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</si>
  <si>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</si>
  <si>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</si>
  <si>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</si>
  <si>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</si>
  <si>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</si>
  <si>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</si>
  <si>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</si>
  <si>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</si>
  <si>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</si>
  <si>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</si>
  <si>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</si>
  <si>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</si>
  <si>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</si>
  <si>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</si>
  <si>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</si>
  <si>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</si>
  <si>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</si>
  <si>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</si>
  <si>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</si>
  <si>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</si>
  <si>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</si>
  <si>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</si>
  <si>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</si>
  <si>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</si>
  <si>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</si>
  <si>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</si>
  <si>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</si>
  <si>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</si>
  <si>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</si>
  <si>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</si>
  <si>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</si>
  <si>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</si>
  <si>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</si>
  <si>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</si>
  <si>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</si>
  <si>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</si>
  <si>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</si>
  <si>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</si>
  <si>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</si>
  <si>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</si>
  <si>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</si>
  <si>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</si>
  <si>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</si>
  <si>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</si>
  <si>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</si>
  <si>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</si>
  <si>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</si>
  <si>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</si>
  <si>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</si>
  <si>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</si>
  <si>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</si>
  <si>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</si>
  <si>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</si>
  <si>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</si>
  <si>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</si>
  <si>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</si>
  <si>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</si>
  <si>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</si>
  <si>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</si>
  <si>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</si>
  <si>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</si>
  <si>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</si>
  <si>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</si>
  <si>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</si>
  <si>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</si>
  <si>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</si>
  <si>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</si>
  <si>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</si>
  <si>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</si>
  <si>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</si>
  <si>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</si>
  <si>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</si>
  <si>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</si>
  <si>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</si>
  <si>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</si>
  <si>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</si>
  <si>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</si>
  <si>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</si>
  <si>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</si>
  <si>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</si>
  <si>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</si>
  <si>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</si>
  <si>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</si>
  <si>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</si>
  <si>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</si>
  <si>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</si>
  <si>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</si>
  <si>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</si>
  <si>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</si>
  <si>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</si>
  <si>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</si>
  <si>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</si>
  <si>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</si>
  <si>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</si>
  <si>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</si>
  <si>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</si>
  <si>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</si>
  <si>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</si>
  <si>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</si>
  <si>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Wmax_init</t>
  </si>
  <si>
    <t>RER_Wmax_int</t>
  </si>
  <si>
    <t>mean_conc_sucrose</t>
  </si>
  <si>
    <t>is_over</t>
  </si>
  <si>
    <t>leaf_is_remobilizing</t>
  </si>
  <si>
    <t>internode_is_remobilizing</t>
  </si>
  <si>
    <t>leaf_Lmax_em</t>
  </si>
  <si>
    <t>internode_Lmax_lig</t>
  </si>
  <si>
    <t>Wmax</t>
  </si>
  <si>
    <t>Date</t>
  </si>
  <si>
    <t>Stade</t>
  </si>
  <si>
    <t>Trait</t>
  </si>
  <si>
    <t>ID_plante</t>
  </si>
  <si>
    <t>L1</t>
  </si>
  <si>
    <t>G1</t>
  </si>
  <si>
    <t>T1</t>
  </si>
  <si>
    <t>L2</t>
  </si>
  <si>
    <t>G2</t>
  </si>
  <si>
    <t>T2</t>
  </si>
  <si>
    <t>L3</t>
  </si>
  <si>
    <t>G3</t>
  </si>
  <si>
    <t>T3</t>
  </si>
  <si>
    <t>G4</t>
  </si>
  <si>
    <t>F4</t>
  </si>
  <si>
    <t>T4</t>
  </si>
  <si>
    <t>F5</t>
  </si>
  <si>
    <t>F6</t>
  </si>
  <si>
    <t>F7</t>
  </si>
  <si>
    <t>F8</t>
  </si>
  <si>
    <t>F9</t>
  </si>
  <si>
    <t>F10</t>
  </si>
  <si>
    <t>F4 pointante</t>
  </si>
  <si>
    <t>O1</t>
  </si>
  <si>
    <t>Plante exclue ?</t>
  </si>
  <si>
    <t>Si exclue, pourquoi ?</t>
  </si>
  <si>
    <t>F7 petite, pas de F8</t>
  </si>
  <si>
    <t>F7 grande, la seule avec F9</t>
  </si>
  <si>
    <t>Moyenne</t>
  </si>
  <si>
    <t>Mediane</t>
  </si>
  <si>
    <t>SD</t>
  </si>
  <si>
    <t>G3 et F4 grandes</t>
  </si>
  <si>
    <t>Manip</t>
  </si>
  <si>
    <t>F3</t>
  </si>
  <si>
    <t>Nb feuilles</t>
  </si>
  <si>
    <t>Axe</t>
  </si>
  <si>
    <t>Num_Phytomere</t>
  </si>
  <si>
    <t>Organe</t>
  </si>
  <si>
    <t>Area</t>
  </si>
  <si>
    <t>width</t>
  </si>
  <si>
    <t>Height</t>
  </si>
  <si>
    <t>widthMesuree</t>
  </si>
  <si>
    <t>L</t>
  </si>
  <si>
    <t>EN</t>
  </si>
  <si>
    <t>G</t>
  </si>
  <si>
    <t>SSLW ou LSSW</t>
  </si>
  <si>
    <t>Data sélectionnées dans le script Scans_Largeur.R</t>
  </si>
  <si>
    <t>FPhytomer</t>
  </si>
  <si>
    <t>Density</t>
  </si>
  <si>
    <t>Shade</t>
  </si>
  <si>
    <t>Couleurs3</t>
  </si>
  <si>
    <t>mn</t>
  </si>
  <si>
    <t>sd</t>
  </si>
  <si>
    <t>N</t>
  </si>
  <si>
    <t>cv</t>
  </si>
  <si>
    <t>High_Density</t>
  </si>
  <si>
    <t>Early_Shading</t>
  </si>
  <si>
    <t>Early</t>
  </si>
  <si>
    <t>shading D+</t>
  </si>
  <si>
    <t xml:space="preserve">Largeur </t>
  </si>
  <si>
    <t>Organ</t>
  </si>
  <si>
    <t>Phytomer</t>
  </si>
  <si>
    <t>Early shading D+</t>
  </si>
  <si>
    <t>F</t>
  </si>
  <si>
    <t>Ratio_G_L</t>
  </si>
  <si>
    <t>Table générée par le script Scan_F5.R</t>
  </si>
  <si>
    <t>Longueur</t>
  </si>
  <si>
    <t>Données générées par le script Echantillons_mstruct_Nstruct.R</t>
  </si>
  <si>
    <t>NaN</t>
  </si>
  <si>
    <t>SSLW (g m-2)</t>
  </si>
  <si>
    <t>Organes_type</t>
  </si>
  <si>
    <t>Organes_type_group</t>
  </si>
  <si>
    <t>Gaine</t>
  </si>
  <si>
    <t>LSSW (g m-1)</t>
  </si>
  <si>
    <t>int_conc_sucrose</t>
  </si>
  <si>
    <t>t depuis init last F</t>
  </si>
  <si>
    <t>senesced_mstruct</t>
  </si>
  <si>
    <t>max_mstruct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</si>
</sst>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E+00"/>
    <numFmt numFmtId="165" formatCode="0.000"/>
    <numFmt numFmtId="166" formatCode="0.0"/>
    <numFmt numFmtId="167" formatCode="0.0000"/>
    <numFmt numFmtId="168" formatCode="0.00000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10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Border="1"/>
    <xf numFmtId="0" fontId="2" fillId="0" borderId="6" xfId="0" applyFont="1" applyBorder="1"/>
    <xf numFmtId="0" fontId="16" fillId="3" borderId="0" xfId="0" applyFont="1" applyFill="1"/>
    <xf numFmtId="0" fontId="15" fillId="3" borderId="21" xfId="0" applyFont="1" applyFill="1" applyBorder="1"/>
    <xf numFmtId="167" fontId="0" fillId="0" borderId="0" xfId="0" applyNumberFormat="1" applyBorder="1"/>
    <xf numFmtId="167" fontId="0" fillId="0" borderId="0" xfId="0" applyNumberFormat="1" applyFill="1" applyBorder="1"/>
    <xf numFmtId="168" fontId="16" fillId="3" borderId="0" xfId="0" applyNumberFormat="1" applyFont="1" applyFill="1"/>
    <xf numFmtId="0" fontId="0" fillId="3" borderId="0" xfId="0" applyFill="1"/>
    <xf numFmtId="0" fontId="2" fillId="4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2" fontId="1" fillId="3" borderId="3" xfId="0" applyNumberFormat="1" applyFont="1" applyFill="1" applyBorder="1"/>
    <xf numFmtId="0" fontId="21" fillId="0" borderId="2" xfId="0" applyFont="1" applyBorder="1"/>
    <xf numFmtId="11" fontId="22" fillId="0" borderId="3" xfId="0" applyNumberFormat="1" applyFont="1" applyBorder="1"/>
    <xf numFmtId="1" fontId="22" fillId="0" borderId="3" xfId="0" applyNumberFormat="1" applyFont="1" applyBorder="1"/>
    <xf numFmtId="11" fontId="22" fillId="0" borderId="4" xfId="0" applyNumberFormat="1" applyFont="1" applyBorder="1"/>
    <xf numFmtId="1" fontId="22" fillId="0" borderId="4" xfId="0" applyNumberFormat="1" applyFont="1" applyBorder="1"/>
    <xf numFmtId="0" fontId="22" fillId="0" borderId="3" xfId="0" applyFont="1" applyBorder="1"/>
    <xf numFmtId="0" fontId="22" fillId="0" borderId="4" xfId="0" applyFont="1" applyBorder="1"/>
    <xf numFmtId="11" fontId="0" fillId="3" borderId="0" xfId="0" applyNumberFormat="1" applyFill="1"/>
    <xf numFmtId="2" fontId="0" fillId="3" borderId="0" xfId="0" applyNumberFormat="1" applyFill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topLeftCell="B7" workbookViewId="0">
      <selection activeCell="H21" sqref="H21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95</v>
      </c>
      <c r="B1" s="47" t="s">
        <v>96</v>
      </c>
      <c r="C1" s="48"/>
      <c r="E1" s="52" t="s">
        <v>119</v>
      </c>
      <c r="F1" s="52" t="s">
        <v>177</v>
      </c>
      <c r="G1" s="52" t="s">
        <v>218</v>
      </c>
      <c r="W1" s="77" t="s">
        <v>134</v>
      </c>
      <c r="X1" s="78" t="s">
        <v>135</v>
      </c>
    </row>
    <row r="2" spans="1:60" s="27" customFormat="1" ht="15.75" thickBot="1" x14ac:dyDescent="0.3">
      <c r="A2" s="49" t="s">
        <v>95</v>
      </c>
      <c r="B2" s="50" t="s">
        <v>97</v>
      </c>
      <c r="C2" s="51"/>
      <c r="E2" s="53">
        <f xml:space="preserve"> 76.1/12*24*3600</f>
        <v>547920</v>
      </c>
      <c r="F2" s="53">
        <v>9</v>
      </c>
      <c r="G2" s="53">
        <f>E2/2</f>
        <v>273960</v>
      </c>
      <c r="L2" s="89" t="s">
        <v>175</v>
      </c>
      <c r="W2" s="79">
        <v>9.9999999999999995E-7</v>
      </c>
      <c r="X2" s="79">
        <v>9.9999999999999995E-7</v>
      </c>
    </row>
    <row r="4" spans="1:60" s="2" customFormat="1" ht="15" customHeight="1" x14ac:dyDescent="0.25">
      <c r="A4" s="107" t="s">
        <v>69</v>
      </c>
      <c r="B4" s="5" t="s">
        <v>0</v>
      </c>
      <c r="C4" s="5" t="s">
        <v>1</v>
      </c>
      <c r="D4" s="5" t="s">
        <v>2</v>
      </c>
      <c r="E4" s="5" t="s">
        <v>105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88</v>
      </c>
      <c r="O4" s="5" t="s">
        <v>89</v>
      </c>
      <c r="P4" s="5" t="s">
        <v>84</v>
      </c>
      <c r="Q4" s="5" t="s">
        <v>85</v>
      </c>
      <c r="R4" s="5" t="s">
        <v>86</v>
      </c>
      <c r="S4" s="5" t="s">
        <v>87</v>
      </c>
      <c r="T4" s="5" t="s">
        <v>11</v>
      </c>
      <c r="U4" s="5" t="s">
        <v>12</v>
      </c>
      <c r="V4" s="5" t="s">
        <v>13</v>
      </c>
      <c r="W4" s="5"/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4" t="s">
        <v>136</v>
      </c>
      <c r="AP4" s="5" t="s">
        <v>137</v>
      </c>
      <c r="AQ4" s="5" t="s">
        <v>138</v>
      </c>
      <c r="AR4" s="5" t="s">
        <v>139</v>
      </c>
      <c r="AS4" s="5" t="s">
        <v>140</v>
      </c>
      <c r="AT4" s="81" t="s">
        <v>141</v>
      </c>
      <c r="AU4" s="98" t="s">
        <v>76</v>
      </c>
      <c r="AV4" s="98" t="s">
        <v>106</v>
      </c>
      <c r="AW4" s="12" t="s">
        <v>90</v>
      </c>
      <c r="AX4" s="98" t="s">
        <v>22</v>
      </c>
      <c r="AY4" s="98" t="s">
        <v>24</v>
      </c>
      <c r="AZ4" s="12" t="s">
        <v>132</v>
      </c>
      <c r="BA4" s="76" t="s">
        <v>133</v>
      </c>
      <c r="BB4" s="6" t="s">
        <v>62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107"/>
      <c r="B5">
        <v>1</v>
      </c>
      <c r="C5" t="s">
        <v>30</v>
      </c>
      <c r="D5">
        <v>3</v>
      </c>
      <c r="E5">
        <f t="shared" ref="E5:E10" si="0">($F$2-D5)*$E$2+$G$2</f>
        <v>3561480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2.4E-2</v>
      </c>
      <c r="K5" s="36">
        <f>J5-M5</f>
        <v>2.4E-2</v>
      </c>
      <c r="L5" s="92">
        <f>0.083</f>
        <v>8.3000000000000004E-2</v>
      </c>
      <c r="M5" s="36">
        <v>0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 s="93">
        <v>0.100847222222222</v>
      </c>
      <c r="U5" s="93">
        <v>7.6864864864864893E-2</v>
      </c>
      <c r="V5" s="93">
        <v>2.4689189189189199E-2</v>
      </c>
      <c r="W5" s="1"/>
      <c r="X5" s="93">
        <v>2.4372E-3</v>
      </c>
      <c r="Y5" s="93">
        <f>X20</f>
        <v>14.7</v>
      </c>
      <c r="Z5" s="106">
        <v>0.04</v>
      </c>
      <c r="AA5" t="s">
        <v>31</v>
      </c>
      <c r="AB5" t="s">
        <v>32</v>
      </c>
      <c r="AC5" s="24">
        <f>Z5</f>
        <v>0.04</v>
      </c>
      <c r="AD5" t="s">
        <v>33</v>
      </c>
      <c r="AE5" s="1">
        <f t="shared" ref="AE5:AE11" si="1">AK5*$AY$15</f>
        <v>3.8625986808510486</v>
      </c>
      <c r="AF5" s="1">
        <f t="shared" ref="AF5:AF11" si="2">AK5*$AX5</f>
        <v>0.508060762076186</v>
      </c>
      <c r="AG5" s="24">
        <f t="shared" ref="AG5:AG11" si="3">AK5*$BA5</f>
        <v>3.8625986808510486</v>
      </c>
      <c r="AH5" s="26">
        <f t="shared" ref="AH5:AH11" si="4">AK5*$AY5</f>
        <v>5.0806076207618585</v>
      </c>
      <c r="AI5" s="1">
        <f>BE5</f>
        <v>8.7552236765957097E-4</v>
      </c>
      <c r="AJ5" s="1">
        <f>BH5</f>
        <v>0</v>
      </c>
      <c r="AK5" s="1">
        <f>AI5+AJ5</f>
        <v>8.7552236765957097E-4</v>
      </c>
      <c r="AL5" s="1">
        <f>AI5*0.005</f>
        <v>4.3776118382978551E-6</v>
      </c>
      <c r="AM5">
        <f>AJ5*0.005</f>
        <v>0</v>
      </c>
      <c r="AN5">
        <f>AL5+AM5</f>
        <v>4.3776118382978551E-6</v>
      </c>
      <c r="AO5" s="105">
        <v>1200</v>
      </c>
      <c r="AP5" s="1" t="s">
        <v>33</v>
      </c>
      <c r="AQ5" s="1" t="s">
        <v>33</v>
      </c>
      <c r="AR5" s="1" t="s">
        <v>33</v>
      </c>
      <c r="AS5" s="1">
        <f>T5</f>
        <v>0.100847222222222</v>
      </c>
      <c r="AT5" t="s">
        <v>32</v>
      </c>
      <c r="AU5" s="99">
        <f>AK5+AE5*$E$31+AF5*$F$31+AH5*$J$31</f>
        <v>1.5096198258866464E-3</v>
      </c>
      <c r="AV5" s="100">
        <f t="shared" ref="AV5:AV12" si="5">(1-AK5/AU5)*100</f>
        <v>42.003784486246417</v>
      </c>
      <c r="AW5" s="95">
        <v>5.0999999999999996</v>
      </c>
      <c r="AX5" s="103">
        <f t="shared" ref="AX5:AX12" si="6">(($AW5/100)*(1+($AY$15+$BA5)*$E$31)-$AB$16)/(((1+1/$AA$23)*(14*10^(-6)))-(($J$31/$AA$23+$F$31)*$AW5/100))</f>
        <v>580.29444003163951</v>
      </c>
      <c r="AY5" s="103">
        <f t="shared" ref="AY5:AY12" si="7">$AX5/$AA$23</f>
        <v>5802.9444003163944</v>
      </c>
      <c r="AZ5" s="13">
        <v>10</v>
      </c>
      <c r="BA5" s="64">
        <f t="shared" ref="BA5:BA12" si="8">$AZ5/100/(1-$X$33)*$X$32*10^6/$X$30</f>
        <v>4411.7647058823532</v>
      </c>
      <c r="BB5" s="7">
        <v>851425</v>
      </c>
      <c r="BC5" s="8">
        <f>$T$27+$T$28*$T$30*(J5)^$T$29</f>
        <v>7.1627914977126083E-4</v>
      </c>
      <c r="BD5" s="7">
        <f t="shared" ref="BD5:BD12" si="9">J5*Z5</f>
        <v>9.6000000000000002E-4</v>
      </c>
      <c r="BE5" s="8">
        <f>((BD5-BC5)/($T$31-BB5))*(F5-$T$31)+BD5</f>
        <v>8.7552236765957097E-4</v>
      </c>
      <c r="BF5" s="8">
        <f t="shared" ref="BF5:BF12" si="10">$T$27+$T$28*$T$30*(L5)^$T$29</f>
        <v>3.5060579741389981E-3</v>
      </c>
      <c r="BG5" s="7"/>
      <c r="BH5" s="7">
        <f t="shared" ref="BH5:BH12" si="11">$BF$20*$BE$22*$BD$24*(M5)^$BE$21</f>
        <v>0</v>
      </c>
    </row>
    <row r="6" spans="1:60" x14ac:dyDescent="0.25">
      <c r="A6" s="107"/>
      <c r="B6">
        <v>1</v>
      </c>
      <c r="C6" t="s">
        <v>30</v>
      </c>
      <c r="D6">
        <v>4</v>
      </c>
      <c r="E6">
        <f t="shared" si="0"/>
        <v>3013560</v>
      </c>
      <c r="F6">
        <v>757000</v>
      </c>
      <c r="G6">
        <v>0</v>
      </c>
      <c r="H6" t="s">
        <v>31</v>
      </c>
      <c r="I6" t="s">
        <v>31</v>
      </c>
      <c r="J6">
        <f t="shared" ref="J6:J11" si="12">J5-M6</f>
        <v>2.4E-2</v>
      </c>
      <c r="K6" s="36">
        <f t="shared" ref="K6:K11" si="13">J6-M6</f>
        <v>2.4E-2</v>
      </c>
      <c r="L6" s="92">
        <v>1.325E-2</v>
      </c>
      <c r="M6" s="36">
        <v>0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 s="93">
        <v>0.119413793103448</v>
      </c>
      <c r="U6" s="93">
        <v>9.4689655172413789E-2</v>
      </c>
      <c r="V6" s="93">
        <v>2.47241379310345E-2</v>
      </c>
      <c r="W6" s="1"/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1"/>
        <v>1.477334665300901</v>
      </c>
      <c r="AF6" s="1">
        <f t="shared" si="2"/>
        <v>0.2782615346604162</v>
      </c>
      <c r="AG6" s="24">
        <f t="shared" si="3"/>
        <v>0.73866733265045048</v>
      </c>
      <c r="AH6" s="26">
        <f t="shared" si="4"/>
        <v>2.7826153466041617</v>
      </c>
      <c r="AI6" s="1">
        <f t="shared" ref="AI6:AI11" si="14">BF6</f>
        <v>3.3486252413487087E-4</v>
      </c>
      <c r="AJ6" s="1">
        <f>BH6</f>
        <v>0</v>
      </c>
      <c r="AK6">
        <f t="shared" ref="AK6:AK11" si="15">AI6+AJ6</f>
        <v>3.3486252413487087E-4</v>
      </c>
      <c r="AL6">
        <f t="shared" ref="AL6:AM11" si="16">AI6*0.005</f>
        <v>1.6743126206743543E-6</v>
      </c>
      <c r="AM6">
        <f t="shared" si="16"/>
        <v>0</v>
      </c>
      <c r="AN6">
        <f t="shared" ref="AN6:AN11" si="17">AL6+AM6</f>
        <v>1.6743126206743543E-6</v>
      </c>
      <c r="AO6" s="105">
        <v>1200</v>
      </c>
      <c r="AP6" s="1" t="s">
        <v>33</v>
      </c>
      <c r="AQ6" s="1" t="s">
        <v>33</v>
      </c>
      <c r="AR6" s="1" t="s">
        <v>33</v>
      </c>
      <c r="AS6" s="1">
        <f t="shared" ref="AS6:AS11" si="18">T6</f>
        <v>0.119413793103448</v>
      </c>
      <c r="AT6" t="s">
        <v>32</v>
      </c>
      <c r="AU6" s="99">
        <f t="shared" ref="AU6:AU12" si="19">AK6+AE6*$E$31+AF6*$F$31+AH6*$J$31</f>
        <v>6.6391966458064454E-4</v>
      </c>
      <c r="AV6" s="100">
        <f t="shared" si="5"/>
        <v>49.562794717583479</v>
      </c>
      <c r="AW6" s="95">
        <v>6.5</v>
      </c>
      <c r="AX6" s="103">
        <f t="shared" si="6"/>
        <v>830.97245766546928</v>
      </c>
      <c r="AY6" s="103">
        <f t="shared" si="7"/>
        <v>8309.724576654693</v>
      </c>
      <c r="AZ6" s="13">
        <v>5</v>
      </c>
      <c r="BA6" s="64">
        <f t="shared" si="8"/>
        <v>2205.8823529411766</v>
      </c>
      <c r="BB6" s="7">
        <v>818263</v>
      </c>
      <c r="BC6" s="8">
        <f>$T$27+$T$28*$T$30*(J6)^$T$29</f>
        <v>7.1627914977126083E-4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3.3486252413487087E-4</v>
      </c>
      <c r="BG6" s="7"/>
      <c r="BH6" s="7">
        <f t="shared" si="11"/>
        <v>0</v>
      </c>
    </row>
    <row r="7" spans="1:60" x14ac:dyDescent="0.25">
      <c r="A7" s="107"/>
      <c r="B7">
        <v>1</v>
      </c>
      <c r="C7" t="s">
        <v>30</v>
      </c>
      <c r="D7">
        <v>5</v>
      </c>
      <c r="E7">
        <f t="shared" si="0"/>
        <v>2465640</v>
      </c>
      <c r="F7">
        <v>0</v>
      </c>
      <c r="G7">
        <v>0</v>
      </c>
      <c r="H7" t="s">
        <v>31</v>
      </c>
      <c r="I7" t="s">
        <v>33</v>
      </c>
      <c r="J7">
        <f t="shared" si="12"/>
        <v>2.4E-2</v>
      </c>
      <c r="K7" s="36">
        <f t="shared" si="13"/>
        <v>2.4E-2</v>
      </c>
      <c r="L7" s="92">
        <v>8.437500000000001E-4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/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1"/>
        <v>4.3624182482466717E-2</v>
      </c>
      <c r="AF7" s="1">
        <f t="shared" si="2"/>
        <v>1.7984048399724346E-2</v>
      </c>
      <c r="AG7" s="24">
        <f t="shared" si="3"/>
        <v>0</v>
      </c>
      <c r="AH7" s="26">
        <f t="shared" si="4"/>
        <v>0.17984048399724345</v>
      </c>
      <c r="AI7" s="1">
        <f t="shared" si="14"/>
        <v>9.8881480293591215E-6</v>
      </c>
      <c r="AJ7" s="1">
        <v>0</v>
      </c>
      <c r="AK7">
        <f t="shared" si="15"/>
        <v>9.8881480293591215E-6</v>
      </c>
      <c r="AL7">
        <f t="shared" si="16"/>
        <v>4.944074014679561E-8</v>
      </c>
      <c r="AM7">
        <f t="shared" si="16"/>
        <v>0</v>
      </c>
      <c r="AN7">
        <f t="shared" si="17"/>
        <v>4.944074014679561E-8</v>
      </c>
      <c r="AO7" s="105">
        <v>1200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99">
        <f t="shared" si="19"/>
        <v>2.9673517828466791E-5</v>
      </c>
      <c r="AV7" s="100">
        <f t="shared" si="5"/>
        <v>66.676859526668281</v>
      </c>
      <c r="AW7" s="13">
        <v>9.5</v>
      </c>
      <c r="AX7" s="103">
        <f t="shared" si="6"/>
        <v>1818.7478935719314</v>
      </c>
      <c r="AY7" s="103">
        <f t="shared" si="7"/>
        <v>18187.478935719311</v>
      </c>
      <c r="AZ7" s="13">
        <v>0</v>
      </c>
      <c r="BA7" s="64">
        <f t="shared" si="8"/>
        <v>0</v>
      </c>
      <c r="BB7" s="7"/>
      <c r="BC7" s="8" t="e">
        <f t="shared" ref="BC7:BC12" si="20">$T$27+$T$28*$T$30*(T7*$T$32)^$T$29</f>
        <v>#VALUE!</v>
      </c>
      <c r="BD7" s="7" t="e">
        <f t="shared" si="9"/>
        <v>#VALUE!</v>
      </c>
      <c r="BE7" s="8" t="e">
        <f t="shared" ref="BE7:BE12" si="21">BC7+((BD7-BC7)/$T$31)*F7</f>
        <v>#VALUE!</v>
      </c>
      <c r="BF7" s="8">
        <f t="shared" si="10"/>
        <v>9.8881480293591215E-6</v>
      </c>
      <c r="BG7" s="7"/>
      <c r="BH7" s="7">
        <f t="shared" si="11"/>
        <v>0</v>
      </c>
    </row>
    <row r="8" spans="1:60" x14ac:dyDescent="0.25">
      <c r="A8" s="107"/>
      <c r="B8">
        <v>1</v>
      </c>
      <c r="C8" t="s">
        <v>30</v>
      </c>
      <c r="D8">
        <v>6</v>
      </c>
      <c r="E8">
        <f t="shared" si="0"/>
        <v>1917720</v>
      </c>
      <c r="F8">
        <v>0</v>
      </c>
      <c r="G8">
        <v>0</v>
      </c>
      <c r="H8" t="s">
        <v>31</v>
      </c>
      <c r="I8" t="s">
        <v>33</v>
      </c>
      <c r="J8">
        <f t="shared" si="12"/>
        <v>2.4E-2</v>
      </c>
      <c r="K8" s="36">
        <f t="shared" si="13"/>
        <v>2.4E-2</v>
      </c>
      <c r="L8" s="92">
        <v>3.6250000000000003E-4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/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1"/>
        <v>1.487134217025967E-2</v>
      </c>
      <c r="AF8" s="1">
        <f t="shared" si="2"/>
        <v>6.1307037092627002E-3</v>
      </c>
      <c r="AG8" s="24">
        <f t="shared" si="3"/>
        <v>0</v>
      </c>
      <c r="AH8" s="26">
        <f t="shared" si="4"/>
        <v>6.1307037092626998E-2</v>
      </c>
      <c r="AI8" s="1">
        <f t="shared" si="14"/>
        <v>3.3708375585921917E-6</v>
      </c>
      <c r="AJ8" s="1">
        <v>0</v>
      </c>
      <c r="AK8">
        <f t="shared" si="15"/>
        <v>3.3708375585921917E-6</v>
      </c>
      <c r="AL8">
        <f t="shared" si="16"/>
        <v>1.6854187792960958E-8</v>
      </c>
      <c r="AM8">
        <f t="shared" si="16"/>
        <v>0</v>
      </c>
      <c r="AN8">
        <f t="shared" si="17"/>
        <v>1.6854187792960958E-8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99">
        <f t="shared" si="19"/>
        <v>1.0115605884414914E-5</v>
      </c>
      <c r="AV8" s="100">
        <f t="shared" si="5"/>
        <v>66.676859526668281</v>
      </c>
      <c r="AW8" s="13">
        <v>9.5</v>
      </c>
      <c r="AX8" s="103">
        <f t="shared" si="6"/>
        <v>1818.7478935719314</v>
      </c>
      <c r="AY8" s="103">
        <f t="shared" si="7"/>
        <v>18187.478935719311</v>
      </c>
      <c r="AZ8" s="13">
        <v>0</v>
      </c>
      <c r="BA8" s="64">
        <f t="shared" si="8"/>
        <v>0</v>
      </c>
      <c r="BB8" s="7"/>
      <c r="BC8" s="8" t="e">
        <f t="shared" si="20"/>
        <v>#VALUE!</v>
      </c>
      <c r="BD8" s="7" t="e">
        <f t="shared" si="9"/>
        <v>#VALUE!</v>
      </c>
      <c r="BE8" s="8" t="e">
        <f t="shared" si="21"/>
        <v>#VALUE!</v>
      </c>
      <c r="BF8" s="8">
        <f t="shared" si="10"/>
        <v>3.3708375585921917E-6</v>
      </c>
      <c r="BG8" s="7"/>
      <c r="BH8" s="7">
        <f t="shared" si="11"/>
        <v>0</v>
      </c>
    </row>
    <row r="9" spans="1:60" x14ac:dyDescent="0.25">
      <c r="A9" s="107"/>
      <c r="B9">
        <v>1</v>
      </c>
      <c r="C9" t="s">
        <v>30</v>
      </c>
      <c r="D9">
        <v>7</v>
      </c>
      <c r="E9">
        <f t="shared" si="0"/>
        <v>1369800</v>
      </c>
      <c r="F9">
        <v>0</v>
      </c>
      <c r="G9">
        <v>0</v>
      </c>
      <c r="H9" t="s">
        <v>31</v>
      </c>
      <c r="I9" t="s">
        <v>33</v>
      </c>
      <c r="J9">
        <f t="shared" si="12"/>
        <v>2.4E-2</v>
      </c>
      <c r="K9" s="36">
        <f t="shared" si="13"/>
        <v>2.4E-2</v>
      </c>
      <c r="L9" s="92">
        <v>1.8999999999999998E-4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/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1"/>
        <v>6.5706716532751668E-3</v>
      </c>
      <c r="AF9" s="1">
        <f t="shared" si="2"/>
        <v>2.7087562518493219E-3</v>
      </c>
      <c r="AG9" s="24">
        <f t="shared" si="3"/>
        <v>0</v>
      </c>
      <c r="AH9" s="26">
        <f t="shared" si="4"/>
        <v>2.7087562518493216E-2</v>
      </c>
      <c r="AI9" s="1">
        <f t="shared" si="14"/>
        <v>1.4893522414090377E-6</v>
      </c>
      <c r="AJ9" s="1">
        <v>0</v>
      </c>
      <c r="AK9">
        <f t="shared" si="15"/>
        <v>1.4893522414090377E-6</v>
      </c>
      <c r="AL9">
        <f t="shared" si="16"/>
        <v>7.4467612070451887E-9</v>
      </c>
      <c r="AM9">
        <f t="shared" si="16"/>
        <v>0</v>
      </c>
      <c r="AN9">
        <f t="shared" si="17"/>
        <v>7.4467612070451887E-9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99">
        <f t="shared" si="19"/>
        <v>4.4694234104404291E-6</v>
      </c>
      <c r="AV9" s="100">
        <f t="shared" si="5"/>
        <v>66.676859526668281</v>
      </c>
      <c r="AW9" s="13">
        <v>9.5</v>
      </c>
      <c r="AX9" s="103">
        <f t="shared" si="6"/>
        <v>1818.7478935719314</v>
      </c>
      <c r="AY9" s="103">
        <f t="shared" si="7"/>
        <v>18187.478935719311</v>
      </c>
      <c r="AZ9" s="13">
        <v>0</v>
      </c>
      <c r="BA9" s="64">
        <f t="shared" si="8"/>
        <v>0</v>
      </c>
      <c r="BB9" s="7"/>
      <c r="BC9" s="8" t="e">
        <f t="shared" si="20"/>
        <v>#VALUE!</v>
      </c>
      <c r="BD9" s="7" t="e">
        <f t="shared" si="9"/>
        <v>#VALUE!</v>
      </c>
      <c r="BE9" s="8" t="e">
        <f t="shared" si="21"/>
        <v>#VALUE!</v>
      </c>
      <c r="BF9" s="8">
        <f t="shared" si="10"/>
        <v>1.4893522414090377E-6</v>
      </c>
      <c r="BG9" s="7"/>
      <c r="BH9" s="7">
        <f t="shared" si="11"/>
        <v>0</v>
      </c>
    </row>
    <row r="10" spans="1:60" x14ac:dyDescent="0.25">
      <c r="A10" s="107"/>
      <c r="B10">
        <v>1</v>
      </c>
      <c r="C10" t="s">
        <v>30</v>
      </c>
      <c r="D10">
        <v>8</v>
      </c>
      <c r="E10">
        <f t="shared" si="0"/>
        <v>821880</v>
      </c>
      <c r="F10">
        <v>0</v>
      </c>
      <c r="G10">
        <v>0</v>
      </c>
      <c r="H10" t="s">
        <v>31</v>
      </c>
      <c r="I10" t="s">
        <v>33</v>
      </c>
      <c r="J10">
        <f t="shared" si="12"/>
        <v>2.4E-2</v>
      </c>
      <c r="K10" s="36">
        <f t="shared" si="13"/>
        <v>2.4E-2</v>
      </c>
      <c r="L10" s="92">
        <v>1E-4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/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1"/>
        <v>2.9548843395209492E-3</v>
      </c>
      <c r="AF10" s="1">
        <f t="shared" si="2"/>
        <v>1.2181496581372137E-3</v>
      </c>
      <c r="AG10" s="24">
        <f t="shared" si="3"/>
        <v>0</v>
      </c>
      <c r="AH10" s="26">
        <f t="shared" si="4"/>
        <v>1.2181496581372136E-2</v>
      </c>
      <c r="AI10" s="1">
        <f t="shared" si="14"/>
        <v>6.6977378362474843E-7</v>
      </c>
      <c r="AJ10" s="1">
        <v>0</v>
      </c>
      <c r="AK10">
        <f t="shared" si="15"/>
        <v>6.6977378362474843E-7</v>
      </c>
      <c r="AL10">
        <f t="shared" si="16"/>
        <v>3.3488689181237422E-9</v>
      </c>
      <c r="AM10">
        <f t="shared" si="16"/>
        <v>0</v>
      </c>
      <c r="AN10">
        <f t="shared" si="17"/>
        <v>3.3488689181237422E-9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99">
        <f t="shared" si="19"/>
        <v>2.009935960750049E-6</v>
      </c>
      <c r="AV10" s="100">
        <f t="shared" si="5"/>
        <v>66.676859526668281</v>
      </c>
      <c r="AW10" s="13">
        <v>9.5</v>
      </c>
      <c r="AX10" s="103">
        <f t="shared" si="6"/>
        <v>1818.7478935719314</v>
      </c>
      <c r="AY10" s="103">
        <f t="shared" si="7"/>
        <v>18187.478935719311</v>
      </c>
      <c r="AZ10" s="13">
        <v>0</v>
      </c>
      <c r="BA10" s="64">
        <f t="shared" si="8"/>
        <v>0</v>
      </c>
      <c r="BB10" s="7"/>
      <c r="BC10" s="8" t="e">
        <f t="shared" si="20"/>
        <v>#VALUE!</v>
      </c>
      <c r="BD10" s="7" t="e">
        <f t="shared" si="9"/>
        <v>#VALUE!</v>
      </c>
      <c r="BE10" s="8" t="e">
        <f t="shared" si="21"/>
        <v>#VALUE!</v>
      </c>
      <c r="BF10" s="8">
        <f t="shared" si="10"/>
        <v>6.6977378362474843E-7</v>
      </c>
      <c r="BG10" s="7"/>
      <c r="BH10" s="7">
        <f t="shared" si="11"/>
        <v>0</v>
      </c>
    </row>
    <row r="11" spans="1:60" x14ac:dyDescent="0.25">
      <c r="A11" s="107"/>
      <c r="B11">
        <v>1</v>
      </c>
      <c r="C11" t="s">
        <v>30</v>
      </c>
      <c r="D11">
        <v>9</v>
      </c>
      <c r="E11">
        <f>($F$2-D11)*$E$2+$G$2</f>
        <v>273960</v>
      </c>
      <c r="F11">
        <v>0</v>
      </c>
      <c r="G11">
        <v>0</v>
      </c>
      <c r="H11" t="s">
        <v>31</v>
      </c>
      <c r="I11" t="s">
        <v>33</v>
      </c>
      <c r="J11">
        <f t="shared" si="12"/>
        <v>2.4E-2</v>
      </c>
      <c r="K11" s="36">
        <f t="shared" si="13"/>
        <v>2.4E-2</v>
      </c>
      <c r="L11" s="92">
        <v>7.0000000000000007E-5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/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1"/>
        <v>1.9146799290632522E-3</v>
      </c>
      <c r="AF11" s="1">
        <f t="shared" si="2"/>
        <v>7.8932588657893549E-4</v>
      </c>
      <c r="AG11" s="24">
        <f t="shared" si="3"/>
        <v>0</v>
      </c>
      <c r="AH11" s="26">
        <f t="shared" si="4"/>
        <v>7.8932588657893536E-3</v>
      </c>
      <c r="AI11" s="1">
        <f t="shared" si="14"/>
        <v>4.3399411725433714E-7</v>
      </c>
      <c r="AJ11" s="1">
        <v>0</v>
      </c>
      <c r="AK11">
        <f t="shared" si="15"/>
        <v>4.3399411725433714E-7</v>
      </c>
      <c r="AL11">
        <f t="shared" si="16"/>
        <v>2.1699705862716857E-9</v>
      </c>
      <c r="AM11">
        <f t="shared" si="16"/>
        <v>0</v>
      </c>
      <c r="AN11">
        <f t="shared" si="17"/>
        <v>2.1699705862716857E-9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99">
        <f t="shared" si="19"/>
        <v>1.3023806012571343E-6</v>
      </c>
      <c r="AV11" s="100">
        <f t="shared" si="5"/>
        <v>66.676859526668281</v>
      </c>
      <c r="AW11" s="13">
        <v>9.5</v>
      </c>
      <c r="AX11" s="103">
        <f t="shared" si="6"/>
        <v>1818.7478935719314</v>
      </c>
      <c r="AY11" s="103">
        <f t="shared" si="7"/>
        <v>18187.478935719311</v>
      </c>
      <c r="AZ11" s="13">
        <v>0</v>
      </c>
      <c r="BA11" s="64">
        <f t="shared" si="8"/>
        <v>0</v>
      </c>
      <c r="BB11" s="7"/>
      <c r="BC11" s="8" t="e">
        <f t="shared" si="20"/>
        <v>#VALUE!</v>
      </c>
      <c r="BD11" s="7" t="e">
        <f t="shared" si="9"/>
        <v>#VALUE!</v>
      </c>
      <c r="BE11" s="8" t="e">
        <f t="shared" si="21"/>
        <v>#VALUE!</v>
      </c>
      <c r="BF11" s="8">
        <f t="shared" si="10"/>
        <v>4.3399411725433714E-7</v>
      </c>
      <c r="BG11" s="7"/>
      <c r="BH11" s="7">
        <f t="shared" si="11"/>
        <v>0</v>
      </c>
    </row>
    <row r="12" spans="1:60" x14ac:dyDescent="0.25">
      <c r="A12" s="107"/>
      <c r="K12" s="36"/>
      <c r="L12" s="91"/>
      <c r="M12" s="36"/>
      <c r="W12" s="1"/>
      <c r="AE12" s="1"/>
      <c r="AF12" s="1"/>
      <c r="AG12" s="24"/>
      <c r="AH12" s="26"/>
      <c r="AI12" s="1"/>
      <c r="AJ12" s="1"/>
      <c r="AP12" s="1"/>
      <c r="AQ12" s="1"/>
      <c r="AR12" s="1"/>
      <c r="AS12" s="1"/>
      <c r="AU12" s="101">
        <f t="shared" si="19"/>
        <v>0</v>
      </c>
      <c r="AV12" s="102" t="e">
        <f t="shared" si="5"/>
        <v>#DIV/0!</v>
      </c>
      <c r="AW12" s="14">
        <v>9.5</v>
      </c>
      <c r="AX12" s="103">
        <f t="shared" si="6"/>
        <v>1818.7478935719314</v>
      </c>
      <c r="AY12" s="104">
        <f t="shared" si="7"/>
        <v>18187.478935719311</v>
      </c>
      <c r="AZ12" s="14">
        <v>0</v>
      </c>
      <c r="BA12" s="64">
        <f t="shared" si="8"/>
        <v>0</v>
      </c>
      <c r="BB12" s="7"/>
      <c r="BC12" s="8">
        <f t="shared" si="20"/>
        <v>2.6499999999999999E-8</v>
      </c>
      <c r="BD12" s="7">
        <f t="shared" si="9"/>
        <v>0</v>
      </c>
      <c r="BE12" s="8">
        <f t="shared" si="21"/>
        <v>2.6499999999999999E-8</v>
      </c>
      <c r="BF12" s="8">
        <f t="shared" si="10"/>
        <v>2.6499999999999999E-8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107" t="s">
        <v>70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118</v>
      </c>
      <c r="H14" s="35" t="s">
        <v>36</v>
      </c>
      <c r="I14" s="5" t="s">
        <v>142</v>
      </c>
      <c r="J14" s="35" t="s">
        <v>37</v>
      </c>
      <c r="K14" s="5" t="s">
        <v>27</v>
      </c>
      <c r="L14" s="5" t="s">
        <v>219</v>
      </c>
      <c r="M14" s="5" t="s">
        <v>43</v>
      </c>
      <c r="N14" s="5" t="s">
        <v>22</v>
      </c>
      <c r="O14" s="5" t="s">
        <v>24</v>
      </c>
      <c r="P14" s="5" t="s">
        <v>23</v>
      </c>
      <c r="Q14" s="5" t="s">
        <v>21</v>
      </c>
      <c r="R14" s="5" t="s">
        <v>44</v>
      </c>
      <c r="S14" s="5" t="s">
        <v>45</v>
      </c>
      <c r="T14" s="5" t="s">
        <v>83</v>
      </c>
      <c r="U14" s="5" t="s">
        <v>63</v>
      </c>
      <c r="V14" s="5" t="s">
        <v>137</v>
      </c>
      <c r="W14" s="81" t="s">
        <v>220</v>
      </c>
      <c r="X14" s="12" t="s">
        <v>188</v>
      </c>
      <c r="Y14" s="12" t="s">
        <v>90</v>
      </c>
      <c r="Z14" s="98" t="s">
        <v>22</v>
      </c>
      <c r="AA14" s="98" t="s">
        <v>24</v>
      </c>
      <c r="AD14" s="12" t="s">
        <v>23</v>
      </c>
      <c r="AE14" s="3"/>
      <c r="AF14" s="98" t="s">
        <v>45</v>
      </c>
      <c r="AG14" s="98" t="s">
        <v>76</v>
      </c>
      <c r="AH14" s="98" t="s">
        <v>106</v>
      </c>
      <c r="AI14" s="3"/>
      <c r="AJ14" s="3"/>
      <c r="AX14" s="22"/>
      <c r="AY14" s="60" t="s">
        <v>21</v>
      </c>
      <c r="AZ14" s="60" t="s">
        <v>116</v>
      </c>
      <c r="BA14" s="61" t="s">
        <v>98</v>
      </c>
      <c r="BB14" s="37"/>
      <c r="BC14" s="37"/>
    </row>
    <row r="15" spans="1:60" x14ac:dyDescent="0.25">
      <c r="A15" s="10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88">
        <v>6.6500000000000004E-2</v>
      </c>
      <c r="I15" s="93">
        <v>3.092727E-3</v>
      </c>
      <c r="J15" s="36" t="s">
        <v>33</v>
      </c>
      <c r="K15">
        <f>R15*$X$15</f>
        <v>2.4006570000000001E-3</v>
      </c>
      <c r="L15">
        <v>0</v>
      </c>
      <c r="M15">
        <f t="shared" ref="M15:M20" si="22">K15*0.005</f>
        <v>1.2003285E-5</v>
      </c>
      <c r="N15">
        <f t="shared" ref="N15:N20" si="23">K15*$Z15</f>
        <v>0.6434672052030449</v>
      </c>
      <c r="O15">
        <f t="shared" ref="O15:O20" si="24">K15*$AA15</f>
        <v>6.4346720520304492</v>
      </c>
      <c r="P15">
        <f t="shared" ref="P15:P20" si="25">AD15*$K15</f>
        <v>0</v>
      </c>
      <c r="Q15" s="1">
        <f t="shared" ref="Q15:Q20" si="26">K15*$AE$16</f>
        <v>10.591133823529413</v>
      </c>
      <c r="R15">
        <v>1.6331000000000001E-4</v>
      </c>
      <c r="S15" s="1">
        <f t="shared" ref="S15:S20" si="27">K15*$AF15</f>
        <v>9.3625623000000005E-2</v>
      </c>
      <c r="T15">
        <v>4250</v>
      </c>
      <c r="U15">
        <v>0</v>
      </c>
      <c r="V15" t="s">
        <v>33</v>
      </c>
      <c r="W15">
        <f>K15</f>
        <v>2.4006570000000001E-3</v>
      </c>
      <c r="X15" s="95">
        <v>14.7</v>
      </c>
      <c r="Y15" s="95">
        <v>3.3</v>
      </c>
      <c r="Z15" s="103">
        <f t="shared" ref="Z15:Z20" si="28">(($Y15/100)*(1+$AE$16*$E$31)-$AB$16)/(((1+1/$AA$23)*(14*10^(-6)))-(($J$31/$AA$23+$F$31)*$Y15/100))</f>
        <v>268.0379601096887</v>
      </c>
      <c r="AA15" s="103">
        <f t="shared" ref="AA15:AA20" si="29">$Z15/$AA$23</f>
        <v>2680.3796010968867</v>
      </c>
      <c r="AB15" s="60" t="s">
        <v>43</v>
      </c>
      <c r="AC15" s="60" t="s">
        <v>27</v>
      </c>
      <c r="AD15" s="69">
        <f t="shared" ref="AD15:AD20" si="30">IF(F15="HiddenElement",$AD$22/100/(1-$X$33)*$X$32*10^6/$X$30,0)</f>
        <v>0</v>
      </c>
      <c r="AE15" s="68" t="s">
        <v>21</v>
      </c>
      <c r="AF15" s="103">
        <f t="shared" ref="AF15:AF20" si="31">ROUND(AA15/$AY$6*120,0)</f>
        <v>39</v>
      </c>
      <c r="AG15" s="103">
        <f t="shared" ref="AG15:AG20" si="32">K15+N15*$F$31+O15*$J$31+Q15*$E$31</f>
        <v>3.366582866705119E-3</v>
      </c>
      <c r="AH15" s="100">
        <f t="shared" ref="AH15:AH20" si="33">(1-K15/AG15)*100</f>
        <v>28.69158149225872</v>
      </c>
      <c r="AI15" s="1"/>
      <c r="AX15" s="62"/>
      <c r="AY15" s="64">
        <f>$AY$16/100/(1-$X$33)*$X$32*10^6/$X$30</f>
        <v>4411.7647058823532</v>
      </c>
      <c r="AZ15" s="64">
        <f>$AZ$16/100/(1-$X$33)*$X$32*10^6/$X$30</f>
        <v>4411.7647058823532</v>
      </c>
      <c r="BA15" s="65">
        <f>AZ15+AY15</f>
        <v>8823.5294117647063</v>
      </c>
      <c r="BB15" s="74"/>
      <c r="BC15" s="74"/>
    </row>
    <row r="16" spans="1:60" x14ac:dyDescent="0.25">
      <c r="A16" s="10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88">
        <v>2.1000000000000001E-2</v>
      </c>
      <c r="J16" s="36" t="s">
        <v>33</v>
      </c>
      <c r="K16">
        <f>H16*$X$16</f>
        <v>8.1082218000000004E-4</v>
      </c>
      <c r="L16">
        <v>0</v>
      </c>
      <c r="M16">
        <f t="shared" si="22"/>
        <v>4.0541109E-6</v>
      </c>
      <c r="N16">
        <f t="shared" si="23"/>
        <v>9.140541360251217E-2</v>
      </c>
      <c r="O16">
        <f t="shared" si="24"/>
        <v>0.91405413602512164</v>
      </c>
      <c r="P16">
        <f t="shared" si="25"/>
        <v>0</v>
      </c>
      <c r="Q16" s="1">
        <f t="shared" si="26"/>
        <v>3.5771566764705884</v>
      </c>
      <c r="R16">
        <v>2.9620999999999998E-4</v>
      </c>
      <c r="S16" s="1">
        <f t="shared" si="27"/>
        <v>1.2973154880000001E-2</v>
      </c>
      <c r="T16">
        <f>AA16</f>
        <v>1127.3176271832149</v>
      </c>
      <c r="U16">
        <v>0</v>
      </c>
      <c r="V16" t="s">
        <v>33</v>
      </c>
      <c r="W16">
        <f t="shared" ref="W16:W20" si="34">K16</f>
        <v>8.1082218000000004E-4</v>
      </c>
      <c r="X16" s="97">
        <v>3.8610579999999999E-2</v>
      </c>
      <c r="Y16" s="13">
        <v>1.8</v>
      </c>
      <c r="Z16" s="103">
        <f t="shared" si="28"/>
        <v>112.73176271832151</v>
      </c>
      <c r="AA16" s="103">
        <f t="shared" si="29"/>
        <v>1127.3176271832149</v>
      </c>
      <c r="AB16" s="16">
        <v>5.0000000000000001E-3</v>
      </c>
      <c r="AC16" s="16">
        <v>1</v>
      </c>
      <c r="AD16" s="69">
        <f t="shared" si="30"/>
        <v>0</v>
      </c>
      <c r="AE16" s="42">
        <f>$AE$17/100/(1-$X$33)*$X$32*10^6/$X$30</f>
        <v>4411.7647058823532</v>
      </c>
      <c r="AF16" s="103">
        <f t="shared" si="31"/>
        <v>16</v>
      </c>
      <c r="AG16" s="103">
        <f t="shared" si="32"/>
        <v>1.0072524774881596E-3</v>
      </c>
      <c r="AH16" s="100">
        <f t="shared" si="33"/>
        <v>19.501594871030605</v>
      </c>
      <c r="AI16" s="1"/>
      <c r="AX16" s="63" t="s">
        <v>117</v>
      </c>
      <c r="AY16" s="66">
        <v>10</v>
      </c>
      <c r="AZ16" s="66">
        <v>10</v>
      </c>
      <c r="BA16" s="67">
        <f>AZ16+AY16</f>
        <v>20</v>
      </c>
      <c r="BB16" s="75"/>
      <c r="BC16" s="75"/>
    </row>
    <row r="17" spans="1:58" x14ac:dyDescent="0.25">
      <c r="A17" s="10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88">
        <v>7.2999999999999995E-2</v>
      </c>
      <c r="I17" s="93">
        <v>2.8062069999999998E-3</v>
      </c>
      <c r="J17" s="36" t="s">
        <v>33</v>
      </c>
      <c r="K17">
        <f>R17*$X$17</f>
        <v>2.3911019999999996E-3</v>
      </c>
      <c r="L17">
        <v>0</v>
      </c>
      <c r="M17">
        <f t="shared" si="22"/>
        <v>1.1955509999999998E-5</v>
      </c>
      <c r="N17">
        <f t="shared" si="23"/>
        <v>0.93000348723062776</v>
      </c>
      <c r="O17">
        <f t="shared" si="24"/>
        <v>9.3000348723062771</v>
      </c>
      <c r="P17">
        <f t="shared" si="25"/>
        <v>0</v>
      </c>
      <c r="Q17" s="1">
        <f t="shared" si="26"/>
        <v>10.548979411764705</v>
      </c>
      <c r="R17">
        <v>1.6265999999999999E-4</v>
      </c>
      <c r="S17" s="1">
        <f t="shared" si="27"/>
        <v>0.13390171199999998</v>
      </c>
      <c r="T17">
        <v>4250</v>
      </c>
      <c r="U17">
        <v>0</v>
      </c>
      <c r="V17" t="s">
        <v>33</v>
      </c>
      <c r="W17">
        <f t="shared" si="34"/>
        <v>2.3911019999999996E-3</v>
      </c>
      <c r="X17" s="95">
        <v>14.7</v>
      </c>
      <c r="Y17" s="95">
        <v>4.25</v>
      </c>
      <c r="Z17" s="103">
        <f t="shared" si="28"/>
        <v>388.94346089402626</v>
      </c>
      <c r="AA17" s="103">
        <f t="shared" si="29"/>
        <v>3889.4346089402625</v>
      </c>
      <c r="AC17" s="24"/>
      <c r="AD17" s="69">
        <f t="shared" si="30"/>
        <v>0</v>
      </c>
      <c r="AE17" s="39">
        <v>10</v>
      </c>
      <c r="AF17" s="103">
        <f t="shared" si="31"/>
        <v>56</v>
      </c>
      <c r="AG17" s="103">
        <f t="shared" si="32"/>
        <v>3.6512011066709804E-3</v>
      </c>
      <c r="AH17" s="100">
        <f t="shared" si="33"/>
        <v>34.511906352369856</v>
      </c>
      <c r="AI17" s="1"/>
      <c r="AJ17" s="1"/>
    </row>
    <row r="18" spans="1:58" x14ac:dyDescent="0.25">
      <c r="A18" s="10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88">
        <f>H16</f>
        <v>2.1000000000000001E-2</v>
      </c>
      <c r="J18" s="36" t="s">
        <v>33</v>
      </c>
      <c r="K18">
        <f>H18*$X$18</f>
        <v>8.1082218000000004E-4</v>
      </c>
      <c r="L18">
        <v>0</v>
      </c>
      <c r="M18">
        <f t="shared" si="22"/>
        <v>4.0541109E-6</v>
      </c>
      <c r="N18">
        <f t="shared" si="23"/>
        <v>0.13005957237550214</v>
      </c>
      <c r="O18">
        <f t="shared" si="24"/>
        <v>1.3005957237550212</v>
      </c>
      <c r="P18">
        <f t="shared" si="25"/>
        <v>1.0731470029411763</v>
      </c>
      <c r="Q18" s="1">
        <f t="shared" si="26"/>
        <v>3.5771566764705884</v>
      </c>
      <c r="R18">
        <v>2.4800000000000001E-4</v>
      </c>
      <c r="S18" s="1">
        <f t="shared" si="27"/>
        <v>1.8648910140000002E-2</v>
      </c>
      <c r="T18">
        <f>AA18</f>
        <v>1604.0455673709137</v>
      </c>
      <c r="U18">
        <v>0</v>
      </c>
      <c r="V18" t="s">
        <v>33</v>
      </c>
      <c r="W18">
        <f t="shared" si="34"/>
        <v>8.1082218000000004E-4</v>
      </c>
      <c r="X18" s="97">
        <v>3.8610579999999999E-2</v>
      </c>
      <c r="Y18" s="13">
        <v>2.2999999999999998</v>
      </c>
      <c r="Z18" s="103">
        <f t="shared" si="28"/>
        <v>160.40455673709138</v>
      </c>
      <c r="AA18" s="103">
        <f t="shared" si="29"/>
        <v>1604.0455673709137</v>
      </c>
      <c r="AD18" s="69">
        <f t="shared" si="30"/>
        <v>1323.5294117647056</v>
      </c>
      <c r="AE18" s="40" t="s">
        <v>103</v>
      </c>
      <c r="AF18" s="103">
        <f t="shared" si="31"/>
        <v>23</v>
      </c>
      <c r="AG18" s="103">
        <f t="shared" si="32"/>
        <v>1.0470993498185794E-3</v>
      </c>
      <c r="AH18" s="100">
        <f t="shared" si="33"/>
        <v>22.564923744773292</v>
      </c>
      <c r="AI18" s="1"/>
      <c r="AJ18" s="1"/>
    </row>
    <row r="19" spans="1:58" x14ac:dyDescent="0.25">
      <c r="A19" s="10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88">
        <f>0.024-H16</f>
        <v>2.9999999999999992E-3</v>
      </c>
      <c r="J19" s="36" t="s">
        <v>33</v>
      </c>
      <c r="K19">
        <f>H19*$X$19</f>
        <v>1.1583173999999997E-4</v>
      </c>
      <c r="L19">
        <v>0</v>
      </c>
      <c r="M19">
        <f t="shared" si="22"/>
        <v>5.791586999999999E-7</v>
      </c>
      <c r="N19">
        <f t="shared" si="23"/>
        <v>1.8579938910786013E-2</v>
      </c>
      <c r="O19">
        <f t="shared" si="24"/>
        <v>0.18579938910786009</v>
      </c>
      <c r="P19">
        <f t="shared" si="25"/>
        <v>0</v>
      </c>
      <c r="Q19" s="1">
        <f t="shared" si="26"/>
        <v>0.51102238235294106</v>
      </c>
      <c r="R19">
        <v>4.2320000000000001E-5</v>
      </c>
      <c r="S19" s="1">
        <f t="shared" si="27"/>
        <v>2.6641300199999993E-3</v>
      </c>
      <c r="T19">
        <f>AA19</f>
        <v>1604.0455673709137</v>
      </c>
      <c r="U19">
        <v>0</v>
      </c>
      <c r="V19" t="s">
        <v>33</v>
      </c>
      <c r="W19">
        <f t="shared" si="34"/>
        <v>1.1583173999999997E-4</v>
      </c>
      <c r="X19" s="97">
        <v>3.8610579999999999E-2</v>
      </c>
      <c r="Y19" s="13">
        <v>2.2999999999999998</v>
      </c>
      <c r="Z19" s="103">
        <f t="shared" si="28"/>
        <v>160.40455673709138</v>
      </c>
      <c r="AA19" s="103">
        <f t="shared" si="29"/>
        <v>1604.0455673709137</v>
      </c>
      <c r="AD19" s="69">
        <f t="shared" si="30"/>
        <v>0</v>
      </c>
      <c r="AE19" s="1"/>
      <c r="AF19" s="103">
        <f t="shared" si="31"/>
        <v>23</v>
      </c>
      <c r="AG19" s="103">
        <f t="shared" si="32"/>
        <v>1.4958562140265417E-4</v>
      </c>
      <c r="AH19" s="100">
        <f t="shared" si="33"/>
        <v>22.564923744773303</v>
      </c>
      <c r="BD19" s="59" t="s">
        <v>57</v>
      </c>
      <c r="BE19" s="7" t="s">
        <v>47</v>
      </c>
      <c r="BF19" s="8">
        <v>0</v>
      </c>
    </row>
    <row r="20" spans="1:58" x14ac:dyDescent="0.25">
      <c r="A20" s="10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88">
        <f>L5-H19-H18</f>
        <v>5.8999999999999997E-2</v>
      </c>
      <c r="I20" s="93">
        <v>2.4372E-3</v>
      </c>
      <c r="J20" s="36" t="s">
        <v>31</v>
      </c>
      <c r="K20">
        <f>R20*$X$20</f>
        <v>1.551144E-3</v>
      </c>
      <c r="L20">
        <v>0</v>
      </c>
      <c r="M20">
        <f t="shared" si="22"/>
        <v>7.7557200000000007E-6</v>
      </c>
      <c r="N20">
        <f t="shared" si="23"/>
        <v>0.80180613512635091</v>
      </c>
      <c r="O20">
        <f t="shared" si="24"/>
        <v>8.0180613512635084</v>
      </c>
      <c r="P20">
        <f t="shared" si="25"/>
        <v>0</v>
      </c>
      <c r="Q20" s="1">
        <f t="shared" si="26"/>
        <v>6.843282352941177</v>
      </c>
      <c r="R20">
        <v>1.0552000000000001E-4</v>
      </c>
      <c r="S20" s="1">
        <f t="shared" si="27"/>
        <v>0.1163358</v>
      </c>
      <c r="T20">
        <v>0</v>
      </c>
      <c r="U20">
        <v>0</v>
      </c>
      <c r="V20" t="s">
        <v>33</v>
      </c>
      <c r="W20">
        <f t="shared" si="34"/>
        <v>1.551144E-3</v>
      </c>
      <c r="X20" s="96">
        <v>14.7</v>
      </c>
      <c r="Y20" s="96">
        <v>5.0999999999999996</v>
      </c>
      <c r="Z20" s="104">
        <f t="shared" si="28"/>
        <v>516.91276575633913</v>
      </c>
      <c r="AA20" s="104">
        <f t="shared" si="29"/>
        <v>5169.127657563391</v>
      </c>
      <c r="AD20" s="70">
        <f t="shared" si="30"/>
        <v>0</v>
      </c>
      <c r="AF20" s="104">
        <f t="shared" si="31"/>
        <v>75</v>
      </c>
      <c r="AG20" s="104">
        <f t="shared" si="32"/>
        <v>2.5732130354795693E-3</v>
      </c>
      <c r="AH20" s="102">
        <f t="shared" si="33"/>
        <v>39.719565437732463</v>
      </c>
      <c r="BD20" s="59"/>
      <c r="BE20" s="7" t="s">
        <v>48</v>
      </c>
      <c r="BF20" s="7">
        <v>0.106</v>
      </c>
    </row>
    <row r="21" spans="1:58" x14ac:dyDescent="0.25">
      <c r="A21" s="2"/>
      <c r="Y21" s="71"/>
      <c r="Z21" s="15"/>
      <c r="AA21" s="45"/>
      <c r="AC21" s="1"/>
      <c r="AQ21" s="59"/>
      <c r="AR21" s="80"/>
      <c r="AS21" s="82"/>
      <c r="AT21" s="82"/>
      <c r="AU21" s="82"/>
      <c r="AV21" s="82"/>
      <c r="AW21" s="82"/>
      <c r="AX21" s="59"/>
      <c r="AY21" s="59"/>
      <c r="AZ21" s="59"/>
      <c r="BA21" s="59"/>
      <c r="BB21" s="73"/>
      <c r="BC21" s="73"/>
      <c r="BD21" s="7" t="s">
        <v>49</v>
      </c>
      <c r="BE21" s="7">
        <v>1.28</v>
      </c>
    </row>
    <row r="22" spans="1:58" x14ac:dyDescent="0.25">
      <c r="A22" s="2"/>
      <c r="Y22" s="27"/>
      <c r="Z22" s="72"/>
      <c r="AA22" s="17" t="s">
        <v>79</v>
      </c>
      <c r="AB22" s="33" t="s">
        <v>80</v>
      </c>
      <c r="AD22" s="39">
        <v>3</v>
      </c>
      <c r="AQ22" s="59"/>
      <c r="AR22" s="80"/>
      <c r="AS22" s="82"/>
      <c r="AT22" s="82"/>
      <c r="AU22" s="82"/>
      <c r="AV22" s="82"/>
      <c r="AW22" s="82"/>
      <c r="AX22" s="59"/>
      <c r="AY22" s="59"/>
      <c r="AZ22" s="59"/>
      <c r="BA22" s="59"/>
      <c r="BB22" s="73"/>
      <c r="BC22" s="73"/>
      <c r="BD22" s="7" t="s">
        <v>50</v>
      </c>
      <c r="BE22" s="7">
        <v>0.8</v>
      </c>
    </row>
    <row r="23" spans="1:58" x14ac:dyDescent="0.25">
      <c r="A23" s="2"/>
      <c r="AA23" s="14">
        <v>0.1</v>
      </c>
      <c r="AB23" s="55">
        <f>(SUMPRODUCT(Y15:Y20,AG15:AG20)+SUMPRODUCT(AW5:AW12,AU5:AU12))/SUM(AG15:AG20,AU5:AU12)</f>
        <v>4.0512575007642138</v>
      </c>
      <c r="AD23" s="40" t="s">
        <v>103</v>
      </c>
      <c r="AQ23" s="59"/>
      <c r="AR23" s="80"/>
      <c r="AS23" s="82"/>
      <c r="AT23" s="82"/>
      <c r="AU23" s="82"/>
      <c r="AV23" s="82"/>
      <c r="AW23" s="82"/>
      <c r="AX23" s="59"/>
      <c r="AY23" s="59"/>
      <c r="AZ23" s="59"/>
      <c r="BA23" s="59"/>
      <c r="BB23" s="73"/>
      <c r="BC23" s="73"/>
      <c r="BD23" s="7" t="s">
        <v>60</v>
      </c>
      <c r="BE23" s="7">
        <f>210*3600*24/12</f>
        <v>1512000</v>
      </c>
    </row>
    <row r="24" spans="1:58" x14ac:dyDescent="0.25">
      <c r="A24" s="2"/>
      <c r="F24" s="1"/>
      <c r="G24" s="1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 t="s">
        <v>58</v>
      </c>
      <c r="BD24" s="7">
        <v>5</v>
      </c>
    </row>
    <row r="25" spans="1:58" x14ac:dyDescent="0.25">
      <c r="A25" s="107" t="s">
        <v>71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63</v>
      </c>
      <c r="H25" s="5" t="s">
        <v>64</v>
      </c>
      <c r="I25" s="5" t="s">
        <v>65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8" x14ac:dyDescent="0.25">
      <c r="A26" s="107"/>
      <c r="B26">
        <v>1</v>
      </c>
      <c r="C26" t="s">
        <v>30</v>
      </c>
      <c r="D26" t="s">
        <v>66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8" x14ac:dyDescent="0.25">
      <c r="A27" s="107"/>
      <c r="B27">
        <v>1</v>
      </c>
      <c r="C27" t="s">
        <v>30</v>
      </c>
      <c r="D27" t="s">
        <v>67</v>
      </c>
      <c r="E27" s="24">
        <f>E28*$K$27</f>
        <v>54.008211701567305</v>
      </c>
      <c r="F27" s="24">
        <f>F28*$K$27</f>
        <v>0.94315980279294032</v>
      </c>
      <c r="G27" s="24">
        <f>G28*$K$27</f>
        <v>9.4315980279294021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1.2241861319021921E-2</v>
      </c>
      <c r="L27" s="24">
        <f>K27*$AB$16</f>
        <v>6.1209306595109614E-5</v>
      </c>
      <c r="M27" s="24">
        <f>M28*$K$27</f>
        <v>3.0604653297554805</v>
      </c>
      <c r="N27" s="57" t="s">
        <v>111</v>
      </c>
      <c r="O27" s="17" t="s">
        <v>68</v>
      </c>
      <c r="P27" s="17" t="s">
        <v>82</v>
      </c>
      <c r="Q27" s="17" t="s">
        <v>81</v>
      </c>
      <c r="R27" s="10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8" x14ac:dyDescent="0.25">
      <c r="E28" s="43">
        <f>AE16</f>
        <v>4411.7647058823532</v>
      </c>
      <c r="F28" s="44">
        <f>(($Q$28/100)*(1+$E$28*$E$31)-$AB$16)/((1+1/$P$28)*(14*10^-6-$J$31*$Q$28/100))</f>
        <v>77.043823501530667</v>
      </c>
      <c r="G28" s="44">
        <f>F28/$P$28</f>
        <v>770.43823501530665</v>
      </c>
      <c r="H28" s="18"/>
      <c r="I28" s="18"/>
      <c r="J28" s="18"/>
      <c r="K28" s="18"/>
      <c r="L28" s="18"/>
      <c r="M28" s="19">
        <v>250</v>
      </c>
      <c r="N28" s="58">
        <f>SUM(AK5:AK12,K15:K20)/K27</f>
        <v>0.7602288455158096</v>
      </c>
      <c r="O28" s="96">
        <v>0.98</v>
      </c>
      <c r="P28" s="14">
        <v>0.1</v>
      </c>
      <c r="Q28" s="96">
        <v>1.4</v>
      </c>
      <c r="R28" s="108"/>
      <c r="S28" s="7" t="s">
        <v>48</v>
      </c>
      <c r="T28" s="7">
        <v>0.106</v>
      </c>
      <c r="AM28" s="10" t="s">
        <v>72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8" x14ac:dyDescent="0.25">
      <c r="F29" s="1"/>
      <c r="R29" s="108"/>
      <c r="S29" s="7" t="s">
        <v>49</v>
      </c>
      <c r="T29" s="7">
        <v>1.28</v>
      </c>
      <c r="W29" s="37" t="s">
        <v>102</v>
      </c>
      <c r="X29" s="38">
        <v>180</v>
      </c>
      <c r="AM29" s="11" t="s">
        <v>73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8" x14ac:dyDescent="0.25">
      <c r="D30" s="23" t="s">
        <v>77</v>
      </c>
      <c r="F30" s="1"/>
      <c r="O30" s="28" t="s">
        <v>115</v>
      </c>
      <c r="P30" s="54">
        <f>K27+SUM(K15:K20)+SUM(AK5:AK12)</f>
        <v>2.1548477416546603E-2</v>
      </c>
      <c r="R30" s="108"/>
      <c r="S30" s="7" t="s">
        <v>50</v>
      </c>
      <c r="T30" s="7">
        <v>0.8</v>
      </c>
      <c r="W30" s="37" t="s">
        <v>99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8" x14ac:dyDescent="0.25">
      <c r="D31" s="20" t="s">
        <v>78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8"/>
      <c r="S31" s="7" t="s">
        <v>51</v>
      </c>
      <c r="T31" s="7">
        <f>271*3600 * 24 /12</f>
        <v>1951200</v>
      </c>
      <c r="W31" s="28" t="s">
        <v>100</v>
      </c>
      <c r="X31" s="30">
        <v>12</v>
      </c>
      <c r="AM31" s="10" t="s">
        <v>74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8" x14ac:dyDescent="0.25">
      <c r="D32" s="20" t="s">
        <v>75</v>
      </c>
      <c r="E32" s="20">
        <f>E26*E31</f>
        <v>0</v>
      </c>
      <c r="F32" s="21">
        <f>F26*F31</f>
        <v>0</v>
      </c>
      <c r="G32" s="21"/>
      <c r="O32" s="28" t="s">
        <v>110</v>
      </c>
      <c r="P32" s="54">
        <f>E26*E31+F26*F31</f>
        <v>0</v>
      </c>
      <c r="R32" s="108"/>
      <c r="S32" s="9" t="s">
        <v>52</v>
      </c>
      <c r="T32" s="7">
        <v>1.557936E-2</v>
      </c>
      <c r="W32" s="28" t="s">
        <v>101</v>
      </c>
      <c r="X32" s="30">
        <v>12</v>
      </c>
    </row>
    <row r="33" spans="1:24" x14ac:dyDescent="0.25">
      <c r="O33" s="28" t="s">
        <v>91</v>
      </c>
      <c r="P33" s="54">
        <f t="array" ref="P33">SUM(K15:K20,AK5:AK12)+SUM(AF5:AF12*F31,N15:N20*F31)+SUM(AH5:AH12*J31,O15:O20*J31)+SUM(AE5:AE12*E31,Q15:Q20*E31)+SUM(P15:P20*E31,AG5:AG12*E31)</f>
        <v>1.4178170897901759E-2</v>
      </c>
      <c r="W33" s="28" t="s">
        <v>104</v>
      </c>
      <c r="X33" s="41">
        <v>0.2</v>
      </c>
    </row>
    <row r="34" spans="1:24" x14ac:dyDescent="0.25">
      <c r="O34" s="28" t="s">
        <v>92</v>
      </c>
      <c r="P34" s="29">
        <f>K27+E27*E31+F27*F31+G27*G31</f>
        <v>1.446752132438955E-2</v>
      </c>
    </row>
    <row r="35" spans="1:24" ht="15" customHeight="1" x14ac:dyDescent="0.25">
      <c r="A35" s="109" t="s">
        <v>131</v>
      </c>
      <c r="B35" s="5" t="s">
        <v>0</v>
      </c>
      <c r="C35" s="5" t="s">
        <v>1</v>
      </c>
      <c r="D35" s="5" t="s">
        <v>120</v>
      </c>
      <c r="E35" s="5" t="s">
        <v>121</v>
      </c>
      <c r="F35" s="5" t="s">
        <v>122</v>
      </c>
      <c r="G35" s="5" t="s">
        <v>123</v>
      </c>
      <c r="H35" s="5" t="s">
        <v>124</v>
      </c>
      <c r="I35" s="5" t="s">
        <v>125</v>
      </c>
      <c r="J35" s="5" t="s">
        <v>126</v>
      </c>
      <c r="K35" s="5" t="s">
        <v>127</v>
      </c>
      <c r="L35" s="5" t="s">
        <v>128</v>
      </c>
      <c r="M35" s="5" t="s">
        <v>129</v>
      </c>
      <c r="N35" s="5" t="s">
        <v>27</v>
      </c>
      <c r="O35" s="28" t="s">
        <v>107</v>
      </c>
      <c r="P35" s="29">
        <f>P34+P33+P32</f>
        <v>2.8645692222291311E-2</v>
      </c>
      <c r="Q35" s="25"/>
    </row>
    <row r="36" spans="1:24" x14ac:dyDescent="0.25">
      <c r="A36" s="109"/>
      <c r="B36">
        <v>1</v>
      </c>
      <c r="C36" t="s">
        <v>30</v>
      </c>
      <c r="D36" t="s">
        <v>130</v>
      </c>
      <c r="E36">
        <f>F2</f>
        <v>9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N36" s="1">
        <f>K27+SUM(K15:K20)+SUM(AK5:AK11)</f>
        <v>2.1548477416546603E-2</v>
      </c>
      <c r="O36" s="30"/>
      <c r="P36" s="31"/>
      <c r="Q36" s="1"/>
    </row>
    <row r="37" spans="1:24" x14ac:dyDescent="0.25">
      <c r="O37" s="28" t="s">
        <v>113</v>
      </c>
      <c r="P37" s="32">
        <f>1-SUM($AK$5:$AK$12,$K$15:$K$20)/$P$33</f>
        <v>0.34359543522627611</v>
      </c>
    </row>
    <row r="38" spans="1:24" x14ac:dyDescent="0.25">
      <c r="O38" s="28" t="s">
        <v>114</v>
      </c>
      <c r="P38" s="32">
        <f>1-$K$27/$P$34</f>
        <v>0.15383837738781003</v>
      </c>
    </row>
    <row r="39" spans="1:24" x14ac:dyDescent="0.25">
      <c r="O39" s="28" t="s">
        <v>93</v>
      </c>
      <c r="P39" s="32">
        <f>1-SUM($AK$5:$AK$12,$K$15:$K$20)/($P$33+N28/(1+N28)*P32)</f>
        <v>0.34359543522627611</v>
      </c>
    </row>
    <row r="40" spans="1:24" x14ac:dyDescent="0.25">
      <c r="O40" s="28" t="s">
        <v>94</v>
      </c>
      <c r="P40" s="32">
        <f>1-$K$27/($P$34+1/(1+N28)*P32)</f>
        <v>0.15383837738781003</v>
      </c>
    </row>
    <row r="42" spans="1:24" x14ac:dyDescent="0.25">
      <c r="O42" s="28" t="s">
        <v>109</v>
      </c>
      <c r="P42" s="56" t="e">
        <f>(F26*14*10^-6)/(E26*E31+F26*F31)*100</f>
        <v>#DIV/0!</v>
      </c>
    </row>
    <row r="43" spans="1:24" x14ac:dyDescent="0.25">
      <c r="O43" s="28" t="s">
        <v>108</v>
      </c>
      <c r="P43" s="56" t="e">
        <f>($AB$23*$P$33+$Q$28*$P$34+$P$32*$P$42)/$P$35</f>
        <v>#DIV/0!</v>
      </c>
    </row>
    <row r="44" spans="1:24" x14ac:dyDescent="0.25">
      <c r="O44" s="28" t="s">
        <v>112</v>
      </c>
      <c r="P44" s="56">
        <f>($AB$23*$P$33+$Q$28*$P$34)/($P$33+$P$34)</f>
        <v>2.7122385609843076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6" workbookViewId="0">
      <selection activeCell="F20" sqref="F20"/>
    </sheetView>
  </sheetViews>
  <sheetFormatPr baseColWidth="10" defaultRowHeight="15" x14ac:dyDescent="0.25"/>
  <sheetData>
    <row r="1" spans="1:6" x14ac:dyDescent="0.25">
      <c r="A1" t="s">
        <v>210</v>
      </c>
    </row>
    <row r="3" spans="1:6" x14ac:dyDescent="0.25">
      <c r="D3" s="2" t="s">
        <v>212</v>
      </c>
    </row>
    <row r="4" spans="1:6" x14ac:dyDescent="0.25">
      <c r="A4" s="83" t="s">
        <v>145</v>
      </c>
      <c r="B4" s="83" t="s">
        <v>179</v>
      </c>
      <c r="C4" s="83" t="s">
        <v>190</v>
      </c>
      <c r="D4" s="83" t="s">
        <v>194</v>
      </c>
      <c r="E4" s="83" t="s">
        <v>195</v>
      </c>
      <c r="F4" s="83" t="s">
        <v>196</v>
      </c>
    </row>
    <row r="5" spans="1:6" x14ac:dyDescent="0.25">
      <c r="A5" t="s">
        <v>166</v>
      </c>
      <c r="B5">
        <v>1</v>
      </c>
      <c r="C5">
        <v>1</v>
      </c>
      <c r="D5">
        <v>14.725063</v>
      </c>
      <c r="E5">
        <v>2.0335342999999999</v>
      </c>
      <c r="F5">
        <v>3</v>
      </c>
    </row>
    <row r="6" spans="1:6" x14ac:dyDescent="0.25">
      <c r="A6" t="s">
        <v>166</v>
      </c>
      <c r="B6">
        <v>2</v>
      </c>
      <c r="C6">
        <v>2</v>
      </c>
      <c r="D6" t="s">
        <v>211</v>
      </c>
      <c r="E6" t="s">
        <v>32</v>
      </c>
      <c r="F6">
        <v>0</v>
      </c>
    </row>
    <row r="7" spans="1:6" x14ac:dyDescent="0.25">
      <c r="A7" t="s">
        <v>166</v>
      </c>
      <c r="B7">
        <v>3</v>
      </c>
      <c r="C7">
        <v>3</v>
      </c>
      <c r="D7" t="s">
        <v>211</v>
      </c>
      <c r="E7" t="s">
        <v>32</v>
      </c>
      <c r="F7">
        <v>0</v>
      </c>
    </row>
    <row r="8" spans="1:6" x14ac:dyDescent="0.25">
      <c r="A8" t="s">
        <v>166</v>
      </c>
      <c r="B8">
        <v>4</v>
      </c>
      <c r="C8">
        <v>4</v>
      </c>
      <c r="D8">
        <v>11.441701999999999</v>
      </c>
      <c r="E8">
        <v>2.2449431999999998</v>
      </c>
      <c r="F8">
        <v>3</v>
      </c>
    </row>
    <row r="9" spans="1:6" x14ac:dyDescent="0.25">
      <c r="A9" t="s">
        <v>166</v>
      </c>
      <c r="B9">
        <v>5</v>
      </c>
      <c r="C9">
        <v>5</v>
      </c>
      <c r="D9">
        <v>20.913267000000001</v>
      </c>
      <c r="E9">
        <v>0.10807890000000001</v>
      </c>
      <c r="F9">
        <v>3</v>
      </c>
    </row>
    <row r="10" spans="1:6" x14ac:dyDescent="0.25">
      <c r="A10" t="s">
        <v>166</v>
      </c>
      <c r="B10">
        <v>6</v>
      </c>
      <c r="C10">
        <v>6</v>
      </c>
      <c r="D10">
        <v>26.197562999999999</v>
      </c>
      <c r="E10">
        <v>0.51239080000000004</v>
      </c>
      <c r="F10">
        <v>3</v>
      </c>
    </row>
    <row r="11" spans="1:6" x14ac:dyDescent="0.25">
      <c r="A11" t="s">
        <v>166</v>
      </c>
      <c r="B11">
        <v>7</v>
      </c>
      <c r="C11">
        <v>7</v>
      </c>
      <c r="D11" t="s">
        <v>211</v>
      </c>
      <c r="E11" t="s">
        <v>32</v>
      </c>
      <c r="F11">
        <v>0</v>
      </c>
    </row>
    <row r="12" spans="1:6" x14ac:dyDescent="0.25">
      <c r="A12" t="s">
        <v>166</v>
      </c>
      <c r="B12">
        <v>8</v>
      </c>
      <c r="C12">
        <v>8</v>
      </c>
      <c r="D12" t="s">
        <v>211</v>
      </c>
      <c r="E12" t="s">
        <v>32</v>
      </c>
      <c r="F12">
        <v>0</v>
      </c>
    </row>
    <row r="13" spans="1:6" x14ac:dyDescent="0.25">
      <c r="A13" t="s">
        <v>166</v>
      </c>
      <c r="B13">
        <v>9</v>
      </c>
      <c r="C13">
        <v>9</v>
      </c>
      <c r="D13" t="s">
        <v>211</v>
      </c>
      <c r="E13" t="s">
        <v>32</v>
      </c>
      <c r="F13">
        <v>0</v>
      </c>
    </row>
    <row r="14" spans="1:6" x14ac:dyDescent="0.25">
      <c r="A14" t="s">
        <v>166</v>
      </c>
      <c r="B14">
        <v>10</v>
      </c>
      <c r="C14">
        <v>10</v>
      </c>
      <c r="D14" t="s">
        <v>211</v>
      </c>
      <c r="E14" t="s">
        <v>32</v>
      </c>
      <c r="F14">
        <v>0</v>
      </c>
    </row>
    <row r="15" spans="1:6" x14ac:dyDescent="0.25">
      <c r="A15" t="s">
        <v>166</v>
      </c>
      <c r="B15">
        <v>11</v>
      </c>
      <c r="C15">
        <v>11</v>
      </c>
      <c r="D15" t="s">
        <v>211</v>
      </c>
      <c r="E15" t="s">
        <v>32</v>
      </c>
      <c r="F15">
        <v>0</v>
      </c>
    </row>
    <row r="16" spans="1:6" x14ac:dyDescent="0.25">
      <c r="A16" t="s">
        <v>166</v>
      </c>
      <c r="B16">
        <v>12</v>
      </c>
      <c r="C16">
        <v>12</v>
      </c>
      <c r="D16" t="s">
        <v>211</v>
      </c>
      <c r="E16" t="s">
        <v>32</v>
      </c>
      <c r="F16">
        <v>0</v>
      </c>
    </row>
    <row r="18" spans="1:8" x14ac:dyDescent="0.25">
      <c r="F18" s="2" t="s">
        <v>216</v>
      </c>
    </row>
    <row r="19" spans="1:8" x14ac:dyDescent="0.25">
      <c r="A19" s="83" t="s">
        <v>145</v>
      </c>
      <c r="B19" s="83" t="s">
        <v>179</v>
      </c>
      <c r="C19" s="83" t="s">
        <v>213</v>
      </c>
      <c r="D19" s="83" t="s">
        <v>214</v>
      </c>
      <c r="E19" s="83" t="s">
        <v>190</v>
      </c>
      <c r="F19" s="83" t="s">
        <v>194</v>
      </c>
      <c r="G19" s="83" t="s">
        <v>195</v>
      </c>
      <c r="H19" s="83" t="s">
        <v>196</v>
      </c>
    </row>
    <row r="20" spans="1:8" x14ac:dyDescent="0.25">
      <c r="A20" t="s">
        <v>166</v>
      </c>
      <c r="B20">
        <v>1</v>
      </c>
      <c r="C20" t="s">
        <v>215</v>
      </c>
      <c r="D20" t="s">
        <v>215</v>
      </c>
      <c r="E20">
        <v>1</v>
      </c>
      <c r="F20">
        <v>3.8610579999999999E-2</v>
      </c>
      <c r="G20">
        <v>1.3080649E-2</v>
      </c>
      <c r="H20">
        <v>3</v>
      </c>
    </row>
    <row r="21" spans="1:8" x14ac:dyDescent="0.25">
      <c r="A21" t="s">
        <v>166</v>
      </c>
      <c r="B21">
        <v>4</v>
      </c>
      <c r="C21" t="s">
        <v>215</v>
      </c>
      <c r="D21" t="s">
        <v>215</v>
      </c>
      <c r="E21">
        <v>4</v>
      </c>
      <c r="F21">
        <v>8.5161940000000005E-2</v>
      </c>
      <c r="G21">
        <v>6.9184770000000001E-3</v>
      </c>
      <c r="H21">
        <v>3</v>
      </c>
    </row>
    <row r="22" spans="1:8" x14ac:dyDescent="0.25">
      <c r="A22" t="s">
        <v>166</v>
      </c>
      <c r="B22">
        <v>5</v>
      </c>
      <c r="C22" t="s">
        <v>215</v>
      </c>
      <c r="D22" t="s">
        <v>215</v>
      </c>
      <c r="E22">
        <v>5</v>
      </c>
      <c r="F22">
        <v>0.16921509000000001</v>
      </c>
      <c r="G22">
        <v>9.7540249999999995E-3</v>
      </c>
      <c r="H22">
        <v>3</v>
      </c>
    </row>
    <row r="23" spans="1:8" x14ac:dyDescent="0.25">
      <c r="A23" t="s">
        <v>166</v>
      </c>
      <c r="B23">
        <v>6</v>
      </c>
      <c r="C23" t="s">
        <v>215</v>
      </c>
      <c r="D23" t="s">
        <v>215</v>
      </c>
      <c r="E23">
        <v>6</v>
      </c>
      <c r="F23">
        <v>0.24609375</v>
      </c>
      <c r="G23">
        <v>4.4757803999999998E-2</v>
      </c>
      <c r="H23">
        <v>3</v>
      </c>
    </row>
    <row r="24" spans="1:8" x14ac:dyDescent="0.25">
      <c r="A24" t="s">
        <v>166</v>
      </c>
      <c r="B24">
        <v>7</v>
      </c>
      <c r="C24" t="s">
        <v>215</v>
      </c>
      <c r="D24" t="s">
        <v>215</v>
      </c>
      <c r="E24">
        <v>7</v>
      </c>
      <c r="F24">
        <v>0.28053173999999997</v>
      </c>
      <c r="G24">
        <v>2.9315411E-2</v>
      </c>
      <c r="H24">
        <v>3</v>
      </c>
    </row>
    <row r="25" spans="1:8" x14ac:dyDescent="0.25">
      <c r="A25" t="s">
        <v>166</v>
      </c>
      <c r="B25">
        <v>8</v>
      </c>
      <c r="C25" t="s">
        <v>186</v>
      </c>
      <c r="D25" t="s">
        <v>186</v>
      </c>
      <c r="E25">
        <v>8</v>
      </c>
      <c r="F25">
        <v>2.1875624899999999</v>
      </c>
      <c r="G25">
        <v>0.40812361800000002</v>
      </c>
      <c r="H25">
        <v>3</v>
      </c>
    </row>
    <row r="26" spans="1:8" x14ac:dyDescent="0.25">
      <c r="A26" t="s">
        <v>166</v>
      </c>
      <c r="B26">
        <v>8</v>
      </c>
      <c r="C26" t="s">
        <v>215</v>
      </c>
      <c r="D26" t="s">
        <v>215</v>
      </c>
      <c r="E26">
        <v>8</v>
      </c>
      <c r="F26">
        <v>0.40656605000000001</v>
      </c>
      <c r="G26">
        <v>4.1290068999999999E-2</v>
      </c>
      <c r="H26">
        <v>3</v>
      </c>
    </row>
    <row r="27" spans="1:8" x14ac:dyDescent="0.25">
      <c r="A27" t="s">
        <v>166</v>
      </c>
      <c r="B27">
        <v>9</v>
      </c>
      <c r="C27" t="s">
        <v>186</v>
      </c>
      <c r="D27" t="s">
        <v>186</v>
      </c>
      <c r="E27">
        <v>9</v>
      </c>
      <c r="F27">
        <v>1.1501698199999999</v>
      </c>
      <c r="G27">
        <v>0.38435413299999999</v>
      </c>
      <c r="H27">
        <v>3</v>
      </c>
    </row>
    <row r="28" spans="1:8" x14ac:dyDescent="0.25">
      <c r="A28" t="s">
        <v>166</v>
      </c>
      <c r="B28">
        <v>9</v>
      </c>
      <c r="C28" t="s">
        <v>215</v>
      </c>
      <c r="D28" t="s">
        <v>215</v>
      </c>
      <c r="E28">
        <v>9</v>
      </c>
      <c r="F28">
        <v>0.46175156000000001</v>
      </c>
      <c r="G28">
        <v>2.8910532999999999E-2</v>
      </c>
      <c r="H28">
        <v>3</v>
      </c>
    </row>
    <row r="29" spans="1:8" x14ac:dyDescent="0.25">
      <c r="A29" t="s">
        <v>166</v>
      </c>
      <c r="B29">
        <v>10</v>
      </c>
      <c r="C29" t="s">
        <v>186</v>
      </c>
      <c r="D29" t="s">
        <v>186</v>
      </c>
      <c r="E29">
        <v>10</v>
      </c>
      <c r="F29">
        <v>1.3777073399999999</v>
      </c>
      <c r="G29">
        <v>0.184129561</v>
      </c>
      <c r="H29">
        <v>3</v>
      </c>
    </row>
    <row r="30" spans="1:8" x14ac:dyDescent="0.25">
      <c r="A30" t="s">
        <v>166</v>
      </c>
      <c r="B30">
        <v>10</v>
      </c>
      <c r="C30" t="s">
        <v>215</v>
      </c>
      <c r="D30" t="s">
        <v>215</v>
      </c>
      <c r="E30">
        <v>10</v>
      </c>
      <c r="F30">
        <v>0.59895635000000003</v>
      </c>
      <c r="G30">
        <v>3.0718308999999999E-2</v>
      </c>
      <c r="H30">
        <v>3</v>
      </c>
    </row>
    <row r="31" spans="1:8" x14ac:dyDescent="0.25">
      <c r="A31" t="s">
        <v>166</v>
      </c>
      <c r="B31">
        <v>11</v>
      </c>
      <c r="C31" t="s">
        <v>186</v>
      </c>
      <c r="D31" t="s">
        <v>186</v>
      </c>
      <c r="E31">
        <v>11</v>
      </c>
      <c r="F31">
        <v>1.14112138</v>
      </c>
      <c r="G31">
        <v>0.145560881</v>
      </c>
      <c r="H31">
        <v>3</v>
      </c>
    </row>
    <row r="32" spans="1:8" x14ac:dyDescent="0.25">
      <c r="A32" t="s">
        <v>166</v>
      </c>
      <c r="B32">
        <v>11</v>
      </c>
      <c r="C32" t="s">
        <v>215</v>
      </c>
      <c r="D32" t="s">
        <v>215</v>
      </c>
      <c r="E32">
        <v>11</v>
      </c>
      <c r="F32">
        <v>0.63836225999999996</v>
      </c>
      <c r="G32">
        <v>7.7804959000000007E-2</v>
      </c>
      <c r="H32">
        <v>3</v>
      </c>
    </row>
    <row r="33" spans="1:8" x14ac:dyDescent="0.25">
      <c r="A33" t="s">
        <v>166</v>
      </c>
      <c r="B33">
        <v>12</v>
      </c>
      <c r="C33" t="s">
        <v>186</v>
      </c>
      <c r="D33" t="s">
        <v>186</v>
      </c>
      <c r="E33">
        <v>12</v>
      </c>
      <c r="F33">
        <v>0.70229799999999998</v>
      </c>
      <c r="G33">
        <v>0.22662895499999999</v>
      </c>
      <c r="H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D8" sqref="D8"/>
    </sheetView>
  </sheetViews>
  <sheetFormatPr baseColWidth="10" defaultRowHeight="15" x14ac:dyDescent="0.25"/>
  <cols>
    <col min="4" max="4" width="5.28515625" customWidth="1"/>
    <col min="5" max="5" width="16.7109375" bestFit="1" customWidth="1"/>
    <col min="6" max="6" width="21.85546875" bestFit="1" customWidth="1"/>
  </cols>
  <sheetData>
    <row r="1" spans="1:25" s="5" customFormat="1" x14ac:dyDescent="0.25">
      <c r="A1" s="5" t="s">
        <v>143</v>
      </c>
      <c r="B1" s="5" t="s">
        <v>144</v>
      </c>
      <c r="C1" s="5" t="s">
        <v>145</v>
      </c>
      <c r="D1" s="5" t="s">
        <v>146</v>
      </c>
      <c r="E1" s="5" t="s">
        <v>167</v>
      </c>
      <c r="F1" s="5" t="s">
        <v>168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176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</row>
    <row r="2" spans="1:25" x14ac:dyDescent="0.25">
      <c r="A2" s="84">
        <v>43115</v>
      </c>
      <c r="B2" t="s">
        <v>165</v>
      </c>
      <c r="C2" t="s">
        <v>166</v>
      </c>
      <c r="D2">
        <v>2</v>
      </c>
      <c r="E2">
        <v>0</v>
      </c>
      <c r="G2">
        <v>6.7</v>
      </c>
      <c r="H2">
        <v>2</v>
      </c>
      <c r="J2">
        <v>7</v>
      </c>
      <c r="K2">
        <v>2.4</v>
      </c>
      <c r="L2">
        <v>0.03</v>
      </c>
      <c r="M2">
        <v>7.6</v>
      </c>
      <c r="N2">
        <v>0.4</v>
      </c>
      <c r="O2">
        <f>N2+M2</f>
        <v>8</v>
      </c>
      <c r="P2">
        <v>1.8749999999999999E-2</v>
      </c>
      <c r="Q2">
        <v>3.7499999999999999E-2</v>
      </c>
      <c r="R2">
        <v>1</v>
      </c>
      <c r="T2">
        <v>7.8125E-2</v>
      </c>
      <c r="U2">
        <v>3.7499999999999999E-2</v>
      </c>
      <c r="V2">
        <v>0.02</v>
      </c>
    </row>
    <row r="3" spans="1:25" x14ac:dyDescent="0.25">
      <c r="A3" s="84">
        <v>43115</v>
      </c>
      <c r="B3" t="s">
        <v>165</v>
      </c>
      <c r="C3" t="s">
        <v>166</v>
      </c>
      <c r="D3">
        <v>9</v>
      </c>
      <c r="E3">
        <v>0</v>
      </c>
      <c r="G3">
        <v>6.7</v>
      </c>
      <c r="H3">
        <v>2.2000000000000002</v>
      </c>
      <c r="I3">
        <v>0.05</v>
      </c>
      <c r="J3">
        <v>7.4</v>
      </c>
      <c r="K3">
        <v>2.4</v>
      </c>
      <c r="L3">
        <v>3.5000000000000003E-2</v>
      </c>
      <c r="M3">
        <v>7.5</v>
      </c>
      <c r="N3">
        <v>0.7</v>
      </c>
      <c r="O3">
        <f t="shared" ref="O3:O11" si="0">N3+M3</f>
        <v>8.1999999999999993</v>
      </c>
      <c r="P3">
        <v>2.5000000000000001E-2</v>
      </c>
      <c r="Q3">
        <v>3.4375000000000003E-2</v>
      </c>
      <c r="R3">
        <v>1.35</v>
      </c>
      <c r="S3">
        <v>6.2500000000000003E-3</v>
      </c>
      <c r="T3">
        <v>8.4375000000000006E-2</v>
      </c>
      <c r="U3">
        <v>3.2500000000000001E-2</v>
      </c>
      <c r="V3">
        <v>1.7500000000000002E-2</v>
      </c>
      <c r="W3">
        <v>1.2E-2</v>
      </c>
      <c r="X3">
        <v>7.0000000000000001E-3</v>
      </c>
      <c r="Y3">
        <v>0</v>
      </c>
    </row>
    <row r="4" spans="1:25" x14ac:dyDescent="0.25">
      <c r="A4" s="84">
        <v>43115</v>
      </c>
      <c r="B4" t="s">
        <v>165</v>
      </c>
      <c r="C4" t="s">
        <v>166</v>
      </c>
      <c r="D4">
        <v>11</v>
      </c>
      <c r="E4">
        <v>0</v>
      </c>
      <c r="G4">
        <v>6.6</v>
      </c>
      <c r="H4">
        <v>2.1</v>
      </c>
      <c r="I4">
        <v>0.05</v>
      </c>
      <c r="J4">
        <v>7.3</v>
      </c>
      <c r="K4">
        <v>2.1</v>
      </c>
      <c r="L4">
        <v>3.5000000000000003E-2</v>
      </c>
      <c r="M4">
        <v>7.7</v>
      </c>
      <c r="N4">
        <v>0.8</v>
      </c>
      <c r="O4">
        <f t="shared" si="0"/>
        <v>8.5</v>
      </c>
      <c r="P4">
        <v>0.02</v>
      </c>
      <c r="Q4">
        <v>4.4999999999999998E-2</v>
      </c>
      <c r="R4">
        <v>1.5</v>
      </c>
      <c r="S4">
        <v>5.0000000000000001E-3</v>
      </c>
      <c r="T4">
        <v>0.105</v>
      </c>
      <c r="U4">
        <v>4.3749999999999997E-2</v>
      </c>
      <c r="V4">
        <v>0.02</v>
      </c>
      <c r="W4">
        <v>8.9999999999999993E-3</v>
      </c>
      <c r="X4">
        <v>7.0000000000000001E-3</v>
      </c>
      <c r="Y4">
        <v>0</v>
      </c>
    </row>
    <row r="5" spans="1:25" x14ac:dyDescent="0.25">
      <c r="A5" s="84">
        <v>43115</v>
      </c>
      <c r="B5" t="s">
        <v>165</v>
      </c>
      <c r="C5" t="s">
        <v>166</v>
      </c>
      <c r="D5">
        <v>12</v>
      </c>
      <c r="E5">
        <v>0</v>
      </c>
      <c r="G5">
        <v>6.4</v>
      </c>
      <c r="H5">
        <v>2.1</v>
      </c>
      <c r="J5">
        <v>7.2</v>
      </c>
      <c r="K5">
        <v>2.5</v>
      </c>
      <c r="L5">
        <v>3.5000000000000003E-2</v>
      </c>
      <c r="M5">
        <v>7.8</v>
      </c>
      <c r="N5">
        <v>0.7</v>
      </c>
      <c r="O5">
        <f t="shared" si="0"/>
        <v>8.5</v>
      </c>
      <c r="P5">
        <v>2.5000000000000001E-2</v>
      </c>
      <c r="Q5">
        <v>3.5000000000000003E-2</v>
      </c>
      <c r="R5">
        <v>1.3</v>
      </c>
      <c r="T5">
        <v>8.4375000000000006E-2</v>
      </c>
      <c r="U5">
        <v>3.5000000000000003E-2</v>
      </c>
      <c r="V5">
        <v>0.02</v>
      </c>
      <c r="W5">
        <v>1.2E-2</v>
      </c>
      <c r="X5">
        <v>7.0000000000000001E-3</v>
      </c>
      <c r="Y5">
        <v>0</v>
      </c>
    </row>
    <row r="6" spans="1:25" x14ac:dyDescent="0.25">
      <c r="A6" s="84">
        <v>43115</v>
      </c>
      <c r="B6" t="s">
        <v>165</v>
      </c>
      <c r="C6" t="s">
        <v>166</v>
      </c>
      <c r="D6">
        <v>30</v>
      </c>
      <c r="E6">
        <v>0</v>
      </c>
      <c r="G6">
        <v>6.6</v>
      </c>
      <c r="H6">
        <v>2.1</v>
      </c>
      <c r="I6">
        <v>0.06</v>
      </c>
      <c r="J6">
        <v>7.3</v>
      </c>
      <c r="K6">
        <v>2.2999999999999998</v>
      </c>
      <c r="L6">
        <v>3.5000000000000003E-2</v>
      </c>
      <c r="M6">
        <v>7.5</v>
      </c>
      <c r="N6">
        <v>0.6</v>
      </c>
      <c r="O6">
        <f t="shared" si="0"/>
        <v>8.1</v>
      </c>
      <c r="P6">
        <v>1.4999999999999999E-2</v>
      </c>
      <c r="Q6">
        <v>2.5000000000000001E-2</v>
      </c>
      <c r="R6">
        <v>1.3</v>
      </c>
      <c r="S6">
        <v>3.1250000000000002E-3</v>
      </c>
      <c r="T6">
        <v>7.8125E-2</v>
      </c>
      <c r="U6">
        <v>3.7499999999999999E-2</v>
      </c>
      <c r="V6">
        <v>1.7999999999999999E-2</v>
      </c>
      <c r="W6">
        <v>0.01</v>
      </c>
      <c r="X6">
        <v>7.0000000000000001E-3</v>
      </c>
      <c r="Y6">
        <v>0</v>
      </c>
    </row>
    <row r="7" spans="1:25" s="34" customFormat="1" x14ac:dyDescent="0.25">
      <c r="A7" s="84">
        <v>43115</v>
      </c>
      <c r="B7" t="s">
        <v>165</v>
      </c>
      <c r="C7" t="s">
        <v>166</v>
      </c>
      <c r="D7">
        <v>49</v>
      </c>
      <c r="E7">
        <v>0</v>
      </c>
      <c r="F7"/>
      <c r="G7">
        <v>7.5</v>
      </c>
      <c r="H7">
        <v>2.15</v>
      </c>
      <c r="I7">
        <v>0.04</v>
      </c>
      <c r="J7">
        <v>7.5</v>
      </c>
      <c r="K7">
        <v>2.4</v>
      </c>
      <c r="L7"/>
      <c r="M7">
        <v>7.5</v>
      </c>
      <c r="N7">
        <v>0.9</v>
      </c>
      <c r="O7">
        <f t="shared" si="0"/>
        <v>8.4</v>
      </c>
      <c r="P7">
        <v>2.2499999999999999E-2</v>
      </c>
      <c r="Q7">
        <v>3.125E-2</v>
      </c>
      <c r="R7">
        <v>2</v>
      </c>
      <c r="S7">
        <v>6.2500000000000003E-3</v>
      </c>
      <c r="T7">
        <v>8.4375000000000006E-2</v>
      </c>
      <c r="U7">
        <v>3.2500000000000001E-2</v>
      </c>
      <c r="V7">
        <v>1.2999999999999999E-2</v>
      </c>
      <c r="W7">
        <v>0.01</v>
      </c>
      <c r="X7">
        <v>7.0000000000000001E-3</v>
      </c>
      <c r="Y7">
        <v>0</v>
      </c>
    </row>
    <row r="8" spans="1:25" x14ac:dyDescent="0.25">
      <c r="A8" s="85">
        <v>43115</v>
      </c>
      <c r="B8" s="34" t="s">
        <v>165</v>
      </c>
      <c r="C8" s="34" t="s">
        <v>166</v>
      </c>
      <c r="D8" s="34">
        <v>32</v>
      </c>
      <c r="E8" s="34">
        <v>1</v>
      </c>
      <c r="F8" s="34" t="s">
        <v>174</v>
      </c>
      <c r="G8" s="34">
        <v>6.4</v>
      </c>
      <c r="H8" s="34">
        <v>1.9</v>
      </c>
      <c r="I8" s="34"/>
      <c r="J8" s="34">
        <v>7.1</v>
      </c>
      <c r="K8" s="34">
        <v>2.2999999999999998</v>
      </c>
      <c r="L8" s="34"/>
      <c r="M8" s="34">
        <v>7.4</v>
      </c>
      <c r="N8" s="34">
        <v>1.55</v>
      </c>
      <c r="O8" s="34">
        <f t="shared" si="0"/>
        <v>8.9500000000000011</v>
      </c>
      <c r="P8" s="34">
        <v>0.02</v>
      </c>
      <c r="Q8" s="34">
        <v>2.75E-2</v>
      </c>
      <c r="R8" s="34">
        <v>2.7</v>
      </c>
      <c r="S8" s="34">
        <v>9.3749999999999997E-3</v>
      </c>
      <c r="T8" s="34">
        <v>0.11562500000000001</v>
      </c>
      <c r="U8" s="34">
        <v>4.2500000000000003E-2</v>
      </c>
      <c r="V8" s="34">
        <v>0.02</v>
      </c>
      <c r="W8" s="34">
        <v>0.01</v>
      </c>
      <c r="X8" s="34">
        <v>5.0000000000000001E-3</v>
      </c>
      <c r="Y8" s="34"/>
    </row>
    <row r="9" spans="1:25" s="34" customFormat="1" x14ac:dyDescent="0.25">
      <c r="A9" s="85">
        <v>43115</v>
      </c>
      <c r="B9" s="34" t="s">
        <v>165</v>
      </c>
      <c r="C9" s="34" t="s">
        <v>166</v>
      </c>
      <c r="D9" s="34">
        <v>35</v>
      </c>
      <c r="E9" s="34">
        <v>1</v>
      </c>
      <c r="F9" s="34" t="s">
        <v>169</v>
      </c>
      <c r="G9" s="34">
        <v>7.15</v>
      </c>
      <c r="H9" s="34">
        <v>2.2000000000000002</v>
      </c>
      <c r="I9" s="34">
        <v>4.0625000000000001E-2</v>
      </c>
      <c r="J9" s="34">
        <v>7</v>
      </c>
      <c r="K9" s="34">
        <v>2.2999999999999998</v>
      </c>
      <c r="L9" s="34">
        <v>0.04</v>
      </c>
      <c r="M9" s="34">
        <v>6.9</v>
      </c>
      <c r="N9" s="34">
        <v>1.05</v>
      </c>
      <c r="O9" s="34">
        <f t="shared" si="0"/>
        <v>7.95</v>
      </c>
      <c r="Q9" s="34">
        <v>0.06</v>
      </c>
      <c r="R9" s="34">
        <v>2.1</v>
      </c>
      <c r="T9" s="34">
        <v>0.17499999999999999</v>
      </c>
      <c r="U9" s="34">
        <v>4.0625000000000001E-2</v>
      </c>
      <c r="V9" s="34">
        <v>1.2999999999999999E-2</v>
      </c>
    </row>
    <row r="10" spans="1:25" x14ac:dyDescent="0.25">
      <c r="A10" s="85">
        <v>43115</v>
      </c>
      <c r="B10" s="34" t="s">
        <v>165</v>
      </c>
      <c r="C10" s="34" t="s">
        <v>166</v>
      </c>
      <c r="D10" s="34">
        <v>39</v>
      </c>
      <c r="E10" s="34">
        <v>1</v>
      </c>
      <c r="F10" s="34" t="s">
        <v>170</v>
      </c>
      <c r="G10" s="34">
        <v>7.2</v>
      </c>
      <c r="H10" s="34">
        <v>2</v>
      </c>
      <c r="I10" s="34">
        <v>0.08</v>
      </c>
      <c r="J10" s="34">
        <v>7.2</v>
      </c>
      <c r="K10" s="34">
        <v>2.4</v>
      </c>
      <c r="L10" s="34">
        <v>0.06</v>
      </c>
      <c r="M10" s="34">
        <v>7.9</v>
      </c>
      <c r="N10" s="34">
        <v>2.2999999999999998</v>
      </c>
      <c r="O10" s="34">
        <f t="shared" si="0"/>
        <v>10.199999999999999</v>
      </c>
      <c r="P10" s="34">
        <v>3.2500000000000001E-2</v>
      </c>
      <c r="Q10" s="34">
        <v>5.5E-2</v>
      </c>
      <c r="R10" s="34">
        <v>4.5</v>
      </c>
      <c r="S10" s="34">
        <v>1.2500000000000001E-2</v>
      </c>
      <c r="T10" s="34">
        <v>0.20499999999999999</v>
      </c>
      <c r="U10" s="34">
        <v>5.3124999999999999E-2</v>
      </c>
      <c r="V10" s="34">
        <v>2.5000000000000001E-2</v>
      </c>
      <c r="W10" s="34">
        <v>1.2999999999999999E-2</v>
      </c>
      <c r="X10" s="34">
        <v>8.9999999999999993E-3</v>
      </c>
      <c r="Y10" s="34">
        <v>5.0000000000000001E-3</v>
      </c>
    </row>
    <row r="11" spans="1:25" x14ac:dyDescent="0.25">
      <c r="A11" s="85">
        <v>43115</v>
      </c>
      <c r="B11" s="34" t="s">
        <v>165</v>
      </c>
      <c r="C11" s="34" t="s">
        <v>166</v>
      </c>
      <c r="D11" s="34">
        <v>52</v>
      </c>
      <c r="E11" s="34">
        <v>1</v>
      </c>
      <c r="F11" s="34" t="s">
        <v>174</v>
      </c>
      <c r="G11" s="34">
        <v>6.8</v>
      </c>
      <c r="H11" s="34">
        <v>2.2000000000000002</v>
      </c>
      <c r="I11" s="34"/>
      <c r="J11" s="34">
        <v>7.3</v>
      </c>
      <c r="K11" s="34">
        <v>2.2000000000000002</v>
      </c>
      <c r="L11" s="34">
        <v>0.05</v>
      </c>
      <c r="M11" s="34">
        <v>7.4</v>
      </c>
      <c r="N11" s="34">
        <v>1.3</v>
      </c>
      <c r="O11" s="34">
        <f t="shared" si="0"/>
        <v>8.7000000000000011</v>
      </c>
      <c r="P11" s="34">
        <v>2.75E-2</v>
      </c>
      <c r="Q11" s="34">
        <v>0.05</v>
      </c>
      <c r="R11" s="34">
        <v>2.9</v>
      </c>
      <c r="S11" s="34"/>
      <c r="T11" s="34">
        <v>0.125</v>
      </c>
      <c r="U11" s="34">
        <v>4.3749999999999997E-2</v>
      </c>
      <c r="V11" s="34">
        <v>2.1000000000000001E-2</v>
      </c>
      <c r="W11" s="34">
        <v>1.0999999999999999E-2</v>
      </c>
      <c r="X11" s="34">
        <v>8.0000000000000002E-3</v>
      </c>
      <c r="Y11" s="34">
        <v>0</v>
      </c>
    </row>
    <row r="13" spans="1:25" x14ac:dyDescent="0.25">
      <c r="F13" s="87" t="s">
        <v>171</v>
      </c>
      <c r="G13" s="71">
        <f>AVERAGE(G2:G7)</f>
        <v>6.75</v>
      </c>
      <c r="H13" s="71">
        <f t="shared" ref="H13:Y13" si="1">AVERAGE(H2:H7)</f>
        <v>2.1083333333333334</v>
      </c>
      <c r="I13" s="71">
        <f t="shared" si="1"/>
        <v>0.05</v>
      </c>
      <c r="J13" s="71">
        <f t="shared" si="1"/>
        <v>7.2833333333333323</v>
      </c>
      <c r="K13" s="71">
        <f t="shared" si="1"/>
        <v>2.35</v>
      </c>
      <c r="L13" s="71">
        <f t="shared" si="1"/>
        <v>3.4000000000000002E-2</v>
      </c>
      <c r="M13" s="71">
        <f t="shared" si="1"/>
        <v>7.6000000000000005</v>
      </c>
      <c r="N13" s="71">
        <f t="shared" si="1"/>
        <v>0.68333333333333346</v>
      </c>
      <c r="O13" s="71">
        <f>AVERAGE(O2:O7)</f>
        <v>8.2833333333333332</v>
      </c>
      <c r="P13" s="71">
        <f t="shared" si="1"/>
        <v>2.1041666666666667E-2</v>
      </c>
      <c r="Q13" s="71">
        <f t="shared" si="1"/>
        <v>3.4687499999999996E-2</v>
      </c>
      <c r="R13" s="71">
        <f t="shared" si="1"/>
        <v>1.4083333333333332</v>
      </c>
      <c r="S13" s="71">
        <f t="shared" si="1"/>
        <v>5.1562499999999994E-3</v>
      </c>
      <c r="T13" s="71">
        <f t="shared" si="1"/>
        <v>8.5729166666666676E-2</v>
      </c>
      <c r="U13" s="71">
        <f t="shared" si="1"/>
        <v>3.6458333333333336E-2</v>
      </c>
      <c r="V13" s="71">
        <f t="shared" si="1"/>
        <v>1.8083333333333337E-2</v>
      </c>
      <c r="W13" s="71">
        <f t="shared" si="1"/>
        <v>1.0600000000000002E-2</v>
      </c>
      <c r="X13" s="71">
        <f t="shared" si="1"/>
        <v>7.000000000000001E-3</v>
      </c>
      <c r="Y13" s="71">
        <f t="shared" si="1"/>
        <v>0</v>
      </c>
    </row>
    <row r="14" spans="1:25" x14ac:dyDescent="0.25">
      <c r="F14" s="86" t="s">
        <v>172</v>
      </c>
      <c r="G14" s="27">
        <f>MEDIAN(G2:G7)</f>
        <v>6.65</v>
      </c>
      <c r="H14" s="27">
        <f t="shared" ref="H14:Y14" si="2">MEDIAN(H2:H7)</f>
        <v>2.1</v>
      </c>
      <c r="I14" s="27">
        <f t="shared" si="2"/>
        <v>0.05</v>
      </c>
      <c r="J14" s="27">
        <f t="shared" si="2"/>
        <v>7.3</v>
      </c>
      <c r="K14" s="27">
        <f t="shared" si="2"/>
        <v>2.4</v>
      </c>
      <c r="L14" s="27">
        <f t="shared" si="2"/>
        <v>3.5000000000000003E-2</v>
      </c>
      <c r="M14" s="27">
        <f t="shared" si="2"/>
        <v>7.55</v>
      </c>
      <c r="N14" s="27">
        <f t="shared" si="2"/>
        <v>0.7</v>
      </c>
      <c r="O14" s="27">
        <f>MEDIAN(O2:O7)</f>
        <v>8.3000000000000007</v>
      </c>
      <c r="P14" s="27">
        <f t="shared" si="2"/>
        <v>2.1249999999999998E-2</v>
      </c>
      <c r="Q14" s="27">
        <f t="shared" si="2"/>
        <v>3.4687500000000003E-2</v>
      </c>
      <c r="R14" s="27">
        <f t="shared" si="2"/>
        <v>1.3250000000000002</v>
      </c>
      <c r="S14" s="27">
        <f t="shared" si="2"/>
        <v>5.6249999999999998E-3</v>
      </c>
      <c r="T14" s="90">
        <f t="shared" si="2"/>
        <v>8.4375000000000006E-2</v>
      </c>
      <c r="U14" s="90">
        <f t="shared" si="2"/>
        <v>3.6250000000000004E-2</v>
      </c>
      <c r="V14" s="90">
        <f t="shared" si="2"/>
        <v>1.9E-2</v>
      </c>
      <c r="W14" s="90">
        <f t="shared" si="2"/>
        <v>0.01</v>
      </c>
      <c r="X14" s="90">
        <f t="shared" si="2"/>
        <v>7.0000000000000001E-3</v>
      </c>
      <c r="Y14" s="90">
        <f t="shared" si="2"/>
        <v>0</v>
      </c>
    </row>
    <row r="15" spans="1:25" x14ac:dyDescent="0.25">
      <c r="F15" s="5" t="s">
        <v>173</v>
      </c>
      <c r="G15" s="83">
        <f>_xlfn.STDEV.S(G2:G7)</f>
        <v>0.38340579025361621</v>
      </c>
      <c r="H15" s="83">
        <f t="shared" ref="H15:Y15" si="3">_xlfn.STDEV.S(H2:H7)</f>
        <v>6.6458006791256324E-2</v>
      </c>
      <c r="I15" s="83">
        <f t="shared" si="3"/>
        <v>8.1649658092772352E-3</v>
      </c>
      <c r="J15" s="83">
        <f t="shared" si="3"/>
        <v>0.17224014243685087</v>
      </c>
      <c r="K15" s="83">
        <f t="shared" si="3"/>
        <v>0.13784048752090219</v>
      </c>
      <c r="L15" s="83">
        <f t="shared" si="3"/>
        <v>2.2360679774997916E-3</v>
      </c>
      <c r="M15" s="83">
        <f t="shared" si="3"/>
        <v>0.12649110640673514</v>
      </c>
      <c r="N15" s="83">
        <f t="shared" si="3"/>
        <v>0.17224014243685037</v>
      </c>
      <c r="O15" s="83">
        <f>_xlfn.STDEV.S(O2:O7)</f>
        <v>0.21369760566432824</v>
      </c>
      <c r="P15" s="83">
        <f t="shared" si="3"/>
        <v>3.9064583277780753E-3</v>
      </c>
      <c r="Q15" s="83">
        <f t="shared" si="3"/>
        <v>6.6350160135451404E-3</v>
      </c>
      <c r="R15" s="83">
        <f t="shared" si="3"/>
        <v>0.33229003395628215</v>
      </c>
      <c r="S15" s="83">
        <f t="shared" si="3"/>
        <v>1.4768173832039402E-3</v>
      </c>
      <c r="T15" s="83">
        <f t="shared" si="3"/>
        <v>9.9248478157937317E-3</v>
      </c>
      <c r="U15" s="83">
        <f t="shared" si="3"/>
        <v>4.2143109361634261E-3</v>
      </c>
      <c r="V15" s="83">
        <f t="shared" si="3"/>
        <v>2.7279418371121238E-3</v>
      </c>
      <c r="W15" s="83">
        <f t="shared" si="3"/>
        <v>1.341640786499874E-3</v>
      </c>
      <c r="X15" s="83">
        <f t="shared" si="3"/>
        <v>9.6973990361221606E-19</v>
      </c>
      <c r="Y15" s="83">
        <f t="shared" si="3"/>
        <v>0</v>
      </c>
    </row>
    <row r="17" spans="7:25" x14ac:dyDescent="0.25">
      <c r="G17">
        <f>IF(ABS(G13-G14)&gt;(G13*0.1),1,0)</f>
        <v>0</v>
      </c>
      <c r="H17">
        <f t="shared" ref="H17:Y17" si="4">IF(ABS(H13-H14)&gt;(H13*0.1),1,0)</f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>IF(ABS(O13-O14)&gt;(O13*0.1),1,0)</f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</row>
  </sheetData>
  <sortState ref="A2:X11">
    <sortCondition ref="E2:E11"/>
    <sortCondition ref="D2:D11"/>
  </sortState>
  <conditionalFormatting sqref="G17:Y17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26" sqref="B26"/>
    </sheetView>
  </sheetViews>
  <sheetFormatPr baseColWidth="10" defaultRowHeight="15" x14ac:dyDescent="0.25"/>
  <cols>
    <col min="1" max="1" width="6.28515625" customWidth="1"/>
    <col min="2" max="2" width="9.85546875" customWidth="1"/>
    <col min="3" max="3" width="7.7109375" customWidth="1"/>
    <col min="7" max="7" width="5.42578125" customWidth="1"/>
    <col min="9" max="9" width="7.5703125" customWidth="1"/>
  </cols>
  <sheetData>
    <row r="1" spans="1:13" s="5" customFormat="1" x14ac:dyDescent="0.25">
      <c r="A1" s="5" t="s">
        <v>145</v>
      </c>
      <c r="B1" s="5" t="s">
        <v>144</v>
      </c>
      <c r="C1" s="5" t="s">
        <v>146</v>
      </c>
      <c r="D1" s="5" t="s">
        <v>167</v>
      </c>
      <c r="E1" s="5" t="s">
        <v>168</v>
      </c>
      <c r="F1" s="5" t="s">
        <v>143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</row>
    <row r="2" spans="1:13" x14ac:dyDescent="0.25">
      <c r="A2" t="s">
        <v>166</v>
      </c>
      <c r="B2" t="s">
        <v>165</v>
      </c>
      <c r="C2">
        <v>2</v>
      </c>
      <c r="D2">
        <f>VLOOKUP(C2,Scans_F4point!$D$1:$F$11,2,FALSE)</f>
        <v>0</v>
      </c>
      <c r="E2">
        <f>VLOOKUP(C2,Scans_F4point!$D$1:$F$11,3,FALSE)</f>
        <v>0</v>
      </c>
      <c r="F2">
        <v>43115</v>
      </c>
      <c r="G2" t="s">
        <v>76</v>
      </c>
      <c r="H2">
        <v>1</v>
      </c>
      <c r="I2" t="s">
        <v>185</v>
      </c>
      <c r="J2">
        <v>1.8340000000000001</v>
      </c>
      <c r="K2">
        <v>0.46400000000000002</v>
      </c>
      <c r="L2">
        <v>6.7779999999999996</v>
      </c>
      <c r="M2">
        <v>0.33900000000000002</v>
      </c>
    </row>
    <row r="3" spans="1:13" x14ac:dyDescent="0.25">
      <c r="A3" t="s">
        <v>166</v>
      </c>
      <c r="B3" t="s">
        <v>165</v>
      </c>
      <c r="C3">
        <v>9</v>
      </c>
      <c r="D3">
        <f>VLOOKUP(C3,Scans_F4point!$D$1:$F$11,2,FALSE)</f>
        <v>0</v>
      </c>
      <c r="E3">
        <f>VLOOKUP(C3,Scans_F4point!$D$1:$F$11,3,FALSE)</f>
        <v>0</v>
      </c>
      <c r="F3">
        <v>43115</v>
      </c>
      <c r="G3" t="s">
        <v>76</v>
      </c>
      <c r="H3">
        <v>1</v>
      </c>
      <c r="I3" t="s">
        <v>185</v>
      </c>
      <c r="J3">
        <v>1.9039999999999999</v>
      </c>
      <c r="K3">
        <v>0.86399999999999999</v>
      </c>
      <c r="L3">
        <v>6.6420000000000003</v>
      </c>
      <c r="M3">
        <v>0.35599999999999998</v>
      </c>
    </row>
    <row r="4" spans="1:13" x14ac:dyDescent="0.25">
      <c r="A4" t="s">
        <v>166</v>
      </c>
      <c r="B4" t="s">
        <v>165</v>
      </c>
      <c r="C4">
        <v>11</v>
      </c>
      <c r="D4">
        <f>VLOOKUP(C4,Scans_F4point!$D$1:$F$11,2,FALSE)</f>
        <v>0</v>
      </c>
      <c r="E4">
        <f>VLOOKUP(C4,Scans_F4point!$D$1:$F$11,3,FALSE)</f>
        <v>0</v>
      </c>
      <c r="F4">
        <v>43115</v>
      </c>
      <c r="G4" t="s">
        <v>76</v>
      </c>
      <c r="H4">
        <v>1</v>
      </c>
      <c r="I4" t="s">
        <v>185</v>
      </c>
      <c r="J4">
        <v>1.9059999999999999</v>
      </c>
      <c r="K4">
        <v>0.51900000000000002</v>
      </c>
      <c r="L4">
        <v>6.532</v>
      </c>
      <c r="M4">
        <v>0.33900000000000002</v>
      </c>
    </row>
    <row r="5" spans="1:13" x14ac:dyDescent="0.25">
      <c r="A5" t="s">
        <v>166</v>
      </c>
      <c r="B5" t="s">
        <v>165</v>
      </c>
      <c r="C5">
        <v>12</v>
      </c>
      <c r="D5">
        <f>VLOOKUP(C5,Scans_F4point!$D$1:$F$11,2,FALSE)</f>
        <v>0</v>
      </c>
      <c r="E5">
        <f>VLOOKUP(C5,Scans_F4point!$D$1:$F$11,3,FALSE)</f>
        <v>0</v>
      </c>
      <c r="F5">
        <v>43115</v>
      </c>
      <c r="G5" t="s">
        <v>76</v>
      </c>
      <c r="H5">
        <v>1</v>
      </c>
      <c r="I5" t="s">
        <v>185</v>
      </c>
      <c r="J5">
        <v>1.5629999999999999</v>
      </c>
      <c r="K5">
        <v>0.55700000000000005</v>
      </c>
      <c r="L5">
        <v>6.3559999999999999</v>
      </c>
      <c r="M5">
        <v>0.29299999999999998</v>
      </c>
    </row>
    <row r="6" spans="1:13" x14ac:dyDescent="0.25">
      <c r="A6" t="s">
        <v>166</v>
      </c>
      <c r="B6" t="s">
        <v>165</v>
      </c>
      <c r="C6">
        <v>30</v>
      </c>
      <c r="D6">
        <f>VLOOKUP(C6,Scans_F4point!$D$1:$F$11,2,FALSE)</f>
        <v>0</v>
      </c>
      <c r="E6">
        <f>VLOOKUP(C6,Scans_F4point!$D$1:$F$11,3,FALSE)</f>
        <v>0</v>
      </c>
      <c r="F6">
        <v>43115</v>
      </c>
      <c r="G6" t="s">
        <v>76</v>
      </c>
      <c r="H6">
        <v>1</v>
      </c>
      <c r="I6" t="s">
        <v>185</v>
      </c>
      <c r="J6">
        <v>1.8660000000000001</v>
      </c>
      <c r="K6">
        <v>0.67100000000000004</v>
      </c>
      <c r="L6">
        <v>6.5960000000000001</v>
      </c>
      <c r="M6">
        <v>0.33</v>
      </c>
    </row>
    <row r="7" spans="1:13" x14ac:dyDescent="0.25">
      <c r="A7" t="s">
        <v>166</v>
      </c>
      <c r="B7" t="s">
        <v>165</v>
      </c>
      <c r="C7">
        <v>49</v>
      </c>
      <c r="D7">
        <f>VLOOKUP(C7,Scans_F4point!$D$1:$F$11,2,FALSE)</f>
        <v>0</v>
      </c>
      <c r="E7">
        <f>VLOOKUP(C7,Scans_F4point!$D$1:$F$11,3,FALSE)</f>
        <v>0</v>
      </c>
      <c r="F7">
        <v>43115</v>
      </c>
      <c r="G7" t="s">
        <v>76</v>
      </c>
      <c r="H7">
        <v>1</v>
      </c>
      <c r="I7" t="s">
        <v>185</v>
      </c>
      <c r="J7">
        <v>1.8759999999999999</v>
      </c>
      <c r="K7">
        <v>0.47599999999999998</v>
      </c>
      <c r="L7">
        <v>7.4870000000000001</v>
      </c>
      <c r="M7">
        <v>0.27100000000000002</v>
      </c>
    </row>
    <row r="8" spans="1:13" x14ac:dyDescent="0.25">
      <c r="A8" t="s">
        <v>166</v>
      </c>
      <c r="B8" t="s">
        <v>165</v>
      </c>
      <c r="C8">
        <v>2</v>
      </c>
      <c r="D8">
        <f>VLOOKUP(C8,Scans_F4point!$D$1:$F$11,2,FALSE)</f>
        <v>0</v>
      </c>
      <c r="E8">
        <f>VLOOKUP(C8,Scans_F4point!$D$1:$F$11,3,FALSE)</f>
        <v>0</v>
      </c>
      <c r="F8">
        <v>43115</v>
      </c>
      <c r="G8" t="s">
        <v>76</v>
      </c>
      <c r="H8">
        <v>2</v>
      </c>
      <c r="I8" t="s">
        <v>185</v>
      </c>
      <c r="J8">
        <v>1.431</v>
      </c>
      <c r="K8">
        <v>0.745</v>
      </c>
      <c r="L8">
        <v>7.0060000000000002</v>
      </c>
      <c r="M8">
        <v>0.254</v>
      </c>
    </row>
    <row r="9" spans="1:13" x14ac:dyDescent="0.25">
      <c r="A9" t="s">
        <v>166</v>
      </c>
      <c r="B9" t="s">
        <v>165</v>
      </c>
      <c r="C9">
        <v>9</v>
      </c>
      <c r="D9">
        <f>VLOOKUP(C9,Scans_F4point!$D$1:$F$11,2,FALSE)</f>
        <v>0</v>
      </c>
      <c r="E9">
        <f>VLOOKUP(C9,Scans_F4point!$D$1:$F$11,3,FALSE)</f>
        <v>0</v>
      </c>
      <c r="F9">
        <v>43115</v>
      </c>
      <c r="G9" t="s">
        <v>76</v>
      </c>
      <c r="H9">
        <v>2</v>
      </c>
      <c r="I9" t="s">
        <v>185</v>
      </c>
      <c r="J9">
        <v>1.681</v>
      </c>
      <c r="K9">
        <v>1.7889999999999999</v>
      </c>
      <c r="L9">
        <v>7.1310000000000002</v>
      </c>
      <c r="M9">
        <v>0.22</v>
      </c>
    </row>
    <row r="10" spans="1:13" x14ac:dyDescent="0.25">
      <c r="A10" t="s">
        <v>166</v>
      </c>
      <c r="B10" t="s">
        <v>165</v>
      </c>
      <c r="C10">
        <v>11</v>
      </c>
      <c r="D10">
        <f>VLOOKUP(C10,Scans_F4point!$D$1:$F$11,2,FALSE)</f>
        <v>0</v>
      </c>
      <c r="E10">
        <f>VLOOKUP(C10,Scans_F4point!$D$1:$F$11,3,FALSE)</f>
        <v>0</v>
      </c>
      <c r="F10">
        <v>43115</v>
      </c>
      <c r="G10" t="s">
        <v>76</v>
      </c>
      <c r="H10">
        <v>2</v>
      </c>
      <c r="I10" t="s">
        <v>185</v>
      </c>
      <c r="J10">
        <v>1.7689999999999999</v>
      </c>
      <c r="K10">
        <v>0.45900000000000002</v>
      </c>
      <c r="L10">
        <v>7.2370000000000001</v>
      </c>
      <c r="M10">
        <v>0.28799999999999998</v>
      </c>
    </row>
    <row r="11" spans="1:13" x14ac:dyDescent="0.25">
      <c r="A11" t="s">
        <v>166</v>
      </c>
      <c r="B11" t="s">
        <v>165</v>
      </c>
      <c r="C11">
        <v>12</v>
      </c>
      <c r="D11">
        <f>VLOOKUP(C11,Scans_F4point!$D$1:$F$11,2,FALSE)</f>
        <v>0</v>
      </c>
      <c r="E11">
        <f>VLOOKUP(C11,Scans_F4point!$D$1:$F$11,3,FALSE)</f>
        <v>0</v>
      </c>
      <c r="F11">
        <v>43115</v>
      </c>
      <c r="G11" t="s">
        <v>76</v>
      </c>
      <c r="H11">
        <v>2</v>
      </c>
      <c r="I11" t="s">
        <v>185</v>
      </c>
      <c r="J11">
        <v>1.66</v>
      </c>
      <c r="K11">
        <v>0.40400000000000003</v>
      </c>
      <c r="L11">
        <v>7.0839999999999996</v>
      </c>
      <c r="M11">
        <v>0.30499999999999999</v>
      </c>
    </row>
    <row r="12" spans="1:13" s="34" customFormat="1" x14ac:dyDescent="0.25">
      <c r="A12" t="s">
        <v>166</v>
      </c>
      <c r="B12" t="s">
        <v>165</v>
      </c>
      <c r="C12">
        <v>30</v>
      </c>
      <c r="D12">
        <f>VLOOKUP(C12,Scans_F4point!$D$1:$F$11,2,FALSE)</f>
        <v>0</v>
      </c>
      <c r="E12">
        <f>VLOOKUP(C12,Scans_F4point!$D$1:$F$11,3,FALSE)</f>
        <v>0</v>
      </c>
      <c r="F12">
        <v>43115</v>
      </c>
      <c r="G12" t="s">
        <v>76</v>
      </c>
      <c r="H12">
        <v>2</v>
      </c>
      <c r="I12" t="s">
        <v>185</v>
      </c>
      <c r="J12">
        <v>1.7569999999999999</v>
      </c>
      <c r="K12">
        <v>0.42499999999999999</v>
      </c>
      <c r="L12">
        <v>7.2670000000000003</v>
      </c>
      <c r="M12">
        <v>0.29199999999999998</v>
      </c>
    </row>
    <row r="13" spans="1:13" s="34" customFormat="1" x14ac:dyDescent="0.25">
      <c r="A13" t="s">
        <v>166</v>
      </c>
      <c r="B13" t="s">
        <v>165</v>
      </c>
      <c r="C13">
        <v>49</v>
      </c>
      <c r="D13">
        <f>VLOOKUP(C13,Scans_F4point!$D$1:$F$11,2,FALSE)</f>
        <v>0</v>
      </c>
      <c r="E13">
        <f>VLOOKUP(C13,Scans_F4point!$D$1:$F$11,3,FALSE)</f>
        <v>0</v>
      </c>
      <c r="F13">
        <v>43115</v>
      </c>
      <c r="G13" t="s">
        <v>76</v>
      </c>
      <c r="H13">
        <v>2</v>
      </c>
      <c r="I13" t="s">
        <v>185</v>
      </c>
      <c r="J13">
        <v>1.621</v>
      </c>
      <c r="K13">
        <v>0.34899999999999998</v>
      </c>
      <c r="L13">
        <v>7.41</v>
      </c>
      <c r="M13">
        <v>0.27300000000000002</v>
      </c>
    </row>
    <row r="14" spans="1:13" s="34" customFormat="1" x14ac:dyDescent="0.25">
      <c r="A14" s="34" t="s">
        <v>166</v>
      </c>
      <c r="B14" s="34" t="s">
        <v>165</v>
      </c>
      <c r="C14" s="34">
        <v>32</v>
      </c>
      <c r="D14" s="34">
        <f>VLOOKUP(C14,Scans_F4point!$D$1:$F$11,2,FALSE)</f>
        <v>1</v>
      </c>
      <c r="E14" s="34" t="str">
        <f>VLOOKUP(C14,Scans_F4point!$D$1:$F$11,3,FALSE)</f>
        <v>G3 et F4 grandes</v>
      </c>
      <c r="F14" s="34">
        <v>43115</v>
      </c>
      <c r="G14" s="34" t="s">
        <v>76</v>
      </c>
      <c r="H14" s="34">
        <v>1</v>
      </c>
      <c r="I14" s="34" t="s">
        <v>185</v>
      </c>
      <c r="J14" s="34">
        <v>1.631</v>
      </c>
      <c r="K14" s="34">
        <v>0.46400000000000002</v>
      </c>
      <c r="L14" s="34">
        <v>6.3079999999999998</v>
      </c>
      <c r="M14" s="34">
        <v>0.29199999999999998</v>
      </c>
    </row>
    <row r="15" spans="1:13" s="34" customFormat="1" x14ac:dyDescent="0.25">
      <c r="A15" s="34" t="s">
        <v>166</v>
      </c>
      <c r="B15" s="34" t="s">
        <v>165</v>
      </c>
      <c r="C15" s="34">
        <v>35</v>
      </c>
      <c r="D15" s="34">
        <f>VLOOKUP(C15,Scans_F4point!$D$1:$F$11,2,FALSE)</f>
        <v>1</v>
      </c>
      <c r="E15" s="34" t="str">
        <f>VLOOKUP(C15,Scans_F4point!$D$1:$F$11,3,FALSE)</f>
        <v>F7 petite, pas de F8</v>
      </c>
      <c r="F15" s="34">
        <v>43115</v>
      </c>
      <c r="G15" s="34" t="s">
        <v>76</v>
      </c>
      <c r="H15" s="34">
        <v>1</v>
      </c>
      <c r="I15" s="34" t="s">
        <v>185</v>
      </c>
      <c r="J15" s="34">
        <v>1.51</v>
      </c>
      <c r="K15" s="34">
        <v>0.54800000000000004</v>
      </c>
      <c r="L15" s="34">
        <v>6.96</v>
      </c>
      <c r="M15" s="34">
        <v>0.30499999999999999</v>
      </c>
    </row>
    <row r="16" spans="1:13" s="34" customFormat="1" x14ac:dyDescent="0.25">
      <c r="A16" s="34" t="s">
        <v>166</v>
      </c>
      <c r="B16" s="34" t="s">
        <v>165</v>
      </c>
      <c r="C16" s="34">
        <v>39</v>
      </c>
      <c r="D16" s="34">
        <f>VLOOKUP(C16,Scans_F4point!$D$1:$F$11,2,FALSE)</f>
        <v>1</v>
      </c>
      <c r="E16" s="34" t="str">
        <f>VLOOKUP(C16,Scans_F4point!$D$1:$F$11,3,FALSE)</f>
        <v>F7 grande, la seule avec F9</v>
      </c>
      <c r="F16" s="34">
        <v>43115</v>
      </c>
      <c r="G16" s="34" t="s">
        <v>76</v>
      </c>
      <c r="H16" s="34">
        <v>1</v>
      </c>
      <c r="I16" s="34" t="s">
        <v>185</v>
      </c>
      <c r="J16" s="34">
        <v>2.1240000000000001</v>
      </c>
      <c r="K16" s="34">
        <v>0.40899999999999997</v>
      </c>
      <c r="L16" s="34">
        <v>7.0890000000000004</v>
      </c>
      <c r="M16" s="34">
        <v>0.373</v>
      </c>
    </row>
    <row r="17" spans="1:14" s="34" customFormat="1" x14ac:dyDescent="0.25">
      <c r="A17" s="34" t="s">
        <v>166</v>
      </c>
      <c r="B17" s="34" t="s">
        <v>165</v>
      </c>
      <c r="C17" s="34">
        <v>52</v>
      </c>
      <c r="D17" s="34">
        <f>VLOOKUP(C17,Scans_F4point!$D$1:$F$11,2,FALSE)</f>
        <v>1</v>
      </c>
      <c r="E17" s="34" t="str">
        <f>VLOOKUP(C17,Scans_F4point!$D$1:$F$11,3,FALSE)</f>
        <v>G3 et F4 grandes</v>
      </c>
      <c r="F17" s="34">
        <v>43115</v>
      </c>
      <c r="G17" s="34" t="s">
        <v>76</v>
      </c>
      <c r="H17" s="34">
        <v>1</v>
      </c>
      <c r="I17" s="34" t="s">
        <v>185</v>
      </c>
      <c r="J17" s="34">
        <v>1.8140000000000001</v>
      </c>
      <c r="K17" s="34">
        <v>0.48699999999999999</v>
      </c>
      <c r="L17" s="34">
        <v>6.8449999999999998</v>
      </c>
      <c r="M17" s="34">
        <v>0.30499999999999999</v>
      </c>
    </row>
    <row r="18" spans="1:14" x14ac:dyDescent="0.25">
      <c r="A18" s="34" t="s">
        <v>166</v>
      </c>
      <c r="B18" s="34" t="s">
        <v>165</v>
      </c>
      <c r="C18" s="34">
        <v>32</v>
      </c>
      <c r="D18" s="34">
        <f>VLOOKUP(C18,Scans_F4point!$D$1:$F$11,2,FALSE)</f>
        <v>1</v>
      </c>
      <c r="E18" s="34" t="str">
        <f>VLOOKUP(C18,Scans_F4point!$D$1:$F$11,3,FALSE)</f>
        <v>G3 et F4 grandes</v>
      </c>
      <c r="F18" s="34">
        <v>43115</v>
      </c>
      <c r="G18" s="34" t="s">
        <v>76</v>
      </c>
      <c r="H18" s="34">
        <v>2</v>
      </c>
      <c r="I18" s="34" t="s">
        <v>185</v>
      </c>
      <c r="J18" s="34">
        <v>1.5329999999999999</v>
      </c>
      <c r="K18" s="34">
        <v>0.29599999999999999</v>
      </c>
      <c r="L18" s="34">
        <v>7.2009999999999996</v>
      </c>
      <c r="M18" s="34">
        <v>0.254</v>
      </c>
    </row>
    <row r="19" spans="1:14" x14ac:dyDescent="0.25">
      <c r="A19" s="34" t="s">
        <v>166</v>
      </c>
      <c r="B19" s="34" t="s">
        <v>165</v>
      </c>
      <c r="C19" s="34">
        <v>35</v>
      </c>
      <c r="D19" s="34">
        <f>VLOOKUP(C19,Scans_F4point!$D$1:$F$11,2,FALSE)</f>
        <v>1</v>
      </c>
      <c r="E19" s="34" t="str">
        <f>VLOOKUP(C19,Scans_F4point!$D$1:$F$11,3,FALSE)</f>
        <v>F7 petite, pas de F8</v>
      </c>
      <c r="F19" s="34">
        <v>43115</v>
      </c>
      <c r="G19" s="34" t="s">
        <v>76</v>
      </c>
      <c r="H19" s="34">
        <v>2</v>
      </c>
      <c r="I19" s="34" t="s">
        <v>185</v>
      </c>
      <c r="J19" s="34">
        <v>1.3979999999999999</v>
      </c>
      <c r="K19" s="34">
        <v>0.82099999999999995</v>
      </c>
      <c r="L19" s="34">
        <v>6.7969999999999997</v>
      </c>
      <c r="M19" s="34">
        <v>0.28799999999999998</v>
      </c>
    </row>
    <row r="20" spans="1:14" s="34" customFormat="1" x14ac:dyDescent="0.25">
      <c r="A20" s="34" t="s">
        <v>166</v>
      </c>
      <c r="B20" s="34" t="s">
        <v>165</v>
      </c>
      <c r="C20" s="34">
        <v>39</v>
      </c>
      <c r="D20" s="34">
        <f>VLOOKUP(C20,Scans_F4point!$D$1:$F$11,2,FALSE)</f>
        <v>1</v>
      </c>
      <c r="E20" s="34" t="str">
        <f>VLOOKUP(C20,Scans_F4point!$D$1:$F$11,3,FALSE)</f>
        <v>F7 grande, la seule avec F9</v>
      </c>
      <c r="F20" s="34">
        <v>43115</v>
      </c>
      <c r="G20" s="34" t="s">
        <v>76</v>
      </c>
      <c r="H20" s="34">
        <v>2</v>
      </c>
      <c r="I20" s="34" t="s">
        <v>185</v>
      </c>
      <c r="J20" s="34">
        <v>1.7809999999999999</v>
      </c>
      <c r="K20" s="34">
        <v>0.53300000000000003</v>
      </c>
      <c r="L20" s="34">
        <v>7.1950000000000003</v>
      </c>
      <c r="M20" s="34">
        <v>0.33900000000000002</v>
      </c>
    </row>
    <row r="21" spans="1:14" s="34" customFormat="1" x14ac:dyDescent="0.25">
      <c r="A21" s="34" t="s">
        <v>166</v>
      </c>
      <c r="B21" s="34" t="s">
        <v>165</v>
      </c>
      <c r="C21" s="34">
        <v>52</v>
      </c>
      <c r="D21" s="34">
        <f>VLOOKUP(C21,Scans_F4point!$D$1:$F$11,2,FALSE)</f>
        <v>1</v>
      </c>
      <c r="E21" s="34" t="str">
        <f>VLOOKUP(C21,Scans_F4point!$D$1:$F$11,3,FALSE)</f>
        <v>G3 et F4 grandes</v>
      </c>
      <c r="F21" s="34">
        <v>43115</v>
      </c>
      <c r="G21" s="34" t="s">
        <v>76</v>
      </c>
      <c r="H21" s="34">
        <v>2</v>
      </c>
      <c r="I21" s="34" t="s">
        <v>185</v>
      </c>
      <c r="J21" s="34">
        <v>1.6639999999999999</v>
      </c>
      <c r="K21" s="34">
        <v>0.30299999999999999</v>
      </c>
      <c r="L21" s="34">
        <v>7.2830000000000004</v>
      </c>
      <c r="M21" s="34">
        <v>0.30499999999999999</v>
      </c>
    </row>
    <row r="24" spans="1:14" x14ac:dyDescent="0.25">
      <c r="L24" s="5" t="s">
        <v>184</v>
      </c>
      <c r="M24" s="83" t="s">
        <v>147</v>
      </c>
      <c r="N24" s="83" t="s">
        <v>150</v>
      </c>
    </row>
    <row r="25" spans="1:14" x14ac:dyDescent="0.25">
      <c r="L25" t="s">
        <v>171</v>
      </c>
      <c r="M25">
        <f>AVERAGE(M2:M7)</f>
        <v>0.3213333333333333</v>
      </c>
      <c r="N25">
        <f>AVERAGE(M8:M13)</f>
        <v>0.27200000000000002</v>
      </c>
    </row>
    <row r="26" spans="1:14" x14ac:dyDescent="0.25">
      <c r="L26" t="s">
        <v>172</v>
      </c>
      <c r="M26">
        <f>MEDIAN(M2:M7)</f>
        <v>0.33450000000000002</v>
      </c>
      <c r="N26">
        <f>MEDIAN(M8:M13)</f>
        <v>0.28049999999999997</v>
      </c>
    </row>
    <row r="27" spans="1:14" x14ac:dyDescent="0.25">
      <c r="L27" s="83" t="s">
        <v>173</v>
      </c>
      <c r="M27" s="83">
        <f>_xlfn.STDEV.S(M2:M7)</f>
        <v>3.2364589703357385E-2</v>
      </c>
      <c r="N27" s="83">
        <f>_xlfn.STDEV.S(M8:M13)</f>
        <v>3.089983818727823E-2</v>
      </c>
    </row>
    <row r="29" spans="1:14" x14ac:dyDescent="0.25">
      <c r="M29">
        <f>M26/100</f>
        <v>3.3450000000000003E-3</v>
      </c>
      <c r="N29">
        <f>N26/100</f>
        <v>2.8049999999999998E-3</v>
      </c>
    </row>
  </sheetData>
  <sortState ref="A2:M21">
    <sortCondition ref="D2:D21"/>
    <sortCondition ref="H2:H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14" sqref="H14"/>
    </sheetView>
  </sheetViews>
  <sheetFormatPr baseColWidth="10" defaultRowHeight="15" x14ac:dyDescent="0.25"/>
  <sheetData>
    <row r="1" spans="1:12" x14ac:dyDescent="0.25">
      <c r="A1" s="2" t="s">
        <v>189</v>
      </c>
    </row>
    <row r="3" spans="1:12" x14ac:dyDescent="0.25">
      <c r="I3" s="2" t="s">
        <v>202</v>
      </c>
    </row>
    <row r="4" spans="1:12" s="2" customFormat="1" x14ac:dyDescent="0.25">
      <c r="A4" s="5" t="s">
        <v>145</v>
      </c>
      <c r="B4" s="5" t="s">
        <v>180</v>
      </c>
      <c r="C4" s="5" t="s">
        <v>190</v>
      </c>
      <c r="D4" s="5" t="s">
        <v>179</v>
      </c>
      <c r="E4" s="5" t="s">
        <v>191</v>
      </c>
      <c r="F4" s="5" t="s">
        <v>192</v>
      </c>
      <c r="G4" s="5"/>
      <c r="H4" s="5" t="s">
        <v>193</v>
      </c>
      <c r="I4" s="5" t="s">
        <v>194</v>
      </c>
      <c r="J4" s="5" t="s">
        <v>195</v>
      </c>
      <c r="K4" s="5" t="s">
        <v>196</v>
      </c>
      <c r="L4" s="5" t="s">
        <v>197</v>
      </c>
    </row>
    <row r="5" spans="1:12" x14ac:dyDescent="0.25">
      <c r="A5" t="s">
        <v>166</v>
      </c>
      <c r="B5" t="s">
        <v>185</v>
      </c>
      <c r="C5">
        <v>1</v>
      </c>
      <c r="D5">
        <v>1</v>
      </c>
      <c r="E5" t="s">
        <v>198</v>
      </c>
      <c r="F5" t="s">
        <v>199</v>
      </c>
      <c r="G5" t="s">
        <v>200</v>
      </c>
      <c r="H5" t="s">
        <v>201</v>
      </c>
      <c r="I5">
        <v>0.30927270000000001</v>
      </c>
      <c r="J5">
        <v>3.4415090000000002E-2</v>
      </c>
      <c r="K5">
        <v>22</v>
      </c>
      <c r="L5">
        <v>0.1112775</v>
      </c>
    </row>
    <row r="6" spans="1:12" x14ac:dyDescent="0.25">
      <c r="A6" t="s">
        <v>166</v>
      </c>
      <c r="B6" t="s">
        <v>185</v>
      </c>
      <c r="C6">
        <v>2</v>
      </c>
      <c r="D6">
        <v>2</v>
      </c>
      <c r="E6" t="s">
        <v>198</v>
      </c>
      <c r="F6" t="s">
        <v>199</v>
      </c>
      <c r="G6" t="s">
        <v>200</v>
      </c>
      <c r="H6" t="s">
        <v>201</v>
      </c>
      <c r="I6">
        <v>0.2806207</v>
      </c>
      <c r="J6">
        <v>3.5492870000000003E-2</v>
      </c>
      <c r="K6">
        <v>29</v>
      </c>
      <c r="L6">
        <v>0.12647990000000001</v>
      </c>
    </row>
    <row r="7" spans="1:12" x14ac:dyDescent="0.25">
      <c r="A7" t="s">
        <v>166</v>
      </c>
      <c r="B7" t="s">
        <v>185</v>
      </c>
      <c r="C7">
        <v>3</v>
      </c>
      <c r="D7">
        <v>3</v>
      </c>
      <c r="E7" t="s">
        <v>198</v>
      </c>
      <c r="F7" t="s">
        <v>199</v>
      </c>
      <c r="G7" t="s">
        <v>200</v>
      </c>
      <c r="H7" t="s">
        <v>201</v>
      </c>
      <c r="I7">
        <v>0.24371999999999999</v>
      </c>
      <c r="J7">
        <v>3.320331E-2</v>
      </c>
      <c r="K7">
        <v>25</v>
      </c>
      <c r="L7">
        <v>0.13623550000000001</v>
      </c>
    </row>
    <row r="8" spans="1:12" x14ac:dyDescent="0.25">
      <c r="A8" t="s">
        <v>166</v>
      </c>
      <c r="B8" t="s">
        <v>185</v>
      </c>
      <c r="C8">
        <v>4</v>
      </c>
      <c r="D8">
        <v>4</v>
      </c>
      <c r="E8" t="s">
        <v>198</v>
      </c>
      <c r="F8" t="s">
        <v>199</v>
      </c>
      <c r="G8" t="s">
        <v>200</v>
      </c>
      <c r="H8" t="s">
        <v>201</v>
      </c>
      <c r="I8">
        <v>0.30538100000000001</v>
      </c>
      <c r="J8">
        <v>7.0758370000000001E-2</v>
      </c>
      <c r="K8">
        <v>21</v>
      </c>
      <c r="L8">
        <v>0.2317053</v>
      </c>
    </row>
    <row r="9" spans="1:12" x14ac:dyDescent="0.25">
      <c r="A9" t="s">
        <v>166</v>
      </c>
      <c r="B9" t="s">
        <v>185</v>
      </c>
      <c r="C9">
        <v>5</v>
      </c>
      <c r="D9">
        <v>5</v>
      </c>
      <c r="E9" t="s">
        <v>198</v>
      </c>
      <c r="F9" t="s">
        <v>199</v>
      </c>
      <c r="G9" t="s">
        <v>200</v>
      </c>
      <c r="H9" t="s">
        <v>201</v>
      </c>
      <c r="I9">
        <v>0.46272219999999997</v>
      </c>
      <c r="J9">
        <v>6.8669549999999996E-2</v>
      </c>
      <c r="K9">
        <v>18</v>
      </c>
      <c r="L9">
        <v>0.14840339999999999</v>
      </c>
    </row>
    <row r="10" spans="1:12" x14ac:dyDescent="0.25">
      <c r="A10" t="s">
        <v>166</v>
      </c>
      <c r="B10" t="s">
        <v>185</v>
      </c>
      <c r="C10">
        <v>6</v>
      </c>
      <c r="D10">
        <v>6</v>
      </c>
      <c r="E10" t="s">
        <v>198</v>
      </c>
      <c r="F10" t="s">
        <v>199</v>
      </c>
      <c r="G10" t="s">
        <v>200</v>
      </c>
      <c r="H10" t="s">
        <v>201</v>
      </c>
      <c r="I10">
        <v>0.61166670000000001</v>
      </c>
      <c r="J10">
        <v>0.12489396</v>
      </c>
      <c r="K10">
        <v>9</v>
      </c>
      <c r="L10">
        <v>0.20418629999999999</v>
      </c>
    </row>
    <row r="12" spans="1:12" x14ac:dyDescent="0.25">
      <c r="H12" t="s">
        <v>217</v>
      </c>
    </row>
    <row r="13" spans="1:12" x14ac:dyDescent="0.25">
      <c r="H13">
        <v>1200</v>
      </c>
      <c r="I13">
        <f>-0.02033728 - (-0.00005445836 / 0.000459551) * (1 - EXP(-0.000459551 * H13))</f>
        <v>2.9895439596416155E-2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8" workbookViewId="0">
      <selection activeCell="L19" sqref="L19:L20"/>
    </sheetView>
  </sheetViews>
  <sheetFormatPr baseColWidth="10" defaultRowHeight="15" x14ac:dyDescent="0.25"/>
  <sheetData>
    <row r="1" spans="1:11" x14ac:dyDescent="0.25">
      <c r="A1" s="2" t="s">
        <v>208</v>
      </c>
    </row>
    <row r="2" spans="1:11" x14ac:dyDescent="0.25">
      <c r="H2" s="2" t="s">
        <v>209</v>
      </c>
    </row>
    <row r="3" spans="1:11" x14ac:dyDescent="0.25">
      <c r="A3" s="5" t="s">
        <v>145</v>
      </c>
      <c r="B3" s="5" t="s">
        <v>203</v>
      </c>
      <c r="C3" s="5" t="s">
        <v>190</v>
      </c>
      <c r="D3" s="5" t="s">
        <v>204</v>
      </c>
      <c r="E3" s="5" t="s">
        <v>191</v>
      </c>
      <c r="F3" s="5" t="s">
        <v>192</v>
      </c>
      <c r="G3" s="5" t="s">
        <v>193</v>
      </c>
      <c r="H3" s="5" t="s">
        <v>194</v>
      </c>
      <c r="I3" s="5" t="s">
        <v>195</v>
      </c>
      <c r="J3" s="5" t="s">
        <v>196</v>
      </c>
      <c r="K3" s="5" t="s">
        <v>197</v>
      </c>
    </row>
    <row r="4" spans="1:11" x14ac:dyDescent="0.25">
      <c r="A4" t="s">
        <v>166</v>
      </c>
      <c r="B4" t="s">
        <v>186</v>
      </c>
      <c r="C4">
        <v>1</v>
      </c>
      <c r="D4">
        <v>1</v>
      </c>
      <c r="E4" t="s">
        <v>198</v>
      </c>
      <c r="F4" t="s">
        <v>199</v>
      </c>
      <c r="G4" t="s">
        <v>205</v>
      </c>
      <c r="H4" t="s">
        <v>32</v>
      </c>
      <c r="I4" t="s">
        <v>32</v>
      </c>
      <c r="J4">
        <v>0</v>
      </c>
      <c r="K4" t="s">
        <v>32</v>
      </c>
    </row>
    <row r="5" spans="1:11" x14ac:dyDescent="0.25">
      <c r="A5" t="s">
        <v>166</v>
      </c>
      <c r="B5" t="s">
        <v>186</v>
      </c>
      <c r="C5">
        <v>2</v>
      </c>
      <c r="D5">
        <v>2</v>
      </c>
      <c r="E5" t="s">
        <v>198</v>
      </c>
      <c r="F5" t="s">
        <v>199</v>
      </c>
      <c r="G5" t="s">
        <v>205</v>
      </c>
      <c r="H5" t="s">
        <v>32</v>
      </c>
      <c r="I5" t="s">
        <v>32</v>
      </c>
      <c r="J5">
        <v>0</v>
      </c>
      <c r="K5" t="s">
        <v>32</v>
      </c>
    </row>
    <row r="6" spans="1:11" x14ac:dyDescent="0.25">
      <c r="A6" t="s">
        <v>166</v>
      </c>
      <c r="B6" t="s">
        <v>186</v>
      </c>
      <c r="C6">
        <v>3</v>
      </c>
      <c r="D6">
        <v>3</v>
      </c>
      <c r="E6" t="s">
        <v>198</v>
      </c>
      <c r="F6" t="s">
        <v>199</v>
      </c>
      <c r="G6" t="s">
        <v>205</v>
      </c>
      <c r="H6" t="s">
        <v>32</v>
      </c>
      <c r="I6" t="s">
        <v>32</v>
      </c>
      <c r="J6">
        <v>0</v>
      </c>
      <c r="K6" t="s">
        <v>32</v>
      </c>
    </row>
    <row r="7" spans="1:11" x14ac:dyDescent="0.25">
      <c r="A7" t="s">
        <v>166</v>
      </c>
      <c r="B7" t="s">
        <v>186</v>
      </c>
      <c r="C7">
        <v>4</v>
      </c>
      <c r="D7">
        <v>4</v>
      </c>
      <c r="E7" t="s">
        <v>198</v>
      </c>
      <c r="F7" t="s">
        <v>199</v>
      </c>
      <c r="G7" t="s">
        <v>205</v>
      </c>
      <c r="H7" t="s">
        <v>32</v>
      </c>
      <c r="I7" t="s">
        <v>32</v>
      </c>
      <c r="J7">
        <v>0</v>
      </c>
      <c r="K7" t="s">
        <v>32</v>
      </c>
    </row>
    <row r="8" spans="1:11" x14ac:dyDescent="0.25">
      <c r="A8" t="s">
        <v>166</v>
      </c>
      <c r="B8" t="s">
        <v>186</v>
      </c>
      <c r="C8">
        <v>5</v>
      </c>
      <c r="D8">
        <v>5</v>
      </c>
      <c r="E8" t="s">
        <v>198</v>
      </c>
      <c r="F8" t="s">
        <v>199</v>
      </c>
      <c r="G8" t="s">
        <v>205</v>
      </c>
      <c r="H8" t="s">
        <v>32</v>
      </c>
      <c r="I8" t="s">
        <v>32</v>
      </c>
      <c r="J8">
        <v>0</v>
      </c>
      <c r="K8" t="s">
        <v>32</v>
      </c>
    </row>
    <row r="9" spans="1:11" x14ac:dyDescent="0.25">
      <c r="A9" t="s">
        <v>166</v>
      </c>
      <c r="B9" t="s">
        <v>186</v>
      </c>
      <c r="C9">
        <v>6</v>
      </c>
      <c r="D9">
        <v>6</v>
      </c>
      <c r="E9" t="s">
        <v>198</v>
      </c>
      <c r="F9" t="s">
        <v>199</v>
      </c>
      <c r="G9" t="s">
        <v>205</v>
      </c>
      <c r="H9">
        <v>0.3</v>
      </c>
      <c r="I9" t="s">
        <v>32</v>
      </c>
      <c r="J9">
        <v>1</v>
      </c>
      <c r="K9" t="s">
        <v>32</v>
      </c>
    </row>
    <row r="10" spans="1:11" x14ac:dyDescent="0.25">
      <c r="A10" t="s">
        <v>166</v>
      </c>
      <c r="B10" t="s">
        <v>186</v>
      </c>
      <c r="C10">
        <v>7</v>
      </c>
      <c r="D10">
        <v>7</v>
      </c>
      <c r="E10" t="s">
        <v>198</v>
      </c>
      <c r="F10" t="s">
        <v>199</v>
      </c>
      <c r="G10" t="s">
        <v>205</v>
      </c>
      <c r="H10">
        <v>1.3</v>
      </c>
      <c r="I10">
        <v>0</v>
      </c>
      <c r="J10">
        <v>2</v>
      </c>
      <c r="K10">
        <v>0</v>
      </c>
    </row>
    <row r="11" spans="1:11" x14ac:dyDescent="0.25">
      <c r="A11" t="s">
        <v>166</v>
      </c>
      <c r="B11" t="s">
        <v>186</v>
      </c>
      <c r="C11">
        <v>8</v>
      </c>
      <c r="D11">
        <v>8</v>
      </c>
      <c r="E11" t="s">
        <v>198</v>
      </c>
      <c r="F11" t="s">
        <v>199</v>
      </c>
      <c r="G11" t="s">
        <v>205</v>
      </c>
      <c r="H11">
        <v>2.7783333333333302</v>
      </c>
      <c r="I11">
        <v>0.75021108140753701</v>
      </c>
      <c r="J11">
        <v>6</v>
      </c>
      <c r="K11">
        <v>0.270021984909732</v>
      </c>
    </row>
    <row r="12" spans="1:11" x14ac:dyDescent="0.25">
      <c r="A12" t="s">
        <v>166</v>
      </c>
      <c r="B12" t="s">
        <v>186</v>
      </c>
      <c r="C12">
        <v>9</v>
      </c>
      <c r="D12">
        <v>9</v>
      </c>
      <c r="E12" t="s">
        <v>198</v>
      </c>
      <c r="F12" t="s">
        <v>199</v>
      </c>
      <c r="G12" t="s">
        <v>205</v>
      </c>
      <c r="H12">
        <v>4.58</v>
      </c>
      <c r="I12">
        <v>0.25922962793631399</v>
      </c>
      <c r="J12">
        <v>6</v>
      </c>
      <c r="K12">
        <v>5.6600355444610097E-2</v>
      </c>
    </row>
    <row r="13" spans="1:11" x14ac:dyDescent="0.25">
      <c r="A13" t="s">
        <v>166</v>
      </c>
      <c r="B13" t="s">
        <v>186</v>
      </c>
      <c r="C13">
        <v>10</v>
      </c>
      <c r="D13">
        <v>10</v>
      </c>
      <c r="E13" t="s">
        <v>198</v>
      </c>
      <c r="F13" t="s">
        <v>199</v>
      </c>
      <c r="G13" t="s">
        <v>205</v>
      </c>
      <c r="H13">
        <v>7.3616666666666699</v>
      </c>
      <c r="I13">
        <v>0.74727281943522295</v>
      </c>
      <c r="J13">
        <v>6</v>
      </c>
      <c r="K13">
        <v>0.10150864651599099</v>
      </c>
    </row>
    <row r="14" spans="1:11" x14ac:dyDescent="0.25">
      <c r="A14" t="s">
        <v>166</v>
      </c>
      <c r="B14" t="s">
        <v>186</v>
      </c>
      <c r="C14">
        <v>11</v>
      </c>
      <c r="D14">
        <v>11</v>
      </c>
      <c r="E14" t="s">
        <v>198</v>
      </c>
      <c r="F14" t="s">
        <v>199</v>
      </c>
      <c r="G14" t="s">
        <v>205</v>
      </c>
      <c r="H14">
        <v>13.168333333333299</v>
      </c>
      <c r="I14">
        <v>0.65940629862526101</v>
      </c>
      <c r="J14">
        <v>6</v>
      </c>
      <c r="K14">
        <v>5.0075152407942899E-2</v>
      </c>
    </row>
    <row r="15" spans="1:11" x14ac:dyDescent="0.25">
      <c r="A15" t="s">
        <v>166</v>
      </c>
      <c r="B15" t="s">
        <v>186</v>
      </c>
      <c r="C15">
        <v>12</v>
      </c>
      <c r="D15">
        <v>12</v>
      </c>
      <c r="E15" t="s">
        <v>198</v>
      </c>
      <c r="F15" t="s">
        <v>199</v>
      </c>
      <c r="G15" t="s">
        <v>205</v>
      </c>
      <c r="H15">
        <v>24.635000000000002</v>
      </c>
      <c r="I15">
        <v>2.29559360514879</v>
      </c>
      <c r="J15">
        <v>6</v>
      </c>
      <c r="K15">
        <v>9.3184234022682597E-2</v>
      </c>
    </row>
    <row r="16" spans="1:11" x14ac:dyDescent="0.25">
      <c r="A16" t="s">
        <v>166</v>
      </c>
      <c r="B16" t="s">
        <v>186</v>
      </c>
      <c r="C16">
        <v>13</v>
      </c>
      <c r="D16">
        <v>13</v>
      </c>
      <c r="E16" t="s">
        <v>198</v>
      </c>
      <c r="F16" t="s">
        <v>199</v>
      </c>
      <c r="G16" t="s">
        <v>205</v>
      </c>
      <c r="H16" t="s">
        <v>32</v>
      </c>
      <c r="I16" t="s">
        <v>32</v>
      </c>
      <c r="J16">
        <v>0</v>
      </c>
      <c r="K16" t="s">
        <v>32</v>
      </c>
    </row>
    <row r="17" spans="1:12" x14ac:dyDescent="0.25">
      <c r="A17" t="s">
        <v>166</v>
      </c>
      <c r="B17" t="s">
        <v>206</v>
      </c>
      <c r="C17">
        <v>1</v>
      </c>
      <c r="D17">
        <v>1</v>
      </c>
      <c r="E17" t="s">
        <v>198</v>
      </c>
      <c r="F17" t="s">
        <v>199</v>
      </c>
      <c r="G17" t="s">
        <v>205</v>
      </c>
      <c r="H17">
        <v>8.8096774193548395</v>
      </c>
      <c r="I17">
        <v>0.85346542156460703</v>
      </c>
      <c r="J17">
        <v>31</v>
      </c>
      <c r="K17">
        <v>9.6878169419636798E-2</v>
      </c>
    </row>
    <row r="18" spans="1:12" x14ac:dyDescent="0.25">
      <c r="A18" t="s">
        <v>166</v>
      </c>
      <c r="B18" t="s">
        <v>206</v>
      </c>
      <c r="C18">
        <v>2</v>
      </c>
      <c r="D18">
        <v>2</v>
      </c>
      <c r="E18" t="s">
        <v>198</v>
      </c>
      <c r="F18" t="s">
        <v>199</v>
      </c>
      <c r="G18" t="s">
        <v>205</v>
      </c>
      <c r="H18">
        <v>9.4439024390243897</v>
      </c>
      <c r="I18">
        <v>0.83135395003807</v>
      </c>
      <c r="J18">
        <v>41</v>
      </c>
      <c r="K18">
        <v>8.80307643377089E-2</v>
      </c>
    </row>
    <row r="19" spans="1:12" x14ac:dyDescent="0.25">
      <c r="A19" t="s">
        <v>166</v>
      </c>
      <c r="B19" t="s">
        <v>206</v>
      </c>
      <c r="C19">
        <v>3</v>
      </c>
      <c r="D19">
        <v>3</v>
      </c>
      <c r="E19" t="s">
        <v>198</v>
      </c>
      <c r="F19" t="s">
        <v>199</v>
      </c>
      <c r="G19" t="s">
        <v>205</v>
      </c>
      <c r="H19">
        <v>10.084722222222201</v>
      </c>
      <c r="I19">
        <v>1.38072545344025</v>
      </c>
      <c r="J19">
        <v>36</v>
      </c>
      <c r="K19">
        <v>0.136912591444288</v>
      </c>
      <c r="L19">
        <f>H19/100</f>
        <v>0.100847222222222</v>
      </c>
    </row>
    <row r="20" spans="1:12" x14ac:dyDescent="0.25">
      <c r="A20" t="s">
        <v>166</v>
      </c>
      <c r="B20" t="s">
        <v>206</v>
      </c>
      <c r="C20">
        <v>4</v>
      </c>
      <c r="D20">
        <v>4</v>
      </c>
      <c r="E20" t="s">
        <v>198</v>
      </c>
      <c r="F20" t="s">
        <v>199</v>
      </c>
      <c r="G20" t="s">
        <v>205</v>
      </c>
      <c r="H20">
        <v>11.9413793103448</v>
      </c>
      <c r="I20">
        <v>1.7222321980041999</v>
      </c>
      <c r="J20">
        <v>29</v>
      </c>
      <c r="K20">
        <v>0.14422389183402201</v>
      </c>
      <c r="L20">
        <f>H20/100</f>
        <v>0.119413793103448</v>
      </c>
    </row>
    <row r="21" spans="1:12" x14ac:dyDescent="0.25">
      <c r="A21" t="s">
        <v>166</v>
      </c>
      <c r="B21" t="s">
        <v>206</v>
      </c>
      <c r="C21">
        <v>5</v>
      </c>
      <c r="D21">
        <v>5</v>
      </c>
      <c r="E21" t="s">
        <v>198</v>
      </c>
      <c r="F21" t="s">
        <v>199</v>
      </c>
      <c r="G21" t="s">
        <v>205</v>
      </c>
      <c r="H21">
        <v>11.28</v>
      </c>
      <c r="I21">
        <v>0.90762848880156399</v>
      </c>
      <c r="J21">
        <v>20</v>
      </c>
      <c r="K21">
        <v>8.0463518510777002E-2</v>
      </c>
    </row>
    <row r="22" spans="1:12" x14ac:dyDescent="0.25">
      <c r="A22" t="s">
        <v>166</v>
      </c>
      <c r="B22" t="s">
        <v>206</v>
      </c>
      <c r="C22">
        <v>6</v>
      </c>
      <c r="D22">
        <v>6</v>
      </c>
      <c r="E22" t="s">
        <v>198</v>
      </c>
      <c r="F22" t="s">
        <v>199</v>
      </c>
      <c r="G22" t="s">
        <v>205</v>
      </c>
      <c r="H22">
        <v>11.373333333333299</v>
      </c>
      <c r="I22">
        <v>0.68292089760158303</v>
      </c>
      <c r="J22">
        <v>15</v>
      </c>
      <c r="K22">
        <v>6.0045799906352601E-2</v>
      </c>
    </row>
    <row r="23" spans="1:12" x14ac:dyDescent="0.25">
      <c r="A23" t="s">
        <v>166</v>
      </c>
      <c r="B23" t="s">
        <v>206</v>
      </c>
      <c r="C23">
        <v>7</v>
      </c>
      <c r="D23">
        <v>7</v>
      </c>
      <c r="E23" t="s">
        <v>198</v>
      </c>
      <c r="F23" t="s">
        <v>199</v>
      </c>
      <c r="G23" t="s">
        <v>205</v>
      </c>
      <c r="H23">
        <v>13.6816666666667</v>
      </c>
      <c r="I23">
        <v>0.87955481163294602</v>
      </c>
      <c r="J23">
        <v>6</v>
      </c>
      <c r="K23">
        <v>6.4287110120571006E-2</v>
      </c>
    </row>
    <row r="24" spans="1:12" x14ac:dyDescent="0.25">
      <c r="A24" t="s">
        <v>166</v>
      </c>
      <c r="B24" t="s">
        <v>206</v>
      </c>
      <c r="C24">
        <v>8</v>
      </c>
      <c r="D24">
        <v>8</v>
      </c>
      <c r="E24" t="s">
        <v>198</v>
      </c>
      <c r="F24" t="s">
        <v>199</v>
      </c>
      <c r="G24" t="s">
        <v>205</v>
      </c>
      <c r="H24">
        <v>16.906666666666698</v>
      </c>
      <c r="I24">
        <v>1.2984092831871901</v>
      </c>
      <c r="J24">
        <v>6</v>
      </c>
      <c r="K24">
        <v>7.6798656339936197E-2</v>
      </c>
    </row>
    <row r="25" spans="1:12" x14ac:dyDescent="0.25">
      <c r="A25" t="s">
        <v>166</v>
      </c>
      <c r="B25" t="s">
        <v>206</v>
      </c>
      <c r="C25">
        <v>9</v>
      </c>
      <c r="D25">
        <v>9</v>
      </c>
      <c r="E25" t="s">
        <v>198</v>
      </c>
      <c r="F25" t="s">
        <v>199</v>
      </c>
      <c r="G25" t="s">
        <v>205</v>
      </c>
      <c r="H25">
        <v>21.033333333333299</v>
      </c>
      <c r="I25">
        <v>1.0966616007988399</v>
      </c>
      <c r="J25">
        <v>6</v>
      </c>
      <c r="K25">
        <v>5.2139220323241101E-2</v>
      </c>
    </row>
    <row r="26" spans="1:12" x14ac:dyDescent="0.25">
      <c r="A26" t="s">
        <v>166</v>
      </c>
      <c r="B26" t="s">
        <v>206</v>
      </c>
      <c r="C26">
        <v>10</v>
      </c>
      <c r="D26">
        <v>10</v>
      </c>
      <c r="E26" t="s">
        <v>198</v>
      </c>
      <c r="F26" t="s">
        <v>199</v>
      </c>
      <c r="G26" t="s">
        <v>205</v>
      </c>
      <c r="H26">
        <v>26.003333333333298</v>
      </c>
      <c r="I26">
        <v>1.0434877415028201</v>
      </c>
      <c r="J26">
        <v>6</v>
      </c>
      <c r="K26">
        <v>4.0128999160472703E-2</v>
      </c>
    </row>
    <row r="27" spans="1:12" x14ac:dyDescent="0.25">
      <c r="A27" t="s">
        <v>166</v>
      </c>
      <c r="B27" t="s">
        <v>206</v>
      </c>
      <c r="C27">
        <v>11</v>
      </c>
      <c r="D27">
        <v>11</v>
      </c>
      <c r="E27" t="s">
        <v>198</v>
      </c>
      <c r="F27" t="s">
        <v>199</v>
      </c>
      <c r="G27" t="s">
        <v>205</v>
      </c>
      <c r="H27">
        <v>26.223333333333301</v>
      </c>
      <c r="I27">
        <v>2.6292330947762399</v>
      </c>
      <c r="J27">
        <v>6</v>
      </c>
      <c r="K27">
        <v>0.100263115346749</v>
      </c>
    </row>
    <row r="28" spans="1:12" x14ac:dyDescent="0.25">
      <c r="A28" t="s">
        <v>166</v>
      </c>
      <c r="B28" t="s">
        <v>206</v>
      </c>
      <c r="C28">
        <v>12</v>
      </c>
      <c r="D28">
        <v>12</v>
      </c>
      <c r="E28" t="s">
        <v>198</v>
      </c>
      <c r="F28" t="s">
        <v>199</v>
      </c>
      <c r="G28" t="s">
        <v>205</v>
      </c>
      <c r="H28" t="s">
        <v>32</v>
      </c>
      <c r="I28" t="s">
        <v>32</v>
      </c>
      <c r="J28">
        <v>0</v>
      </c>
      <c r="K28" t="s">
        <v>32</v>
      </c>
    </row>
    <row r="29" spans="1:12" x14ac:dyDescent="0.25">
      <c r="A29" t="s">
        <v>166</v>
      </c>
      <c r="B29" t="s">
        <v>206</v>
      </c>
      <c r="C29">
        <v>13</v>
      </c>
      <c r="D29">
        <v>13</v>
      </c>
      <c r="E29" t="s">
        <v>198</v>
      </c>
      <c r="F29" t="s">
        <v>199</v>
      </c>
      <c r="G29" t="s">
        <v>205</v>
      </c>
      <c r="H29" t="s">
        <v>32</v>
      </c>
      <c r="I29" t="s">
        <v>32</v>
      </c>
      <c r="J29">
        <v>0</v>
      </c>
      <c r="K29" t="s">
        <v>32</v>
      </c>
    </row>
    <row r="30" spans="1:12" x14ac:dyDescent="0.25">
      <c r="A30" t="s">
        <v>166</v>
      </c>
      <c r="B30" t="s">
        <v>187</v>
      </c>
      <c r="C30">
        <v>1</v>
      </c>
      <c r="D30">
        <v>1</v>
      </c>
      <c r="E30" t="s">
        <v>198</v>
      </c>
      <c r="F30" t="s">
        <v>199</v>
      </c>
      <c r="G30" t="s">
        <v>205</v>
      </c>
      <c r="H30">
        <v>2.0115384615384602</v>
      </c>
      <c r="I30">
        <v>0.24853823661708199</v>
      </c>
      <c r="J30">
        <v>39</v>
      </c>
      <c r="K30">
        <v>0.123556293538129</v>
      </c>
    </row>
    <row r="31" spans="1:12" x14ac:dyDescent="0.25">
      <c r="A31" t="s">
        <v>166</v>
      </c>
      <c r="B31" t="s">
        <v>187</v>
      </c>
      <c r="C31">
        <v>2</v>
      </c>
      <c r="D31">
        <v>2</v>
      </c>
      <c r="E31" t="s">
        <v>198</v>
      </c>
      <c r="F31" t="s">
        <v>199</v>
      </c>
      <c r="G31" t="s">
        <v>205</v>
      </c>
      <c r="H31">
        <v>2.1341463414634099</v>
      </c>
      <c r="I31">
        <v>0.28404203570735898</v>
      </c>
      <c r="J31">
        <v>41</v>
      </c>
      <c r="K31">
        <v>0.133093982445734</v>
      </c>
    </row>
    <row r="32" spans="1:12" x14ac:dyDescent="0.25">
      <c r="A32" t="s">
        <v>166</v>
      </c>
      <c r="B32" t="s">
        <v>187</v>
      </c>
      <c r="C32">
        <v>3</v>
      </c>
      <c r="D32">
        <v>3</v>
      </c>
      <c r="E32" t="s">
        <v>198</v>
      </c>
      <c r="F32" t="s">
        <v>199</v>
      </c>
      <c r="G32" t="s">
        <v>205</v>
      </c>
      <c r="H32">
        <v>2.46891891891892</v>
      </c>
      <c r="I32">
        <v>0.29376657195603201</v>
      </c>
      <c r="J32">
        <v>37</v>
      </c>
      <c r="K32">
        <v>0.11898591310753399</v>
      </c>
    </row>
    <row r="33" spans="1:11" x14ac:dyDescent="0.25">
      <c r="A33" t="s">
        <v>166</v>
      </c>
      <c r="B33" t="s">
        <v>187</v>
      </c>
      <c r="C33">
        <v>4</v>
      </c>
      <c r="D33">
        <v>4</v>
      </c>
      <c r="E33" t="s">
        <v>198</v>
      </c>
      <c r="F33" t="s">
        <v>199</v>
      </c>
      <c r="G33" t="s">
        <v>205</v>
      </c>
      <c r="H33">
        <v>2.47241379310345</v>
      </c>
      <c r="I33">
        <v>0.272418469748471</v>
      </c>
      <c r="J33">
        <v>29</v>
      </c>
      <c r="K33">
        <v>0.110183202548196</v>
      </c>
    </row>
    <row r="34" spans="1:11" x14ac:dyDescent="0.25">
      <c r="A34" t="s">
        <v>166</v>
      </c>
      <c r="B34" t="s">
        <v>187</v>
      </c>
      <c r="C34">
        <v>5</v>
      </c>
      <c r="D34">
        <v>5</v>
      </c>
      <c r="E34" t="s">
        <v>198</v>
      </c>
      <c r="F34" t="s">
        <v>199</v>
      </c>
      <c r="G34" t="s">
        <v>205</v>
      </c>
      <c r="H34">
        <v>2.7250000000000001</v>
      </c>
      <c r="I34">
        <v>0.27505980211009001</v>
      </c>
      <c r="J34">
        <v>20</v>
      </c>
      <c r="K34">
        <v>0.100939376921134</v>
      </c>
    </row>
    <row r="35" spans="1:11" x14ac:dyDescent="0.25">
      <c r="A35" t="s">
        <v>166</v>
      </c>
      <c r="B35" t="s">
        <v>187</v>
      </c>
      <c r="C35">
        <v>6</v>
      </c>
      <c r="D35">
        <v>6</v>
      </c>
      <c r="E35" t="s">
        <v>198</v>
      </c>
      <c r="F35" t="s">
        <v>199</v>
      </c>
      <c r="G35" t="s">
        <v>205</v>
      </c>
      <c r="H35">
        <v>2.9866666666666699</v>
      </c>
      <c r="I35">
        <v>0.41724721460452902</v>
      </c>
      <c r="J35">
        <v>15</v>
      </c>
      <c r="K35">
        <v>0.13970330846133799</v>
      </c>
    </row>
    <row r="36" spans="1:11" x14ac:dyDescent="0.25">
      <c r="A36" t="s">
        <v>166</v>
      </c>
      <c r="B36" t="s">
        <v>187</v>
      </c>
      <c r="C36">
        <v>7</v>
      </c>
      <c r="D36">
        <v>7</v>
      </c>
      <c r="E36" t="s">
        <v>198</v>
      </c>
      <c r="F36" t="s">
        <v>199</v>
      </c>
      <c r="G36" t="s">
        <v>205</v>
      </c>
      <c r="H36">
        <v>4.4716666666666702</v>
      </c>
      <c r="I36">
        <v>0.66031558111759403</v>
      </c>
      <c r="J36">
        <v>6</v>
      </c>
      <c r="K36">
        <v>0.14766654814407601</v>
      </c>
    </row>
    <row r="37" spans="1:11" x14ac:dyDescent="0.25">
      <c r="A37" t="s">
        <v>166</v>
      </c>
      <c r="B37" t="s">
        <v>187</v>
      </c>
      <c r="C37">
        <v>8</v>
      </c>
      <c r="D37">
        <v>8</v>
      </c>
      <c r="E37" t="s">
        <v>198</v>
      </c>
      <c r="F37" t="s">
        <v>199</v>
      </c>
      <c r="G37" t="s">
        <v>205</v>
      </c>
      <c r="H37">
        <v>6.4050000000000002</v>
      </c>
      <c r="I37">
        <v>0.59912436104702005</v>
      </c>
      <c r="J37">
        <v>6</v>
      </c>
      <c r="K37">
        <v>9.35401032079657E-2</v>
      </c>
    </row>
    <row r="38" spans="1:11" x14ac:dyDescent="0.25">
      <c r="A38" t="s">
        <v>166</v>
      </c>
      <c r="B38" t="s">
        <v>187</v>
      </c>
      <c r="C38">
        <v>9</v>
      </c>
      <c r="D38">
        <v>9</v>
      </c>
      <c r="E38" t="s">
        <v>198</v>
      </c>
      <c r="F38" t="s">
        <v>199</v>
      </c>
      <c r="G38" t="s">
        <v>205</v>
      </c>
      <c r="H38">
        <v>8.0816666666666706</v>
      </c>
      <c r="I38">
        <v>0.291233010949423</v>
      </c>
      <c r="J38">
        <v>6</v>
      </c>
      <c r="K38">
        <v>3.6036256252764201E-2</v>
      </c>
    </row>
    <row r="39" spans="1:11" x14ac:dyDescent="0.25">
      <c r="A39" t="s">
        <v>166</v>
      </c>
      <c r="B39" t="s">
        <v>187</v>
      </c>
      <c r="C39">
        <v>10</v>
      </c>
      <c r="D39">
        <v>10</v>
      </c>
      <c r="E39" t="s">
        <v>198</v>
      </c>
      <c r="F39" t="s">
        <v>199</v>
      </c>
      <c r="G39" t="s">
        <v>205</v>
      </c>
      <c r="H39">
        <v>10.4866666666667</v>
      </c>
      <c r="I39">
        <v>0.62311047709588896</v>
      </c>
      <c r="J39">
        <v>6</v>
      </c>
      <c r="K39">
        <v>5.9419308051102002E-2</v>
      </c>
    </row>
    <row r="40" spans="1:11" x14ac:dyDescent="0.25">
      <c r="A40" t="s">
        <v>166</v>
      </c>
      <c r="B40" t="s">
        <v>187</v>
      </c>
      <c r="C40">
        <v>11</v>
      </c>
      <c r="D40">
        <v>11</v>
      </c>
      <c r="E40" t="s">
        <v>198</v>
      </c>
      <c r="F40" t="s">
        <v>199</v>
      </c>
      <c r="G40" t="s">
        <v>205</v>
      </c>
      <c r="H40">
        <v>13.731666666666699</v>
      </c>
      <c r="I40">
        <v>1.02196705752518</v>
      </c>
      <c r="J40">
        <v>6</v>
      </c>
      <c r="K40">
        <v>7.4424109056330304E-2</v>
      </c>
    </row>
    <row r="41" spans="1:11" x14ac:dyDescent="0.25">
      <c r="A41" t="s">
        <v>166</v>
      </c>
      <c r="B41" t="s">
        <v>187</v>
      </c>
      <c r="C41">
        <v>12</v>
      </c>
      <c r="D41">
        <v>12</v>
      </c>
      <c r="E41" t="s">
        <v>198</v>
      </c>
      <c r="F41" t="s">
        <v>199</v>
      </c>
      <c r="G41" t="s">
        <v>205</v>
      </c>
      <c r="H41" t="s">
        <v>32</v>
      </c>
      <c r="I41" t="s">
        <v>32</v>
      </c>
      <c r="J41">
        <v>0</v>
      </c>
      <c r="K41" t="s">
        <v>32</v>
      </c>
    </row>
    <row r="42" spans="1:11" x14ac:dyDescent="0.25">
      <c r="A42" t="s">
        <v>166</v>
      </c>
      <c r="B42" t="s">
        <v>187</v>
      </c>
      <c r="C42">
        <v>13</v>
      </c>
      <c r="D42">
        <v>13</v>
      </c>
      <c r="E42" t="s">
        <v>198</v>
      </c>
      <c r="F42" t="s">
        <v>199</v>
      </c>
      <c r="G42" t="s">
        <v>205</v>
      </c>
      <c r="H42" t="s">
        <v>32</v>
      </c>
      <c r="I42" t="s">
        <v>32</v>
      </c>
      <c r="J42">
        <v>0</v>
      </c>
      <c r="K42" t="s">
        <v>32</v>
      </c>
    </row>
    <row r="43" spans="1:11" x14ac:dyDescent="0.25">
      <c r="A43" t="s">
        <v>166</v>
      </c>
      <c r="B43" t="s">
        <v>185</v>
      </c>
      <c r="C43">
        <v>1</v>
      </c>
      <c r="D43">
        <v>1</v>
      </c>
      <c r="E43" t="s">
        <v>198</v>
      </c>
      <c r="F43" t="s">
        <v>199</v>
      </c>
      <c r="G43" t="s">
        <v>205</v>
      </c>
      <c r="H43">
        <v>6.7359375000000004</v>
      </c>
      <c r="I43">
        <v>0.75115334706466697</v>
      </c>
      <c r="J43">
        <v>32</v>
      </c>
      <c r="K43">
        <v>0.111514298798744</v>
      </c>
    </row>
    <row r="44" spans="1:11" x14ac:dyDescent="0.25">
      <c r="A44" t="s">
        <v>166</v>
      </c>
      <c r="B44" t="s">
        <v>185</v>
      </c>
      <c r="C44">
        <v>2</v>
      </c>
      <c r="D44">
        <v>2</v>
      </c>
      <c r="E44" t="s">
        <v>198</v>
      </c>
      <c r="F44" t="s">
        <v>199</v>
      </c>
      <c r="G44" t="s">
        <v>205</v>
      </c>
      <c r="H44">
        <v>7.3404761904761902</v>
      </c>
      <c r="I44">
        <v>0.76447320417859299</v>
      </c>
      <c r="J44">
        <v>42</v>
      </c>
      <c r="K44">
        <v>0.104144906180671</v>
      </c>
    </row>
    <row r="45" spans="1:11" x14ac:dyDescent="0.25">
      <c r="A45" t="s">
        <v>166</v>
      </c>
      <c r="B45" t="s">
        <v>185</v>
      </c>
      <c r="C45">
        <v>3</v>
      </c>
      <c r="D45">
        <v>3</v>
      </c>
      <c r="E45" t="s">
        <v>198</v>
      </c>
      <c r="F45" t="s">
        <v>199</v>
      </c>
      <c r="G45" t="s">
        <v>205</v>
      </c>
      <c r="H45">
        <v>7.6864864864864897</v>
      </c>
      <c r="I45">
        <v>1.2863410991737101</v>
      </c>
      <c r="J45">
        <v>37</v>
      </c>
      <c r="K45">
        <v>0.16735098688265501</v>
      </c>
    </row>
    <row r="46" spans="1:11" x14ac:dyDescent="0.25">
      <c r="A46" t="s">
        <v>166</v>
      </c>
      <c r="B46" t="s">
        <v>185</v>
      </c>
      <c r="C46">
        <v>4</v>
      </c>
      <c r="D46">
        <v>4</v>
      </c>
      <c r="E46" t="s">
        <v>198</v>
      </c>
      <c r="F46" t="s">
        <v>199</v>
      </c>
      <c r="G46" t="s">
        <v>205</v>
      </c>
      <c r="H46">
        <v>9.4689655172413794</v>
      </c>
      <c r="I46">
        <v>1.53229600093545</v>
      </c>
      <c r="J46">
        <v>29</v>
      </c>
      <c r="K46">
        <v>0.16182295712719599</v>
      </c>
    </row>
    <row r="47" spans="1:11" x14ac:dyDescent="0.25">
      <c r="A47" t="s">
        <v>166</v>
      </c>
      <c r="B47" t="s">
        <v>185</v>
      </c>
      <c r="C47">
        <v>5</v>
      </c>
      <c r="D47">
        <v>5</v>
      </c>
      <c r="E47" t="s">
        <v>198</v>
      </c>
      <c r="F47" t="s">
        <v>199</v>
      </c>
      <c r="G47" t="s">
        <v>205</v>
      </c>
      <c r="H47">
        <v>8.5549999999999997</v>
      </c>
      <c r="I47">
        <v>0.81594310947193904</v>
      </c>
      <c r="J47">
        <v>20</v>
      </c>
      <c r="K47">
        <v>9.5376167091985903E-2</v>
      </c>
    </row>
    <row r="48" spans="1:11" x14ac:dyDescent="0.25">
      <c r="A48" t="s">
        <v>166</v>
      </c>
      <c r="B48" t="s">
        <v>185</v>
      </c>
      <c r="C48">
        <v>6</v>
      </c>
      <c r="D48">
        <v>6</v>
      </c>
      <c r="E48" t="s">
        <v>198</v>
      </c>
      <c r="F48" t="s">
        <v>199</v>
      </c>
      <c r="G48" t="s">
        <v>205</v>
      </c>
      <c r="H48">
        <v>8.3866666666666703</v>
      </c>
      <c r="I48">
        <v>0.64461136316683798</v>
      </c>
      <c r="J48">
        <v>15</v>
      </c>
      <c r="K48">
        <v>7.6861450298112699E-2</v>
      </c>
    </row>
    <row r="49" spans="1:11" x14ac:dyDescent="0.25">
      <c r="A49" t="s">
        <v>166</v>
      </c>
      <c r="B49" t="s">
        <v>185</v>
      </c>
      <c r="C49">
        <v>7</v>
      </c>
      <c r="D49">
        <v>7</v>
      </c>
      <c r="E49" t="s">
        <v>198</v>
      </c>
      <c r="F49" t="s">
        <v>199</v>
      </c>
      <c r="G49" t="s">
        <v>205</v>
      </c>
      <c r="H49">
        <v>9.2100000000000009</v>
      </c>
      <c r="I49">
        <v>0.52971690552596096</v>
      </c>
      <c r="J49">
        <v>6</v>
      </c>
      <c r="K49">
        <v>5.7515407766119603E-2</v>
      </c>
    </row>
    <row r="50" spans="1:11" x14ac:dyDescent="0.25">
      <c r="A50" t="s">
        <v>166</v>
      </c>
      <c r="B50" t="s">
        <v>185</v>
      </c>
      <c r="C50">
        <v>8</v>
      </c>
      <c r="D50">
        <v>8</v>
      </c>
      <c r="E50" t="s">
        <v>198</v>
      </c>
      <c r="F50" t="s">
        <v>199</v>
      </c>
      <c r="G50" t="s">
        <v>205</v>
      </c>
      <c r="H50">
        <v>10.501666666666701</v>
      </c>
      <c r="I50">
        <v>0.915869350216867</v>
      </c>
      <c r="J50">
        <v>6</v>
      </c>
      <c r="K50">
        <v>8.7211809257279796E-2</v>
      </c>
    </row>
    <row r="51" spans="1:11" x14ac:dyDescent="0.25">
      <c r="A51" t="s">
        <v>166</v>
      </c>
      <c r="B51" t="s">
        <v>185</v>
      </c>
      <c r="C51">
        <v>9</v>
      </c>
      <c r="D51">
        <v>9</v>
      </c>
      <c r="E51" t="s">
        <v>198</v>
      </c>
      <c r="F51" t="s">
        <v>199</v>
      </c>
      <c r="G51" t="s">
        <v>205</v>
      </c>
      <c r="H51">
        <v>12.9516666666667</v>
      </c>
      <c r="I51">
        <v>1.0541426215966501</v>
      </c>
      <c r="J51">
        <v>6</v>
      </c>
      <c r="K51">
        <v>8.1390499672885405E-2</v>
      </c>
    </row>
    <row r="52" spans="1:11" x14ac:dyDescent="0.25">
      <c r="A52" t="s">
        <v>166</v>
      </c>
      <c r="B52" t="s">
        <v>185</v>
      </c>
      <c r="C52">
        <v>10</v>
      </c>
      <c r="D52">
        <v>10</v>
      </c>
      <c r="E52" t="s">
        <v>198</v>
      </c>
      <c r="F52" t="s">
        <v>199</v>
      </c>
      <c r="G52" t="s">
        <v>205</v>
      </c>
      <c r="H52">
        <v>15.516666666666699</v>
      </c>
      <c r="I52">
        <v>0.78845841150099105</v>
      </c>
      <c r="J52">
        <v>6</v>
      </c>
      <c r="K52">
        <v>5.0813646283629901E-2</v>
      </c>
    </row>
    <row r="53" spans="1:11" x14ac:dyDescent="0.25">
      <c r="A53" t="s">
        <v>166</v>
      </c>
      <c r="B53" t="s">
        <v>185</v>
      </c>
      <c r="C53">
        <v>11</v>
      </c>
      <c r="D53">
        <v>11</v>
      </c>
      <c r="E53" t="s">
        <v>198</v>
      </c>
      <c r="F53" t="s">
        <v>199</v>
      </c>
      <c r="G53" t="s">
        <v>205</v>
      </c>
      <c r="H53">
        <v>12.491666666666699</v>
      </c>
      <c r="I53">
        <v>1.81725525633211</v>
      </c>
      <c r="J53">
        <v>6</v>
      </c>
      <c r="K53">
        <v>0.14547740544353099</v>
      </c>
    </row>
    <row r="54" spans="1:11" x14ac:dyDescent="0.25">
      <c r="A54" t="s">
        <v>166</v>
      </c>
      <c r="B54" t="s">
        <v>185</v>
      </c>
      <c r="C54">
        <v>12</v>
      </c>
      <c r="D54">
        <v>12</v>
      </c>
      <c r="E54" t="s">
        <v>198</v>
      </c>
      <c r="F54" t="s">
        <v>199</v>
      </c>
      <c r="G54" t="s">
        <v>205</v>
      </c>
      <c r="H54" t="s">
        <v>32</v>
      </c>
      <c r="I54" t="s">
        <v>32</v>
      </c>
      <c r="J54">
        <v>0</v>
      </c>
      <c r="K54" t="s">
        <v>32</v>
      </c>
    </row>
    <row r="55" spans="1:11" x14ac:dyDescent="0.25">
      <c r="A55" t="s">
        <v>166</v>
      </c>
      <c r="B55" t="s">
        <v>185</v>
      </c>
      <c r="C55">
        <v>13</v>
      </c>
      <c r="D55">
        <v>13</v>
      </c>
      <c r="E55" t="s">
        <v>198</v>
      </c>
      <c r="F55" t="s">
        <v>199</v>
      </c>
      <c r="G55" t="s">
        <v>205</v>
      </c>
      <c r="H55" t="s">
        <v>32</v>
      </c>
      <c r="I55" t="s">
        <v>32</v>
      </c>
      <c r="J55">
        <v>0</v>
      </c>
      <c r="K55" t="s">
        <v>32</v>
      </c>
    </row>
    <row r="56" spans="1:11" x14ac:dyDescent="0.25">
      <c r="A56" t="s">
        <v>166</v>
      </c>
      <c r="B56" t="s">
        <v>207</v>
      </c>
      <c r="C56">
        <v>1</v>
      </c>
      <c r="D56">
        <v>1</v>
      </c>
      <c r="E56" t="s">
        <v>198</v>
      </c>
      <c r="F56" t="s">
        <v>199</v>
      </c>
      <c r="G56" t="s">
        <v>205</v>
      </c>
      <c r="H56">
        <v>0.30920789911740798</v>
      </c>
      <c r="I56">
        <v>2.9836924351559001E-2</v>
      </c>
      <c r="J56">
        <v>31</v>
      </c>
      <c r="K56">
        <v>9.6494702873776803E-2</v>
      </c>
    </row>
    <row r="57" spans="1:11" x14ac:dyDescent="0.25">
      <c r="A57" t="s">
        <v>166</v>
      </c>
      <c r="B57" t="s">
        <v>207</v>
      </c>
      <c r="C57">
        <v>2</v>
      </c>
      <c r="D57">
        <v>2</v>
      </c>
      <c r="E57" t="s">
        <v>198</v>
      </c>
      <c r="F57" t="s">
        <v>199</v>
      </c>
      <c r="G57" t="s">
        <v>205</v>
      </c>
      <c r="H57">
        <v>0.29427664300991901</v>
      </c>
      <c r="I57">
        <v>4.3927880332430502E-2</v>
      </c>
      <c r="J57">
        <v>41</v>
      </c>
      <c r="K57">
        <v>0.149274097608045</v>
      </c>
    </row>
    <row r="58" spans="1:11" x14ac:dyDescent="0.25">
      <c r="A58" t="s">
        <v>166</v>
      </c>
      <c r="B58" t="s">
        <v>207</v>
      </c>
      <c r="C58">
        <v>3</v>
      </c>
      <c r="D58">
        <v>3</v>
      </c>
      <c r="E58" t="s">
        <v>198</v>
      </c>
      <c r="F58" t="s">
        <v>199</v>
      </c>
      <c r="G58" t="s">
        <v>205</v>
      </c>
      <c r="H58">
        <v>0.32991160447970203</v>
      </c>
      <c r="I58">
        <v>4.85281529058137E-2</v>
      </c>
      <c r="J58">
        <v>36</v>
      </c>
      <c r="K58">
        <v>0.147094410281041</v>
      </c>
    </row>
    <row r="59" spans="1:11" x14ac:dyDescent="0.25">
      <c r="A59" t="s">
        <v>166</v>
      </c>
      <c r="B59" t="s">
        <v>207</v>
      </c>
      <c r="C59">
        <v>4</v>
      </c>
      <c r="D59">
        <v>4</v>
      </c>
      <c r="E59" t="s">
        <v>198</v>
      </c>
      <c r="F59" t="s">
        <v>199</v>
      </c>
      <c r="G59" t="s">
        <v>205</v>
      </c>
      <c r="H59">
        <v>0.26478383886873202</v>
      </c>
      <c r="I59">
        <v>3.27915526991523E-2</v>
      </c>
      <c r="J59">
        <v>29</v>
      </c>
      <c r="K59">
        <v>0.12384272710619899</v>
      </c>
    </row>
    <row r="60" spans="1:11" x14ac:dyDescent="0.25">
      <c r="A60" t="s">
        <v>166</v>
      </c>
      <c r="B60" t="s">
        <v>207</v>
      </c>
      <c r="C60">
        <v>5</v>
      </c>
      <c r="D60">
        <v>5</v>
      </c>
      <c r="E60" t="s">
        <v>198</v>
      </c>
      <c r="F60" t="s">
        <v>199</v>
      </c>
      <c r="G60" t="s">
        <v>205</v>
      </c>
      <c r="H60">
        <v>0.32103656319063201</v>
      </c>
      <c r="I60">
        <v>4.2063329237263102E-2</v>
      </c>
      <c r="J60">
        <v>20</v>
      </c>
      <c r="K60">
        <v>0.13102348473711301</v>
      </c>
    </row>
    <row r="61" spans="1:11" x14ac:dyDescent="0.25">
      <c r="A61" t="s">
        <v>166</v>
      </c>
      <c r="B61" t="s">
        <v>207</v>
      </c>
      <c r="C61">
        <v>6</v>
      </c>
      <c r="D61">
        <v>6</v>
      </c>
      <c r="E61" t="s">
        <v>198</v>
      </c>
      <c r="F61" t="s">
        <v>199</v>
      </c>
      <c r="G61" t="s">
        <v>205</v>
      </c>
      <c r="H61">
        <v>0.35899418827351298</v>
      </c>
      <c r="I61">
        <v>6.2222427983342703E-2</v>
      </c>
      <c r="J61">
        <v>15</v>
      </c>
      <c r="K61">
        <v>0.173324332303497</v>
      </c>
    </row>
    <row r="62" spans="1:11" x14ac:dyDescent="0.25">
      <c r="A62" t="s">
        <v>166</v>
      </c>
      <c r="B62" t="s">
        <v>207</v>
      </c>
      <c r="C62">
        <v>7</v>
      </c>
      <c r="D62">
        <v>7</v>
      </c>
      <c r="E62" t="s">
        <v>198</v>
      </c>
      <c r="F62" t="s">
        <v>199</v>
      </c>
      <c r="G62" t="s">
        <v>205</v>
      </c>
      <c r="H62">
        <v>0.48657349355267199</v>
      </c>
      <c r="I62">
        <v>7.2342930064237296E-2</v>
      </c>
      <c r="J62">
        <v>6</v>
      </c>
      <c r="K62">
        <v>0.14867832099942799</v>
      </c>
    </row>
    <row r="63" spans="1:11" x14ac:dyDescent="0.25">
      <c r="A63" t="s">
        <v>166</v>
      </c>
      <c r="B63" t="s">
        <v>207</v>
      </c>
      <c r="C63">
        <v>8</v>
      </c>
      <c r="D63">
        <v>8</v>
      </c>
      <c r="E63" t="s">
        <v>198</v>
      </c>
      <c r="F63" t="s">
        <v>199</v>
      </c>
      <c r="G63" t="s">
        <v>205</v>
      </c>
      <c r="H63">
        <v>0.61216093960073903</v>
      </c>
      <c r="I63">
        <v>6.0057439937822199E-2</v>
      </c>
      <c r="J63">
        <v>6</v>
      </c>
      <c r="K63">
        <v>9.8107272210135807E-2</v>
      </c>
    </row>
    <row r="64" spans="1:11" x14ac:dyDescent="0.25">
      <c r="A64" t="s">
        <v>166</v>
      </c>
      <c r="B64" t="s">
        <v>207</v>
      </c>
      <c r="C64">
        <v>9</v>
      </c>
      <c r="D64">
        <v>9</v>
      </c>
      <c r="E64" t="s">
        <v>198</v>
      </c>
      <c r="F64" t="s">
        <v>199</v>
      </c>
      <c r="G64" t="s">
        <v>205</v>
      </c>
      <c r="H64">
        <v>0.62726588047856402</v>
      </c>
      <c r="I64">
        <v>5.2572326106631401E-2</v>
      </c>
      <c r="J64">
        <v>6</v>
      </c>
      <c r="K64">
        <v>8.3811869484311796E-2</v>
      </c>
    </row>
    <row r="65" spans="1:11" x14ac:dyDescent="0.25">
      <c r="A65" t="s">
        <v>166</v>
      </c>
      <c r="B65" t="s">
        <v>207</v>
      </c>
      <c r="C65">
        <v>10</v>
      </c>
      <c r="D65">
        <v>10</v>
      </c>
      <c r="E65" t="s">
        <v>198</v>
      </c>
      <c r="F65" t="s">
        <v>199</v>
      </c>
      <c r="G65" t="s">
        <v>205</v>
      </c>
      <c r="H65">
        <v>0.677110300597766</v>
      </c>
      <c r="I65">
        <v>4.9714738893961698E-2</v>
      </c>
      <c r="J65">
        <v>6</v>
      </c>
      <c r="K65">
        <v>7.3421920845204297E-2</v>
      </c>
    </row>
    <row r="66" spans="1:11" x14ac:dyDescent="0.25">
      <c r="A66" t="s">
        <v>166</v>
      </c>
      <c r="B66" t="s">
        <v>207</v>
      </c>
      <c r="C66">
        <v>11</v>
      </c>
      <c r="D66">
        <v>11</v>
      </c>
      <c r="E66" t="s">
        <v>198</v>
      </c>
      <c r="F66" t="s">
        <v>199</v>
      </c>
      <c r="G66" t="s">
        <v>205</v>
      </c>
      <c r="H66">
        <v>1.1123247835377399</v>
      </c>
      <c r="I66">
        <v>0.124131120526226</v>
      </c>
      <c r="J66">
        <v>6</v>
      </c>
      <c r="K66">
        <v>0.111596111462543</v>
      </c>
    </row>
    <row r="67" spans="1:11" x14ac:dyDescent="0.25">
      <c r="A67" t="s">
        <v>166</v>
      </c>
      <c r="B67" t="s">
        <v>207</v>
      </c>
      <c r="C67">
        <v>12</v>
      </c>
      <c r="D67">
        <v>12</v>
      </c>
      <c r="E67" t="s">
        <v>198</v>
      </c>
      <c r="F67" t="s">
        <v>199</v>
      </c>
      <c r="G67" t="s">
        <v>205</v>
      </c>
      <c r="H67" t="s">
        <v>32</v>
      </c>
      <c r="I67" t="s">
        <v>32</v>
      </c>
      <c r="J67">
        <v>0</v>
      </c>
      <c r="K67" t="s">
        <v>32</v>
      </c>
    </row>
    <row r="68" spans="1:11" x14ac:dyDescent="0.25">
      <c r="A68" t="s">
        <v>166</v>
      </c>
      <c r="B68" t="s">
        <v>207</v>
      </c>
      <c r="C68">
        <v>13</v>
      </c>
      <c r="D68">
        <v>13</v>
      </c>
      <c r="E68" t="s">
        <v>198</v>
      </c>
      <c r="F68" t="s">
        <v>199</v>
      </c>
      <c r="G68" t="s">
        <v>205</v>
      </c>
      <c r="H68" t="s">
        <v>32</v>
      </c>
      <c r="I68" t="s">
        <v>32</v>
      </c>
      <c r="J68">
        <v>0</v>
      </c>
      <c r="K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 O1</vt:lpstr>
      <vt:lpstr>SSLW et LSSW</vt:lpstr>
      <vt:lpstr>Scans_F4point</vt:lpstr>
      <vt:lpstr>Scans_OrganesVisibles</vt:lpstr>
      <vt:lpstr>Scans_Largeur_ttes_Dates</vt:lpstr>
      <vt:lpstr>Prelevement_Profils_Longueurs_P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2020-06-22T13:23:12Z</dcterms:modified>
</cp:coreProperties>
</file>