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WheatFspm\fspm-wheat\example\Scenarii_monoculms\inputs_T1\"/>
    </mc:Choice>
  </mc:AlternateContent>
  <bookViews>
    <workbookView xWindow="0" yWindow="0" windowWidth="20490" windowHeight="7320"/>
  </bookViews>
  <sheets>
    <sheet name="INPUTS T1" sheetId="15" r:id="rId1"/>
    <sheet name="Scans_F4point" sheetId="25" r:id="rId2"/>
    <sheet name="SSLW et LSSW" sheetId="30" r:id="rId3"/>
    <sheet name="Scans_OrganesVisibles" sheetId="26" r:id="rId4"/>
    <sheet name="Scans_Largeur_ttes_Dates" sheetId="28" r:id="rId5"/>
    <sheet name="Prelevement_Profils_Longueurs_P" sheetId="2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9" i="15" l="1"/>
  <c r="X5" i="15"/>
  <c r="V6" i="15"/>
  <c r="V5" i="15"/>
  <c r="L46" i="29"/>
  <c r="L45" i="29"/>
  <c r="L19" i="29"/>
  <c r="I13" i="28"/>
  <c r="I17" i="15"/>
  <c r="I15" i="15"/>
  <c r="M27" i="26"/>
  <c r="N27" i="26"/>
  <c r="N26" i="26"/>
  <c r="N25" i="26"/>
  <c r="M26" i="26"/>
  <c r="M25" i="26"/>
  <c r="L11" i="15"/>
  <c r="L10" i="15"/>
  <c r="L9" i="15"/>
  <c r="L8" i="15"/>
  <c r="L7" i="15"/>
  <c r="H20" i="15"/>
  <c r="H19" i="15"/>
  <c r="H18" i="15"/>
  <c r="H17" i="1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V17" i="25" s="1"/>
  <c r="W13" i="25"/>
  <c r="X13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G15" i="25"/>
  <c r="G14" i="25"/>
  <c r="G13" i="25"/>
  <c r="I11" i="25"/>
  <c r="I10" i="25"/>
  <c r="I8" i="25"/>
  <c r="I7" i="25"/>
  <c r="I6" i="25"/>
  <c r="I5" i="25"/>
  <c r="I4" i="25"/>
  <c r="I3" i="25"/>
  <c r="I2" i="25"/>
  <c r="I9" i="25"/>
  <c r="L2" i="25"/>
  <c r="L3" i="25"/>
  <c r="L4" i="25"/>
  <c r="L5" i="25"/>
  <c r="L6" i="25"/>
  <c r="L7" i="25"/>
  <c r="L8" i="25"/>
  <c r="L10" i="25"/>
  <c r="L11" i="25"/>
  <c r="L9" i="25"/>
  <c r="O2" i="25"/>
  <c r="O10" i="25"/>
  <c r="O3" i="25"/>
  <c r="O4" i="25"/>
  <c r="O5" i="25"/>
  <c r="O6" i="25"/>
  <c r="O7" i="25"/>
  <c r="O11" i="25"/>
  <c r="O8" i="25"/>
  <c r="O9" i="25"/>
  <c r="N17" i="25" l="1"/>
  <c r="E36" i="15"/>
  <c r="AC5" i="15"/>
  <c r="Y5" i="15"/>
  <c r="L17" i="25" l="1"/>
  <c r="O17" i="25"/>
  <c r="I17" i="25"/>
  <c r="L20" i="29" l="1"/>
  <c r="K15" i="15"/>
  <c r="W15" i="15" s="1"/>
  <c r="M29" i="26"/>
  <c r="N29" i="26"/>
  <c r="E3" i="26"/>
  <c r="E19" i="26"/>
  <c r="E10" i="26"/>
  <c r="E2" i="26"/>
  <c r="E4" i="26"/>
  <c r="E9" i="26"/>
  <c r="E11" i="26"/>
  <c r="E17" i="26"/>
  <c r="E5" i="26"/>
  <c r="E6" i="26"/>
  <c r="E21" i="26"/>
  <c r="E13" i="26"/>
  <c r="E18" i="26"/>
  <c r="E7" i="26"/>
  <c r="E8" i="26"/>
  <c r="E20" i="26"/>
  <c r="E12" i="26"/>
  <c r="E14" i="26"/>
  <c r="E15" i="26"/>
  <c r="E16" i="26"/>
  <c r="D3" i="26"/>
  <c r="D19" i="26"/>
  <c r="D10" i="26"/>
  <c r="D2" i="26"/>
  <c r="D4" i="26"/>
  <c r="D9" i="26"/>
  <c r="D11" i="26"/>
  <c r="D17" i="26"/>
  <c r="D5" i="26"/>
  <c r="D6" i="26"/>
  <c r="D21" i="26"/>
  <c r="D13" i="26"/>
  <c r="D18" i="26"/>
  <c r="D7" i="26"/>
  <c r="D8" i="26"/>
  <c r="D20" i="26"/>
  <c r="D12" i="26"/>
  <c r="D14" i="26"/>
  <c r="D15" i="26"/>
  <c r="D16" i="26"/>
  <c r="W17" i="25" l="1"/>
  <c r="T31" i="15"/>
  <c r="J31" i="15"/>
  <c r="G31" i="15"/>
  <c r="F31" i="15"/>
  <c r="E31" i="15"/>
  <c r="P42" i="15" s="1"/>
  <c r="BA25" i="15"/>
  <c r="BE23" i="15"/>
  <c r="AD20" i="15"/>
  <c r="K20" i="15"/>
  <c r="AD19" i="15"/>
  <c r="K19" i="15"/>
  <c r="G19" i="15"/>
  <c r="G18" i="15" s="1"/>
  <c r="AD18" i="15"/>
  <c r="K18" i="15"/>
  <c r="AD17" i="15"/>
  <c r="K17" i="15"/>
  <c r="BA16" i="15"/>
  <c r="AE16" i="15"/>
  <c r="AD16" i="15"/>
  <c r="K16" i="15"/>
  <c r="AZ15" i="15"/>
  <c r="AY15" i="15"/>
  <c r="AD15" i="15"/>
  <c r="P15" i="15"/>
  <c r="M15" i="15"/>
  <c r="BH12" i="15"/>
  <c r="BF12" i="15"/>
  <c r="BD12" i="15"/>
  <c r="BC12" i="15"/>
  <c r="BE12" i="15" s="1"/>
  <c r="BA12" i="15"/>
  <c r="BH11" i="15"/>
  <c r="BF11" i="15"/>
  <c r="AI11" i="15" s="1"/>
  <c r="AL11" i="15" s="1"/>
  <c r="BC11" i="15"/>
  <c r="BA11" i="15"/>
  <c r="AS11" i="15"/>
  <c r="AM11" i="15"/>
  <c r="BH10" i="15"/>
  <c r="BF10" i="15"/>
  <c r="AI10" i="15" s="1"/>
  <c r="AL10" i="15" s="1"/>
  <c r="AN10" i="15" s="1"/>
  <c r="BC10" i="15"/>
  <c r="BA10" i="15"/>
  <c r="AS10" i="15"/>
  <c r="AM10" i="15"/>
  <c r="BH9" i="15"/>
  <c r="BF9" i="15"/>
  <c r="AI9" i="15" s="1"/>
  <c r="AL9" i="15" s="1"/>
  <c r="AN9" i="15" s="1"/>
  <c r="BC9" i="15"/>
  <c r="BA9" i="15"/>
  <c r="AS9" i="15"/>
  <c r="AM9" i="15"/>
  <c r="BH8" i="15"/>
  <c r="BF8" i="15"/>
  <c r="AI8" i="15" s="1"/>
  <c r="AL8" i="15" s="1"/>
  <c r="BC8" i="15"/>
  <c r="BA8" i="15"/>
  <c r="AS8" i="15"/>
  <c r="AM8" i="15"/>
  <c r="BH7" i="15"/>
  <c r="BF7" i="15"/>
  <c r="BC7" i="15"/>
  <c r="BA7" i="15"/>
  <c r="AS7" i="15"/>
  <c r="AM7" i="15"/>
  <c r="AI7" i="15"/>
  <c r="AL7" i="15" s="1"/>
  <c r="AN7" i="15" s="1"/>
  <c r="BH6" i="15"/>
  <c r="AJ6" i="15" s="1"/>
  <c r="AM6" i="15" s="1"/>
  <c r="BF6" i="15"/>
  <c r="AI6" i="15" s="1"/>
  <c r="AL6" i="15" s="1"/>
  <c r="BA6" i="15"/>
  <c r="AS6" i="15"/>
  <c r="BH5" i="15"/>
  <c r="AJ5" i="15" s="1"/>
  <c r="AM5" i="15" s="1"/>
  <c r="BA5" i="15"/>
  <c r="AS5" i="15"/>
  <c r="BF5" i="15"/>
  <c r="G5" i="15"/>
  <c r="E2" i="15"/>
  <c r="M20" i="15" l="1"/>
  <c r="W20" i="15"/>
  <c r="M17" i="15"/>
  <c r="W17" i="15"/>
  <c r="M18" i="15"/>
  <c r="W18" i="15"/>
  <c r="M16" i="15"/>
  <c r="W16" i="15"/>
  <c r="M19" i="15"/>
  <c r="W19" i="15"/>
  <c r="X17" i="25"/>
  <c r="Q17" i="25"/>
  <c r="G17" i="25"/>
  <c r="P17" i="25"/>
  <c r="H17" i="25"/>
  <c r="J17" i="25"/>
  <c r="R17" i="25"/>
  <c r="K17" i="25"/>
  <c r="S17" i="25"/>
  <c r="T17" i="25"/>
  <c r="M17" i="25"/>
  <c r="U17" i="25"/>
  <c r="AN8" i="15"/>
  <c r="AN11" i="15"/>
  <c r="Z19" i="15"/>
  <c r="N19" i="15" s="1"/>
  <c r="J5" i="15"/>
  <c r="BD5" i="15" s="1"/>
  <c r="AX6" i="15"/>
  <c r="AY6" i="15" s="1"/>
  <c r="AX12" i="15"/>
  <c r="AY12" i="15" s="1"/>
  <c r="E8" i="15"/>
  <c r="E5" i="15"/>
  <c r="G2" i="15"/>
  <c r="E7" i="15" s="1"/>
  <c r="E6" i="15"/>
  <c r="G17" i="15"/>
  <c r="G16" i="15" s="1"/>
  <c r="G15" i="15" s="1"/>
  <c r="P17" i="15"/>
  <c r="BA15" i="15"/>
  <c r="AX5" i="15"/>
  <c r="AY5" i="15" s="1"/>
  <c r="P19" i="15"/>
  <c r="P18" i="15"/>
  <c r="P20" i="15"/>
  <c r="P16" i="15"/>
  <c r="AN6" i="15"/>
  <c r="AX8" i="15"/>
  <c r="AY8" i="15" s="1"/>
  <c r="AX11" i="15"/>
  <c r="AY11" i="15" s="1"/>
  <c r="Q20" i="15"/>
  <c r="AK6" i="15"/>
  <c r="AK7" i="15"/>
  <c r="AK8" i="15"/>
  <c r="AK9" i="15"/>
  <c r="AK10" i="15"/>
  <c r="AK11" i="15"/>
  <c r="Q16" i="15"/>
  <c r="Q18" i="15"/>
  <c r="Q19" i="15"/>
  <c r="E28" i="15"/>
  <c r="Z15" i="15"/>
  <c r="AA15" i="15" s="1"/>
  <c r="Q17" i="15"/>
  <c r="Z20" i="15"/>
  <c r="AA20" i="15" s="1"/>
  <c r="E32" i="15"/>
  <c r="AX7" i="15"/>
  <c r="AY7" i="15" s="1"/>
  <c r="AX10" i="15"/>
  <c r="AY10" i="15" s="1"/>
  <c r="Q15" i="15"/>
  <c r="F32" i="15"/>
  <c r="AX9" i="15"/>
  <c r="AY9" i="15" s="1"/>
  <c r="AU12" i="15"/>
  <c r="AV12" i="15" s="1"/>
  <c r="Z16" i="15"/>
  <c r="Z17" i="15"/>
  <c r="Z18" i="15"/>
  <c r="P32" i="15"/>
  <c r="BC5" i="15" l="1"/>
  <c r="BE5" i="15"/>
  <c r="AI5" i="15" s="1"/>
  <c r="J6" i="15"/>
  <c r="E11" i="15"/>
  <c r="E10" i="15"/>
  <c r="BC6" i="15"/>
  <c r="J7" i="15"/>
  <c r="K7" i="15" s="1"/>
  <c r="AA19" i="15"/>
  <c r="AF19" i="15" s="1"/>
  <c r="S19" i="15" s="1"/>
  <c r="E9" i="15"/>
  <c r="K5" i="15"/>
  <c r="AL5" i="15"/>
  <c r="AN5" i="15" s="1"/>
  <c r="AK5" i="15"/>
  <c r="AG10" i="15"/>
  <c r="AF10" i="15"/>
  <c r="AE10" i="15"/>
  <c r="AH10" i="15"/>
  <c r="AG8" i="15"/>
  <c r="AF8" i="15"/>
  <c r="AE8" i="15"/>
  <c r="AH8" i="15"/>
  <c r="N15" i="15"/>
  <c r="AG9" i="15"/>
  <c r="AF9" i="15"/>
  <c r="AE9" i="15"/>
  <c r="AH9" i="15"/>
  <c r="F28" i="15"/>
  <c r="AG7" i="15"/>
  <c r="AF7" i="15"/>
  <c r="AE7" i="15"/>
  <c r="AH7" i="15"/>
  <c r="N16" i="15"/>
  <c r="AA16" i="15"/>
  <c r="O20" i="15"/>
  <c r="AF20" i="15"/>
  <c r="S20" i="15" s="1"/>
  <c r="N20" i="15"/>
  <c r="O15" i="15"/>
  <c r="AF15" i="15"/>
  <c r="S15" i="15" s="1"/>
  <c r="N18" i="15"/>
  <c r="AA18" i="15"/>
  <c r="AH6" i="15"/>
  <c r="AG6" i="15"/>
  <c r="AF6" i="15"/>
  <c r="AE6" i="15"/>
  <c r="AG11" i="15"/>
  <c r="AH11" i="15"/>
  <c r="AF11" i="15"/>
  <c r="AE11" i="15"/>
  <c r="AA17" i="15"/>
  <c r="N17" i="15"/>
  <c r="O19" i="15" l="1"/>
  <c r="AG19" i="15" s="1"/>
  <c r="AH19" i="15" s="1"/>
  <c r="T19" i="15"/>
  <c r="BD7" i="15"/>
  <c r="BE7" i="15" s="1"/>
  <c r="BD6" i="15"/>
  <c r="BE6" i="15" s="1"/>
  <c r="K6" i="15"/>
  <c r="AU6" i="15"/>
  <c r="AV6" i="15" s="1"/>
  <c r="AU11" i="15"/>
  <c r="AV11" i="15" s="1"/>
  <c r="AU7" i="15"/>
  <c r="AV7" i="15" s="1"/>
  <c r="AU9" i="15"/>
  <c r="AV9" i="15" s="1"/>
  <c r="J8" i="15"/>
  <c r="AU10" i="15"/>
  <c r="AV10" i="15" s="1"/>
  <c r="AU8" i="15"/>
  <c r="AV8" i="15" s="1"/>
  <c r="AG15" i="15"/>
  <c r="AH15" i="15" s="1"/>
  <c r="AG20" i="15"/>
  <c r="AH20" i="15" s="1"/>
  <c r="G28" i="15"/>
  <c r="O16" i="15"/>
  <c r="AG16" i="15" s="1"/>
  <c r="AH16" i="15" s="1"/>
  <c r="AF16" i="15"/>
  <c r="S16" i="15" s="1"/>
  <c r="T16" i="15"/>
  <c r="BD8" i="15"/>
  <c r="BE8" i="15" s="1"/>
  <c r="K8" i="15"/>
  <c r="J9" i="15"/>
  <c r="AH5" i="15"/>
  <c r="AG5" i="15"/>
  <c r="AF5" i="15"/>
  <c r="P33" i="15" s="1" a="1"/>
  <c r="AE5" i="15"/>
  <c r="AF17" i="15"/>
  <c r="S17" i="15" s="1"/>
  <c r="O17" i="15"/>
  <c r="AG17" i="15" s="1"/>
  <c r="AH17" i="15" s="1"/>
  <c r="AF18" i="15"/>
  <c r="S18" i="15" s="1"/>
  <c r="O18" i="15"/>
  <c r="AG18" i="15" s="1"/>
  <c r="AH18" i="15" s="1"/>
  <c r="T18" i="15"/>
  <c r="AU5" i="15" l="1"/>
  <c r="AV5" i="15" s="1"/>
  <c r="P33" i="15"/>
  <c r="K27" i="15" s="1"/>
  <c r="BD9" i="15"/>
  <c r="BE9" i="15" s="1"/>
  <c r="K9" i="15"/>
  <c r="J10" i="15"/>
  <c r="AB23" i="15"/>
  <c r="G27" i="15" l="1"/>
  <c r="N36" i="15"/>
  <c r="P37" i="15"/>
  <c r="BD10" i="15"/>
  <c r="BE10" i="15" s="1"/>
  <c r="K10" i="15"/>
  <c r="J11" i="15"/>
  <c r="L27" i="15"/>
  <c r="P30" i="15"/>
  <c r="N28" i="15"/>
  <c r="P39" i="15" s="1"/>
  <c r="M27" i="15"/>
  <c r="E27" i="15"/>
  <c r="F27" i="15"/>
  <c r="P34" i="15" l="1"/>
  <c r="P35" i="15" s="1"/>
  <c r="P44" i="15"/>
  <c r="P38" i="15"/>
  <c r="P40" i="15"/>
  <c r="BD11" i="15"/>
  <c r="BE11" i="15" s="1"/>
  <c r="K11" i="15"/>
  <c r="P43" i="15" l="1"/>
</calcChain>
</file>

<file path=xl/comments1.xml><?xml version="1.0" encoding="utf-8"?>
<comments xmlns="http://schemas.openxmlformats.org/spreadsheetml/2006/main">
  <authors>
    <author>mngauthier</author>
  </authors>
  <commentList>
    <comment ref="AO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Calculé pour que à l'émergence de F4, la largeur max de F4 correspondent aux observations. NB : ça ne va peut-être pas fonctionné pour les SSLW et LSSW</t>
        </r>
      </text>
    </commen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<sst xmlns="http://schemas.openxmlformats.org/spreadsheetml/2006/main" count="1010" uniqueCount="227">
  <si>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</si>
  <si>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</si>
  <si>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</si>
  <si>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</si>
  <si>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</si>
  <si>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</si>
  <si>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</si>
  <si>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</si>
  <si>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</si>
  <si>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</si>
  <si>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</si>
  <si>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</si>
  <si>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</si>
  <si>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</si>
  <si>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</si>
  <si>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</si>
  <si>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</si>
  <si>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</si>
  <si>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</si>
  <si>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</si>
  <si>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</si>
  <si>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</si>
  <si>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</si>
  <si>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</si>
  <si>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</si>
  <si>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</si>
  <si>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</si>
  <si>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</si>
  <si>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</si>
  <si>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</si>
  <si>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</si>
  <si>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</si>
  <si>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</si>
  <si>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</si>
  <si>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</si>
  <si>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</si>
  <si>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</si>
  <si>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</si>
  <si>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</si>
  <si>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</si>
  <si>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</si>
  <si>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</si>
  <si>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</si>
  <si>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</si>
  <si>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</si>
  <si>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</si>
  <si>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</si>
  <si>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</si>
  <si>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</si>
  <si>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</si>
  <si>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</si>
  <si>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</si>
  <si>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</si>
  <si>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</si>
  <si>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</si>
  <si>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</si>
  <si>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</si>
  <si>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</si>
  <si>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</si>
  <si>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</si>
  <si>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</si>
  <si>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</si>
  <si>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</si>
  <si>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</si>
  <si>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</si>
  <si>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</si>
  <si>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</si>
  <si>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</si>
  <si>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</si>
  <si>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</si>
  <si>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</si>
  <si>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</si>
  <si>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</si>
  <si>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</si>
  <si>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</si>
  <si>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</si>
  <si>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</si>
  <si>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</si>
  <si>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</si>
  <si>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</si>
  <si>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</si>
  <si>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</si>
  <si>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</si>
  <si>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</si>
  <si>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</si>
  <si>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</si>
  <si>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</si>
  <si>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</si>
  <si>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</si>
  <si>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</si>
  <si>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</si>
  <si>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</si>
  <si>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</si>
  <si>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</si>
  <si>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</si>
  <si>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</si>
  <si>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</si>
  <si>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</si>
  <si>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</si>
  <si>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</si>
  <si>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</si>
  <si>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</si>
  <si>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</si>
  <si>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</si>
  <si>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</si>
  <si>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</si>
  <si>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</si>
  <si>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</si>
  <si>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</si>
  <si>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</si>
  <si>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</si>
  <si>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</si>
  <si>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</si>
  <si>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</si>
  <si>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</si>
  <si>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</si>
  <si>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</si>
  <si>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</si>
  <si>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</si>
  <si>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</si>
  <si>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</si>
  <si>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</si>
  <si>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</si>
  <si>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</si>
  <si>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</si>
  <si>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</si>
  <si>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</si>
  <si>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</si>
  <si>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</si>
  <si>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</si>
  <si>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</si>
  <si>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</si>
  <si>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%Fructans</t>
  </si>
  <si>
    <t>fructans</t>
  </si>
  <si>
    <t>Wmax_init</t>
  </si>
  <si>
    <t>RER_Wmax_int</t>
  </si>
  <si>
    <t>mean_conc_sucrose</t>
  </si>
  <si>
    <t>is_over</t>
  </si>
  <si>
    <t>leaf_is_remobilizing</t>
  </si>
  <si>
    <t>internode_is_remobilizing</t>
  </si>
  <si>
    <t>leaf_Lmax_em</t>
  </si>
  <si>
    <t>internode_Lmax_lig</t>
  </si>
  <si>
    <t>Wmax</t>
  </si>
  <si>
    <t>Date</t>
  </si>
  <si>
    <t>Stade</t>
  </si>
  <si>
    <t>Trait</t>
  </si>
  <si>
    <t>ID_plante</t>
  </si>
  <si>
    <t>L1</t>
  </si>
  <si>
    <t>G1</t>
  </si>
  <si>
    <t>T1</t>
  </si>
  <si>
    <t>L2</t>
  </si>
  <si>
    <t>G2</t>
  </si>
  <si>
    <t>L3</t>
  </si>
  <si>
    <t>G3</t>
  </si>
  <si>
    <t>G4</t>
  </si>
  <si>
    <t>F4</t>
  </si>
  <si>
    <t>F5</t>
  </si>
  <si>
    <t>F6</t>
  </si>
  <si>
    <t>F7</t>
  </si>
  <si>
    <t>F8</t>
  </si>
  <si>
    <t>F9</t>
  </si>
  <si>
    <t>F10</t>
  </si>
  <si>
    <t>F4 pointante</t>
  </si>
  <si>
    <t>Plante exclue ?</t>
  </si>
  <si>
    <t>Si exclue, pourquoi ?</t>
  </si>
  <si>
    <t>Moyenne</t>
  </si>
  <si>
    <t>Mediane</t>
  </si>
  <si>
    <t>SD</t>
  </si>
  <si>
    <t>Manip</t>
  </si>
  <si>
    <t>F3</t>
  </si>
  <si>
    <t>Nb feuilles</t>
  </si>
  <si>
    <t>Axe</t>
  </si>
  <si>
    <t>Num_Phytomere</t>
  </si>
  <si>
    <t>Organe</t>
  </si>
  <si>
    <t>Area</t>
  </si>
  <si>
    <t>width</t>
  </si>
  <si>
    <t>Height</t>
  </si>
  <si>
    <t>widthMesuree</t>
  </si>
  <si>
    <t>L</t>
  </si>
  <si>
    <t>EN</t>
  </si>
  <si>
    <t>G</t>
  </si>
  <si>
    <t>SSLW ou LSSW</t>
  </si>
  <si>
    <t>Data sélectionnées dans le script Scans_Largeur.R</t>
  </si>
  <si>
    <t>FPhytomer</t>
  </si>
  <si>
    <t>Density</t>
  </si>
  <si>
    <t>Shade</t>
  </si>
  <si>
    <t>Couleurs3</t>
  </si>
  <si>
    <t>mn</t>
  </si>
  <si>
    <t>sd</t>
  </si>
  <si>
    <t>N</t>
  </si>
  <si>
    <t>cv</t>
  </si>
  <si>
    <t>High_Density</t>
  </si>
  <si>
    <t xml:space="preserve">Largeur </t>
  </si>
  <si>
    <t>Organ</t>
  </si>
  <si>
    <t>Phytomer</t>
  </si>
  <si>
    <t>F</t>
  </si>
  <si>
    <t>Ratio_G_L</t>
  </si>
  <si>
    <t>Table générée par le script Scan_F5.R</t>
  </si>
  <si>
    <t>Longueur</t>
  </si>
  <si>
    <t>Données générées par le script Echantillons_mstruct_Nstruct.R</t>
  </si>
  <si>
    <t>NaN</t>
  </si>
  <si>
    <t>SSLW (g m-2)</t>
  </si>
  <si>
    <t>Organes_type</t>
  </si>
  <si>
    <t>Organes_type_group</t>
  </si>
  <si>
    <t>Gaine</t>
  </si>
  <si>
    <t>LSSW (g m-1)</t>
  </si>
  <si>
    <t>int_conc_sucrose</t>
  </si>
  <si>
    <t>t depuis init last F</t>
  </si>
  <si>
    <t>senesced_mstruct</t>
  </si>
  <si>
    <t>max_mstruct</t>
  </si>
  <si>
    <t>grande</t>
  </si>
  <si>
    <t>F1</t>
  </si>
  <si>
    <t>F2</t>
  </si>
  <si>
    <t>Phytomère</t>
  </si>
  <si>
    <t>ID_3</t>
  </si>
  <si>
    <t>ID_15</t>
  </si>
  <si>
    <t>ID_21</t>
  </si>
  <si>
    <t>ID_24</t>
  </si>
  <si>
    <t>ID_37</t>
  </si>
  <si>
    <t>ID_52</t>
  </si>
  <si>
    <t>ID_54</t>
  </si>
  <si>
    <t>ID_64</t>
  </si>
  <si>
    <t>ID_16</t>
  </si>
  <si>
    <t>ID_55</t>
  </si>
  <si>
    <t>F5 grande</t>
  </si>
  <si>
    <t>Control</t>
  </si>
  <si>
    <t>Control 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</si>
</sst>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E+00"/>
    <numFmt numFmtId="165" formatCode="0.000"/>
    <numFmt numFmtId="166" formatCode="0.0"/>
    <numFmt numFmtId="167" formatCode="0.0000"/>
    <numFmt numFmtId="168" formatCode="0.00000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10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2" fillId="0" borderId="0" xfId="0" applyFont="1"/>
    <xf numFmtId="11" fontId="12" fillId="0" borderId="0" xfId="0" applyNumberFormat="1" applyFont="1"/>
    <xf numFmtId="0" fontId="13" fillId="0" borderId="0" xfId="0" applyFont="1"/>
    <xf numFmtId="11" fontId="13" fillId="0" borderId="0" xfId="0" applyNumberFormat="1" applyFont="1"/>
    <xf numFmtId="9" fontId="12" fillId="0" borderId="0" xfId="1" applyFont="1"/>
    <xf numFmtId="0" fontId="12" fillId="0" borderId="2" xfId="0" applyFont="1" applyBorder="1"/>
    <xf numFmtId="0" fontId="1" fillId="0" borderId="0" xfId="0" applyFont="1"/>
    <xf numFmtId="0" fontId="15" fillId="0" borderId="1" xfId="0" applyFont="1" applyBorder="1"/>
    <xf numFmtId="0" fontId="16" fillId="0" borderId="0" xfId="0" applyFont="1"/>
    <xf numFmtId="0" fontId="12" fillId="0" borderId="0" xfId="0" applyFont="1" applyBorder="1"/>
    <xf numFmtId="0" fontId="13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3" fillId="0" borderId="0" xfId="1" applyFont="1"/>
    <xf numFmtId="1" fontId="13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4" fillId="0" borderId="15" xfId="0" applyFont="1" applyBorder="1"/>
    <xf numFmtId="0" fontId="0" fillId="0" borderId="16" xfId="0" applyBorder="1"/>
    <xf numFmtId="0" fontId="12" fillId="0" borderId="17" xfId="0" applyFont="1" applyBorder="1"/>
    <xf numFmtId="0" fontId="14" fillId="0" borderId="18" xfId="0" applyFont="1" applyBorder="1"/>
    <xf numFmtId="0" fontId="0" fillId="0" borderId="19" xfId="0" applyBorder="1"/>
    <xf numFmtId="0" fontId="19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2" fillId="0" borderId="0" xfId="0" applyNumberFormat="1" applyFont="1"/>
    <xf numFmtId="166" fontId="12" fillId="0" borderId="4" xfId="0" applyNumberFormat="1" applyFont="1" applyBorder="1"/>
    <xf numFmtId="2" fontId="12" fillId="0" borderId="0" xfId="0" applyNumberFormat="1" applyFont="1"/>
    <xf numFmtId="0" fontId="13" fillId="0" borderId="2" xfId="0" applyFont="1" applyBorder="1"/>
    <xf numFmtId="165" fontId="13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2" fillId="0" borderId="7" xfId="0" applyFont="1" applyBorder="1"/>
    <xf numFmtId="0" fontId="0" fillId="0" borderId="20" xfId="0" applyBorder="1"/>
    <xf numFmtId="0" fontId="1" fillId="0" borderId="8" xfId="0" applyFont="1" applyBorder="1"/>
    <xf numFmtId="1" fontId="13" fillId="0" borderId="0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3" fillId="0" borderId="3" xfId="0" applyNumberFormat="1" applyFont="1" applyBorder="1"/>
    <xf numFmtId="1" fontId="13" fillId="0" borderId="4" xfId="0" applyNumberFormat="1" applyFont="1" applyBorder="1"/>
    <xf numFmtId="0" fontId="0" fillId="0" borderId="6" xfId="0" applyBorder="1"/>
    <xf numFmtId="0" fontId="1" fillId="0" borderId="13" xfId="0" applyFont="1" applyFill="1" applyBorder="1"/>
    <xf numFmtId="0" fontId="4" fillId="0" borderId="0" xfId="0" applyFont="1" applyAlignment="1">
      <alignment horizontal="center" vertical="center"/>
    </xf>
    <xf numFmtId="16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0" fillId="0" borderId="1" xfId="0" applyBorder="1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Border="1"/>
    <xf numFmtId="0" fontId="2" fillId="0" borderId="6" xfId="0" applyFont="1" applyBorder="1"/>
    <xf numFmtId="0" fontId="16" fillId="3" borderId="0" xfId="0" applyFont="1" applyFill="1"/>
    <xf numFmtId="0" fontId="15" fillId="3" borderId="21" xfId="0" applyFont="1" applyFill="1" applyBorder="1"/>
    <xf numFmtId="167" fontId="0" fillId="0" borderId="0" xfId="0" applyNumberFormat="1" applyFill="1" applyBorder="1"/>
    <xf numFmtId="168" fontId="16" fillId="3" borderId="0" xfId="0" applyNumberFormat="1" applyFont="1" applyFill="1"/>
    <xf numFmtId="0" fontId="0" fillId="3" borderId="0" xfId="0" applyFill="1"/>
    <xf numFmtId="0" fontId="2" fillId="4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2" fontId="1" fillId="3" borderId="3" xfId="0" applyNumberFormat="1" applyFont="1" applyFill="1" applyBorder="1"/>
    <xf numFmtId="0" fontId="21" fillId="0" borderId="2" xfId="0" applyFont="1" applyBorder="1"/>
    <xf numFmtId="11" fontId="22" fillId="0" borderId="3" xfId="0" applyNumberFormat="1" applyFont="1" applyBorder="1"/>
    <xf numFmtId="1" fontId="22" fillId="0" borderId="3" xfId="0" applyNumberFormat="1" applyFont="1" applyBorder="1"/>
    <xf numFmtId="11" fontId="22" fillId="0" borderId="4" xfId="0" applyNumberFormat="1" applyFont="1" applyBorder="1"/>
    <xf numFmtId="1" fontId="22" fillId="0" borderId="4" xfId="0" applyNumberFormat="1" applyFont="1" applyBorder="1"/>
    <xf numFmtId="0" fontId="22" fillId="0" borderId="3" xfId="0" applyFont="1" applyBorder="1"/>
    <xf numFmtId="0" fontId="22" fillId="0" borderId="4" xfId="0" applyFont="1" applyBorder="1"/>
    <xf numFmtId="11" fontId="0" fillId="3" borderId="0" xfId="0" applyNumberFormat="1" applyFill="1"/>
    <xf numFmtId="2" fontId="0" fillId="3" borderId="0" xfId="0" applyNumberFormat="1" applyFill="1"/>
    <xf numFmtId="14" fontId="16" fillId="0" borderId="0" xfId="0" applyNumberFormat="1" applyFont="1"/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</cellXfs>
  <cellStyles count="2">
    <cellStyle name="Normal" xfId="0" builtinId="0"/>
    <cellStyle name="Pourcentage" xfId="1" builtinId="5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Scans_F4point!$F$19</c:f>
              <c:strCache>
                <c:ptCount val="1"/>
                <c:pt idx="0">
                  <c:v>ID_3</c:v>
                </c:pt>
              </c:strCache>
            </c:strRef>
          </c:tx>
          <c:spPr>
            <a:ln w="19050">
              <a:noFill/>
            </a:ln>
          </c:spPr>
          <c:xVal>
            <c:numRef>
              <c:f>Scans_F4point!$E$20:$E$29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Scans_F4point!$F$20:$F$29</c:f>
              <c:numCache>
                <c:formatCode>General</c:formatCode>
                <c:ptCount val="10"/>
                <c:pt idx="0">
                  <c:v>6.5</c:v>
                </c:pt>
                <c:pt idx="1">
                  <c:v>5.4</c:v>
                </c:pt>
                <c:pt idx="2">
                  <c:v>4.25</c:v>
                </c:pt>
                <c:pt idx="3">
                  <c:v>1.4</c:v>
                </c:pt>
                <c:pt idx="4">
                  <c:v>0.215</c:v>
                </c:pt>
                <c:pt idx="5">
                  <c:v>4.7500000000000001E-2</c:v>
                </c:pt>
                <c:pt idx="6">
                  <c:v>1.7000000000000001E-2</c:v>
                </c:pt>
                <c:pt idx="7">
                  <c:v>1.2E-2</c:v>
                </c:pt>
                <c:pt idx="8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55F-4C58-A43C-C2812D6EEEB5}"/>
            </c:ext>
          </c:extLst>
        </c:ser>
        <c:ser>
          <c:idx val="5"/>
          <c:order val="1"/>
          <c:tx>
            <c:strRef>
              <c:f>Scans_F4point!$G$19</c:f>
              <c:strCache>
                <c:ptCount val="1"/>
                <c:pt idx="0">
                  <c:v>ID_15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Scans_F4point!$E$20:$E$29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Scans_F4point!$G$20:$G$29</c:f>
              <c:numCache>
                <c:formatCode>General</c:formatCode>
                <c:ptCount val="10"/>
                <c:pt idx="0">
                  <c:v>7.1000000000000005</c:v>
                </c:pt>
                <c:pt idx="1">
                  <c:v>5.9</c:v>
                </c:pt>
                <c:pt idx="2">
                  <c:v>4.7</c:v>
                </c:pt>
                <c:pt idx="3">
                  <c:v>1.4</c:v>
                </c:pt>
                <c:pt idx="4">
                  <c:v>0.11</c:v>
                </c:pt>
                <c:pt idx="5">
                  <c:v>4.2500000000000003E-2</c:v>
                </c:pt>
                <c:pt idx="6">
                  <c:v>2.5000000000000001E-2</c:v>
                </c:pt>
                <c:pt idx="7">
                  <c:v>0.01</c:v>
                </c:pt>
                <c:pt idx="8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55F-4C58-A43C-C2812D6EEEB5}"/>
            </c:ext>
          </c:extLst>
        </c:ser>
        <c:ser>
          <c:idx val="7"/>
          <c:order val="2"/>
          <c:tx>
            <c:strRef>
              <c:f>Scans_F4point!$H$19</c:f>
              <c:strCache>
                <c:ptCount val="1"/>
                <c:pt idx="0">
                  <c:v>ID_21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Scans_F4point!$E$20:$E$29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Scans_F4point!$H$20:$H$29</c:f>
              <c:numCache>
                <c:formatCode>General</c:formatCode>
                <c:ptCount val="10"/>
                <c:pt idx="0">
                  <c:v>6.6999999999999993</c:v>
                </c:pt>
                <c:pt idx="1">
                  <c:v>6.4</c:v>
                </c:pt>
                <c:pt idx="2">
                  <c:v>5.4</c:v>
                </c:pt>
                <c:pt idx="3">
                  <c:v>1.5</c:v>
                </c:pt>
                <c:pt idx="4">
                  <c:v>0.11874999999999999</c:v>
                </c:pt>
                <c:pt idx="5">
                  <c:v>4.4999999999999998E-2</c:v>
                </c:pt>
                <c:pt idx="6">
                  <c:v>1.4999999999999999E-2</c:v>
                </c:pt>
                <c:pt idx="7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55F-4C58-A43C-C2812D6EEEB5}"/>
            </c:ext>
          </c:extLst>
        </c:ser>
        <c:ser>
          <c:idx val="6"/>
          <c:order val="3"/>
          <c:tx>
            <c:strRef>
              <c:f>Scans_F4point!$I$19</c:f>
              <c:strCache>
                <c:ptCount val="1"/>
                <c:pt idx="0">
                  <c:v>ID_24</c:v>
                </c:pt>
              </c:strCache>
            </c:strRef>
          </c:tx>
          <c:spPr>
            <a:ln w="19050">
              <a:noFill/>
            </a:ln>
          </c:spPr>
          <c:xVal>
            <c:numRef>
              <c:f>Scans_F4point!$E$20:$E$29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Scans_F4point!$I$20:$I$29</c:f>
              <c:numCache>
                <c:formatCode>General</c:formatCode>
                <c:ptCount val="10"/>
                <c:pt idx="0">
                  <c:v>8.1</c:v>
                </c:pt>
                <c:pt idx="1">
                  <c:v>7.7</c:v>
                </c:pt>
                <c:pt idx="2">
                  <c:v>6.08</c:v>
                </c:pt>
                <c:pt idx="3">
                  <c:v>1.2749999999999999</c:v>
                </c:pt>
                <c:pt idx="4">
                  <c:v>9.6875000000000003E-2</c:v>
                </c:pt>
                <c:pt idx="5">
                  <c:v>4.0625000000000001E-2</c:v>
                </c:pt>
                <c:pt idx="6">
                  <c:v>2.3E-2</c:v>
                </c:pt>
                <c:pt idx="7">
                  <c:v>7.0000000000000001E-3</c:v>
                </c:pt>
                <c:pt idx="8">
                  <c:v>7.0000000000000001E-3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55F-4C58-A43C-C2812D6EEEB5}"/>
            </c:ext>
          </c:extLst>
        </c:ser>
        <c:ser>
          <c:idx val="0"/>
          <c:order val="4"/>
          <c:tx>
            <c:strRef>
              <c:f>Scans_F4point!$J$19</c:f>
              <c:strCache>
                <c:ptCount val="1"/>
                <c:pt idx="0">
                  <c:v>ID_37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Scans_F4point!$E$20:$E$29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Scans_F4point!$J$20:$J$29</c:f>
              <c:numCache>
                <c:formatCode>General</c:formatCode>
                <c:ptCount val="10"/>
                <c:pt idx="0">
                  <c:v>7.4</c:v>
                </c:pt>
                <c:pt idx="1">
                  <c:v>7.5</c:v>
                </c:pt>
                <c:pt idx="2">
                  <c:v>5.75</c:v>
                </c:pt>
                <c:pt idx="3">
                  <c:v>1.95</c:v>
                </c:pt>
                <c:pt idx="4">
                  <c:v>0.109375</c:v>
                </c:pt>
                <c:pt idx="5">
                  <c:v>4.0625000000000001E-2</c:v>
                </c:pt>
                <c:pt idx="6">
                  <c:v>1.7000000000000001E-2</c:v>
                </c:pt>
                <c:pt idx="7">
                  <c:v>1.2E-2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55F-4C58-A43C-C2812D6EEEB5}"/>
            </c:ext>
          </c:extLst>
        </c:ser>
        <c:ser>
          <c:idx val="1"/>
          <c:order val="5"/>
          <c:tx>
            <c:strRef>
              <c:f>Scans_F4point!$K$19</c:f>
              <c:strCache>
                <c:ptCount val="1"/>
                <c:pt idx="0">
                  <c:v>ID_52</c:v>
                </c:pt>
              </c:strCache>
            </c:strRef>
          </c:tx>
          <c:spPr>
            <a:ln w="19050">
              <a:noFill/>
            </a:ln>
          </c:spPr>
          <c:xVal>
            <c:numRef>
              <c:f>Scans_F4point!$E$20:$E$29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Scans_F4point!$K$20:$K$29</c:f>
              <c:numCache>
                <c:formatCode>General</c:formatCode>
                <c:ptCount val="10"/>
                <c:pt idx="0">
                  <c:v>7.3000000000000007</c:v>
                </c:pt>
                <c:pt idx="1">
                  <c:v>7</c:v>
                </c:pt>
                <c:pt idx="2">
                  <c:v>5.52</c:v>
                </c:pt>
                <c:pt idx="3">
                  <c:v>1.2</c:v>
                </c:pt>
                <c:pt idx="4">
                  <c:v>7.7499999999999999E-2</c:v>
                </c:pt>
                <c:pt idx="5">
                  <c:v>3.2500000000000001E-2</c:v>
                </c:pt>
                <c:pt idx="6">
                  <c:v>1.2999999999999999E-2</c:v>
                </c:pt>
                <c:pt idx="7">
                  <c:v>1.2999999999999999E-2</c:v>
                </c:pt>
                <c:pt idx="8">
                  <c:v>1.2E-2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55F-4C58-A43C-C2812D6EEEB5}"/>
            </c:ext>
          </c:extLst>
        </c:ser>
        <c:ser>
          <c:idx val="2"/>
          <c:order val="6"/>
          <c:tx>
            <c:strRef>
              <c:f>Scans_F4point!$L$19</c:f>
              <c:strCache>
                <c:ptCount val="1"/>
                <c:pt idx="0">
                  <c:v>ID_54</c:v>
                </c:pt>
              </c:strCache>
            </c:strRef>
          </c:tx>
          <c:spPr>
            <a:ln w="19050">
              <a:noFill/>
            </a:ln>
          </c:spPr>
          <c:xVal>
            <c:numRef>
              <c:f>Scans_F4point!$E$20:$E$29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Scans_F4point!$L$20:$L$29</c:f>
              <c:numCache>
                <c:formatCode>General</c:formatCode>
                <c:ptCount val="10"/>
                <c:pt idx="0">
                  <c:v>7.1</c:v>
                </c:pt>
                <c:pt idx="1">
                  <c:v>6.5</c:v>
                </c:pt>
                <c:pt idx="2">
                  <c:v>5.05</c:v>
                </c:pt>
                <c:pt idx="3">
                  <c:v>1</c:v>
                </c:pt>
                <c:pt idx="4">
                  <c:v>0.08</c:v>
                </c:pt>
                <c:pt idx="5">
                  <c:v>3.5000000000000003E-2</c:v>
                </c:pt>
                <c:pt idx="6">
                  <c:v>1.7000000000000001E-2</c:v>
                </c:pt>
                <c:pt idx="7">
                  <c:v>1.2999999999999999E-2</c:v>
                </c:pt>
                <c:pt idx="8">
                  <c:v>7.0000000000000001E-3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55F-4C58-A43C-C2812D6EEEB5}"/>
            </c:ext>
          </c:extLst>
        </c:ser>
        <c:ser>
          <c:idx val="3"/>
          <c:order val="7"/>
          <c:tx>
            <c:strRef>
              <c:f>Scans_F4point!$M$19</c:f>
              <c:strCache>
                <c:ptCount val="1"/>
                <c:pt idx="0">
                  <c:v>ID_64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Scans_F4point!$E$20:$E$29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Scans_F4point!$M$20:$M$29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5.3999999999999995</c:v>
                </c:pt>
                <c:pt idx="3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55F-4C58-A43C-C2812D6EEEB5}"/>
            </c:ext>
          </c:extLst>
        </c:ser>
        <c:ser>
          <c:idx val="8"/>
          <c:order val="8"/>
          <c:tx>
            <c:strRef>
              <c:f>Scans_F4point!$N$19</c:f>
              <c:strCache>
                <c:ptCount val="1"/>
                <c:pt idx="0">
                  <c:v>ID_16</c:v>
                </c:pt>
              </c:strCache>
            </c:strRef>
          </c:tx>
          <c:spPr>
            <a:ln w="19050">
              <a:noFill/>
            </a:ln>
          </c:spPr>
          <c:xVal>
            <c:numRef>
              <c:f>Scans_F4point!$E$20:$E$29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Scans_F4point!$N$20:$N$29</c:f>
              <c:numCache>
                <c:formatCode>General</c:formatCode>
                <c:ptCount val="10"/>
                <c:pt idx="0">
                  <c:v>8.4</c:v>
                </c:pt>
                <c:pt idx="1">
                  <c:v>8</c:v>
                </c:pt>
                <c:pt idx="2">
                  <c:v>6.25</c:v>
                </c:pt>
                <c:pt idx="3">
                  <c:v>1</c:v>
                </c:pt>
                <c:pt idx="4">
                  <c:v>9.6875000000000003E-2</c:v>
                </c:pt>
                <c:pt idx="5">
                  <c:v>3.7499999999999999E-2</c:v>
                </c:pt>
                <c:pt idx="6">
                  <c:v>1.4999999999999999E-2</c:v>
                </c:pt>
                <c:pt idx="7">
                  <c:v>0.01</c:v>
                </c:pt>
                <c:pt idx="8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55F-4C58-A43C-C2812D6EEEB5}"/>
            </c:ext>
          </c:extLst>
        </c:ser>
        <c:ser>
          <c:idx val="9"/>
          <c:order val="9"/>
          <c:tx>
            <c:strRef>
              <c:f>Scans_F4point!$O$19</c:f>
              <c:strCache>
                <c:ptCount val="1"/>
                <c:pt idx="0">
                  <c:v>ID_55</c:v>
                </c:pt>
              </c:strCache>
            </c:strRef>
          </c:tx>
          <c:spPr>
            <a:ln w="19050">
              <a:noFill/>
            </a:ln>
          </c:spPr>
          <c:xVal>
            <c:numRef>
              <c:f>Scans_F4point!$E$20:$E$29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Scans_F4point!$O$20:$O$29</c:f>
              <c:numCache>
                <c:formatCode>General</c:formatCode>
                <c:ptCount val="10"/>
                <c:pt idx="0">
                  <c:v>8.2999999999999989</c:v>
                </c:pt>
                <c:pt idx="1">
                  <c:v>7.9499999999999993</c:v>
                </c:pt>
                <c:pt idx="2">
                  <c:v>6.45</c:v>
                </c:pt>
                <c:pt idx="3">
                  <c:v>1.9</c:v>
                </c:pt>
                <c:pt idx="4">
                  <c:v>0.11749999999999999</c:v>
                </c:pt>
                <c:pt idx="5">
                  <c:v>4.2500000000000003E-2</c:v>
                </c:pt>
                <c:pt idx="6">
                  <c:v>1.7000000000000001E-2</c:v>
                </c:pt>
                <c:pt idx="7">
                  <c:v>0.01</c:v>
                </c:pt>
                <c:pt idx="8">
                  <c:v>8.9999999999999993E-3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55F-4C58-A43C-C2812D6EE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424448"/>
        <c:axId val="953427360"/>
      </c:scatterChart>
      <c:valAx>
        <c:axId val="953424448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3427360"/>
        <c:crosses val="autoZero"/>
        <c:crossBetween val="midCat"/>
      </c:valAx>
      <c:valAx>
        <c:axId val="9534273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3424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390524</xdr:colOff>
      <xdr:row>20</xdr:row>
      <xdr:rowOff>171450</xdr:rowOff>
    </xdr:from>
    <xdr:to>
      <xdr:col>14</xdr:col>
      <xdr:colOff>619125</xdr:colOff>
      <xdr:row>41</xdr:row>
      <xdr:rowOff>38100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abSelected="1" topLeftCell="AQ1" workbookViewId="0">
      <selection activeCell="AX1" sqref="AX1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50" max="50" width="12" bestFit="1" customWidth="1"/>
    <col min="51" max="52" width="12" customWidth="1"/>
  </cols>
  <sheetData>
    <row r="1" spans="1:60" x14ac:dyDescent="0.25">
      <c r="A1" s="46" t="s">
        <v>95</v>
      </c>
      <c r="B1" s="47" t="s">
        <v>96</v>
      </c>
      <c r="C1" s="48"/>
      <c r="E1" s="52" t="s">
        <v>119</v>
      </c>
      <c r="F1" s="52" t="s">
        <v>170</v>
      </c>
      <c r="G1" s="52" t="s">
        <v>207</v>
      </c>
      <c r="W1" s="77" t="s">
        <v>134</v>
      </c>
      <c r="X1" s="78" t="s">
        <v>135</v>
      </c>
    </row>
    <row r="2" spans="1:60" s="27" customFormat="1" ht="15.75" thickBot="1" x14ac:dyDescent="0.3">
      <c r="A2" s="49" t="s">
        <v>95</v>
      </c>
      <c r="B2" s="50" t="s">
        <v>97</v>
      </c>
      <c r="C2" s="51"/>
      <c r="E2" s="53">
        <f xml:space="preserve"> 76.1/12*24*3600</f>
        <v>547920</v>
      </c>
      <c r="F2" s="53">
        <v>9</v>
      </c>
      <c r="G2" s="53">
        <f>E2/2</f>
        <v>273960</v>
      </c>
      <c r="L2" s="89" t="s">
        <v>168</v>
      </c>
      <c r="W2" s="79">
        <v>9.9999999999999995E-7</v>
      </c>
      <c r="X2" s="79">
        <v>9.9999999999999995E-7</v>
      </c>
    </row>
    <row r="4" spans="1:60" s="2" customFormat="1" ht="15" customHeight="1" x14ac:dyDescent="0.25">
      <c r="A4" s="107" t="s">
        <v>69</v>
      </c>
      <c r="B4" s="5" t="s">
        <v>0</v>
      </c>
      <c r="C4" s="5" t="s">
        <v>1</v>
      </c>
      <c r="D4" s="5" t="s">
        <v>2</v>
      </c>
      <c r="E4" s="5" t="s">
        <v>105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88</v>
      </c>
      <c r="O4" s="5" t="s">
        <v>89</v>
      </c>
      <c r="P4" s="5" t="s">
        <v>84</v>
      </c>
      <c r="Q4" s="5" t="s">
        <v>85</v>
      </c>
      <c r="R4" s="5" t="s">
        <v>86</v>
      </c>
      <c r="S4" s="5" t="s">
        <v>87</v>
      </c>
      <c r="T4" s="5" t="s">
        <v>11</v>
      </c>
      <c r="U4" s="5" t="s">
        <v>12</v>
      </c>
      <c r="V4" s="5" t="s">
        <v>13</v>
      </c>
      <c r="W4" s="5"/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93" t="s">
        <v>136</v>
      </c>
      <c r="AP4" s="5" t="s">
        <v>137</v>
      </c>
      <c r="AQ4" s="5" t="s">
        <v>138</v>
      </c>
      <c r="AR4" s="5" t="s">
        <v>139</v>
      </c>
      <c r="AS4" s="5" t="s">
        <v>140</v>
      </c>
      <c r="AT4" s="81" t="s">
        <v>141</v>
      </c>
      <c r="AU4" s="97" t="s">
        <v>76</v>
      </c>
      <c r="AV4" s="97" t="s">
        <v>106</v>
      </c>
      <c r="AW4" s="12" t="s">
        <v>90</v>
      </c>
      <c r="AX4" s="97" t="s">
        <v>22</v>
      </c>
      <c r="AY4" s="97" t="s">
        <v>24</v>
      </c>
      <c r="AZ4" s="12" t="s">
        <v>132</v>
      </c>
      <c r="BA4" s="76" t="s">
        <v>133</v>
      </c>
      <c r="BB4" s="6" t="s">
        <v>62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25">
      <c r="A5" s="107"/>
      <c r="B5">
        <v>1</v>
      </c>
      <c r="C5" t="s">
        <v>30</v>
      </c>
      <c r="D5">
        <v>3</v>
      </c>
      <c r="E5">
        <f t="shared" ref="E5:E10" si="0">($F$2-D5)*$E$2+$G$2</f>
        <v>3561480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1.4999999999999999E-2</v>
      </c>
      <c r="K5" s="36">
        <f>J5-M5</f>
        <v>1.4999999999999999E-2</v>
      </c>
      <c r="L5" s="91">
        <v>4.8000000000000001E-2</v>
      </c>
      <c r="M5" s="36">
        <v>0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 s="92">
        <v>6.1411764705882402E-2</v>
      </c>
      <c r="U5" s="92">
        <v>4.5117647058823505E-2</v>
      </c>
      <c r="V5" s="92">
        <f>T5-U5</f>
        <v>1.6294117647058896E-2</v>
      </c>
      <c r="W5" s="1"/>
      <c r="X5" s="92">
        <f>I20</f>
        <v>2.3999999999999998E-3</v>
      </c>
      <c r="Y5" s="92">
        <f>X20</f>
        <v>9.5</v>
      </c>
      <c r="Z5" s="105">
        <v>0.05</v>
      </c>
      <c r="AA5" t="s">
        <v>31</v>
      </c>
      <c r="AB5" t="s">
        <v>32</v>
      </c>
      <c r="AC5" s="24">
        <f>Z5</f>
        <v>0.05</v>
      </c>
      <c r="AD5" t="s">
        <v>33</v>
      </c>
      <c r="AE5" s="1">
        <f t="shared" ref="AE5:AE11" si="1">AK5*$AY$15</f>
        <v>2.7621137535629159</v>
      </c>
      <c r="AF5" s="1">
        <f t="shared" ref="AF5:AF11" si="2">AK5*$AX5</f>
        <v>0.38662707347985126</v>
      </c>
      <c r="AG5" s="24">
        <f t="shared" ref="AG5:AG11" si="3">AK5*$BA5</f>
        <v>2.7621137535629159</v>
      </c>
      <c r="AH5" s="26">
        <f t="shared" ref="AH5:AH11" si="4">AK5*$AY5</f>
        <v>3.8662707347985124</v>
      </c>
      <c r="AI5" s="1">
        <f>BE5</f>
        <v>6.2607911747426088E-4</v>
      </c>
      <c r="AJ5" s="1">
        <f>BH5</f>
        <v>0</v>
      </c>
      <c r="AK5" s="1">
        <f>AI5+AJ5</f>
        <v>6.2607911747426088E-4</v>
      </c>
      <c r="AL5" s="1">
        <f>AI5*0.005</f>
        <v>3.1303955873713044E-6</v>
      </c>
      <c r="AM5">
        <f>AJ5*0.005</f>
        <v>0</v>
      </c>
      <c r="AN5">
        <f>AL5+AM5</f>
        <v>3.1303955873713044E-6</v>
      </c>
      <c r="AO5" s="104">
        <v>1150</v>
      </c>
      <c r="AP5" s="1" t="s">
        <v>33</v>
      </c>
      <c r="AQ5" s="1" t="s">
        <v>33</v>
      </c>
      <c r="AR5" s="1" t="s">
        <v>33</v>
      </c>
      <c r="AS5" s="1">
        <f>T5</f>
        <v>6.1411764705882402E-2</v>
      </c>
      <c r="AT5" t="s">
        <v>32</v>
      </c>
      <c r="AU5" s="98">
        <f>AK5+AE5*$E$31+AF5*$F$31+AH5*$J$31</f>
        <v>1.1035535000946412E-3</v>
      </c>
      <c r="AV5" s="99">
        <f t="shared" ref="AV5:AV12" si="5">(1-AK5/AU5)*100</f>
        <v>43.266990008135707</v>
      </c>
      <c r="AW5" s="94">
        <v>5.3</v>
      </c>
      <c r="AX5" s="102">
        <f t="shared" ref="AX5:AX12" si="6">(($AW5/100)*(1+($AY$15+$BA5)*$E$31)-$AB$16)/(((1+1/$AA$23)*(14*10^(-6)))-(($J$31/$AA$23+$F$31)*$AW5/100))</f>
        <v>617.53708547186307</v>
      </c>
      <c r="AY5" s="102">
        <f t="shared" ref="AY5:AY12" si="7">$AX5/$AA$23</f>
        <v>6175.3708547186307</v>
      </c>
      <c r="AZ5" s="13">
        <v>10</v>
      </c>
      <c r="BA5" s="64">
        <f t="shared" ref="BA5:BA12" si="8">$AZ5/100/(1-$X$33)*$X$32*10^6/$X$30</f>
        <v>4411.7647058823532</v>
      </c>
      <c r="BB5" s="7">
        <v>851425</v>
      </c>
      <c r="BC5" s="8">
        <f>$T$27+$T$28*$T$30*(J5)^$T$29</f>
        <v>3.924840278600609E-4</v>
      </c>
      <c r="BD5" s="7">
        <f t="shared" ref="BD5:BD12" si="9">J5*Z5</f>
        <v>7.5000000000000002E-4</v>
      </c>
      <c r="BE5" s="8">
        <f>((BD5-BC5)/($T$31-BB5))*(F5-$T$31)+BD5</f>
        <v>6.2607911747426088E-4</v>
      </c>
      <c r="BF5" s="8">
        <f t="shared" ref="BF5:BF12" si="10">$T$27+$T$28*$T$30*(L5)^$T$29</f>
        <v>1.7393671065733239E-3</v>
      </c>
      <c r="BG5" s="7"/>
      <c r="BH5" s="7">
        <f t="shared" ref="BH5:BH12" si="11">$BF$20*$BE$22*$BD$24*(M5)^$BE$21</f>
        <v>0</v>
      </c>
    </row>
    <row r="6" spans="1:60" x14ac:dyDescent="0.25">
      <c r="A6" s="107"/>
      <c r="B6">
        <v>1</v>
      </c>
      <c r="C6" t="s">
        <v>30</v>
      </c>
      <c r="D6">
        <v>4</v>
      </c>
      <c r="E6">
        <f t="shared" si="0"/>
        <v>3013560</v>
      </c>
      <c r="F6">
        <v>757000</v>
      </c>
      <c r="G6">
        <v>0</v>
      </c>
      <c r="H6" t="s">
        <v>31</v>
      </c>
      <c r="I6" t="s">
        <v>31</v>
      </c>
      <c r="J6">
        <f t="shared" ref="J6:J11" si="12">J5-M6</f>
        <v>1.4999999999999999E-2</v>
      </c>
      <c r="K6" s="36">
        <f t="shared" ref="K6:K11" si="13">J6-M6</f>
        <v>1.4999999999999999E-2</v>
      </c>
      <c r="L6" s="91">
        <v>1.4E-2</v>
      </c>
      <c r="M6" s="36">
        <v>0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 s="92">
        <v>7.8035714285714292E-2</v>
      </c>
      <c r="U6" s="92">
        <v>5.9142857142857101E-2</v>
      </c>
      <c r="V6" s="92">
        <f>T6-U6</f>
        <v>1.889285714285719E-2</v>
      </c>
      <c r="W6" s="1"/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1"/>
        <v>1.5852001736197279</v>
      </c>
      <c r="AF6" s="1">
        <f t="shared" si="2"/>
        <v>0.29857840841062311</v>
      </c>
      <c r="AG6" s="24">
        <f t="shared" si="3"/>
        <v>0.79260008680986394</v>
      </c>
      <c r="AH6" s="26">
        <f t="shared" si="4"/>
        <v>2.9857840841062315</v>
      </c>
      <c r="AI6" s="1">
        <f t="shared" ref="AI6:AI11" si="14">BF6</f>
        <v>3.5931203935380497E-4</v>
      </c>
      <c r="AJ6" s="1">
        <f>BH6</f>
        <v>0</v>
      </c>
      <c r="AK6">
        <f t="shared" ref="AK6:AK11" si="15">AI6+AJ6</f>
        <v>3.5931203935380497E-4</v>
      </c>
      <c r="AL6">
        <f t="shared" ref="AL6:AM11" si="16">AI6*0.005</f>
        <v>1.7965601967690249E-6</v>
      </c>
      <c r="AM6">
        <f t="shared" si="16"/>
        <v>0</v>
      </c>
      <c r="AN6">
        <f t="shared" ref="AN6:AN11" si="17">AL6+AM6</f>
        <v>1.7965601967690249E-6</v>
      </c>
      <c r="AO6" s="104">
        <v>1150</v>
      </c>
      <c r="AP6" s="1" t="s">
        <v>33</v>
      </c>
      <c r="AQ6" s="1" t="s">
        <v>33</v>
      </c>
      <c r="AR6" s="1" t="s">
        <v>33</v>
      </c>
      <c r="AS6" s="1">
        <f t="shared" ref="AS6:AS11" si="18">T6</f>
        <v>7.8035714285714292E-2</v>
      </c>
      <c r="AT6" t="s">
        <v>32</v>
      </c>
      <c r="AU6" s="98">
        <f t="shared" ref="AU6:AU12" si="19">AK6+AE6*$E$31+AF6*$F$31+AH6*$J$31</f>
        <v>7.1239482311100371E-4</v>
      </c>
      <c r="AV6" s="99">
        <f t="shared" si="5"/>
        <v>49.562794717583479</v>
      </c>
      <c r="AW6" s="94">
        <v>6.5</v>
      </c>
      <c r="AX6" s="102">
        <f t="shared" si="6"/>
        <v>830.97245766546928</v>
      </c>
      <c r="AY6" s="102">
        <f t="shared" si="7"/>
        <v>8309.724576654693</v>
      </c>
      <c r="AZ6" s="13">
        <v>5</v>
      </c>
      <c r="BA6" s="64">
        <f t="shared" si="8"/>
        <v>2205.8823529411766</v>
      </c>
      <c r="BB6" s="7">
        <v>818263</v>
      </c>
      <c r="BC6" s="8">
        <f>$T$27+$T$28*$T$30*(J6)^$T$29</f>
        <v>3.924840278600609E-4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3.5931203935380497E-4</v>
      </c>
      <c r="BG6" s="7"/>
      <c r="BH6" s="7">
        <f t="shared" si="11"/>
        <v>0</v>
      </c>
    </row>
    <row r="7" spans="1:60" x14ac:dyDescent="0.25">
      <c r="A7" s="107"/>
      <c r="B7">
        <v>1</v>
      </c>
      <c r="C7" t="s">
        <v>30</v>
      </c>
      <c r="D7">
        <v>5</v>
      </c>
      <c r="E7">
        <f t="shared" si="0"/>
        <v>2465640</v>
      </c>
      <c r="F7">
        <v>0</v>
      </c>
      <c r="G7">
        <v>0</v>
      </c>
      <c r="H7" t="s">
        <v>31</v>
      </c>
      <c r="I7" t="s">
        <v>33</v>
      </c>
      <c r="J7">
        <f t="shared" si="12"/>
        <v>1.4999999999999999E-2</v>
      </c>
      <c r="K7" s="36">
        <f t="shared" si="13"/>
        <v>1.4999999999999999E-2</v>
      </c>
      <c r="L7" s="91">
        <f>0.1/100</f>
        <v>1E-3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/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1"/>
        <v>5.4193364364377029E-2</v>
      </c>
      <c r="AF7" s="1">
        <f t="shared" si="2"/>
        <v>2.2341188584211694E-2</v>
      </c>
      <c r="AG7" s="24">
        <f t="shared" si="3"/>
        <v>0</v>
      </c>
      <c r="AH7" s="26">
        <f t="shared" si="4"/>
        <v>0.22341188584211691</v>
      </c>
      <c r="AI7" s="1">
        <f t="shared" si="14"/>
        <v>1.2283829255925459E-5</v>
      </c>
      <c r="AJ7" s="1">
        <v>0</v>
      </c>
      <c r="AK7">
        <f t="shared" si="15"/>
        <v>1.2283829255925459E-5</v>
      </c>
      <c r="AL7">
        <f t="shared" si="16"/>
        <v>6.1419146279627297E-8</v>
      </c>
      <c r="AM7">
        <f t="shared" si="16"/>
        <v>0</v>
      </c>
      <c r="AN7">
        <f t="shared" si="17"/>
        <v>6.1419146279627297E-8</v>
      </c>
      <c r="AO7" s="104">
        <v>1150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98">
        <f t="shared" si="19"/>
        <v>3.6862759876297139E-5</v>
      </c>
      <c r="AV7" s="99">
        <f t="shared" si="5"/>
        <v>66.676859526668281</v>
      </c>
      <c r="AW7" s="13">
        <v>9.5</v>
      </c>
      <c r="AX7" s="102">
        <f t="shared" si="6"/>
        <v>1818.7478935719314</v>
      </c>
      <c r="AY7" s="102">
        <f t="shared" si="7"/>
        <v>18187.478935719311</v>
      </c>
      <c r="AZ7" s="13">
        <v>0</v>
      </c>
      <c r="BA7" s="64">
        <f t="shared" si="8"/>
        <v>0</v>
      </c>
      <c r="BB7" s="7"/>
      <c r="BC7" s="8" t="e">
        <f t="shared" ref="BC7:BC12" si="20">$T$27+$T$28*$T$30*(T7*$T$32)^$T$29</f>
        <v>#VALUE!</v>
      </c>
      <c r="BD7" s="7" t="e">
        <f t="shared" si="9"/>
        <v>#VALUE!</v>
      </c>
      <c r="BE7" s="8" t="e">
        <f t="shared" ref="BE7:BE12" si="21">BC7+((BD7-BC7)/$T$31)*F7</f>
        <v>#VALUE!</v>
      </c>
      <c r="BF7" s="8">
        <f t="shared" si="10"/>
        <v>1.2283829255925459E-5</v>
      </c>
      <c r="BG7" s="7"/>
      <c r="BH7" s="7">
        <f t="shared" si="11"/>
        <v>0</v>
      </c>
    </row>
    <row r="8" spans="1:60" x14ac:dyDescent="0.25">
      <c r="A8" s="107"/>
      <c r="B8">
        <v>1</v>
      </c>
      <c r="C8" t="s">
        <v>30</v>
      </c>
      <c r="D8">
        <v>6</v>
      </c>
      <c r="E8">
        <f t="shared" si="0"/>
        <v>1917720</v>
      </c>
      <c r="F8">
        <v>0</v>
      </c>
      <c r="G8">
        <v>0</v>
      </c>
      <c r="H8" t="s">
        <v>31</v>
      </c>
      <c r="I8" t="s">
        <v>33</v>
      </c>
      <c r="J8">
        <f t="shared" si="12"/>
        <v>1.4999999999999999E-2</v>
      </c>
      <c r="K8" s="36">
        <f t="shared" si="13"/>
        <v>1.4999999999999999E-2</v>
      </c>
      <c r="L8" s="91">
        <f>0.04/100</f>
        <v>4.0000000000000002E-4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/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1"/>
        <v>1.6852654190970744E-2</v>
      </c>
      <c r="AF8" s="1">
        <f t="shared" si="2"/>
        <v>6.9474986438094908E-3</v>
      </c>
      <c r="AG8" s="24">
        <f t="shared" si="3"/>
        <v>0</v>
      </c>
      <c r="AH8" s="26">
        <f t="shared" si="4"/>
        <v>6.9474986438094896E-2</v>
      </c>
      <c r="AI8" s="1">
        <f t="shared" si="14"/>
        <v>3.8199349499533687E-6</v>
      </c>
      <c r="AJ8" s="1">
        <v>0</v>
      </c>
      <c r="AK8">
        <f t="shared" si="15"/>
        <v>3.8199349499533687E-6</v>
      </c>
      <c r="AL8">
        <f t="shared" si="16"/>
        <v>1.9099674749766845E-8</v>
      </c>
      <c r="AM8">
        <f t="shared" si="16"/>
        <v>0</v>
      </c>
      <c r="AN8">
        <f t="shared" si="17"/>
        <v>1.9099674749766845E-8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98">
        <f t="shared" si="19"/>
        <v>1.1463310167330825E-5</v>
      </c>
      <c r="AV8" s="99">
        <f t="shared" si="5"/>
        <v>66.676859526668281</v>
      </c>
      <c r="AW8" s="13">
        <v>9.5</v>
      </c>
      <c r="AX8" s="102">
        <f t="shared" si="6"/>
        <v>1818.7478935719314</v>
      </c>
      <c r="AY8" s="102">
        <f t="shared" si="7"/>
        <v>18187.478935719311</v>
      </c>
      <c r="AZ8" s="13">
        <v>0</v>
      </c>
      <c r="BA8" s="64">
        <f t="shared" si="8"/>
        <v>0</v>
      </c>
      <c r="BB8" s="7"/>
      <c r="BC8" s="8" t="e">
        <f t="shared" si="20"/>
        <v>#VALUE!</v>
      </c>
      <c r="BD8" s="7" t="e">
        <f t="shared" si="9"/>
        <v>#VALUE!</v>
      </c>
      <c r="BE8" s="8" t="e">
        <f t="shared" si="21"/>
        <v>#VALUE!</v>
      </c>
      <c r="BF8" s="8">
        <f t="shared" si="10"/>
        <v>3.8199349499533687E-6</v>
      </c>
      <c r="BG8" s="7"/>
      <c r="BH8" s="7">
        <f t="shared" si="11"/>
        <v>0</v>
      </c>
    </row>
    <row r="9" spans="1:60" x14ac:dyDescent="0.25">
      <c r="A9" s="107"/>
      <c r="B9">
        <v>1</v>
      </c>
      <c r="C9" t="s">
        <v>30</v>
      </c>
      <c r="D9">
        <v>7</v>
      </c>
      <c r="E9">
        <f t="shared" si="0"/>
        <v>1369800</v>
      </c>
      <c r="F9">
        <v>0</v>
      </c>
      <c r="G9">
        <v>0</v>
      </c>
      <c r="H9" t="s">
        <v>31</v>
      </c>
      <c r="I9" t="s">
        <v>33</v>
      </c>
      <c r="J9">
        <f t="shared" si="12"/>
        <v>1.4999999999999999E-2</v>
      </c>
      <c r="K9" s="36">
        <f t="shared" si="13"/>
        <v>1.4999999999999999E-2</v>
      </c>
      <c r="L9" s="91">
        <f>0.017/100</f>
        <v>1.7000000000000001E-4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/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1"/>
        <v>5.7142662707758409E-3</v>
      </c>
      <c r="AF9" s="1">
        <f t="shared" si="2"/>
        <v>2.3557035418107445E-3</v>
      </c>
      <c r="AG9" s="24">
        <f t="shared" si="3"/>
        <v>0</v>
      </c>
      <c r="AH9" s="26">
        <f t="shared" si="4"/>
        <v>2.3557035418107442E-2</v>
      </c>
      <c r="AI9" s="1">
        <f t="shared" si="14"/>
        <v>1.2952336880425239E-6</v>
      </c>
      <c r="AJ9" s="1">
        <v>0</v>
      </c>
      <c r="AK9">
        <f t="shared" si="15"/>
        <v>1.2952336880425239E-6</v>
      </c>
      <c r="AL9">
        <f t="shared" si="16"/>
        <v>6.4761684402126198E-9</v>
      </c>
      <c r="AM9">
        <f t="shared" si="16"/>
        <v>0</v>
      </c>
      <c r="AN9">
        <f t="shared" si="17"/>
        <v>6.4761684402126198E-9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98">
        <f t="shared" si="19"/>
        <v>3.8868896197796554E-6</v>
      </c>
      <c r="AV9" s="99">
        <f t="shared" si="5"/>
        <v>66.676859526668281</v>
      </c>
      <c r="AW9" s="13">
        <v>9.5</v>
      </c>
      <c r="AX9" s="102">
        <f t="shared" si="6"/>
        <v>1818.7478935719314</v>
      </c>
      <c r="AY9" s="102">
        <f t="shared" si="7"/>
        <v>18187.478935719311</v>
      </c>
      <c r="AZ9" s="13">
        <v>0</v>
      </c>
      <c r="BA9" s="64">
        <f t="shared" si="8"/>
        <v>0</v>
      </c>
      <c r="BB9" s="7"/>
      <c r="BC9" s="8" t="e">
        <f t="shared" si="20"/>
        <v>#VALUE!</v>
      </c>
      <c r="BD9" s="7" t="e">
        <f t="shared" si="9"/>
        <v>#VALUE!</v>
      </c>
      <c r="BE9" s="8" t="e">
        <f t="shared" si="21"/>
        <v>#VALUE!</v>
      </c>
      <c r="BF9" s="8">
        <f t="shared" si="10"/>
        <v>1.2952336880425239E-6</v>
      </c>
      <c r="BG9" s="7"/>
      <c r="BH9" s="7">
        <f t="shared" si="11"/>
        <v>0</v>
      </c>
    </row>
    <row r="10" spans="1:60" x14ac:dyDescent="0.25">
      <c r="A10" s="107"/>
      <c r="B10">
        <v>1</v>
      </c>
      <c r="C10" t="s">
        <v>30</v>
      </c>
      <c r="D10">
        <v>8</v>
      </c>
      <c r="E10">
        <f t="shared" si="0"/>
        <v>821880</v>
      </c>
      <c r="F10">
        <v>0</v>
      </c>
      <c r="G10">
        <v>0</v>
      </c>
      <c r="H10" t="s">
        <v>31</v>
      </c>
      <c r="I10" t="s">
        <v>33</v>
      </c>
      <c r="J10">
        <f t="shared" si="12"/>
        <v>1.4999999999999999E-2</v>
      </c>
      <c r="K10" s="36">
        <f t="shared" si="13"/>
        <v>1.4999999999999999E-2</v>
      </c>
      <c r="L10" s="91">
        <f>0.011/100</f>
        <v>1.0999999999999999E-4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/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1"/>
        <v>3.323113399889699E-3</v>
      </c>
      <c r="AF10" s="1">
        <f t="shared" si="2"/>
        <v>1.3699519124606779E-3</v>
      </c>
      <c r="AG10" s="24">
        <f t="shared" si="3"/>
        <v>0</v>
      </c>
      <c r="AH10" s="26">
        <f t="shared" si="4"/>
        <v>1.3699519124606777E-2</v>
      </c>
      <c r="AI10" s="1">
        <f t="shared" si="14"/>
        <v>7.5323903730833173E-7</v>
      </c>
      <c r="AJ10" s="1">
        <v>0</v>
      </c>
      <c r="AK10">
        <f t="shared" si="15"/>
        <v>7.5323903730833173E-7</v>
      </c>
      <c r="AL10">
        <f t="shared" si="16"/>
        <v>3.7661951865416587E-9</v>
      </c>
      <c r="AM10">
        <f t="shared" si="16"/>
        <v>0</v>
      </c>
      <c r="AN10">
        <f t="shared" si="17"/>
        <v>3.7661951865416587E-9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98">
        <f t="shared" si="19"/>
        <v>2.2604083126893265E-6</v>
      </c>
      <c r="AV10" s="99">
        <f t="shared" si="5"/>
        <v>66.676859526668281</v>
      </c>
      <c r="AW10" s="13">
        <v>9.5</v>
      </c>
      <c r="AX10" s="102">
        <f t="shared" si="6"/>
        <v>1818.7478935719314</v>
      </c>
      <c r="AY10" s="102">
        <f t="shared" si="7"/>
        <v>18187.478935719311</v>
      </c>
      <c r="AZ10" s="13">
        <v>0</v>
      </c>
      <c r="BA10" s="64">
        <f t="shared" si="8"/>
        <v>0</v>
      </c>
      <c r="BB10" s="7"/>
      <c r="BC10" s="8" t="e">
        <f t="shared" si="20"/>
        <v>#VALUE!</v>
      </c>
      <c r="BD10" s="7" t="e">
        <f t="shared" si="9"/>
        <v>#VALUE!</v>
      </c>
      <c r="BE10" s="8" t="e">
        <f t="shared" si="21"/>
        <v>#VALUE!</v>
      </c>
      <c r="BF10" s="8">
        <f t="shared" si="10"/>
        <v>7.5323903730833173E-7</v>
      </c>
      <c r="BG10" s="7"/>
      <c r="BH10" s="7">
        <f t="shared" si="11"/>
        <v>0</v>
      </c>
    </row>
    <row r="11" spans="1:60" x14ac:dyDescent="0.25">
      <c r="A11" s="107"/>
      <c r="B11">
        <v>1</v>
      </c>
      <c r="C11" t="s">
        <v>30</v>
      </c>
      <c r="D11">
        <v>9</v>
      </c>
      <c r="E11">
        <f>($F$2-D11)*$E$2+$G$2</f>
        <v>273960</v>
      </c>
      <c r="F11">
        <v>0</v>
      </c>
      <c r="G11">
        <v>0</v>
      </c>
      <c r="H11" t="s">
        <v>31</v>
      </c>
      <c r="I11" t="s">
        <v>33</v>
      </c>
      <c r="J11">
        <f t="shared" si="12"/>
        <v>1.4999999999999999E-2</v>
      </c>
      <c r="K11" s="36">
        <f t="shared" si="13"/>
        <v>1.4999999999999999E-2</v>
      </c>
      <c r="L11" s="91">
        <f>0.007/100</f>
        <v>7.0000000000000007E-5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/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1"/>
        <v>1.9146799290632522E-3</v>
      </c>
      <c r="AF11" s="1">
        <f t="shared" si="2"/>
        <v>7.8932588657893549E-4</v>
      </c>
      <c r="AG11" s="24">
        <f t="shared" si="3"/>
        <v>0</v>
      </c>
      <c r="AH11" s="26">
        <f t="shared" si="4"/>
        <v>7.8932588657893536E-3</v>
      </c>
      <c r="AI11" s="1">
        <f t="shared" si="14"/>
        <v>4.3399411725433714E-7</v>
      </c>
      <c r="AJ11" s="1">
        <v>0</v>
      </c>
      <c r="AK11">
        <f t="shared" si="15"/>
        <v>4.3399411725433714E-7</v>
      </c>
      <c r="AL11">
        <f t="shared" si="16"/>
        <v>2.1699705862716857E-9</v>
      </c>
      <c r="AM11">
        <f t="shared" si="16"/>
        <v>0</v>
      </c>
      <c r="AN11">
        <f t="shared" si="17"/>
        <v>2.1699705862716857E-9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98">
        <f t="shared" si="19"/>
        <v>1.3023806012571343E-6</v>
      </c>
      <c r="AV11" s="99">
        <f t="shared" si="5"/>
        <v>66.676859526668281</v>
      </c>
      <c r="AW11" s="13">
        <v>9.5</v>
      </c>
      <c r="AX11" s="102">
        <f t="shared" si="6"/>
        <v>1818.7478935719314</v>
      </c>
      <c r="AY11" s="102">
        <f t="shared" si="7"/>
        <v>18187.478935719311</v>
      </c>
      <c r="AZ11" s="13">
        <v>0</v>
      </c>
      <c r="BA11" s="64">
        <f t="shared" si="8"/>
        <v>0</v>
      </c>
      <c r="BB11" s="7"/>
      <c r="BC11" s="8" t="e">
        <f t="shared" si="20"/>
        <v>#VALUE!</v>
      </c>
      <c r="BD11" s="7" t="e">
        <f t="shared" si="9"/>
        <v>#VALUE!</v>
      </c>
      <c r="BE11" s="8" t="e">
        <f t="shared" si="21"/>
        <v>#VALUE!</v>
      </c>
      <c r="BF11" s="8">
        <f t="shared" si="10"/>
        <v>4.3399411725433714E-7</v>
      </c>
      <c r="BG11" s="7"/>
      <c r="BH11" s="7">
        <f t="shared" si="11"/>
        <v>0</v>
      </c>
    </row>
    <row r="12" spans="1:60" x14ac:dyDescent="0.25">
      <c r="A12" s="107"/>
      <c r="K12" s="36"/>
      <c r="L12" s="90"/>
      <c r="M12" s="36"/>
      <c r="W12" s="1"/>
      <c r="AE12" s="1"/>
      <c r="AF12" s="1"/>
      <c r="AG12" s="24"/>
      <c r="AH12" s="26"/>
      <c r="AI12" s="1"/>
      <c r="AJ12" s="1"/>
      <c r="AP12" s="1"/>
      <c r="AQ12" s="1"/>
      <c r="AR12" s="1"/>
      <c r="AS12" s="1"/>
      <c r="AU12" s="100">
        <f t="shared" si="19"/>
        <v>0</v>
      </c>
      <c r="AV12" s="101" t="e">
        <f t="shared" si="5"/>
        <v>#DIV/0!</v>
      </c>
      <c r="AW12" s="14">
        <v>9.5</v>
      </c>
      <c r="AX12" s="102">
        <f t="shared" si="6"/>
        <v>1818.7478935719314</v>
      </c>
      <c r="AY12" s="103">
        <f t="shared" si="7"/>
        <v>18187.478935719311</v>
      </c>
      <c r="AZ12" s="14">
        <v>0</v>
      </c>
      <c r="BA12" s="64">
        <f t="shared" si="8"/>
        <v>0</v>
      </c>
      <c r="BB12" s="7"/>
      <c r="BC12" s="8">
        <f t="shared" si="20"/>
        <v>2.6499999999999999E-8</v>
      </c>
      <c r="BD12" s="7">
        <f t="shared" si="9"/>
        <v>0</v>
      </c>
      <c r="BE12" s="8">
        <f t="shared" si="21"/>
        <v>2.6499999999999999E-8</v>
      </c>
      <c r="BF12" s="8">
        <f t="shared" si="10"/>
        <v>2.6499999999999999E-8</v>
      </c>
      <c r="BG12" s="7"/>
      <c r="BH12" s="7">
        <f t="shared" si="11"/>
        <v>0</v>
      </c>
    </row>
    <row r="13" spans="1:60" x14ac:dyDescent="0.25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x14ac:dyDescent="0.25">
      <c r="A14" s="107" t="s">
        <v>70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118</v>
      </c>
      <c r="H14" s="35" t="s">
        <v>36</v>
      </c>
      <c r="I14" s="5" t="s">
        <v>142</v>
      </c>
      <c r="J14" s="35" t="s">
        <v>37</v>
      </c>
      <c r="K14" s="5" t="s">
        <v>27</v>
      </c>
      <c r="L14" s="5" t="s">
        <v>208</v>
      </c>
      <c r="M14" s="5" t="s">
        <v>43</v>
      </c>
      <c r="N14" s="5" t="s">
        <v>22</v>
      </c>
      <c r="O14" s="5" t="s">
        <v>24</v>
      </c>
      <c r="P14" s="5" t="s">
        <v>23</v>
      </c>
      <c r="Q14" s="5" t="s">
        <v>21</v>
      </c>
      <c r="R14" s="5" t="s">
        <v>44</v>
      </c>
      <c r="S14" s="5" t="s">
        <v>45</v>
      </c>
      <c r="T14" s="5" t="s">
        <v>83</v>
      </c>
      <c r="U14" s="5" t="s">
        <v>63</v>
      </c>
      <c r="V14" s="5" t="s">
        <v>137</v>
      </c>
      <c r="W14" s="81" t="s">
        <v>209</v>
      </c>
      <c r="X14" s="12" t="s">
        <v>181</v>
      </c>
      <c r="Y14" s="12" t="s">
        <v>90</v>
      </c>
      <c r="Z14" s="97" t="s">
        <v>22</v>
      </c>
      <c r="AA14" s="97" t="s">
        <v>24</v>
      </c>
      <c r="AD14" s="12" t="s">
        <v>23</v>
      </c>
      <c r="AE14" s="3"/>
      <c r="AF14" s="97" t="s">
        <v>45</v>
      </c>
      <c r="AG14" s="97" t="s">
        <v>76</v>
      </c>
      <c r="AH14" s="97" t="s">
        <v>106</v>
      </c>
      <c r="AI14" s="3"/>
      <c r="AJ14" s="3"/>
      <c r="AX14" s="22"/>
      <c r="AY14" s="60" t="s">
        <v>21</v>
      </c>
      <c r="AZ14" s="60" t="s">
        <v>116</v>
      </c>
      <c r="BA14" s="61" t="s">
        <v>98</v>
      </c>
      <c r="BB14" s="37"/>
      <c r="BC14" s="37"/>
    </row>
    <row r="15" spans="1:60" x14ac:dyDescent="0.25">
      <c r="A15" s="107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88">
        <v>5.8000000000000003E-2</v>
      </c>
      <c r="I15" s="92">
        <f>0.273/100</f>
        <v>2.7300000000000002E-3</v>
      </c>
      <c r="J15" s="36" t="s">
        <v>33</v>
      </c>
      <c r="K15">
        <f>R15*$X$15</f>
        <v>1.194435E-3</v>
      </c>
      <c r="L15">
        <v>0</v>
      </c>
      <c r="M15">
        <f t="shared" ref="M15:M20" si="22">K15*0.005</f>
        <v>5.9721750000000001E-6</v>
      </c>
      <c r="N15">
        <f t="shared" ref="N15:N20" si="23">K15*$Z15</f>
        <v>0.27932428299644957</v>
      </c>
      <c r="O15">
        <f t="shared" ref="O15:O20" si="24">K15*$AA15</f>
        <v>2.7932428299644956</v>
      </c>
      <c r="P15">
        <f t="shared" ref="P15:P20" si="25">AD15*$K15</f>
        <v>0</v>
      </c>
      <c r="Q15" s="1">
        <f t="shared" ref="Q15:Q20" si="26">K15*$AE$16</f>
        <v>5.2695661764705886</v>
      </c>
      <c r="R15">
        <v>1.2573E-4</v>
      </c>
      <c r="S15" s="1">
        <f t="shared" ref="S15:S20" si="27">K15*$AF15</f>
        <v>4.0610790000000001E-2</v>
      </c>
      <c r="T15">
        <v>4250</v>
      </c>
      <c r="U15">
        <v>0</v>
      </c>
      <c r="V15" t="s">
        <v>33</v>
      </c>
      <c r="W15">
        <f>K15</f>
        <v>1.194435E-3</v>
      </c>
      <c r="X15" s="94">
        <v>9.5</v>
      </c>
      <c r="Y15" s="94">
        <v>3</v>
      </c>
      <c r="Z15" s="102">
        <f t="shared" ref="Z15:Z20" si="28">(($Y15/100)*(1+$AE$16*$E$31)-$AB$16)/(((1+1/$AA$23)*(14*10^(-6)))-(($J$31/$AA$23+$F$31)*$Y15/100))</f>
        <v>233.85473717401916</v>
      </c>
      <c r="AA15" s="102">
        <f t="shared" ref="AA15:AA20" si="29">$Z15/$AA$23</f>
        <v>2338.5473717401915</v>
      </c>
      <c r="AB15" s="60" t="s">
        <v>43</v>
      </c>
      <c r="AC15" s="60" t="s">
        <v>27</v>
      </c>
      <c r="AD15" s="69">
        <f t="shared" ref="AD15:AD20" si="30">IF(F15="HiddenElement",$AD$22/100/(1-$X$33)*$X$32*10^6/$X$30,0)</f>
        <v>0</v>
      </c>
      <c r="AE15" s="68" t="s">
        <v>21</v>
      </c>
      <c r="AF15" s="102">
        <f t="shared" ref="AF15:AF20" si="31">ROUND(AA15/$AY$6*120,0)</f>
        <v>34</v>
      </c>
      <c r="AG15" s="102">
        <f t="shared" ref="AG15:AG20" si="32">K15+N15*$F$31+O15*$J$31+Q15*$E$31</f>
        <v>1.6329371527151078E-3</v>
      </c>
      <c r="AH15" s="99">
        <f t="shared" ref="AH15:AH20" si="33">(1-K15/AG15)*100</f>
        <v>26.853584168013089</v>
      </c>
      <c r="AI15" s="1"/>
      <c r="AX15" s="62"/>
      <c r="AY15" s="64">
        <f>$AY$16/100/(1-$X$33)*$X$32*10^6/$X$30</f>
        <v>4411.7647058823532</v>
      </c>
      <c r="AZ15" s="64">
        <f>$AZ$16/100/(1-$X$33)*$X$32*10^6/$X$30</f>
        <v>4411.7647058823532</v>
      </c>
      <c r="BA15" s="65">
        <f>AZ15+AY15</f>
        <v>8823.5294117647063</v>
      </c>
      <c r="BB15" s="74"/>
      <c r="BC15" s="74"/>
    </row>
    <row r="16" spans="1:60" x14ac:dyDescent="0.25">
      <c r="A16" s="107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88">
        <v>1.4E-2</v>
      </c>
      <c r="J16" s="36" t="s">
        <v>33</v>
      </c>
      <c r="K16">
        <f>H16*$X$16</f>
        <v>7.000000000000001E-4</v>
      </c>
      <c r="L16">
        <v>0</v>
      </c>
      <c r="M16">
        <f t="shared" si="22"/>
        <v>3.5000000000000004E-6</v>
      </c>
      <c r="N16">
        <f t="shared" si="23"/>
        <v>7.8912233902825063E-2</v>
      </c>
      <c r="O16">
        <f t="shared" si="24"/>
        <v>0.78912233902825057</v>
      </c>
      <c r="P16">
        <f t="shared" si="25"/>
        <v>0</v>
      </c>
      <c r="Q16" s="1">
        <f t="shared" si="26"/>
        <v>3.0882352941176476</v>
      </c>
      <c r="R16">
        <v>1.9748000000000001E-4</v>
      </c>
      <c r="S16" s="1">
        <f t="shared" si="27"/>
        <v>1.1200000000000002E-2</v>
      </c>
      <c r="T16">
        <f>AA16</f>
        <v>1127.3176271832149</v>
      </c>
      <c r="U16">
        <v>0</v>
      </c>
      <c r="V16" t="s">
        <v>33</v>
      </c>
      <c r="W16">
        <f t="shared" ref="W16:W20" si="34">K16</f>
        <v>7.000000000000001E-4</v>
      </c>
      <c r="X16" s="96">
        <v>0.05</v>
      </c>
      <c r="Y16" s="13">
        <v>1.8</v>
      </c>
      <c r="Z16" s="102">
        <f t="shared" si="28"/>
        <v>112.73176271832151</v>
      </c>
      <c r="AA16" s="102">
        <f t="shared" si="29"/>
        <v>1127.3176271832149</v>
      </c>
      <c r="AB16" s="16">
        <v>5.0000000000000001E-3</v>
      </c>
      <c r="AC16" s="16">
        <v>1</v>
      </c>
      <c r="AD16" s="69">
        <f t="shared" si="30"/>
        <v>0</v>
      </c>
      <c r="AE16" s="42">
        <f>$AE$17/100/(1-$X$33)*$X$32*10^6/$X$30</f>
        <v>4411.7647058823532</v>
      </c>
      <c r="AF16" s="102">
        <f t="shared" si="31"/>
        <v>16</v>
      </c>
      <c r="AG16" s="102">
        <f t="shared" si="32"/>
        <v>8.6958244561305886E-4</v>
      </c>
      <c r="AH16" s="99">
        <f t="shared" si="33"/>
        <v>19.501594871030605</v>
      </c>
      <c r="AI16" s="1"/>
      <c r="AX16" s="63" t="s">
        <v>117</v>
      </c>
      <c r="AY16" s="66">
        <v>10</v>
      </c>
      <c r="AZ16" s="66">
        <v>10</v>
      </c>
      <c r="BA16" s="67">
        <f>AZ16+AY16</f>
        <v>20</v>
      </c>
      <c r="BB16" s="75"/>
      <c r="BC16" s="75"/>
    </row>
    <row r="17" spans="1:58" x14ac:dyDescent="0.25">
      <c r="A17" s="107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88">
        <f>5.35/100</f>
        <v>5.3499999999999999E-2</v>
      </c>
      <c r="I17" s="92">
        <f>0.279/100</f>
        <v>2.7900000000000004E-3</v>
      </c>
      <c r="J17" s="36" t="s">
        <v>33</v>
      </c>
      <c r="K17">
        <f>R17*$X$17</f>
        <v>1.12594E-3</v>
      </c>
      <c r="L17">
        <v>0</v>
      </c>
      <c r="M17">
        <f t="shared" si="22"/>
        <v>5.6296999999999996E-6</v>
      </c>
      <c r="N17">
        <f t="shared" si="23"/>
        <v>0.41484596416325992</v>
      </c>
      <c r="O17">
        <f t="shared" si="24"/>
        <v>4.1484596416325994</v>
      </c>
      <c r="P17">
        <f t="shared" si="25"/>
        <v>0</v>
      </c>
      <c r="Q17" s="1">
        <f t="shared" si="26"/>
        <v>4.9673823529411765</v>
      </c>
      <c r="R17">
        <v>1.1852E-4</v>
      </c>
      <c r="S17" s="1">
        <f t="shared" si="27"/>
        <v>5.9674819999999996E-2</v>
      </c>
      <c r="T17">
        <v>4250</v>
      </c>
      <c r="U17">
        <v>0</v>
      </c>
      <c r="V17" t="s">
        <v>33</v>
      </c>
      <c r="W17">
        <f t="shared" si="34"/>
        <v>1.12594E-3</v>
      </c>
      <c r="X17" s="94">
        <v>9.5</v>
      </c>
      <c r="Y17" s="94">
        <v>4.0999999999999996</v>
      </c>
      <c r="Z17" s="102">
        <f t="shared" si="28"/>
        <v>368.44411261990865</v>
      </c>
      <c r="AA17" s="102">
        <f t="shared" si="29"/>
        <v>3684.4411261990863</v>
      </c>
      <c r="AC17" s="24"/>
      <c r="AD17" s="69">
        <f t="shared" si="30"/>
        <v>0</v>
      </c>
      <c r="AE17" s="39">
        <v>10</v>
      </c>
      <c r="AF17" s="102">
        <f t="shared" si="31"/>
        <v>53</v>
      </c>
      <c r="AG17" s="102">
        <f t="shared" si="32"/>
        <v>1.6955116702717572E-3</v>
      </c>
      <c r="AH17" s="99">
        <f t="shared" si="33"/>
        <v>33.592907690247046</v>
      </c>
      <c r="AI17" s="1"/>
      <c r="AJ17" s="1"/>
    </row>
    <row r="18" spans="1:58" x14ac:dyDescent="0.25">
      <c r="A18" s="107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88">
        <f>H16</f>
        <v>1.4E-2</v>
      </c>
      <c r="J18" s="36" t="s">
        <v>33</v>
      </c>
      <c r="K18">
        <f>H18*$X$18</f>
        <v>7.000000000000001E-4</v>
      </c>
      <c r="L18">
        <v>0</v>
      </c>
      <c r="M18">
        <f t="shared" si="22"/>
        <v>3.5000000000000004E-6</v>
      </c>
      <c r="N18">
        <f t="shared" si="23"/>
        <v>0.11228318971596399</v>
      </c>
      <c r="O18">
        <f t="shared" si="24"/>
        <v>1.1228318971596398</v>
      </c>
      <c r="P18">
        <f t="shared" si="25"/>
        <v>0.92647058823529405</v>
      </c>
      <c r="Q18" s="1">
        <f t="shared" si="26"/>
        <v>3.0882352941176476</v>
      </c>
      <c r="R18">
        <v>2.4800000000000001E-4</v>
      </c>
      <c r="S18" s="1">
        <f t="shared" si="27"/>
        <v>1.6100000000000003E-2</v>
      </c>
      <c r="T18">
        <f>AA18</f>
        <v>1604.0455673709137</v>
      </c>
      <c r="U18">
        <v>0</v>
      </c>
      <c r="V18" t="s">
        <v>33</v>
      </c>
      <c r="W18">
        <f t="shared" si="34"/>
        <v>7.000000000000001E-4</v>
      </c>
      <c r="X18" s="96">
        <v>0.05</v>
      </c>
      <c r="Y18" s="13">
        <v>2.2999999999999998</v>
      </c>
      <c r="Z18" s="102">
        <f t="shared" si="28"/>
        <v>160.40455673709138</v>
      </c>
      <c r="AA18" s="102">
        <f t="shared" si="29"/>
        <v>1604.0455673709137</v>
      </c>
      <c r="AD18" s="69">
        <f t="shared" si="30"/>
        <v>1323.5294117647056</v>
      </c>
      <c r="AE18" s="40" t="s">
        <v>103</v>
      </c>
      <c r="AF18" s="102">
        <f t="shared" si="31"/>
        <v>23</v>
      </c>
      <c r="AG18" s="102">
        <f t="shared" si="32"/>
        <v>9.0398309635906333E-4</v>
      </c>
      <c r="AH18" s="99">
        <f t="shared" si="33"/>
        <v>22.564923744773303</v>
      </c>
      <c r="AI18" s="1"/>
      <c r="AJ18" s="1"/>
    </row>
    <row r="19" spans="1:58" x14ac:dyDescent="0.25">
      <c r="A19" s="107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88">
        <f>0.015-H16</f>
        <v>9.9999999999999915E-4</v>
      </c>
      <c r="J19" s="36" t="s">
        <v>33</v>
      </c>
      <c r="K19">
        <f>H19*$X$19</f>
        <v>4.9999999999999962E-5</v>
      </c>
      <c r="L19">
        <v>0</v>
      </c>
      <c r="M19">
        <f t="shared" si="22"/>
        <v>2.4999999999999983E-7</v>
      </c>
      <c r="N19">
        <f t="shared" si="23"/>
        <v>8.0202278368545626E-3</v>
      </c>
      <c r="O19">
        <f t="shared" si="24"/>
        <v>8.0202278368545626E-2</v>
      </c>
      <c r="P19">
        <f t="shared" si="25"/>
        <v>0</v>
      </c>
      <c r="Q19" s="1">
        <f t="shared" si="26"/>
        <v>0.2205882352941175</v>
      </c>
      <c r="R19">
        <v>1.411E-5</v>
      </c>
      <c r="S19" s="1">
        <f t="shared" si="27"/>
        <v>1.1499999999999991E-3</v>
      </c>
      <c r="T19">
        <f>AA19</f>
        <v>1604.0455673709137</v>
      </c>
      <c r="U19">
        <v>0</v>
      </c>
      <c r="V19" t="s">
        <v>33</v>
      </c>
      <c r="W19">
        <f t="shared" si="34"/>
        <v>4.9999999999999962E-5</v>
      </c>
      <c r="X19" s="96">
        <f>X18</f>
        <v>0.05</v>
      </c>
      <c r="Y19" s="13">
        <v>2.2999999999999998</v>
      </c>
      <c r="Z19" s="102">
        <f t="shared" si="28"/>
        <v>160.40455673709138</v>
      </c>
      <c r="AA19" s="102">
        <f t="shared" si="29"/>
        <v>1604.0455673709137</v>
      </c>
      <c r="AD19" s="69">
        <f t="shared" si="30"/>
        <v>0</v>
      </c>
      <c r="AE19" s="1"/>
      <c r="AF19" s="102">
        <f t="shared" si="31"/>
        <v>23</v>
      </c>
      <c r="AG19" s="102">
        <f t="shared" si="32"/>
        <v>6.4570221168504463E-5</v>
      </c>
      <c r="AH19" s="99">
        <f t="shared" si="33"/>
        <v>22.564923744773303</v>
      </c>
      <c r="BD19" s="59" t="s">
        <v>57</v>
      </c>
      <c r="BE19" s="7" t="s">
        <v>47</v>
      </c>
      <c r="BF19" s="8">
        <v>0</v>
      </c>
    </row>
    <row r="20" spans="1:58" x14ac:dyDescent="0.25">
      <c r="A20" s="107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91">
        <f>L5-H19-H18</f>
        <v>3.3000000000000002E-2</v>
      </c>
      <c r="I20" s="92">
        <v>2.3999999999999998E-3</v>
      </c>
      <c r="J20" s="36" t="s">
        <v>31</v>
      </c>
      <c r="K20">
        <f>R20*$X$20</f>
        <v>5.4321000000000003E-4</v>
      </c>
      <c r="L20">
        <v>0</v>
      </c>
      <c r="M20">
        <f t="shared" si="22"/>
        <v>2.71605E-6</v>
      </c>
      <c r="N20">
        <f t="shared" si="23"/>
        <v>0.29893019002136462</v>
      </c>
      <c r="O20">
        <f t="shared" si="24"/>
        <v>2.9893019002136461</v>
      </c>
      <c r="P20">
        <f t="shared" si="25"/>
        <v>0</v>
      </c>
      <c r="Q20" s="1">
        <f t="shared" si="26"/>
        <v>2.3965147058823533</v>
      </c>
      <c r="R20">
        <v>5.7179999999999998E-5</v>
      </c>
      <c r="S20" s="1">
        <f t="shared" si="27"/>
        <v>4.2913590000000001E-2</v>
      </c>
      <c r="T20">
        <v>0</v>
      </c>
      <c r="U20">
        <v>0</v>
      </c>
      <c r="V20" t="s">
        <v>33</v>
      </c>
      <c r="W20">
        <f t="shared" si="34"/>
        <v>5.4321000000000003E-4</v>
      </c>
      <c r="X20" s="94">
        <v>9.5</v>
      </c>
      <c r="Y20" s="95">
        <v>5.3</v>
      </c>
      <c r="Z20" s="103">
        <f t="shared" si="28"/>
        <v>550.30317928860768</v>
      </c>
      <c r="AA20" s="103">
        <f t="shared" si="29"/>
        <v>5503.0317928860768</v>
      </c>
      <c r="AD20" s="70">
        <f t="shared" si="30"/>
        <v>0</v>
      </c>
      <c r="AF20" s="103">
        <f t="shared" si="31"/>
        <v>79</v>
      </c>
      <c r="AG20" s="103">
        <f t="shared" si="32"/>
        <v>9.198358351564179E-4</v>
      </c>
      <c r="AH20" s="101">
        <f t="shared" si="33"/>
        <v>40.944896987229541</v>
      </c>
      <c r="BD20" s="59"/>
      <c r="BE20" s="7" t="s">
        <v>48</v>
      </c>
      <c r="BF20" s="7">
        <v>0.106</v>
      </c>
    </row>
    <row r="21" spans="1:58" x14ac:dyDescent="0.25">
      <c r="A21" s="2"/>
      <c r="Y21" s="71"/>
      <c r="Z21" s="15"/>
      <c r="AA21" s="45"/>
      <c r="AC21" s="1"/>
      <c r="AQ21" s="59"/>
      <c r="AR21" s="80"/>
      <c r="AS21" s="82"/>
      <c r="AT21" s="82"/>
      <c r="AU21" s="82"/>
      <c r="AV21" s="82"/>
      <c r="AW21" s="82"/>
      <c r="AX21" s="59"/>
      <c r="AY21" s="59"/>
      <c r="AZ21" s="59"/>
      <c r="BA21" s="59"/>
      <c r="BB21" s="73"/>
      <c r="BC21" s="73"/>
      <c r="BD21" s="7" t="s">
        <v>49</v>
      </c>
      <c r="BE21" s="7">
        <v>1.28</v>
      </c>
    </row>
    <row r="22" spans="1:58" x14ac:dyDescent="0.25">
      <c r="A22" s="2"/>
      <c r="Y22" s="27"/>
      <c r="Z22" s="72"/>
      <c r="AA22" s="17" t="s">
        <v>79</v>
      </c>
      <c r="AB22" s="33" t="s">
        <v>80</v>
      </c>
      <c r="AD22" s="39">
        <v>3</v>
      </c>
      <c r="AQ22" s="59"/>
      <c r="AR22" s="80"/>
      <c r="AS22" s="82"/>
      <c r="AT22" s="82"/>
      <c r="AU22" s="82"/>
      <c r="AV22" s="82"/>
      <c r="AW22" s="82"/>
      <c r="AX22" s="59"/>
      <c r="AY22" s="59"/>
      <c r="AZ22" s="59"/>
      <c r="BA22" s="59"/>
      <c r="BB22" s="73"/>
      <c r="BC22" s="73"/>
      <c r="BD22" s="7" t="s">
        <v>50</v>
      </c>
      <c r="BE22" s="7">
        <v>0.8</v>
      </c>
    </row>
    <row r="23" spans="1:58" x14ac:dyDescent="0.25">
      <c r="A23" s="2"/>
      <c r="AA23" s="14">
        <v>0.1</v>
      </c>
      <c r="AB23" s="55">
        <f>(SUMPRODUCT(Y15:Y20,AG15:AG20)+SUMPRODUCT(AW5:AW12,AU5:AU12))/SUM(AG15:AG20,AU5:AU12)</f>
        <v>3.961693558678185</v>
      </c>
      <c r="AD23" s="40" t="s">
        <v>103</v>
      </c>
      <c r="AQ23" s="59"/>
      <c r="AR23" s="80"/>
      <c r="AS23" s="82"/>
      <c r="AT23" s="82"/>
      <c r="AU23" s="82"/>
      <c r="AV23" s="82"/>
      <c r="AW23" s="82"/>
      <c r="AX23" s="59"/>
      <c r="AY23" s="59"/>
      <c r="AZ23" s="59"/>
      <c r="BA23" s="59"/>
      <c r="BB23" s="73"/>
      <c r="BC23" s="73"/>
      <c r="BD23" s="7" t="s">
        <v>60</v>
      </c>
      <c r="BE23" s="7">
        <f>210*3600*24/12</f>
        <v>1512000</v>
      </c>
    </row>
    <row r="24" spans="1:58" x14ac:dyDescent="0.25">
      <c r="A24" s="2"/>
      <c r="F24" s="1"/>
      <c r="G24" s="1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 t="s">
        <v>58</v>
      </c>
      <c r="BD24" s="7">
        <v>5</v>
      </c>
    </row>
    <row r="25" spans="1:58" x14ac:dyDescent="0.25">
      <c r="A25" s="107" t="s">
        <v>71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63</v>
      </c>
      <c r="H25" s="5" t="s">
        <v>64</v>
      </c>
      <c r="I25" s="5" t="s">
        <v>65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8" x14ac:dyDescent="0.25">
      <c r="A26" s="107"/>
      <c r="B26">
        <v>1</v>
      </c>
      <c r="C26" t="s">
        <v>30</v>
      </c>
      <c r="D26" t="s">
        <v>66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8" x14ac:dyDescent="0.25">
      <c r="A27" s="107"/>
      <c r="B27">
        <v>1</v>
      </c>
      <c r="C27" t="s">
        <v>30</v>
      </c>
      <c r="D27" t="s">
        <v>67</v>
      </c>
      <c r="E27" s="24">
        <f>E28*$K$27</f>
        <v>33.540263626132635</v>
      </c>
      <c r="F27" s="24">
        <f>F28*$K$27</f>
        <v>0.58572256756148955</v>
      </c>
      <c r="G27" s="24">
        <f>G28*$K$27</f>
        <v>5.8572256756148953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7.6024597552567302E-3</v>
      </c>
      <c r="L27" s="24">
        <f>K27*$AB$16</f>
        <v>3.8012298776283649E-5</v>
      </c>
      <c r="M27" s="24">
        <f>M28*$K$27</f>
        <v>1.9006149388141826</v>
      </c>
      <c r="N27" s="57" t="s">
        <v>111</v>
      </c>
      <c r="O27" s="17" t="s">
        <v>68</v>
      </c>
      <c r="P27" s="17" t="s">
        <v>82</v>
      </c>
      <c r="Q27" s="17" t="s">
        <v>81</v>
      </c>
      <c r="R27" s="108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8" x14ac:dyDescent="0.25">
      <c r="E28" s="43">
        <f>AE16</f>
        <v>4411.7647058823532</v>
      </c>
      <c r="F28" s="44">
        <f>(($Q$28/100)*(1+$E$28*$E$31)-$AB$16)/((1+1/$P$28)*(14*10^-6-$J$31*$Q$28/100))</f>
        <v>77.043823501530667</v>
      </c>
      <c r="G28" s="44">
        <f>F28/$P$28</f>
        <v>770.43823501530665</v>
      </c>
      <c r="H28" s="18"/>
      <c r="I28" s="18"/>
      <c r="J28" s="18"/>
      <c r="K28" s="18"/>
      <c r="L28" s="18"/>
      <c r="M28" s="19">
        <v>250</v>
      </c>
      <c r="N28" s="58">
        <f>SUM(AK5:AK12,K15:K20)/K27</f>
        <v>0.69945288223324231</v>
      </c>
      <c r="O28" s="95">
        <v>0.9</v>
      </c>
      <c r="P28" s="14">
        <v>0.1</v>
      </c>
      <c r="Q28" s="95">
        <v>1.4</v>
      </c>
      <c r="R28" s="108"/>
      <c r="S28" s="7" t="s">
        <v>48</v>
      </c>
      <c r="T28" s="7">
        <v>0.106</v>
      </c>
      <c r="AM28" s="10" t="s">
        <v>72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8" x14ac:dyDescent="0.25">
      <c r="F29" s="1"/>
      <c r="R29" s="108"/>
      <c r="S29" s="7" t="s">
        <v>49</v>
      </c>
      <c r="T29" s="7">
        <v>1.28</v>
      </c>
      <c r="W29" s="37" t="s">
        <v>102</v>
      </c>
      <c r="X29" s="38">
        <v>180</v>
      </c>
      <c r="AM29" s="11" t="s">
        <v>73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8" x14ac:dyDescent="0.25">
      <c r="D30" s="23" t="s">
        <v>77</v>
      </c>
      <c r="F30" s="1"/>
      <c r="O30" s="28" t="s">
        <v>115</v>
      </c>
      <c r="P30" s="54">
        <f>K27+SUM(K15:K20)+SUM(AK5:AK12)</f>
        <v>1.2920022143133279E-2</v>
      </c>
      <c r="R30" s="108"/>
      <c r="S30" s="7" t="s">
        <v>50</v>
      </c>
      <c r="T30" s="7">
        <v>0.8</v>
      </c>
      <c r="W30" s="37" t="s">
        <v>99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8" x14ac:dyDescent="0.25">
      <c r="D31" s="20" t="s">
        <v>78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108"/>
      <c r="S31" s="7" t="s">
        <v>51</v>
      </c>
      <c r="T31" s="7">
        <f>271*3600 * 24 /12</f>
        <v>1951200</v>
      </c>
      <c r="W31" s="28" t="s">
        <v>100</v>
      </c>
      <c r="X31" s="30">
        <v>12</v>
      </c>
      <c r="AM31" s="10" t="s">
        <v>74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8" x14ac:dyDescent="0.25">
      <c r="D32" s="20" t="s">
        <v>75</v>
      </c>
      <c r="E32" s="20">
        <f>E26*E31</f>
        <v>0</v>
      </c>
      <c r="F32" s="21">
        <f>F26*F31</f>
        <v>0</v>
      </c>
      <c r="G32" s="21"/>
      <c r="O32" s="28" t="s">
        <v>110</v>
      </c>
      <c r="P32" s="54">
        <f>E26*E31+F26*F31</f>
        <v>0</v>
      </c>
      <c r="R32" s="108"/>
      <c r="S32" s="9" t="s">
        <v>52</v>
      </c>
      <c r="T32" s="7">
        <v>1.557936E-2</v>
      </c>
      <c r="W32" s="28" t="s">
        <v>101</v>
      </c>
      <c r="X32" s="30">
        <v>12</v>
      </c>
    </row>
    <row r="33" spans="1:24" x14ac:dyDescent="0.25">
      <c r="O33" s="28" t="s">
        <v>91</v>
      </c>
      <c r="P33" s="54">
        <f t="array" ref="P33">SUM(K15:K20,AK5:AK12)+SUM(AF5:AF12*F31,N15:N20*F31)+SUM(AH5:AH12*J31,O15:O20*J31)+SUM(AE5:AE12*E31,Q15:Q20*E31)+SUM(P15:P20*E31,AG5:AG12*E31)</f>
        <v>8.0861783338842808E-3</v>
      </c>
      <c r="W33" s="28" t="s">
        <v>104</v>
      </c>
      <c r="X33" s="41">
        <v>0.2</v>
      </c>
    </row>
    <row r="34" spans="1:24" x14ac:dyDescent="0.25">
      <c r="O34" s="28" t="s">
        <v>92</v>
      </c>
      <c r="P34" s="29">
        <f>K27+E27*E31+F27*F31+G27*G31</f>
        <v>8.9846425932047554E-3</v>
      </c>
    </row>
    <row r="35" spans="1:24" ht="15" customHeight="1" x14ac:dyDescent="0.25">
      <c r="A35" s="109" t="s">
        <v>131</v>
      </c>
      <c r="B35" s="5" t="s">
        <v>0</v>
      </c>
      <c r="C35" s="5" t="s">
        <v>1</v>
      </c>
      <c r="D35" s="5" t="s">
        <v>120</v>
      </c>
      <c r="E35" s="5" t="s">
        <v>121</v>
      </c>
      <c r="F35" s="5" t="s">
        <v>122</v>
      </c>
      <c r="G35" s="5" t="s">
        <v>123</v>
      </c>
      <c r="H35" s="5" t="s">
        <v>124</v>
      </c>
      <c r="I35" s="5" t="s">
        <v>125</v>
      </c>
      <c r="J35" s="5" t="s">
        <v>126</v>
      </c>
      <c r="K35" s="5" t="s">
        <v>127</v>
      </c>
      <c r="L35" s="5" t="s">
        <v>128</v>
      </c>
      <c r="M35" s="5" t="s">
        <v>129</v>
      </c>
      <c r="N35" s="5" t="s">
        <v>27</v>
      </c>
      <c r="O35" s="28" t="s">
        <v>107</v>
      </c>
      <c r="P35" s="29">
        <f>P34+P33+P32</f>
        <v>1.7070820927089038E-2</v>
      </c>
      <c r="Q35" s="25"/>
    </row>
    <row r="36" spans="1:24" x14ac:dyDescent="0.25">
      <c r="A36" s="109"/>
      <c r="B36">
        <v>1</v>
      </c>
      <c r="C36" t="s">
        <v>30</v>
      </c>
      <c r="D36" t="s">
        <v>130</v>
      </c>
      <c r="E36">
        <f>F2</f>
        <v>9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N36" s="1">
        <f>K27+SUM(K15:K20)+SUM(AK5:AK11)</f>
        <v>1.2920022143133279E-2</v>
      </c>
      <c r="O36" s="30"/>
      <c r="P36" s="31"/>
      <c r="Q36" s="1"/>
    </row>
    <row r="37" spans="1:24" x14ac:dyDescent="0.25">
      <c r="O37" s="28" t="s">
        <v>113</v>
      </c>
      <c r="P37" s="32">
        <f>1-SUM($AK$5:$AK$12,$K$15:$K$20)/$P$33</f>
        <v>0.34238868247638521</v>
      </c>
    </row>
    <row r="38" spans="1:24" x14ac:dyDescent="0.25">
      <c r="O38" s="28" t="s">
        <v>114</v>
      </c>
      <c r="P38" s="32">
        <f>1-$K$27/$P$34</f>
        <v>0.15383837738781003</v>
      </c>
    </row>
    <row r="39" spans="1:24" x14ac:dyDescent="0.25">
      <c r="O39" s="28" t="s">
        <v>93</v>
      </c>
      <c r="P39" s="32">
        <f>1-SUM($AK$5:$AK$12,$K$15:$K$20)/($P$33+N28/(1+N28)*P32)</f>
        <v>0.34238868247638521</v>
      </c>
    </row>
    <row r="40" spans="1:24" x14ac:dyDescent="0.25">
      <c r="O40" s="28" t="s">
        <v>94</v>
      </c>
      <c r="P40" s="32">
        <f>1-$K$27/($P$34+1/(1+N28)*P32)</f>
        <v>0.15383837738781003</v>
      </c>
    </row>
    <row r="42" spans="1:24" x14ac:dyDescent="0.25">
      <c r="O42" s="28" t="s">
        <v>109</v>
      </c>
      <c r="P42" s="56" t="e">
        <f>(F26*14*10^-6)/(E26*E31+F26*F31)*100</f>
        <v>#DIV/0!</v>
      </c>
    </row>
    <row r="43" spans="1:24" x14ac:dyDescent="0.25">
      <c r="O43" s="28" t="s">
        <v>108</v>
      </c>
      <c r="P43" s="56" t="e">
        <f>($AB$23*$P$33+$Q$28*$P$34+$P$32*$P$42)/$P$35</f>
        <v>#DIV/0!</v>
      </c>
    </row>
    <row r="44" spans="1:24" x14ac:dyDescent="0.25">
      <c r="O44" s="28" t="s">
        <v>112</v>
      </c>
      <c r="P44" s="56">
        <f>($AB$23*$P$33+$Q$28*$P$34)/($P$33+$P$34)</f>
        <v>2.6134337909528242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opLeftCell="K1" workbookViewId="0">
      <selection activeCell="T14" sqref="T14"/>
    </sheetView>
  </sheetViews>
  <sheetFormatPr baseColWidth="10" defaultRowHeight="15" x14ac:dyDescent="0.25"/>
  <cols>
    <col min="4" max="4" width="5.28515625" customWidth="1"/>
    <col min="5" max="5" width="16.7109375" bestFit="1" customWidth="1"/>
    <col min="6" max="6" width="21.85546875" bestFit="1" customWidth="1"/>
  </cols>
  <sheetData>
    <row r="1" spans="1:24" s="5" customFormat="1" x14ac:dyDescent="0.25">
      <c r="A1" s="5" t="s">
        <v>143</v>
      </c>
      <c r="B1" s="5" t="s">
        <v>144</v>
      </c>
      <c r="C1" s="5" t="s">
        <v>145</v>
      </c>
      <c r="D1" s="5" t="s">
        <v>146</v>
      </c>
      <c r="E1" s="5" t="s">
        <v>163</v>
      </c>
      <c r="F1" s="5" t="s">
        <v>164</v>
      </c>
      <c r="G1" s="5" t="s">
        <v>147</v>
      </c>
      <c r="H1" s="5" t="s">
        <v>148</v>
      </c>
      <c r="I1" s="5" t="s">
        <v>211</v>
      </c>
      <c r="J1" s="5" t="s">
        <v>150</v>
      </c>
      <c r="K1" s="5" t="s">
        <v>151</v>
      </c>
      <c r="L1" s="5" t="s">
        <v>212</v>
      </c>
      <c r="M1" s="5" t="s">
        <v>152</v>
      </c>
      <c r="N1" s="5" t="s">
        <v>153</v>
      </c>
      <c r="O1" s="5" t="s">
        <v>169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  <c r="U1" s="5" t="s">
        <v>159</v>
      </c>
      <c r="V1" s="5" t="s">
        <v>160</v>
      </c>
      <c r="W1" s="5" t="s">
        <v>161</v>
      </c>
      <c r="X1" s="5" t="s">
        <v>161</v>
      </c>
    </row>
    <row r="2" spans="1:24" x14ac:dyDescent="0.25">
      <c r="A2" s="84">
        <v>43111</v>
      </c>
      <c r="B2" t="s">
        <v>162</v>
      </c>
      <c r="C2" t="s">
        <v>149</v>
      </c>
      <c r="D2">
        <v>15</v>
      </c>
      <c r="E2">
        <v>0</v>
      </c>
      <c r="G2">
        <v>5.9</v>
      </c>
      <c r="H2">
        <v>1.2</v>
      </c>
      <c r="I2">
        <f t="shared" ref="I2:I11" si="0">G2+H2</f>
        <v>7.1000000000000005</v>
      </c>
      <c r="J2">
        <v>4.7</v>
      </c>
      <c r="K2">
        <v>1.2</v>
      </c>
      <c r="L2">
        <f t="shared" ref="L2:L11" si="1">J2+K2</f>
        <v>5.9</v>
      </c>
      <c r="M2">
        <v>4.2</v>
      </c>
      <c r="N2">
        <v>0.5</v>
      </c>
      <c r="O2">
        <f t="shared" ref="O2:O11" si="2">M2+N2</f>
        <v>4.7</v>
      </c>
      <c r="P2">
        <v>5.5E-2</v>
      </c>
      <c r="Q2">
        <v>1.4</v>
      </c>
      <c r="R2">
        <v>0.11</v>
      </c>
      <c r="S2">
        <v>4.2500000000000003E-2</v>
      </c>
      <c r="T2">
        <v>2.5000000000000001E-2</v>
      </c>
      <c r="U2">
        <v>0.01</v>
      </c>
      <c r="V2">
        <v>7.0000000000000001E-3</v>
      </c>
      <c r="X2">
        <v>0</v>
      </c>
    </row>
    <row r="3" spans="1:24" x14ac:dyDescent="0.25">
      <c r="A3" s="84">
        <v>43111</v>
      </c>
      <c r="B3" t="s">
        <v>162</v>
      </c>
      <c r="C3" t="s">
        <v>149</v>
      </c>
      <c r="D3">
        <v>21</v>
      </c>
      <c r="E3">
        <v>0</v>
      </c>
      <c r="G3">
        <v>5.3</v>
      </c>
      <c r="H3">
        <v>1.4</v>
      </c>
      <c r="I3">
        <f t="shared" si="0"/>
        <v>6.6999999999999993</v>
      </c>
      <c r="J3">
        <v>4.9000000000000004</v>
      </c>
      <c r="K3">
        <v>1.5</v>
      </c>
      <c r="L3">
        <f t="shared" si="1"/>
        <v>6.4</v>
      </c>
      <c r="M3">
        <v>4.3</v>
      </c>
      <c r="N3">
        <v>1.1000000000000001</v>
      </c>
      <c r="O3">
        <f t="shared" si="2"/>
        <v>5.4</v>
      </c>
      <c r="P3">
        <v>0.05</v>
      </c>
      <c r="Q3">
        <v>1.5</v>
      </c>
      <c r="R3">
        <v>0.11874999999999999</v>
      </c>
      <c r="S3">
        <v>4.4999999999999998E-2</v>
      </c>
      <c r="T3">
        <v>1.4999999999999999E-2</v>
      </c>
      <c r="U3">
        <v>0.01</v>
      </c>
      <c r="X3">
        <v>0</v>
      </c>
    </row>
    <row r="4" spans="1:24" x14ac:dyDescent="0.25">
      <c r="A4" s="84">
        <v>43111</v>
      </c>
      <c r="B4" t="s">
        <v>162</v>
      </c>
      <c r="C4" t="s">
        <v>149</v>
      </c>
      <c r="D4">
        <v>24</v>
      </c>
      <c r="E4">
        <v>0</v>
      </c>
      <c r="G4">
        <v>6.4</v>
      </c>
      <c r="H4">
        <v>1.7</v>
      </c>
      <c r="I4">
        <f t="shared" si="0"/>
        <v>8.1</v>
      </c>
      <c r="J4">
        <v>5.9</v>
      </c>
      <c r="K4">
        <v>1.8</v>
      </c>
      <c r="L4">
        <f t="shared" si="1"/>
        <v>7.7</v>
      </c>
      <c r="M4">
        <v>5.5</v>
      </c>
      <c r="N4">
        <v>0.57999999999999996</v>
      </c>
      <c r="O4">
        <f t="shared" si="2"/>
        <v>6.08</v>
      </c>
      <c r="P4">
        <v>3.7499999999999999E-2</v>
      </c>
      <c r="Q4">
        <v>1.2749999999999999</v>
      </c>
      <c r="R4">
        <v>9.6875000000000003E-2</v>
      </c>
      <c r="S4">
        <v>4.0625000000000001E-2</v>
      </c>
      <c r="T4">
        <v>2.3E-2</v>
      </c>
      <c r="U4">
        <v>7.0000000000000001E-3</v>
      </c>
      <c r="V4">
        <v>7.0000000000000001E-3</v>
      </c>
      <c r="W4">
        <v>0</v>
      </c>
      <c r="X4">
        <v>0</v>
      </c>
    </row>
    <row r="5" spans="1:24" x14ac:dyDescent="0.25">
      <c r="A5" s="84">
        <v>43111</v>
      </c>
      <c r="B5" t="s">
        <v>162</v>
      </c>
      <c r="C5" t="s">
        <v>149</v>
      </c>
      <c r="D5">
        <v>37</v>
      </c>
      <c r="E5">
        <v>0</v>
      </c>
      <c r="G5">
        <v>5.8</v>
      </c>
      <c r="H5">
        <v>1.6</v>
      </c>
      <c r="I5">
        <f t="shared" si="0"/>
        <v>7.4</v>
      </c>
      <c r="J5">
        <v>5.9</v>
      </c>
      <c r="K5">
        <v>1.6</v>
      </c>
      <c r="L5">
        <f t="shared" si="1"/>
        <v>7.5</v>
      </c>
      <c r="M5">
        <v>4.95</v>
      </c>
      <c r="N5">
        <v>0.8</v>
      </c>
      <c r="O5">
        <f t="shared" si="2"/>
        <v>5.75</v>
      </c>
      <c r="P5">
        <v>0.04</v>
      </c>
      <c r="Q5">
        <v>1.95</v>
      </c>
      <c r="R5">
        <v>0.109375</v>
      </c>
      <c r="S5">
        <v>4.0625000000000001E-2</v>
      </c>
      <c r="T5">
        <v>1.7000000000000001E-2</v>
      </c>
      <c r="U5">
        <v>1.2E-2</v>
      </c>
      <c r="W5">
        <v>0</v>
      </c>
      <c r="X5">
        <v>0</v>
      </c>
    </row>
    <row r="6" spans="1:24" x14ac:dyDescent="0.25">
      <c r="A6" s="84">
        <v>43111</v>
      </c>
      <c r="B6" t="s">
        <v>162</v>
      </c>
      <c r="C6" t="s">
        <v>149</v>
      </c>
      <c r="D6">
        <v>52</v>
      </c>
      <c r="E6" s="34">
        <v>0</v>
      </c>
      <c r="F6" s="34"/>
      <c r="G6">
        <v>5.9</v>
      </c>
      <c r="H6">
        <v>1.4</v>
      </c>
      <c r="I6">
        <f t="shared" si="0"/>
        <v>7.3000000000000007</v>
      </c>
      <c r="J6">
        <v>5.4</v>
      </c>
      <c r="K6">
        <v>1.6</v>
      </c>
      <c r="L6">
        <f t="shared" si="1"/>
        <v>7</v>
      </c>
      <c r="M6">
        <v>5.0999999999999996</v>
      </c>
      <c r="N6">
        <v>0.42</v>
      </c>
      <c r="O6">
        <f t="shared" si="2"/>
        <v>5.52</v>
      </c>
      <c r="P6">
        <v>0.03</v>
      </c>
      <c r="Q6">
        <v>1.2</v>
      </c>
      <c r="R6">
        <v>7.7499999999999999E-2</v>
      </c>
      <c r="S6">
        <v>3.2500000000000001E-2</v>
      </c>
      <c r="T6">
        <v>1.2999999999999999E-2</v>
      </c>
      <c r="U6">
        <v>1.2999999999999999E-2</v>
      </c>
      <c r="V6">
        <v>1.2E-2</v>
      </c>
      <c r="W6">
        <v>0</v>
      </c>
      <c r="X6" s="34"/>
    </row>
    <row r="7" spans="1:24" s="34" customFormat="1" x14ac:dyDescent="0.25">
      <c r="A7" s="84">
        <v>43111</v>
      </c>
      <c r="B7" t="s">
        <v>162</v>
      </c>
      <c r="C7" t="s">
        <v>149</v>
      </c>
      <c r="D7">
        <v>54</v>
      </c>
      <c r="E7" s="34">
        <v>0</v>
      </c>
      <c r="G7">
        <v>5.7</v>
      </c>
      <c r="H7">
        <v>1.4</v>
      </c>
      <c r="I7">
        <f t="shared" si="0"/>
        <v>7.1</v>
      </c>
      <c r="J7">
        <v>5</v>
      </c>
      <c r="K7">
        <v>1.5</v>
      </c>
      <c r="L7">
        <f t="shared" si="1"/>
        <v>6.5</v>
      </c>
      <c r="M7">
        <v>4.5999999999999996</v>
      </c>
      <c r="N7">
        <v>0.45</v>
      </c>
      <c r="O7">
        <f t="shared" si="2"/>
        <v>5.05</v>
      </c>
      <c r="P7">
        <v>2.75E-2</v>
      </c>
      <c r="Q7">
        <v>1</v>
      </c>
      <c r="R7">
        <v>0.08</v>
      </c>
      <c r="S7">
        <v>3.5000000000000003E-2</v>
      </c>
      <c r="T7">
        <v>1.7000000000000001E-2</v>
      </c>
      <c r="U7">
        <v>1.2999999999999999E-2</v>
      </c>
      <c r="V7">
        <v>7.0000000000000001E-3</v>
      </c>
      <c r="W7">
        <v>0</v>
      </c>
    </row>
    <row r="8" spans="1:24" x14ac:dyDescent="0.25">
      <c r="A8" s="84">
        <v>43111</v>
      </c>
      <c r="B8" t="s">
        <v>162</v>
      </c>
      <c r="C8" t="s">
        <v>149</v>
      </c>
      <c r="D8">
        <v>64</v>
      </c>
      <c r="E8" s="34">
        <v>0</v>
      </c>
      <c r="F8" s="34"/>
      <c r="G8">
        <v>5.6</v>
      </c>
      <c r="H8">
        <v>1.4</v>
      </c>
      <c r="I8">
        <f t="shared" si="0"/>
        <v>7</v>
      </c>
      <c r="J8">
        <v>5.5</v>
      </c>
      <c r="K8">
        <v>1.5</v>
      </c>
      <c r="L8">
        <f t="shared" si="1"/>
        <v>7</v>
      </c>
      <c r="M8">
        <v>4.8</v>
      </c>
      <c r="N8">
        <v>0.6</v>
      </c>
      <c r="O8">
        <f t="shared" si="2"/>
        <v>5.3999999999999995</v>
      </c>
      <c r="P8">
        <v>0</v>
      </c>
      <c r="Q8">
        <v>1.4</v>
      </c>
      <c r="X8" s="34">
        <v>0</v>
      </c>
    </row>
    <row r="9" spans="1:24" s="34" customFormat="1" x14ac:dyDescent="0.25">
      <c r="A9" s="84">
        <v>43111</v>
      </c>
      <c r="B9" t="s">
        <v>162</v>
      </c>
      <c r="C9" t="s">
        <v>149</v>
      </c>
      <c r="D9">
        <v>3</v>
      </c>
      <c r="E9">
        <v>1</v>
      </c>
      <c r="F9" t="s">
        <v>224</v>
      </c>
      <c r="G9">
        <v>5.4</v>
      </c>
      <c r="H9">
        <v>1.1000000000000001</v>
      </c>
      <c r="I9">
        <f t="shared" si="0"/>
        <v>6.5</v>
      </c>
      <c r="J9">
        <v>4.2</v>
      </c>
      <c r="K9">
        <v>1.2</v>
      </c>
      <c r="L9">
        <f t="shared" si="1"/>
        <v>5.4</v>
      </c>
      <c r="M9">
        <v>3.2</v>
      </c>
      <c r="N9">
        <v>1.05</v>
      </c>
      <c r="O9">
        <f t="shared" si="2"/>
        <v>4.25</v>
      </c>
      <c r="P9">
        <v>0.05</v>
      </c>
      <c r="Q9">
        <v>1.4</v>
      </c>
      <c r="R9">
        <v>0.215</v>
      </c>
      <c r="S9">
        <v>4.7500000000000001E-2</v>
      </c>
      <c r="T9">
        <v>1.7000000000000001E-2</v>
      </c>
      <c r="U9">
        <v>1.2E-2</v>
      </c>
      <c r="V9">
        <v>8.0000000000000002E-3</v>
      </c>
      <c r="W9"/>
      <c r="X9"/>
    </row>
    <row r="10" spans="1:24" x14ac:dyDescent="0.25">
      <c r="A10" s="84">
        <v>43111</v>
      </c>
      <c r="B10" t="s">
        <v>162</v>
      </c>
      <c r="C10" t="s">
        <v>149</v>
      </c>
      <c r="D10">
        <v>16</v>
      </c>
      <c r="E10">
        <v>1</v>
      </c>
      <c r="F10" t="s">
        <v>210</v>
      </c>
      <c r="G10">
        <v>6.9</v>
      </c>
      <c r="H10">
        <v>1.5</v>
      </c>
      <c r="I10">
        <f t="shared" si="0"/>
        <v>8.4</v>
      </c>
      <c r="J10">
        <v>6.1</v>
      </c>
      <c r="K10">
        <v>1.9</v>
      </c>
      <c r="L10">
        <f t="shared" si="1"/>
        <v>8</v>
      </c>
      <c r="M10">
        <v>5.8</v>
      </c>
      <c r="N10">
        <v>0.45</v>
      </c>
      <c r="O10">
        <f t="shared" si="2"/>
        <v>6.25</v>
      </c>
      <c r="P10">
        <v>4.0625000000000001E-2</v>
      </c>
      <c r="Q10">
        <v>1</v>
      </c>
      <c r="R10">
        <v>9.6875000000000003E-2</v>
      </c>
      <c r="S10">
        <v>3.7499999999999999E-2</v>
      </c>
      <c r="T10">
        <v>1.4999999999999999E-2</v>
      </c>
      <c r="U10">
        <v>0.01</v>
      </c>
      <c r="V10">
        <v>5.0000000000000001E-3</v>
      </c>
      <c r="X10">
        <v>0</v>
      </c>
    </row>
    <row r="11" spans="1:24" x14ac:dyDescent="0.25">
      <c r="A11" s="84">
        <v>43111</v>
      </c>
      <c r="B11" t="s">
        <v>162</v>
      </c>
      <c r="C11" t="s">
        <v>149</v>
      </c>
      <c r="D11">
        <v>55</v>
      </c>
      <c r="E11" s="34">
        <v>1</v>
      </c>
      <c r="F11" s="34" t="s">
        <v>210</v>
      </c>
      <c r="G11">
        <v>6.6</v>
      </c>
      <c r="H11">
        <v>1.7</v>
      </c>
      <c r="I11">
        <f t="shared" si="0"/>
        <v>8.2999999999999989</v>
      </c>
      <c r="J11">
        <v>6.1</v>
      </c>
      <c r="K11">
        <v>1.85</v>
      </c>
      <c r="L11">
        <f t="shared" si="1"/>
        <v>7.9499999999999993</v>
      </c>
      <c r="M11">
        <v>5.4</v>
      </c>
      <c r="N11">
        <v>1.05</v>
      </c>
      <c r="O11">
        <f t="shared" si="2"/>
        <v>6.45</v>
      </c>
      <c r="P11">
        <v>4.6875E-2</v>
      </c>
      <c r="Q11">
        <v>1.9</v>
      </c>
      <c r="R11">
        <v>0.11749999999999999</v>
      </c>
      <c r="S11">
        <v>4.2500000000000003E-2</v>
      </c>
      <c r="T11">
        <v>1.7000000000000001E-2</v>
      </c>
      <c r="U11">
        <v>0.01</v>
      </c>
      <c r="V11">
        <v>8.9999999999999993E-3</v>
      </c>
      <c r="W11">
        <v>0</v>
      </c>
      <c r="X11" s="34">
        <v>5.0000000000000001E-3</v>
      </c>
    </row>
    <row r="13" spans="1:24" x14ac:dyDescent="0.25">
      <c r="F13" s="87" t="s">
        <v>165</v>
      </c>
      <c r="G13" s="71">
        <f>AVERAGE(G2:G8)</f>
        <v>5.8000000000000016</v>
      </c>
      <c r="H13" s="71">
        <f t="shared" ref="H13:X13" si="3">AVERAGE(H2:H8)</f>
        <v>1.4428571428571431</v>
      </c>
      <c r="I13" s="71">
        <f t="shared" si="3"/>
        <v>7.242857142857142</v>
      </c>
      <c r="J13" s="71">
        <f t="shared" si="3"/>
        <v>5.3285714285714292</v>
      </c>
      <c r="K13" s="71">
        <f t="shared" si="3"/>
        <v>1.5285714285714285</v>
      </c>
      <c r="L13" s="71">
        <f t="shared" si="3"/>
        <v>6.8571428571428568</v>
      </c>
      <c r="M13" s="71">
        <f t="shared" si="3"/>
        <v>4.7785714285714276</v>
      </c>
      <c r="N13" s="71">
        <f t="shared" si="3"/>
        <v>0.63571428571428579</v>
      </c>
      <c r="O13" s="71">
        <f t="shared" si="3"/>
        <v>5.4142857142857137</v>
      </c>
      <c r="P13" s="71">
        <f t="shared" si="3"/>
        <v>3.4285714285714287E-2</v>
      </c>
      <c r="Q13" s="71">
        <f t="shared" si="3"/>
        <v>1.3892857142857142</v>
      </c>
      <c r="R13" s="71">
        <f t="shared" si="3"/>
        <v>9.8749999999999991E-2</v>
      </c>
      <c r="S13" s="71">
        <f t="shared" si="3"/>
        <v>3.9375E-2</v>
      </c>
      <c r="T13" s="71">
        <f t="shared" si="3"/>
        <v>1.8333333333333333E-2</v>
      </c>
      <c r="U13" s="71">
        <f t="shared" si="3"/>
        <v>1.0833333333333334E-2</v>
      </c>
      <c r="V13" s="71">
        <f t="shared" si="3"/>
        <v>8.2500000000000004E-3</v>
      </c>
      <c r="W13" s="71">
        <f t="shared" si="3"/>
        <v>0</v>
      </c>
      <c r="X13" s="71">
        <f t="shared" si="3"/>
        <v>0</v>
      </c>
    </row>
    <row r="14" spans="1:24" x14ac:dyDescent="0.25">
      <c r="F14" s="86" t="s">
        <v>166</v>
      </c>
      <c r="G14" s="27">
        <f>MEDIAN(G2:G8)</f>
        <v>5.8</v>
      </c>
      <c r="H14" s="27">
        <f t="shared" ref="H14:X14" si="4">MEDIAN(H2:H8)</f>
        <v>1.4</v>
      </c>
      <c r="I14" s="27">
        <f t="shared" si="4"/>
        <v>7.1000000000000005</v>
      </c>
      <c r="J14" s="27">
        <f t="shared" si="4"/>
        <v>5.4</v>
      </c>
      <c r="K14" s="27">
        <f t="shared" si="4"/>
        <v>1.5</v>
      </c>
      <c r="L14" s="27">
        <f t="shared" si="4"/>
        <v>7</v>
      </c>
      <c r="M14" s="27">
        <f t="shared" si="4"/>
        <v>4.8</v>
      </c>
      <c r="N14" s="27">
        <f t="shared" si="4"/>
        <v>0.57999999999999996</v>
      </c>
      <c r="O14" s="27">
        <f t="shared" si="4"/>
        <v>5.4</v>
      </c>
      <c r="P14" s="27">
        <f t="shared" si="4"/>
        <v>3.7499999999999999E-2</v>
      </c>
      <c r="Q14" s="27">
        <f t="shared" si="4"/>
        <v>1.4</v>
      </c>
      <c r="R14" s="27">
        <f t="shared" si="4"/>
        <v>0.10312499999999999</v>
      </c>
      <c r="S14" s="27">
        <f t="shared" si="4"/>
        <v>4.0625000000000001E-2</v>
      </c>
      <c r="T14" s="27">
        <f t="shared" si="4"/>
        <v>1.7000000000000001E-2</v>
      </c>
      <c r="U14" s="27">
        <f t="shared" si="4"/>
        <v>1.0999999999999999E-2</v>
      </c>
      <c r="V14" s="27">
        <f t="shared" si="4"/>
        <v>7.0000000000000001E-3</v>
      </c>
      <c r="W14" s="27">
        <f t="shared" si="4"/>
        <v>0</v>
      </c>
      <c r="X14" s="27">
        <f t="shared" si="4"/>
        <v>0</v>
      </c>
    </row>
    <row r="15" spans="1:24" x14ac:dyDescent="0.25">
      <c r="F15" s="5" t="s">
        <v>167</v>
      </c>
      <c r="G15" s="83">
        <f>_xlfn.STDEV.S(G2:G8)</f>
        <v>0.33665016461206948</v>
      </c>
      <c r="H15" s="83">
        <f t="shared" ref="H15:X15" si="5">_xlfn.STDEV.S(H2:H8)</f>
        <v>0.16183471874253347</v>
      </c>
      <c r="I15" s="83">
        <f t="shared" si="5"/>
        <v>0.43915503282683993</v>
      </c>
      <c r="J15" s="83">
        <f t="shared" si="5"/>
        <v>0.4785891965429423</v>
      </c>
      <c r="K15" s="83">
        <f t="shared" si="5"/>
        <v>0.17994708216848979</v>
      </c>
      <c r="L15" s="83">
        <f t="shared" si="5"/>
        <v>0.63471028261494455</v>
      </c>
      <c r="M15" s="83">
        <f t="shared" si="5"/>
        <v>0.45630503581955545</v>
      </c>
      <c r="N15" s="83">
        <f t="shared" si="5"/>
        <v>0.24026770783559623</v>
      </c>
      <c r="O15" s="83">
        <f t="shared" si="5"/>
        <v>0.44914203925770674</v>
      </c>
      <c r="P15" s="83">
        <f t="shared" si="5"/>
        <v>1.806898157722496E-2</v>
      </c>
      <c r="Q15" s="83">
        <f t="shared" si="5"/>
        <v>0.29645725621395225</v>
      </c>
      <c r="R15" s="83">
        <f t="shared" si="5"/>
        <v>1.7006432606516957E-2</v>
      </c>
      <c r="S15" s="83">
        <f t="shared" si="5"/>
        <v>4.7103609203541924E-3</v>
      </c>
      <c r="T15" s="83">
        <f t="shared" si="5"/>
        <v>4.6761807778000555E-3</v>
      </c>
      <c r="U15" s="83">
        <f t="shared" si="5"/>
        <v>2.3166067138525401E-3</v>
      </c>
      <c r="V15" s="83">
        <f t="shared" si="5"/>
        <v>2.5000000000000001E-3</v>
      </c>
      <c r="W15" s="83">
        <f t="shared" si="5"/>
        <v>0</v>
      </c>
      <c r="X15" s="83">
        <f t="shared" si="5"/>
        <v>0</v>
      </c>
    </row>
    <row r="17" spans="5:24" x14ac:dyDescent="0.25">
      <c r="G17">
        <f>IF(ABS(G13-G14)&gt;(G13*0.1),1,0)</f>
        <v>0</v>
      </c>
      <c r="H17">
        <f t="shared" ref="H17:X17" si="6">IF(ABS(H13-H14)&gt;(H13*0.1),1,0)</f>
        <v>0</v>
      </c>
      <c r="I17">
        <f t="shared" si="6"/>
        <v>0</v>
      </c>
      <c r="J17">
        <f t="shared" si="6"/>
        <v>0</v>
      </c>
      <c r="K17">
        <f t="shared" si="6"/>
        <v>0</v>
      </c>
      <c r="L17">
        <f t="shared" ref="L17" si="7">IF(ABS(L13-L14)&gt;(L13*0.1),1,0)</f>
        <v>0</v>
      </c>
      <c r="M17">
        <f t="shared" si="6"/>
        <v>0</v>
      </c>
      <c r="N17">
        <f>IF(ABS(N13-N14)&gt;(N13*0.1),1,0)</f>
        <v>0</v>
      </c>
      <c r="O17">
        <f t="shared" si="6"/>
        <v>0</v>
      </c>
      <c r="P17">
        <f t="shared" si="6"/>
        <v>0</v>
      </c>
      <c r="Q17">
        <f t="shared" si="6"/>
        <v>0</v>
      </c>
      <c r="R17">
        <f t="shared" si="6"/>
        <v>0</v>
      </c>
      <c r="S17">
        <f t="shared" si="6"/>
        <v>0</v>
      </c>
      <c r="T17">
        <f t="shared" si="6"/>
        <v>0</v>
      </c>
      <c r="U17">
        <f t="shared" si="6"/>
        <v>0</v>
      </c>
      <c r="V17">
        <f>IF(ABS(V13-V14)&gt;(V13*0.1),1,0)</f>
        <v>1</v>
      </c>
      <c r="W17">
        <f t="shared" si="6"/>
        <v>0</v>
      </c>
      <c r="X17">
        <f t="shared" si="6"/>
        <v>0</v>
      </c>
    </row>
    <row r="19" spans="5:24" x14ac:dyDescent="0.25"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  <c r="M19" t="s">
        <v>221</v>
      </c>
      <c r="N19" t="s">
        <v>222</v>
      </c>
      <c r="O19" t="s">
        <v>223</v>
      </c>
    </row>
    <row r="20" spans="5:24" x14ac:dyDescent="0.25">
      <c r="E20">
        <v>1</v>
      </c>
      <c r="F20">
        <v>6.5</v>
      </c>
      <c r="G20">
        <v>7.1000000000000005</v>
      </c>
      <c r="H20">
        <v>6.6999999999999993</v>
      </c>
      <c r="I20">
        <v>8.1</v>
      </c>
      <c r="J20">
        <v>7.4</v>
      </c>
      <c r="K20">
        <v>7.3000000000000007</v>
      </c>
      <c r="L20">
        <v>7.1</v>
      </c>
      <c r="M20">
        <v>7</v>
      </c>
      <c r="N20">
        <v>8.4</v>
      </c>
      <c r="O20">
        <v>8.2999999999999989</v>
      </c>
    </row>
    <row r="21" spans="5:24" x14ac:dyDescent="0.25">
      <c r="E21">
        <v>2</v>
      </c>
      <c r="F21">
        <v>5.4</v>
      </c>
      <c r="G21">
        <v>5.9</v>
      </c>
      <c r="H21">
        <v>6.4</v>
      </c>
      <c r="I21">
        <v>7.7</v>
      </c>
      <c r="J21">
        <v>7.5</v>
      </c>
      <c r="K21">
        <v>7</v>
      </c>
      <c r="L21">
        <v>6.5</v>
      </c>
      <c r="M21">
        <v>7</v>
      </c>
      <c r="N21">
        <v>8</v>
      </c>
      <c r="O21">
        <v>7.9499999999999993</v>
      </c>
    </row>
    <row r="22" spans="5:24" x14ac:dyDescent="0.25">
      <c r="E22">
        <v>3</v>
      </c>
      <c r="F22">
        <v>4.25</v>
      </c>
      <c r="G22">
        <v>4.7</v>
      </c>
      <c r="H22">
        <v>5.4</v>
      </c>
      <c r="I22">
        <v>6.08</v>
      </c>
      <c r="J22">
        <v>5.75</v>
      </c>
      <c r="K22">
        <v>5.52</v>
      </c>
      <c r="L22">
        <v>5.05</v>
      </c>
      <c r="M22">
        <v>5.3999999999999995</v>
      </c>
      <c r="N22">
        <v>6.25</v>
      </c>
      <c r="O22">
        <v>6.45</v>
      </c>
    </row>
    <row r="23" spans="5:24" x14ac:dyDescent="0.25">
      <c r="E23">
        <v>4</v>
      </c>
      <c r="F23">
        <v>1.4</v>
      </c>
      <c r="G23">
        <v>1.4</v>
      </c>
      <c r="H23">
        <v>1.5</v>
      </c>
      <c r="I23">
        <v>1.2749999999999999</v>
      </c>
      <c r="J23">
        <v>1.95</v>
      </c>
      <c r="K23">
        <v>1.2</v>
      </c>
      <c r="L23">
        <v>1</v>
      </c>
      <c r="M23">
        <v>1.4</v>
      </c>
      <c r="N23">
        <v>1</v>
      </c>
      <c r="O23">
        <v>1.9</v>
      </c>
    </row>
    <row r="24" spans="5:24" x14ac:dyDescent="0.25">
      <c r="E24">
        <v>5</v>
      </c>
      <c r="F24">
        <v>0.215</v>
      </c>
      <c r="G24">
        <v>0.11</v>
      </c>
      <c r="H24">
        <v>0.11874999999999999</v>
      </c>
      <c r="I24">
        <v>9.6875000000000003E-2</v>
      </c>
      <c r="J24">
        <v>0.109375</v>
      </c>
      <c r="K24">
        <v>7.7499999999999999E-2</v>
      </c>
      <c r="L24">
        <v>0.08</v>
      </c>
      <c r="N24">
        <v>9.6875000000000003E-2</v>
      </c>
      <c r="O24">
        <v>0.11749999999999999</v>
      </c>
    </row>
    <row r="25" spans="5:24" x14ac:dyDescent="0.25">
      <c r="E25">
        <v>6</v>
      </c>
      <c r="F25">
        <v>4.7500000000000001E-2</v>
      </c>
      <c r="G25">
        <v>4.2500000000000003E-2</v>
      </c>
      <c r="H25">
        <v>4.4999999999999998E-2</v>
      </c>
      <c r="I25">
        <v>4.0625000000000001E-2</v>
      </c>
      <c r="J25">
        <v>4.0625000000000001E-2</v>
      </c>
      <c r="K25">
        <v>3.2500000000000001E-2</v>
      </c>
      <c r="L25">
        <v>3.5000000000000003E-2</v>
      </c>
      <c r="N25">
        <v>3.7499999999999999E-2</v>
      </c>
      <c r="O25">
        <v>4.2500000000000003E-2</v>
      </c>
    </row>
    <row r="26" spans="5:24" x14ac:dyDescent="0.25">
      <c r="E26">
        <v>7</v>
      </c>
      <c r="F26">
        <v>1.7000000000000001E-2</v>
      </c>
      <c r="G26">
        <v>2.5000000000000001E-2</v>
      </c>
      <c r="H26">
        <v>1.4999999999999999E-2</v>
      </c>
      <c r="I26">
        <v>2.3E-2</v>
      </c>
      <c r="J26">
        <v>1.7000000000000001E-2</v>
      </c>
      <c r="K26">
        <v>1.2999999999999999E-2</v>
      </c>
      <c r="L26">
        <v>1.7000000000000001E-2</v>
      </c>
      <c r="N26">
        <v>1.4999999999999999E-2</v>
      </c>
      <c r="O26">
        <v>1.7000000000000001E-2</v>
      </c>
    </row>
    <row r="27" spans="5:24" x14ac:dyDescent="0.25">
      <c r="E27">
        <v>8</v>
      </c>
      <c r="F27">
        <v>1.2E-2</v>
      </c>
      <c r="G27">
        <v>0.01</v>
      </c>
      <c r="H27">
        <v>0.01</v>
      </c>
      <c r="I27">
        <v>7.0000000000000001E-3</v>
      </c>
      <c r="J27">
        <v>1.2E-2</v>
      </c>
      <c r="K27">
        <v>1.2999999999999999E-2</v>
      </c>
      <c r="L27">
        <v>1.2999999999999999E-2</v>
      </c>
      <c r="N27">
        <v>0.01</v>
      </c>
      <c r="O27">
        <v>0.01</v>
      </c>
    </row>
    <row r="28" spans="5:24" x14ac:dyDescent="0.25">
      <c r="E28">
        <v>9</v>
      </c>
      <c r="F28">
        <v>8.0000000000000002E-3</v>
      </c>
      <c r="G28">
        <v>7.0000000000000001E-3</v>
      </c>
      <c r="I28">
        <v>7.0000000000000001E-3</v>
      </c>
      <c r="K28">
        <v>1.2E-2</v>
      </c>
      <c r="L28">
        <v>7.0000000000000001E-3</v>
      </c>
      <c r="N28">
        <v>5.0000000000000001E-3</v>
      </c>
      <c r="O28">
        <v>8.9999999999999993E-3</v>
      </c>
    </row>
    <row r="29" spans="5:24" x14ac:dyDescent="0.25">
      <c r="E29">
        <v>10</v>
      </c>
      <c r="I29">
        <v>0</v>
      </c>
      <c r="J29">
        <v>0</v>
      </c>
      <c r="K29">
        <v>0</v>
      </c>
      <c r="L29">
        <v>0</v>
      </c>
      <c r="O29">
        <v>0</v>
      </c>
    </row>
  </sheetData>
  <sortState ref="A2:X11">
    <sortCondition ref="E2:E11"/>
    <sortCondition ref="D2:D11"/>
  </sortState>
  <conditionalFormatting sqref="G17:H17 J17:X17">
    <cfRule type="cellIs" dxfId="1" priority="2" operator="equal">
      <formula>1</formula>
    </cfRule>
  </conditionalFormatting>
  <conditionalFormatting sqref="I17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F19" sqref="F19"/>
    </sheetView>
  </sheetViews>
  <sheetFormatPr baseColWidth="10" defaultRowHeight="15" x14ac:dyDescent="0.25"/>
  <sheetData>
    <row r="1" spans="1:6" x14ac:dyDescent="0.25">
      <c r="A1" t="s">
        <v>199</v>
      </c>
    </row>
    <row r="3" spans="1:6" x14ac:dyDescent="0.25">
      <c r="D3" s="2" t="s">
        <v>201</v>
      </c>
    </row>
    <row r="4" spans="1:6" x14ac:dyDescent="0.25">
      <c r="A4" s="83" t="s">
        <v>145</v>
      </c>
      <c r="B4" s="83" t="s">
        <v>172</v>
      </c>
      <c r="C4" s="83" t="s">
        <v>183</v>
      </c>
      <c r="D4" s="83" t="s">
        <v>187</v>
      </c>
      <c r="E4" s="83" t="s">
        <v>188</v>
      </c>
      <c r="F4" s="83" t="s">
        <v>189</v>
      </c>
    </row>
    <row r="5" spans="1:6" x14ac:dyDescent="0.25">
      <c r="A5" t="s">
        <v>149</v>
      </c>
      <c r="B5">
        <v>1</v>
      </c>
      <c r="C5">
        <v>1</v>
      </c>
      <c r="D5">
        <v>9.4870380000000001</v>
      </c>
      <c r="E5">
        <v>1.337491</v>
      </c>
      <c r="F5">
        <v>3</v>
      </c>
    </row>
    <row r="6" spans="1:6" x14ac:dyDescent="0.25">
      <c r="A6" t="s">
        <v>149</v>
      </c>
      <c r="B6">
        <v>2</v>
      </c>
      <c r="C6">
        <v>2</v>
      </c>
      <c r="D6" t="s">
        <v>200</v>
      </c>
      <c r="E6" t="s">
        <v>32</v>
      </c>
      <c r="F6">
        <v>0</v>
      </c>
    </row>
    <row r="7" spans="1:6" x14ac:dyDescent="0.25">
      <c r="A7" t="s">
        <v>149</v>
      </c>
      <c r="B7">
        <v>3</v>
      </c>
      <c r="C7">
        <v>3</v>
      </c>
      <c r="D7" t="s">
        <v>200</v>
      </c>
      <c r="E7" t="s">
        <v>32</v>
      </c>
      <c r="F7">
        <v>0</v>
      </c>
    </row>
    <row r="8" spans="1:6" x14ac:dyDescent="0.25">
      <c r="A8" t="s">
        <v>149</v>
      </c>
      <c r="B8">
        <v>4</v>
      </c>
      <c r="C8">
        <v>4</v>
      </c>
      <c r="D8">
        <v>16.418351999999999</v>
      </c>
      <c r="E8">
        <v>0.86690540000000005</v>
      </c>
      <c r="F8">
        <v>3</v>
      </c>
    </row>
    <row r="9" spans="1:6" x14ac:dyDescent="0.25">
      <c r="A9" t="s">
        <v>149</v>
      </c>
      <c r="B9">
        <v>5</v>
      </c>
      <c r="C9">
        <v>5</v>
      </c>
      <c r="D9">
        <v>16.771567000000001</v>
      </c>
      <c r="E9">
        <v>1.822109</v>
      </c>
      <c r="F9">
        <v>3</v>
      </c>
    </row>
    <row r="10" spans="1:6" x14ac:dyDescent="0.25">
      <c r="A10" t="s">
        <v>149</v>
      </c>
      <c r="B10">
        <v>6</v>
      </c>
      <c r="C10">
        <v>6</v>
      </c>
      <c r="D10">
        <v>24.672715</v>
      </c>
      <c r="E10">
        <v>3.5307265999999999</v>
      </c>
      <c r="F10">
        <v>3</v>
      </c>
    </row>
    <row r="11" spans="1:6" x14ac:dyDescent="0.25">
      <c r="A11" t="s">
        <v>149</v>
      </c>
      <c r="B11">
        <v>7</v>
      </c>
      <c r="C11">
        <v>7</v>
      </c>
      <c r="D11" t="s">
        <v>200</v>
      </c>
      <c r="E11" t="s">
        <v>32</v>
      </c>
      <c r="F11">
        <v>0</v>
      </c>
    </row>
    <row r="12" spans="1:6" x14ac:dyDescent="0.25">
      <c r="A12" t="s">
        <v>149</v>
      </c>
      <c r="B12">
        <v>8</v>
      </c>
      <c r="C12">
        <v>8</v>
      </c>
      <c r="D12" t="s">
        <v>200</v>
      </c>
      <c r="E12" t="s">
        <v>32</v>
      </c>
      <c r="F12">
        <v>0</v>
      </c>
    </row>
    <row r="13" spans="1:6" x14ac:dyDescent="0.25">
      <c r="A13" t="s">
        <v>149</v>
      </c>
      <c r="B13">
        <v>9</v>
      </c>
      <c r="C13">
        <v>9</v>
      </c>
      <c r="D13">
        <v>25.199466000000001</v>
      </c>
      <c r="E13">
        <v>0.1139115</v>
      </c>
      <c r="F13">
        <v>3</v>
      </c>
    </row>
    <row r="14" spans="1:6" x14ac:dyDescent="0.25">
      <c r="A14" t="s">
        <v>149</v>
      </c>
      <c r="B14">
        <v>10</v>
      </c>
      <c r="C14">
        <v>10</v>
      </c>
      <c r="D14">
        <v>28.728345999999998</v>
      </c>
      <c r="E14">
        <v>0.6943416</v>
      </c>
      <c r="F14">
        <v>3</v>
      </c>
    </row>
    <row r="15" spans="1:6" x14ac:dyDescent="0.25">
      <c r="A15" t="s">
        <v>149</v>
      </c>
      <c r="B15">
        <v>11</v>
      </c>
      <c r="C15">
        <v>11</v>
      </c>
      <c r="D15">
        <v>35.691764999999997</v>
      </c>
      <c r="E15">
        <v>4.7593869</v>
      </c>
      <c r="F15">
        <v>3</v>
      </c>
    </row>
    <row r="16" spans="1:6" x14ac:dyDescent="0.25">
      <c r="A16" t="s">
        <v>149</v>
      </c>
      <c r="B16">
        <v>12</v>
      </c>
      <c r="C16">
        <v>12</v>
      </c>
      <c r="D16" t="s">
        <v>200</v>
      </c>
      <c r="E16" t="s">
        <v>32</v>
      </c>
      <c r="F16">
        <v>0</v>
      </c>
    </row>
    <row r="18" spans="1:8" x14ac:dyDescent="0.25">
      <c r="F18" s="2" t="s">
        <v>205</v>
      </c>
    </row>
    <row r="19" spans="1:8" x14ac:dyDescent="0.25">
      <c r="A19" s="83" t="s">
        <v>145</v>
      </c>
      <c r="B19" s="83" t="s">
        <v>172</v>
      </c>
      <c r="C19" s="83" t="s">
        <v>202</v>
      </c>
      <c r="D19" s="83" t="s">
        <v>203</v>
      </c>
      <c r="E19" s="83" t="s">
        <v>183</v>
      </c>
      <c r="F19" s="83" t="s">
        <v>187</v>
      </c>
      <c r="G19" s="83" t="s">
        <v>188</v>
      </c>
      <c r="H19" s="83" t="s">
        <v>189</v>
      </c>
    </row>
    <row r="20" spans="1:8" x14ac:dyDescent="0.25">
      <c r="A20" t="s">
        <v>149</v>
      </c>
      <c r="B20">
        <v>1</v>
      </c>
      <c r="C20" t="s">
        <v>204</v>
      </c>
      <c r="D20" t="s">
        <v>204</v>
      </c>
      <c r="E20">
        <v>1</v>
      </c>
      <c r="F20">
        <v>5.2012250000000003E-2</v>
      </c>
      <c r="G20">
        <v>1.194633E-2</v>
      </c>
      <c r="H20">
        <v>3</v>
      </c>
    </row>
    <row r="21" spans="1:8" x14ac:dyDescent="0.25">
      <c r="A21" t="s">
        <v>149</v>
      </c>
      <c r="B21">
        <v>4</v>
      </c>
      <c r="C21" t="s">
        <v>204</v>
      </c>
      <c r="D21" t="s">
        <v>204</v>
      </c>
      <c r="E21">
        <v>4</v>
      </c>
      <c r="F21">
        <v>8.8981309999999994E-2</v>
      </c>
      <c r="G21">
        <v>2.7574660000000001E-2</v>
      </c>
      <c r="H21">
        <v>3</v>
      </c>
    </row>
    <row r="22" spans="1:8" x14ac:dyDescent="0.25">
      <c r="A22" t="s">
        <v>149</v>
      </c>
      <c r="B22">
        <v>5</v>
      </c>
      <c r="C22" t="s">
        <v>204</v>
      </c>
      <c r="D22" t="s">
        <v>204</v>
      </c>
      <c r="E22">
        <v>5</v>
      </c>
      <c r="F22">
        <v>0.13579336</v>
      </c>
      <c r="G22">
        <v>2.5830260000000001E-2</v>
      </c>
      <c r="H22">
        <v>3</v>
      </c>
    </row>
    <row r="23" spans="1:8" x14ac:dyDescent="0.25">
      <c r="A23" t="s">
        <v>149</v>
      </c>
      <c r="B23">
        <v>6</v>
      </c>
      <c r="C23" t="s">
        <v>204</v>
      </c>
      <c r="D23" t="s">
        <v>204</v>
      </c>
      <c r="E23">
        <v>6</v>
      </c>
      <c r="F23">
        <v>0.24603174999999999</v>
      </c>
      <c r="G23">
        <v>3.4846219999999997E-2</v>
      </c>
      <c r="H23">
        <v>3</v>
      </c>
    </row>
    <row r="24" spans="1:8" x14ac:dyDescent="0.25">
      <c r="A24" t="s">
        <v>149</v>
      </c>
      <c r="B24">
        <v>7</v>
      </c>
      <c r="C24" t="s">
        <v>204</v>
      </c>
      <c r="D24" t="s">
        <v>204</v>
      </c>
      <c r="E24">
        <v>7</v>
      </c>
      <c r="F24">
        <v>0.32840873999999998</v>
      </c>
      <c r="G24">
        <v>5.3416119999999997E-2</v>
      </c>
      <c r="H24">
        <v>3</v>
      </c>
    </row>
    <row r="25" spans="1:8" x14ac:dyDescent="0.25">
      <c r="A25" t="s">
        <v>149</v>
      </c>
      <c r="B25">
        <v>8</v>
      </c>
      <c r="C25" t="s">
        <v>179</v>
      </c>
      <c r="D25" t="s">
        <v>179</v>
      </c>
      <c r="E25">
        <v>8</v>
      </c>
      <c r="F25">
        <v>2.91296095</v>
      </c>
      <c r="G25">
        <v>0.85474024999999998</v>
      </c>
      <c r="H25">
        <v>2</v>
      </c>
    </row>
    <row r="26" spans="1:8" x14ac:dyDescent="0.25">
      <c r="A26" t="s">
        <v>149</v>
      </c>
      <c r="B26">
        <v>8</v>
      </c>
      <c r="C26" t="s">
        <v>204</v>
      </c>
      <c r="D26" t="s">
        <v>204</v>
      </c>
      <c r="E26">
        <v>8</v>
      </c>
      <c r="F26">
        <v>0.32527008000000002</v>
      </c>
      <c r="G26">
        <v>1.9501750000000002E-2</v>
      </c>
      <c r="H26">
        <v>3</v>
      </c>
    </row>
    <row r="27" spans="1:8" x14ac:dyDescent="0.25">
      <c r="A27" t="s">
        <v>149</v>
      </c>
      <c r="B27">
        <v>9</v>
      </c>
      <c r="C27" t="s">
        <v>179</v>
      </c>
      <c r="D27" t="s">
        <v>179</v>
      </c>
      <c r="E27">
        <v>9</v>
      </c>
      <c r="F27">
        <v>1.9277526899999999</v>
      </c>
      <c r="G27">
        <v>0.30306910999999997</v>
      </c>
      <c r="H27">
        <v>3</v>
      </c>
    </row>
    <row r="28" spans="1:8" x14ac:dyDescent="0.25">
      <c r="A28" t="s">
        <v>149</v>
      </c>
      <c r="B28">
        <v>9</v>
      </c>
      <c r="C28" t="s">
        <v>204</v>
      </c>
      <c r="D28" t="s">
        <v>204</v>
      </c>
      <c r="E28">
        <v>9</v>
      </c>
      <c r="F28">
        <v>0.39298825999999998</v>
      </c>
      <c r="G28">
        <v>1.7954009999999999E-2</v>
      </c>
      <c r="H28">
        <v>3</v>
      </c>
    </row>
    <row r="29" spans="1:8" x14ac:dyDescent="0.25">
      <c r="A29" t="s">
        <v>149</v>
      </c>
      <c r="B29">
        <v>10</v>
      </c>
      <c r="C29" t="s">
        <v>179</v>
      </c>
      <c r="D29" t="s">
        <v>179</v>
      </c>
      <c r="E29">
        <v>10</v>
      </c>
      <c r="F29">
        <v>1.5962586299999999</v>
      </c>
      <c r="G29">
        <v>0.32900546000000003</v>
      </c>
      <c r="H29">
        <v>3</v>
      </c>
    </row>
    <row r="30" spans="1:8" x14ac:dyDescent="0.25">
      <c r="A30" t="s">
        <v>149</v>
      </c>
      <c r="B30">
        <v>10</v>
      </c>
      <c r="C30" t="s">
        <v>204</v>
      </c>
      <c r="D30" t="s">
        <v>204</v>
      </c>
      <c r="E30">
        <v>10</v>
      </c>
      <c r="F30">
        <v>0.51886555000000001</v>
      </c>
      <c r="G30">
        <v>3.2235760000000002E-2</v>
      </c>
      <c r="H30">
        <v>3</v>
      </c>
    </row>
    <row r="31" spans="1:8" x14ac:dyDescent="0.25">
      <c r="A31" t="s">
        <v>149</v>
      </c>
      <c r="B31">
        <v>11</v>
      </c>
      <c r="C31" t="s">
        <v>179</v>
      </c>
      <c r="D31" t="s">
        <v>179</v>
      </c>
      <c r="E31">
        <v>11</v>
      </c>
      <c r="F31">
        <v>1.40715641</v>
      </c>
      <c r="G31">
        <v>0.19438203000000001</v>
      </c>
      <c r="H31">
        <v>3</v>
      </c>
    </row>
    <row r="32" spans="1:8" x14ac:dyDescent="0.25">
      <c r="A32" t="s">
        <v>149</v>
      </c>
      <c r="B32">
        <v>11</v>
      </c>
      <c r="C32" t="s">
        <v>204</v>
      </c>
      <c r="D32" t="s">
        <v>204</v>
      </c>
      <c r="E32">
        <v>11</v>
      </c>
      <c r="F32">
        <v>0.61157242000000001</v>
      </c>
      <c r="G32">
        <v>5.767125E-2</v>
      </c>
      <c r="H32">
        <v>3</v>
      </c>
    </row>
    <row r="33" spans="1:8" x14ac:dyDescent="0.25">
      <c r="A33" t="s">
        <v>149</v>
      </c>
      <c r="B33">
        <v>12</v>
      </c>
      <c r="C33" t="s">
        <v>179</v>
      </c>
      <c r="D33" t="s">
        <v>179</v>
      </c>
      <c r="E33">
        <v>12</v>
      </c>
      <c r="F33">
        <v>0.686002</v>
      </c>
      <c r="G33">
        <v>8.955921E-2</v>
      </c>
      <c r="H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B1" workbookViewId="0">
      <selection activeCell="M28" sqref="M28"/>
    </sheetView>
  </sheetViews>
  <sheetFormatPr baseColWidth="10" defaultRowHeight="15" x14ac:dyDescent="0.25"/>
  <cols>
    <col min="1" max="1" width="6.28515625" customWidth="1"/>
    <col min="2" max="2" width="9.85546875" customWidth="1"/>
    <col min="3" max="3" width="7.7109375" customWidth="1"/>
    <col min="7" max="7" width="5.42578125" customWidth="1"/>
    <col min="9" max="9" width="7.5703125" customWidth="1"/>
  </cols>
  <sheetData>
    <row r="1" spans="1:13" s="5" customFormat="1" x14ac:dyDescent="0.25">
      <c r="A1" s="5" t="s">
        <v>145</v>
      </c>
      <c r="B1" s="5" t="s">
        <v>144</v>
      </c>
      <c r="C1" s="5" t="s">
        <v>146</v>
      </c>
      <c r="D1" s="5" t="s">
        <v>163</v>
      </c>
      <c r="E1" s="5" t="s">
        <v>164</v>
      </c>
      <c r="F1" s="5" t="s">
        <v>143</v>
      </c>
      <c r="G1" s="5" t="s">
        <v>171</v>
      </c>
      <c r="H1" s="5" t="s">
        <v>172</v>
      </c>
      <c r="I1" s="5" t="s">
        <v>173</v>
      </c>
      <c r="J1" s="5" t="s">
        <v>174</v>
      </c>
      <c r="K1" s="5" t="s">
        <v>175</v>
      </c>
      <c r="L1" s="5" t="s">
        <v>176</v>
      </c>
      <c r="M1" s="5" t="s">
        <v>177</v>
      </c>
    </row>
    <row r="2" spans="1:13" s="36" customFormat="1" x14ac:dyDescent="0.25">
      <c r="A2" s="36" t="s">
        <v>149</v>
      </c>
      <c r="B2" s="36" t="s">
        <v>162</v>
      </c>
      <c r="C2" s="36">
        <v>15</v>
      </c>
      <c r="D2" s="36">
        <f>VLOOKUP(C2,Scans_F4point!$D$1:$F$11,2,FALSE)</f>
        <v>0</v>
      </c>
      <c r="E2" s="36">
        <f>VLOOKUP(C2,Scans_F4point!$D$1:$F$11,3,FALSE)</f>
        <v>0</v>
      </c>
      <c r="F2" s="106">
        <v>43111</v>
      </c>
      <c r="G2" s="36" t="s">
        <v>76</v>
      </c>
      <c r="H2" s="36">
        <v>1</v>
      </c>
      <c r="I2" s="36" t="s">
        <v>178</v>
      </c>
      <c r="J2" s="36">
        <v>1.4950000000000001</v>
      </c>
      <c r="K2" s="36">
        <v>0.57799999999999996</v>
      </c>
      <c r="L2" s="36">
        <v>5.9029999999999996</v>
      </c>
      <c r="M2" s="36">
        <v>0.33700000000000002</v>
      </c>
    </row>
    <row r="3" spans="1:13" s="36" customFormat="1" x14ac:dyDescent="0.25">
      <c r="A3" s="36" t="s">
        <v>149</v>
      </c>
      <c r="B3" s="36" t="s">
        <v>162</v>
      </c>
      <c r="C3" s="36">
        <v>21</v>
      </c>
      <c r="D3" s="36">
        <f>VLOOKUP(C3,Scans_F4point!$D$1:$F$11,2,FALSE)</f>
        <v>0</v>
      </c>
      <c r="E3" s="36">
        <f>VLOOKUP(C3,Scans_F4point!$D$1:$F$11,3,FALSE)</f>
        <v>0</v>
      </c>
      <c r="F3" s="106">
        <v>43111</v>
      </c>
      <c r="G3" s="36" t="s">
        <v>76</v>
      </c>
      <c r="H3" s="36">
        <v>1</v>
      </c>
      <c r="I3" s="36" t="s">
        <v>178</v>
      </c>
      <c r="J3" s="36">
        <v>0.755</v>
      </c>
      <c r="K3" s="36">
        <v>0.41299999999999998</v>
      </c>
      <c r="L3" s="36">
        <v>5.1749999999999998</v>
      </c>
      <c r="M3" s="36">
        <v>0.20499999999999999</v>
      </c>
    </row>
    <row r="4" spans="1:13" s="36" customFormat="1" x14ac:dyDescent="0.25">
      <c r="A4" s="36" t="s">
        <v>149</v>
      </c>
      <c r="B4" s="36" t="s">
        <v>162</v>
      </c>
      <c r="C4" s="36">
        <v>24</v>
      </c>
      <c r="D4" s="36">
        <f>VLOOKUP(C4,Scans_F4point!$D$1:$F$11,2,FALSE)</f>
        <v>0</v>
      </c>
      <c r="E4" s="36">
        <f>VLOOKUP(C4,Scans_F4point!$D$1:$F$11,3,FALSE)</f>
        <v>0</v>
      </c>
      <c r="F4" s="106">
        <v>43111</v>
      </c>
      <c r="G4" s="36" t="s">
        <v>76</v>
      </c>
      <c r="H4" s="36">
        <v>1</v>
      </c>
      <c r="I4" s="36" t="s">
        <v>178</v>
      </c>
      <c r="J4" s="36">
        <v>1.8129999999999999</v>
      </c>
      <c r="K4" s="36">
        <v>0.79400000000000004</v>
      </c>
      <c r="L4" s="36">
        <v>6.3579999999999997</v>
      </c>
      <c r="M4" s="36">
        <v>0.318</v>
      </c>
    </row>
    <row r="5" spans="1:13" s="36" customFormat="1" x14ac:dyDescent="0.25">
      <c r="A5" s="36" t="s">
        <v>149</v>
      </c>
      <c r="B5" s="36" t="s">
        <v>162</v>
      </c>
      <c r="C5" s="36">
        <v>37</v>
      </c>
      <c r="D5" s="36">
        <f>VLOOKUP(C5,Scans_F4point!$D$1:$F$11,2,FALSE)</f>
        <v>0</v>
      </c>
      <c r="E5" s="36">
        <f>VLOOKUP(C5,Scans_F4point!$D$1:$F$11,3,FALSE)</f>
        <v>0</v>
      </c>
      <c r="F5" s="106">
        <v>43111</v>
      </c>
      <c r="G5" s="36" t="s">
        <v>76</v>
      </c>
      <c r="H5" s="36">
        <v>1</v>
      </c>
      <c r="I5" s="36" t="s">
        <v>178</v>
      </c>
      <c r="J5" s="36">
        <v>1.2230000000000001</v>
      </c>
      <c r="K5" s="36">
        <v>1.0920000000000001</v>
      </c>
      <c r="L5" s="36">
        <v>5.6239999999999997</v>
      </c>
      <c r="M5" s="36">
        <v>0.29199999999999998</v>
      </c>
    </row>
    <row r="6" spans="1:13" s="36" customFormat="1" x14ac:dyDescent="0.25">
      <c r="A6" s="36" t="s">
        <v>149</v>
      </c>
      <c r="B6" s="36" t="s">
        <v>162</v>
      </c>
      <c r="C6" s="36">
        <v>52</v>
      </c>
      <c r="D6" s="36">
        <f>VLOOKUP(C6,Scans_F4point!$D$1:$F$11,2,FALSE)</f>
        <v>0</v>
      </c>
      <c r="E6" s="36">
        <f>VLOOKUP(C6,Scans_F4point!$D$1:$F$11,3,FALSE)</f>
        <v>0</v>
      </c>
      <c r="F6" s="106">
        <v>43111</v>
      </c>
      <c r="G6" s="36" t="s">
        <v>76</v>
      </c>
      <c r="H6" s="36">
        <v>1</v>
      </c>
      <c r="I6" s="36" t="s">
        <v>178</v>
      </c>
      <c r="J6" s="36">
        <v>1.1040000000000001</v>
      </c>
      <c r="K6" s="36">
        <v>0.32600000000000001</v>
      </c>
      <c r="L6" s="36">
        <v>5.774</v>
      </c>
      <c r="M6" s="36">
        <v>0.27300000000000002</v>
      </c>
    </row>
    <row r="7" spans="1:13" s="36" customFormat="1" x14ac:dyDescent="0.25">
      <c r="A7" s="36" t="s">
        <v>149</v>
      </c>
      <c r="B7" s="36" t="s">
        <v>162</v>
      </c>
      <c r="C7" s="36">
        <v>54</v>
      </c>
      <c r="D7" s="36">
        <f>VLOOKUP(C7,Scans_F4point!$D$1:$F$11,2,FALSE)</f>
        <v>0</v>
      </c>
      <c r="E7" s="36">
        <f>VLOOKUP(C7,Scans_F4point!$D$1:$F$11,3,FALSE)</f>
        <v>0</v>
      </c>
      <c r="F7" s="106">
        <v>43111</v>
      </c>
      <c r="G7" s="36" t="s">
        <v>76</v>
      </c>
      <c r="H7" s="36">
        <v>1</v>
      </c>
      <c r="I7" s="36" t="s">
        <v>178</v>
      </c>
      <c r="J7" s="36">
        <v>1.0629999999999999</v>
      </c>
      <c r="K7" s="36">
        <v>0.83</v>
      </c>
      <c r="L7" s="36">
        <v>5.476</v>
      </c>
      <c r="M7" s="36">
        <v>0.26300000000000001</v>
      </c>
    </row>
    <row r="8" spans="1:13" s="36" customFormat="1" x14ac:dyDescent="0.25">
      <c r="A8" s="36" t="s">
        <v>149</v>
      </c>
      <c r="B8" s="36" t="s">
        <v>162</v>
      </c>
      <c r="C8" s="36">
        <v>64</v>
      </c>
      <c r="D8" s="36">
        <f>VLOOKUP(C8,Scans_F4point!$D$1:$F$11,2,FALSE)</f>
        <v>0</v>
      </c>
      <c r="E8" s="36">
        <f>VLOOKUP(C8,Scans_F4point!$D$1:$F$11,3,FALSE)</f>
        <v>0</v>
      </c>
      <c r="F8" s="106">
        <v>43111</v>
      </c>
      <c r="G8" s="36" t="s">
        <v>76</v>
      </c>
      <c r="H8" s="36">
        <v>1</v>
      </c>
      <c r="I8" s="36" t="s">
        <v>178</v>
      </c>
      <c r="J8" s="36">
        <v>0.85599999999999998</v>
      </c>
      <c r="K8" s="36">
        <v>0.442</v>
      </c>
      <c r="L8" s="36">
        <v>5.5309999999999997</v>
      </c>
      <c r="M8" s="36">
        <v>0.27100000000000002</v>
      </c>
    </row>
    <row r="9" spans="1:13" s="36" customFormat="1" x14ac:dyDescent="0.25">
      <c r="A9" s="36" t="s">
        <v>149</v>
      </c>
      <c r="B9" s="36" t="s">
        <v>162</v>
      </c>
      <c r="C9" s="36">
        <v>15</v>
      </c>
      <c r="D9" s="36">
        <f>VLOOKUP(C9,Scans_F4point!$D$1:$F$11,2,FALSE)</f>
        <v>0</v>
      </c>
      <c r="E9" s="36">
        <f>VLOOKUP(C9,Scans_F4point!$D$1:$F$11,3,FALSE)</f>
        <v>0</v>
      </c>
      <c r="F9" s="106">
        <v>43111</v>
      </c>
      <c r="G9" s="36" t="s">
        <v>76</v>
      </c>
      <c r="H9" s="36">
        <v>2</v>
      </c>
      <c r="I9" s="36" t="s">
        <v>178</v>
      </c>
      <c r="J9" s="36">
        <v>1.119</v>
      </c>
      <c r="K9" s="36">
        <v>0.54400000000000004</v>
      </c>
      <c r="L9" s="36">
        <v>4.5869999999999997</v>
      </c>
      <c r="M9" s="36">
        <v>0.36899999999999999</v>
      </c>
    </row>
    <row r="10" spans="1:13" s="36" customFormat="1" x14ac:dyDescent="0.25">
      <c r="A10" s="36" t="s">
        <v>149</v>
      </c>
      <c r="B10" s="36" t="s">
        <v>162</v>
      </c>
      <c r="C10" s="36">
        <v>21</v>
      </c>
      <c r="D10" s="36">
        <f>VLOOKUP(C10,Scans_F4point!$D$1:$F$11,2,FALSE)</f>
        <v>0</v>
      </c>
      <c r="E10" s="36">
        <f>VLOOKUP(C10,Scans_F4point!$D$1:$F$11,3,FALSE)</f>
        <v>0</v>
      </c>
      <c r="F10" s="106">
        <v>43111</v>
      </c>
      <c r="G10" s="36" t="s">
        <v>76</v>
      </c>
      <c r="H10" s="36">
        <v>2</v>
      </c>
      <c r="I10" s="36" t="s">
        <v>178</v>
      </c>
      <c r="J10" s="36">
        <v>0.96</v>
      </c>
      <c r="K10" s="36">
        <v>0.66700000000000004</v>
      </c>
      <c r="L10" s="36">
        <v>4.83</v>
      </c>
      <c r="M10" s="36">
        <v>0.27100000000000002</v>
      </c>
    </row>
    <row r="11" spans="1:13" s="36" customFormat="1" x14ac:dyDescent="0.25">
      <c r="A11" s="36" t="s">
        <v>149</v>
      </c>
      <c r="B11" s="36" t="s">
        <v>162</v>
      </c>
      <c r="C11" s="36">
        <v>24</v>
      </c>
      <c r="D11" s="36">
        <f>VLOOKUP(C11,Scans_F4point!$D$1:$F$11,2,FALSE)</f>
        <v>0</v>
      </c>
      <c r="E11" s="36">
        <f>VLOOKUP(C11,Scans_F4point!$D$1:$F$11,3,FALSE)</f>
        <v>0</v>
      </c>
      <c r="F11" s="106">
        <v>43111</v>
      </c>
      <c r="G11" s="36" t="s">
        <v>76</v>
      </c>
      <c r="H11" s="36">
        <v>2</v>
      </c>
      <c r="I11" s="36" t="s">
        <v>178</v>
      </c>
      <c r="J11" s="36">
        <v>1.2430000000000001</v>
      </c>
      <c r="K11" s="36">
        <v>0.84499999999999997</v>
      </c>
      <c r="L11" s="36">
        <v>5.81</v>
      </c>
      <c r="M11" s="36">
        <v>0.314</v>
      </c>
    </row>
    <row r="12" spans="1:13" s="36" customFormat="1" x14ac:dyDescent="0.25">
      <c r="A12" s="36" t="s">
        <v>149</v>
      </c>
      <c r="B12" s="36" t="s">
        <v>162</v>
      </c>
      <c r="C12" s="36">
        <v>37</v>
      </c>
      <c r="D12" s="36">
        <f>VLOOKUP(C12,Scans_F4point!$D$1:$F$11,2,FALSE)</f>
        <v>0</v>
      </c>
      <c r="E12" s="36">
        <f>VLOOKUP(C12,Scans_F4point!$D$1:$F$11,3,FALSE)</f>
        <v>0</v>
      </c>
      <c r="F12" s="106">
        <v>43111</v>
      </c>
      <c r="G12" s="36" t="s">
        <v>76</v>
      </c>
      <c r="H12" s="36">
        <v>2</v>
      </c>
      <c r="I12" s="36" t="s">
        <v>178</v>
      </c>
      <c r="J12" s="36">
        <v>0.99</v>
      </c>
      <c r="K12" s="36">
        <v>0.50800000000000001</v>
      </c>
      <c r="L12" s="36">
        <v>5.7380000000000004</v>
      </c>
      <c r="M12" s="36">
        <v>0.27900000000000003</v>
      </c>
    </row>
    <row r="13" spans="1:13" s="36" customFormat="1" x14ac:dyDescent="0.25">
      <c r="A13" s="36" t="s">
        <v>149</v>
      </c>
      <c r="B13" s="36" t="s">
        <v>162</v>
      </c>
      <c r="C13" s="36">
        <v>52</v>
      </c>
      <c r="D13" s="36">
        <f>VLOOKUP(C13,Scans_F4point!$D$1:$F$11,2,FALSE)</f>
        <v>0</v>
      </c>
      <c r="E13" s="36">
        <f>VLOOKUP(C13,Scans_F4point!$D$1:$F$11,3,FALSE)</f>
        <v>0</v>
      </c>
      <c r="F13" s="106">
        <v>43111</v>
      </c>
      <c r="G13" s="36" t="s">
        <v>76</v>
      </c>
      <c r="H13" s="36">
        <v>2</v>
      </c>
      <c r="I13" s="36" t="s">
        <v>178</v>
      </c>
      <c r="J13" s="36">
        <v>0.94</v>
      </c>
      <c r="K13" s="36">
        <v>0.67100000000000004</v>
      </c>
      <c r="L13" s="36">
        <v>5.2619999999999996</v>
      </c>
      <c r="M13" s="36">
        <v>0.27900000000000003</v>
      </c>
    </row>
    <row r="14" spans="1:13" s="36" customFormat="1" x14ac:dyDescent="0.25">
      <c r="A14" s="36" t="s">
        <v>149</v>
      </c>
      <c r="B14" s="36" t="s">
        <v>162</v>
      </c>
      <c r="C14" s="36">
        <v>54</v>
      </c>
      <c r="D14" s="36">
        <f>VLOOKUP(C14,Scans_F4point!$D$1:$F$11,2,FALSE)</f>
        <v>0</v>
      </c>
      <c r="E14" s="36">
        <f>VLOOKUP(C14,Scans_F4point!$D$1:$F$11,3,FALSE)</f>
        <v>0</v>
      </c>
      <c r="F14" s="106">
        <v>43111</v>
      </c>
      <c r="G14" s="36" t="s">
        <v>76</v>
      </c>
      <c r="H14" s="36">
        <v>2</v>
      </c>
      <c r="I14" s="36" t="s">
        <v>178</v>
      </c>
      <c r="J14" s="36">
        <v>0.82399999999999995</v>
      </c>
      <c r="K14" s="36">
        <v>0.82099999999999995</v>
      </c>
      <c r="L14" s="36">
        <v>4.8959999999999999</v>
      </c>
      <c r="M14" s="36">
        <v>0.22900000000000001</v>
      </c>
    </row>
    <row r="15" spans="1:13" s="36" customFormat="1" x14ac:dyDescent="0.25">
      <c r="A15" s="36" t="s">
        <v>149</v>
      </c>
      <c r="B15" s="36" t="s">
        <v>162</v>
      </c>
      <c r="C15" s="36">
        <v>64</v>
      </c>
      <c r="D15" s="36">
        <f>VLOOKUP(C15,Scans_F4point!$D$1:$F$11,2,FALSE)</f>
        <v>0</v>
      </c>
      <c r="E15" s="36">
        <f>VLOOKUP(C15,Scans_F4point!$D$1:$F$11,3,FALSE)</f>
        <v>0</v>
      </c>
      <c r="F15" s="106">
        <v>43111</v>
      </c>
      <c r="G15" s="36" t="s">
        <v>76</v>
      </c>
      <c r="H15" s="36">
        <v>2</v>
      </c>
      <c r="I15" s="36" t="s">
        <v>178</v>
      </c>
      <c r="J15" s="36">
        <v>1.0580000000000001</v>
      </c>
      <c r="K15" s="36">
        <v>1.06</v>
      </c>
      <c r="L15" s="36">
        <v>5.2370000000000001</v>
      </c>
      <c r="M15" s="36">
        <v>0.28399999999999997</v>
      </c>
    </row>
    <row r="16" spans="1:13" s="34" customFormat="1" x14ac:dyDescent="0.25">
      <c r="A16" s="34" t="s">
        <v>149</v>
      </c>
      <c r="B16" s="34" t="s">
        <v>162</v>
      </c>
      <c r="C16" s="34">
        <v>3</v>
      </c>
      <c r="D16" s="34">
        <f>VLOOKUP(C16,Scans_F4point!$D$1:$F$11,2,FALSE)</f>
        <v>1</v>
      </c>
      <c r="E16" s="34" t="str">
        <f>VLOOKUP(C16,Scans_F4point!$D$1:$F$11,3,FALSE)</f>
        <v>F5 grande</v>
      </c>
      <c r="F16" s="85">
        <v>43111</v>
      </c>
      <c r="G16" s="34" t="s">
        <v>76</v>
      </c>
      <c r="H16" s="34">
        <v>1</v>
      </c>
      <c r="I16" s="34" t="s">
        <v>178</v>
      </c>
      <c r="J16" s="34">
        <v>1.089</v>
      </c>
      <c r="K16" s="34">
        <v>0.69</v>
      </c>
      <c r="L16" s="34">
        <v>5.2320000000000002</v>
      </c>
      <c r="M16" s="34">
        <v>0.313</v>
      </c>
    </row>
    <row r="17" spans="1:14" s="34" customFormat="1" x14ac:dyDescent="0.25">
      <c r="A17" s="34" t="s">
        <v>149</v>
      </c>
      <c r="B17" s="34" t="s">
        <v>162</v>
      </c>
      <c r="C17" s="34">
        <v>16</v>
      </c>
      <c r="D17" s="34">
        <f>VLOOKUP(C17,Scans_F4point!$D$1:$F$11,2,FALSE)</f>
        <v>1</v>
      </c>
      <c r="E17" s="34" t="str">
        <f>VLOOKUP(C17,Scans_F4point!$D$1:$F$11,3,FALSE)</f>
        <v>grande</v>
      </c>
      <c r="F17" s="85">
        <v>43111</v>
      </c>
      <c r="G17" s="34" t="s">
        <v>76</v>
      </c>
      <c r="H17" s="34">
        <v>1</v>
      </c>
      <c r="I17" s="34" t="s">
        <v>178</v>
      </c>
      <c r="J17" s="34">
        <v>1.4390000000000001</v>
      </c>
      <c r="K17" s="34">
        <v>0.51900000000000002</v>
      </c>
      <c r="L17" s="34">
        <v>6.7480000000000002</v>
      </c>
      <c r="M17" s="34">
        <v>0.33100000000000002</v>
      </c>
    </row>
    <row r="18" spans="1:14" s="34" customFormat="1" x14ac:dyDescent="0.25">
      <c r="A18" s="34" t="s">
        <v>149</v>
      </c>
      <c r="B18" s="34" t="s">
        <v>162</v>
      </c>
      <c r="C18" s="34">
        <v>55</v>
      </c>
      <c r="D18" s="34">
        <f>VLOOKUP(C18,Scans_F4point!$D$1:$F$11,2,FALSE)</f>
        <v>1</v>
      </c>
      <c r="E18" s="34" t="str">
        <f>VLOOKUP(C18,Scans_F4point!$D$1:$F$11,3,FALSE)</f>
        <v>grande</v>
      </c>
      <c r="F18" s="85">
        <v>43111</v>
      </c>
      <c r="G18" s="34" t="s">
        <v>76</v>
      </c>
      <c r="H18" s="34">
        <v>1</v>
      </c>
      <c r="I18" s="34" t="s">
        <v>178</v>
      </c>
      <c r="J18" s="34">
        <v>0.89</v>
      </c>
      <c r="K18" s="34">
        <v>0.36</v>
      </c>
      <c r="L18" s="34">
        <v>5.734</v>
      </c>
      <c r="M18" s="34">
        <v>0.24099999999999999</v>
      </c>
    </row>
    <row r="19" spans="1:14" s="34" customFormat="1" x14ac:dyDescent="0.25">
      <c r="A19" s="34" t="s">
        <v>149</v>
      </c>
      <c r="B19" s="34" t="s">
        <v>162</v>
      </c>
      <c r="C19" s="34">
        <v>3</v>
      </c>
      <c r="D19" s="34">
        <f>VLOOKUP(C19,Scans_F4point!$D$1:$F$11,2,FALSE)</f>
        <v>1</v>
      </c>
      <c r="E19" s="34" t="str">
        <f>VLOOKUP(C19,Scans_F4point!$D$1:$F$11,3,FALSE)</f>
        <v>F5 grande</v>
      </c>
      <c r="F19" s="85">
        <v>43111</v>
      </c>
      <c r="G19" s="34" t="s">
        <v>76</v>
      </c>
      <c r="H19" s="34">
        <v>2</v>
      </c>
      <c r="I19" s="34" t="s">
        <v>178</v>
      </c>
      <c r="J19" s="34">
        <v>0.77200000000000002</v>
      </c>
      <c r="K19" s="34">
        <v>0.97799999999999998</v>
      </c>
      <c r="L19" s="34">
        <v>4.0410000000000004</v>
      </c>
      <c r="M19" s="34">
        <v>0.27100000000000002</v>
      </c>
    </row>
    <row r="20" spans="1:14" s="34" customFormat="1" x14ac:dyDescent="0.25">
      <c r="A20" s="34" t="s">
        <v>149</v>
      </c>
      <c r="B20" s="34" t="s">
        <v>162</v>
      </c>
      <c r="C20" s="34">
        <v>16</v>
      </c>
      <c r="D20" s="34">
        <f>VLOOKUP(C20,Scans_F4point!$D$1:$F$11,2,FALSE)</f>
        <v>1</v>
      </c>
      <c r="E20" s="34" t="str">
        <f>VLOOKUP(C20,Scans_F4point!$D$1:$F$11,3,FALSE)</f>
        <v>grande</v>
      </c>
      <c r="F20" s="85">
        <v>43111</v>
      </c>
      <c r="G20" s="34" t="s">
        <v>76</v>
      </c>
      <c r="H20" s="34">
        <v>2</v>
      </c>
      <c r="I20" s="34" t="s">
        <v>178</v>
      </c>
      <c r="J20" s="34">
        <v>1.1970000000000001</v>
      </c>
      <c r="K20" s="34">
        <v>0.59699999999999998</v>
      </c>
      <c r="L20" s="34">
        <v>5.98</v>
      </c>
      <c r="M20" s="34">
        <v>0.313</v>
      </c>
    </row>
    <row r="21" spans="1:14" s="34" customFormat="1" x14ac:dyDescent="0.25">
      <c r="A21" s="34" t="s">
        <v>149</v>
      </c>
      <c r="B21" s="34" t="s">
        <v>162</v>
      </c>
      <c r="C21" s="34">
        <v>55</v>
      </c>
      <c r="D21" s="34">
        <f>VLOOKUP(C21,Scans_F4point!$D$1:$F$11,2,FALSE)</f>
        <v>1</v>
      </c>
      <c r="E21" s="34" t="str">
        <f>VLOOKUP(C21,Scans_F4point!$D$1:$F$11,3,FALSE)</f>
        <v>grande</v>
      </c>
      <c r="F21" s="85">
        <v>43111</v>
      </c>
      <c r="G21" s="34" t="s">
        <v>76</v>
      </c>
      <c r="H21" s="34">
        <v>2</v>
      </c>
      <c r="I21" s="34" t="s">
        <v>178</v>
      </c>
      <c r="J21" s="34">
        <v>1.032</v>
      </c>
      <c r="K21" s="34">
        <v>0.45300000000000001</v>
      </c>
      <c r="L21" s="34">
        <v>6.0469999999999997</v>
      </c>
      <c r="M21" s="34">
        <v>0.25800000000000001</v>
      </c>
    </row>
    <row r="24" spans="1:14" x14ac:dyDescent="0.25">
      <c r="L24" s="5" t="s">
        <v>177</v>
      </c>
      <c r="M24" s="83" t="s">
        <v>147</v>
      </c>
      <c r="N24" s="83" t="s">
        <v>150</v>
      </c>
    </row>
    <row r="25" spans="1:14" x14ac:dyDescent="0.25">
      <c r="L25" t="s">
        <v>165</v>
      </c>
      <c r="M25">
        <f>AVERAGE(M2:M8)</f>
        <v>0.27985714285714286</v>
      </c>
      <c r="N25">
        <f>AVERAGE(M9:M15)</f>
        <v>0.28928571428571426</v>
      </c>
    </row>
    <row r="26" spans="1:14" x14ac:dyDescent="0.25">
      <c r="L26" t="s">
        <v>166</v>
      </c>
      <c r="M26">
        <f>MEDIAN(M2:M8)</f>
        <v>0.27300000000000002</v>
      </c>
      <c r="N26">
        <f>MEDIAN(M9:M15)</f>
        <v>0.27900000000000003</v>
      </c>
    </row>
    <row r="27" spans="1:14" x14ac:dyDescent="0.25">
      <c r="L27" s="83" t="s">
        <v>167</v>
      </c>
      <c r="M27" s="83">
        <f>_xlfn.STDEV.S(M2:M8)</f>
        <v>4.2584929147248457E-2</v>
      </c>
      <c r="N27" s="83">
        <f>_xlfn.STDEV.S(M9:M15)</f>
        <v>4.3153656800300165E-2</v>
      </c>
    </row>
    <row r="29" spans="1:14" x14ac:dyDescent="0.25">
      <c r="M29">
        <f>M26/100</f>
        <v>2.7300000000000002E-3</v>
      </c>
      <c r="N29">
        <f>N26/100</f>
        <v>2.7900000000000004E-3</v>
      </c>
    </row>
  </sheetData>
  <sortState ref="A2:M21">
    <sortCondition ref="D2:D21"/>
    <sortCondition ref="H2:H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I7" sqref="I7"/>
    </sheetView>
  </sheetViews>
  <sheetFormatPr baseColWidth="10" defaultRowHeight="15" x14ac:dyDescent="0.25"/>
  <sheetData>
    <row r="1" spans="1:12" x14ac:dyDescent="0.25">
      <c r="A1" s="2" t="s">
        <v>182</v>
      </c>
    </row>
    <row r="3" spans="1:12" x14ac:dyDescent="0.25">
      <c r="I3" s="2" t="s">
        <v>192</v>
      </c>
    </row>
    <row r="4" spans="1:12" s="2" customFormat="1" x14ac:dyDescent="0.25">
      <c r="A4" s="5" t="s">
        <v>145</v>
      </c>
      <c r="B4" s="5" t="s">
        <v>173</v>
      </c>
      <c r="C4" s="5" t="s">
        <v>183</v>
      </c>
      <c r="D4" s="5" t="s">
        <v>172</v>
      </c>
      <c r="E4" s="5" t="s">
        <v>184</v>
      </c>
      <c r="F4" s="5" t="s">
        <v>185</v>
      </c>
      <c r="G4" s="5"/>
      <c r="H4" s="5" t="s">
        <v>186</v>
      </c>
      <c r="I4" s="5" t="s">
        <v>187</v>
      </c>
      <c r="J4" s="5" t="s">
        <v>188</v>
      </c>
      <c r="K4" s="5" t="s">
        <v>189</v>
      </c>
      <c r="L4" s="5" t="s">
        <v>190</v>
      </c>
    </row>
    <row r="5" spans="1:12" x14ac:dyDescent="0.25">
      <c r="A5" t="s">
        <v>149</v>
      </c>
      <c r="B5" t="s">
        <v>178</v>
      </c>
      <c r="C5">
        <v>1</v>
      </c>
      <c r="D5">
        <v>1</v>
      </c>
      <c r="E5" t="s">
        <v>191</v>
      </c>
      <c r="F5" t="s">
        <v>225</v>
      </c>
      <c r="G5" t="s">
        <v>226</v>
      </c>
      <c r="I5">
        <v>0.30325000000000002</v>
      </c>
      <c r="J5">
        <v>2.6461559999999999E-2</v>
      </c>
      <c r="K5">
        <v>8</v>
      </c>
      <c r="L5">
        <v>8.7259890000000007E-2</v>
      </c>
    </row>
    <row r="6" spans="1:12" x14ac:dyDescent="0.25">
      <c r="A6" t="s">
        <v>149</v>
      </c>
      <c r="B6" t="s">
        <v>178</v>
      </c>
      <c r="C6">
        <v>2</v>
      </c>
      <c r="D6">
        <v>2</v>
      </c>
      <c r="E6" t="s">
        <v>191</v>
      </c>
      <c r="F6" t="s">
        <v>225</v>
      </c>
      <c r="G6" t="s">
        <v>226</v>
      </c>
      <c r="I6">
        <v>0.29255560000000003</v>
      </c>
      <c r="J6">
        <v>3.2976320000000003E-2</v>
      </c>
      <c r="K6">
        <v>18</v>
      </c>
      <c r="L6">
        <v>0.11271816</v>
      </c>
    </row>
    <row r="7" spans="1:12" x14ac:dyDescent="0.25">
      <c r="A7" t="s">
        <v>149</v>
      </c>
      <c r="B7" t="s">
        <v>178</v>
      </c>
      <c r="C7">
        <v>3</v>
      </c>
      <c r="D7">
        <v>3</v>
      </c>
      <c r="E7" t="s">
        <v>191</v>
      </c>
      <c r="F7" t="s">
        <v>225</v>
      </c>
      <c r="G7" t="s">
        <v>226</v>
      </c>
      <c r="I7">
        <v>0.24384620000000001</v>
      </c>
      <c r="J7">
        <v>2.8980949999999998E-2</v>
      </c>
      <c r="K7">
        <v>26</v>
      </c>
      <c r="L7">
        <v>0.11884931999999999</v>
      </c>
    </row>
    <row r="8" spans="1:12" x14ac:dyDescent="0.25">
      <c r="A8" t="s">
        <v>149</v>
      </c>
      <c r="B8" t="s">
        <v>178</v>
      </c>
      <c r="C8">
        <v>4</v>
      </c>
      <c r="D8">
        <v>4</v>
      </c>
      <c r="E8" t="s">
        <v>191</v>
      </c>
      <c r="F8" t="s">
        <v>225</v>
      </c>
      <c r="G8" t="s">
        <v>226</v>
      </c>
      <c r="I8">
        <v>0.28047830000000001</v>
      </c>
      <c r="J8">
        <v>4.0514719999999997E-2</v>
      </c>
      <c r="K8">
        <v>23</v>
      </c>
      <c r="L8">
        <v>0.14444871000000001</v>
      </c>
    </row>
    <row r="9" spans="1:12" x14ac:dyDescent="0.25">
      <c r="A9" t="s">
        <v>149</v>
      </c>
      <c r="B9" t="s">
        <v>178</v>
      </c>
      <c r="C9">
        <v>5</v>
      </c>
      <c r="D9">
        <v>5</v>
      </c>
      <c r="E9" t="s">
        <v>191</v>
      </c>
      <c r="F9" t="s">
        <v>225</v>
      </c>
      <c r="G9" t="s">
        <v>226</v>
      </c>
      <c r="I9">
        <v>0.4574667</v>
      </c>
      <c r="J9">
        <v>6.5693950000000001E-2</v>
      </c>
      <c r="K9">
        <v>15</v>
      </c>
      <c r="L9">
        <v>0.1436038</v>
      </c>
    </row>
    <row r="10" spans="1:12" x14ac:dyDescent="0.25">
      <c r="A10" t="s">
        <v>149</v>
      </c>
      <c r="B10" t="s">
        <v>178</v>
      </c>
      <c r="C10">
        <v>6</v>
      </c>
      <c r="D10">
        <v>6</v>
      </c>
      <c r="E10" t="s">
        <v>191</v>
      </c>
      <c r="F10" t="s">
        <v>225</v>
      </c>
      <c r="G10" t="s">
        <v>226</v>
      </c>
      <c r="I10">
        <v>0.55525000000000002</v>
      </c>
      <c r="J10">
        <v>5.9911239999999998E-2</v>
      </c>
      <c r="K10">
        <v>8</v>
      </c>
      <c r="L10">
        <v>0.10789957999999999</v>
      </c>
    </row>
    <row r="12" spans="1:12" x14ac:dyDescent="0.25">
      <c r="H12" t="s">
        <v>206</v>
      </c>
    </row>
    <row r="13" spans="1:12" x14ac:dyDescent="0.25">
      <c r="H13">
        <v>1150</v>
      </c>
      <c r="I13">
        <f>-0.02033728 - (-0.00005445836 / 0.000459551) * (1 - EXP(-0.000459551 * H13))</f>
        <v>2.8308585226485286E-2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1" workbookViewId="0">
      <selection activeCell="L45" sqref="L45:L46"/>
    </sheetView>
  </sheetViews>
  <sheetFormatPr baseColWidth="10" defaultRowHeight="15" x14ac:dyDescent="0.25"/>
  <sheetData>
    <row r="1" spans="1:11" x14ac:dyDescent="0.25">
      <c r="A1" s="2" t="s">
        <v>197</v>
      </c>
    </row>
    <row r="2" spans="1:11" x14ac:dyDescent="0.25">
      <c r="H2" s="2" t="s">
        <v>198</v>
      </c>
    </row>
    <row r="3" spans="1:11" x14ac:dyDescent="0.25">
      <c r="A3" s="5" t="s">
        <v>145</v>
      </c>
      <c r="B3" s="5" t="s">
        <v>193</v>
      </c>
      <c r="C3" s="5" t="s">
        <v>183</v>
      </c>
      <c r="D3" s="5" t="s">
        <v>194</v>
      </c>
      <c r="E3" s="5" t="s">
        <v>184</v>
      </c>
      <c r="F3" s="5" t="s">
        <v>185</v>
      </c>
      <c r="G3" s="5" t="s">
        <v>186</v>
      </c>
      <c r="H3" s="5" t="s">
        <v>187</v>
      </c>
      <c r="I3" s="5" t="s">
        <v>188</v>
      </c>
      <c r="J3" s="5" t="s">
        <v>189</v>
      </c>
      <c r="K3" s="5" t="s">
        <v>190</v>
      </c>
    </row>
    <row r="4" spans="1:11" x14ac:dyDescent="0.25">
      <c r="A4" t="s">
        <v>149</v>
      </c>
      <c r="B4" t="s">
        <v>179</v>
      </c>
      <c r="C4">
        <v>1</v>
      </c>
      <c r="D4">
        <v>1</v>
      </c>
      <c r="E4" t="s">
        <v>191</v>
      </c>
      <c r="F4" t="s">
        <v>225</v>
      </c>
      <c r="G4" t="s">
        <v>226</v>
      </c>
      <c r="H4" t="s">
        <v>32</v>
      </c>
      <c r="I4" t="s">
        <v>32</v>
      </c>
      <c r="J4">
        <v>0</v>
      </c>
      <c r="K4" t="s">
        <v>32</v>
      </c>
    </row>
    <row r="5" spans="1:11" x14ac:dyDescent="0.25">
      <c r="A5" t="s">
        <v>149</v>
      </c>
      <c r="B5" t="s">
        <v>179</v>
      </c>
      <c r="C5">
        <v>2</v>
      </c>
      <c r="D5">
        <v>2</v>
      </c>
      <c r="E5" t="s">
        <v>191</v>
      </c>
      <c r="F5" t="s">
        <v>225</v>
      </c>
      <c r="G5" t="s">
        <v>226</v>
      </c>
      <c r="H5" t="s">
        <v>32</v>
      </c>
      <c r="I5" t="s">
        <v>32</v>
      </c>
      <c r="J5">
        <v>0</v>
      </c>
      <c r="K5" t="s">
        <v>32</v>
      </c>
    </row>
    <row r="6" spans="1:11" x14ac:dyDescent="0.25">
      <c r="A6" t="s">
        <v>149</v>
      </c>
      <c r="B6" t="s">
        <v>179</v>
      </c>
      <c r="C6">
        <v>3</v>
      </c>
      <c r="D6">
        <v>3</v>
      </c>
      <c r="E6" t="s">
        <v>191</v>
      </c>
      <c r="F6" t="s">
        <v>225</v>
      </c>
      <c r="G6" t="s">
        <v>226</v>
      </c>
      <c r="H6" t="s">
        <v>32</v>
      </c>
      <c r="I6" t="s">
        <v>32</v>
      </c>
      <c r="J6">
        <v>0</v>
      </c>
      <c r="K6" t="s">
        <v>32</v>
      </c>
    </row>
    <row r="7" spans="1:11" x14ac:dyDescent="0.25">
      <c r="A7" t="s">
        <v>149</v>
      </c>
      <c r="B7" t="s">
        <v>179</v>
      </c>
      <c r="C7">
        <v>4</v>
      </c>
      <c r="D7">
        <v>4</v>
      </c>
      <c r="E7" t="s">
        <v>191</v>
      </c>
      <c r="F7" t="s">
        <v>225</v>
      </c>
      <c r="G7" t="s">
        <v>226</v>
      </c>
      <c r="H7" t="s">
        <v>32</v>
      </c>
      <c r="I7" t="s">
        <v>32</v>
      </c>
      <c r="J7">
        <v>0</v>
      </c>
      <c r="K7" t="s">
        <v>32</v>
      </c>
    </row>
    <row r="8" spans="1:11" x14ac:dyDescent="0.25">
      <c r="A8" t="s">
        <v>149</v>
      </c>
      <c r="B8" t="s">
        <v>179</v>
      </c>
      <c r="C8">
        <v>5</v>
      </c>
      <c r="D8">
        <v>5</v>
      </c>
      <c r="E8" t="s">
        <v>191</v>
      </c>
      <c r="F8" t="s">
        <v>225</v>
      </c>
      <c r="G8" t="s">
        <v>226</v>
      </c>
      <c r="H8" t="s">
        <v>32</v>
      </c>
      <c r="I8" t="s">
        <v>32</v>
      </c>
      <c r="J8">
        <v>0</v>
      </c>
      <c r="K8" t="s">
        <v>32</v>
      </c>
    </row>
    <row r="9" spans="1:11" x14ac:dyDescent="0.25">
      <c r="A9" t="s">
        <v>149</v>
      </c>
      <c r="B9" t="s">
        <v>179</v>
      </c>
      <c r="C9">
        <v>6</v>
      </c>
      <c r="D9">
        <v>6</v>
      </c>
      <c r="E9" t="s">
        <v>191</v>
      </c>
      <c r="F9" t="s">
        <v>225</v>
      </c>
      <c r="G9" t="s">
        <v>226</v>
      </c>
      <c r="H9" t="s">
        <v>32</v>
      </c>
      <c r="I9" t="s">
        <v>32</v>
      </c>
      <c r="J9">
        <v>0</v>
      </c>
      <c r="K9" t="s">
        <v>32</v>
      </c>
    </row>
    <row r="10" spans="1:11" x14ac:dyDescent="0.25">
      <c r="A10" t="s">
        <v>149</v>
      </c>
      <c r="B10" t="s">
        <v>179</v>
      </c>
      <c r="C10">
        <v>7</v>
      </c>
      <c r="D10">
        <v>7</v>
      </c>
      <c r="E10" t="s">
        <v>191</v>
      </c>
      <c r="F10" t="s">
        <v>225</v>
      </c>
      <c r="G10" t="s">
        <v>226</v>
      </c>
      <c r="H10" t="s">
        <v>32</v>
      </c>
      <c r="I10" t="s">
        <v>32</v>
      </c>
      <c r="J10">
        <v>0</v>
      </c>
      <c r="K10" t="s">
        <v>32</v>
      </c>
    </row>
    <row r="11" spans="1:11" x14ac:dyDescent="0.25">
      <c r="A11" t="s">
        <v>149</v>
      </c>
      <c r="B11" t="s">
        <v>179</v>
      </c>
      <c r="C11">
        <v>8</v>
      </c>
      <c r="D11">
        <v>8</v>
      </c>
      <c r="E11" t="s">
        <v>191</v>
      </c>
      <c r="F11" t="s">
        <v>225</v>
      </c>
      <c r="G11" t="s">
        <v>226</v>
      </c>
      <c r="H11">
        <v>2.0488888888888899</v>
      </c>
      <c r="I11">
        <v>0.55927284138523203</v>
      </c>
      <c r="J11">
        <v>9</v>
      </c>
      <c r="K11">
        <v>0.27296396813812901</v>
      </c>
    </row>
    <row r="12" spans="1:11" x14ac:dyDescent="0.25">
      <c r="A12" t="s">
        <v>149</v>
      </c>
      <c r="B12" t="s">
        <v>179</v>
      </c>
      <c r="C12">
        <v>9</v>
      </c>
      <c r="D12">
        <v>9</v>
      </c>
      <c r="E12" t="s">
        <v>191</v>
      </c>
      <c r="F12" t="s">
        <v>225</v>
      </c>
      <c r="G12" t="s">
        <v>226</v>
      </c>
      <c r="H12">
        <v>3.1988888888888898</v>
      </c>
      <c r="I12">
        <v>0.30337453932574998</v>
      </c>
      <c r="J12">
        <v>9</v>
      </c>
      <c r="K12">
        <v>9.4837473217497401E-2</v>
      </c>
    </row>
    <row r="13" spans="1:11" x14ac:dyDescent="0.25">
      <c r="A13" t="s">
        <v>149</v>
      </c>
      <c r="B13" t="s">
        <v>179</v>
      </c>
      <c r="C13">
        <v>10</v>
      </c>
      <c r="D13">
        <v>10</v>
      </c>
      <c r="E13" t="s">
        <v>191</v>
      </c>
      <c r="F13" t="s">
        <v>225</v>
      </c>
      <c r="G13" t="s">
        <v>226</v>
      </c>
      <c r="H13">
        <v>6.1177777777777802</v>
      </c>
      <c r="I13">
        <v>0.73424753621952599</v>
      </c>
      <c r="J13">
        <v>9</v>
      </c>
      <c r="K13">
        <v>0.12001866738059799</v>
      </c>
    </row>
    <row r="14" spans="1:11" x14ac:dyDescent="0.25">
      <c r="A14" t="s">
        <v>149</v>
      </c>
      <c r="B14" t="s">
        <v>179</v>
      </c>
      <c r="C14">
        <v>11</v>
      </c>
      <c r="D14">
        <v>11</v>
      </c>
      <c r="E14" t="s">
        <v>191</v>
      </c>
      <c r="F14" t="s">
        <v>225</v>
      </c>
      <c r="G14" t="s">
        <v>226</v>
      </c>
      <c r="H14">
        <v>12.296666666666701</v>
      </c>
      <c r="I14">
        <v>1.0966312051004199</v>
      </c>
      <c r="J14">
        <v>9</v>
      </c>
      <c r="K14">
        <v>8.9181176885368904E-2</v>
      </c>
    </row>
    <row r="15" spans="1:11" x14ac:dyDescent="0.25">
      <c r="A15" t="s">
        <v>149</v>
      </c>
      <c r="B15" t="s">
        <v>179</v>
      </c>
      <c r="C15">
        <v>12</v>
      </c>
      <c r="D15">
        <v>12</v>
      </c>
      <c r="E15" t="s">
        <v>191</v>
      </c>
      <c r="F15" t="s">
        <v>225</v>
      </c>
      <c r="G15" t="s">
        <v>226</v>
      </c>
      <c r="H15">
        <v>26.702222222222201</v>
      </c>
      <c r="I15">
        <v>0.86114426459475601</v>
      </c>
      <c r="J15">
        <v>9</v>
      </c>
      <c r="K15">
        <v>3.2249910042246997E-2</v>
      </c>
    </row>
    <row r="16" spans="1:11" x14ac:dyDescent="0.25">
      <c r="A16" t="s">
        <v>149</v>
      </c>
      <c r="B16" t="s">
        <v>179</v>
      </c>
      <c r="C16">
        <v>13</v>
      </c>
      <c r="D16">
        <v>13</v>
      </c>
      <c r="E16" t="s">
        <v>191</v>
      </c>
      <c r="F16" t="s">
        <v>225</v>
      </c>
      <c r="G16" t="s">
        <v>226</v>
      </c>
      <c r="H16" t="s">
        <v>32</v>
      </c>
      <c r="I16" t="s">
        <v>32</v>
      </c>
      <c r="J16">
        <v>0</v>
      </c>
      <c r="K16" t="s">
        <v>32</v>
      </c>
    </row>
    <row r="17" spans="1:12" x14ac:dyDescent="0.25">
      <c r="A17" t="s">
        <v>149</v>
      </c>
      <c r="B17" t="s">
        <v>195</v>
      </c>
      <c r="C17">
        <v>1</v>
      </c>
      <c r="D17">
        <v>1</v>
      </c>
      <c r="E17" t="s">
        <v>191</v>
      </c>
      <c r="F17" t="s">
        <v>225</v>
      </c>
      <c r="G17" t="s">
        <v>226</v>
      </c>
      <c r="H17">
        <v>7.0478260869565199</v>
      </c>
      <c r="I17">
        <v>0.76922012762477998</v>
      </c>
      <c r="J17">
        <v>23</v>
      </c>
      <c r="K17">
        <v>0.10914289287705101</v>
      </c>
    </row>
    <row r="18" spans="1:12" x14ac:dyDescent="0.25">
      <c r="A18" t="s">
        <v>149</v>
      </c>
      <c r="B18" t="s">
        <v>195</v>
      </c>
      <c r="C18">
        <v>2</v>
      </c>
      <c r="D18">
        <v>2</v>
      </c>
      <c r="E18" t="s">
        <v>191</v>
      </c>
      <c r="F18" t="s">
        <v>225</v>
      </c>
      <c r="G18" t="s">
        <v>226</v>
      </c>
      <c r="H18">
        <v>6.5696428571428598</v>
      </c>
      <c r="I18">
        <v>0.71948274703457804</v>
      </c>
      <c r="J18">
        <v>28</v>
      </c>
      <c r="K18">
        <v>0.109516264838098</v>
      </c>
    </row>
    <row r="19" spans="1:12" x14ac:dyDescent="0.25">
      <c r="A19" t="s">
        <v>149</v>
      </c>
      <c r="B19" t="s">
        <v>195</v>
      </c>
      <c r="C19">
        <v>3</v>
      </c>
      <c r="D19">
        <v>3</v>
      </c>
      <c r="E19" t="s">
        <v>191</v>
      </c>
      <c r="F19" t="s">
        <v>225</v>
      </c>
      <c r="G19" t="s">
        <v>226</v>
      </c>
      <c r="H19">
        <v>6.1411764705882401</v>
      </c>
      <c r="I19">
        <v>0.62975110382032995</v>
      </c>
      <c r="J19">
        <v>34</v>
      </c>
      <c r="K19">
        <v>0.10254567782514901</v>
      </c>
      <c r="L19">
        <f>H19/100</f>
        <v>6.1411764705882402E-2</v>
      </c>
    </row>
    <row r="20" spans="1:12" x14ac:dyDescent="0.25">
      <c r="A20" t="s">
        <v>149</v>
      </c>
      <c r="B20" t="s">
        <v>195</v>
      </c>
      <c r="C20">
        <v>4</v>
      </c>
      <c r="D20">
        <v>4</v>
      </c>
      <c r="E20" t="s">
        <v>191</v>
      </c>
      <c r="F20" t="s">
        <v>225</v>
      </c>
      <c r="G20" t="s">
        <v>226</v>
      </c>
      <c r="H20">
        <v>7.8035714285714297</v>
      </c>
      <c r="I20">
        <v>1.00350575958676</v>
      </c>
      <c r="J20">
        <v>28</v>
      </c>
      <c r="K20">
        <v>0.128595703745672</v>
      </c>
      <c r="L20">
        <f>H20/100</f>
        <v>7.8035714285714292E-2</v>
      </c>
    </row>
    <row r="21" spans="1:12" x14ac:dyDescent="0.25">
      <c r="A21" t="s">
        <v>149</v>
      </c>
      <c r="B21" t="s">
        <v>195</v>
      </c>
      <c r="C21">
        <v>5</v>
      </c>
      <c r="D21">
        <v>5</v>
      </c>
      <c r="E21" t="s">
        <v>191</v>
      </c>
      <c r="F21" t="s">
        <v>225</v>
      </c>
      <c r="G21" t="s">
        <v>226</v>
      </c>
      <c r="H21">
        <v>9.4583333333333304</v>
      </c>
      <c r="I21">
        <v>1.26400972632148</v>
      </c>
      <c r="J21">
        <v>18</v>
      </c>
      <c r="K21">
        <v>0.13363979485337199</v>
      </c>
    </row>
    <row r="22" spans="1:12" x14ac:dyDescent="0.25">
      <c r="A22" t="s">
        <v>149</v>
      </c>
      <c r="B22" t="s">
        <v>195</v>
      </c>
      <c r="C22">
        <v>6</v>
      </c>
      <c r="D22">
        <v>6</v>
      </c>
      <c r="E22" t="s">
        <v>191</v>
      </c>
      <c r="F22" t="s">
        <v>225</v>
      </c>
      <c r="G22" t="s">
        <v>226</v>
      </c>
      <c r="H22">
        <v>10.119999999999999</v>
      </c>
      <c r="I22">
        <v>0.74356498632526402</v>
      </c>
      <c r="J22">
        <v>10</v>
      </c>
      <c r="K22">
        <v>7.3474801020283004E-2</v>
      </c>
    </row>
    <row r="23" spans="1:12" x14ac:dyDescent="0.25">
      <c r="A23" t="s">
        <v>149</v>
      </c>
      <c r="B23" t="s">
        <v>195</v>
      </c>
      <c r="C23">
        <v>7</v>
      </c>
      <c r="D23">
        <v>7</v>
      </c>
      <c r="E23" t="s">
        <v>191</v>
      </c>
      <c r="F23" t="s">
        <v>225</v>
      </c>
      <c r="G23" t="s">
        <v>226</v>
      </c>
      <c r="H23">
        <v>11.911111111111101</v>
      </c>
      <c r="I23">
        <v>1.1206409376384201</v>
      </c>
      <c r="J23">
        <v>9</v>
      </c>
      <c r="K23">
        <v>9.4083660809195502E-2</v>
      </c>
    </row>
    <row r="24" spans="1:12" x14ac:dyDescent="0.25">
      <c r="A24" t="s">
        <v>149</v>
      </c>
      <c r="B24" t="s">
        <v>195</v>
      </c>
      <c r="C24">
        <v>8</v>
      </c>
      <c r="D24">
        <v>8</v>
      </c>
      <c r="E24" t="s">
        <v>191</v>
      </c>
      <c r="F24" t="s">
        <v>225</v>
      </c>
      <c r="G24" t="s">
        <v>226</v>
      </c>
      <c r="H24">
        <v>15.924444444444401</v>
      </c>
      <c r="I24">
        <v>0.84056693830876905</v>
      </c>
      <c r="J24">
        <v>9</v>
      </c>
      <c r="K24">
        <v>5.2784694702616E-2</v>
      </c>
    </row>
    <row r="25" spans="1:12" x14ac:dyDescent="0.25">
      <c r="A25" t="s">
        <v>149</v>
      </c>
      <c r="B25" t="s">
        <v>195</v>
      </c>
      <c r="C25">
        <v>9</v>
      </c>
      <c r="D25">
        <v>9</v>
      </c>
      <c r="E25" t="s">
        <v>191</v>
      </c>
      <c r="F25" t="s">
        <v>225</v>
      </c>
      <c r="G25" t="s">
        <v>226</v>
      </c>
      <c r="H25">
        <v>21.4577777777778</v>
      </c>
      <c r="I25">
        <v>1.1388017581846499</v>
      </c>
      <c r="J25">
        <v>9</v>
      </c>
      <c r="K25">
        <v>5.3071747222772497E-2</v>
      </c>
    </row>
    <row r="26" spans="1:12" x14ac:dyDescent="0.25">
      <c r="A26" t="s">
        <v>149</v>
      </c>
      <c r="B26" t="s">
        <v>195</v>
      </c>
      <c r="C26">
        <v>10</v>
      </c>
      <c r="D26">
        <v>10</v>
      </c>
      <c r="E26" t="s">
        <v>191</v>
      </c>
      <c r="F26" t="s">
        <v>225</v>
      </c>
      <c r="G26" t="s">
        <v>226</v>
      </c>
      <c r="H26">
        <v>27.001111111111101</v>
      </c>
      <c r="I26">
        <v>1.07868489889824</v>
      </c>
      <c r="J26">
        <v>9</v>
      </c>
      <c r="K26">
        <v>3.9949648533328601E-2</v>
      </c>
    </row>
    <row r="27" spans="1:12" x14ac:dyDescent="0.25">
      <c r="A27" t="s">
        <v>149</v>
      </c>
      <c r="B27" t="s">
        <v>195</v>
      </c>
      <c r="C27">
        <v>11</v>
      </c>
      <c r="D27">
        <v>11</v>
      </c>
      <c r="E27" t="s">
        <v>191</v>
      </c>
      <c r="F27" t="s">
        <v>225</v>
      </c>
      <c r="G27" t="s">
        <v>226</v>
      </c>
      <c r="H27">
        <v>28.612222222222201</v>
      </c>
      <c r="I27">
        <v>1.72418660371911</v>
      </c>
      <c r="J27">
        <v>9</v>
      </c>
      <c r="K27">
        <v>6.02604925380451E-2</v>
      </c>
    </row>
    <row r="28" spans="1:12" x14ac:dyDescent="0.25">
      <c r="A28" t="s">
        <v>149</v>
      </c>
      <c r="B28" t="s">
        <v>195</v>
      </c>
      <c r="C28">
        <v>12</v>
      </c>
      <c r="D28">
        <v>12</v>
      </c>
      <c r="E28" t="s">
        <v>191</v>
      </c>
      <c r="F28" t="s">
        <v>225</v>
      </c>
      <c r="G28" t="s">
        <v>226</v>
      </c>
      <c r="H28" t="s">
        <v>32</v>
      </c>
      <c r="I28" t="s">
        <v>32</v>
      </c>
      <c r="J28">
        <v>0</v>
      </c>
      <c r="K28" t="s">
        <v>32</v>
      </c>
    </row>
    <row r="29" spans="1:12" x14ac:dyDescent="0.25">
      <c r="A29" t="s">
        <v>149</v>
      </c>
      <c r="B29" t="s">
        <v>195</v>
      </c>
      <c r="C29">
        <v>13</v>
      </c>
      <c r="D29">
        <v>13</v>
      </c>
      <c r="E29" t="s">
        <v>191</v>
      </c>
      <c r="F29" t="s">
        <v>225</v>
      </c>
      <c r="G29" t="s">
        <v>226</v>
      </c>
      <c r="H29" t="s">
        <v>32</v>
      </c>
      <c r="I29" t="s">
        <v>32</v>
      </c>
      <c r="J29">
        <v>0</v>
      </c>
      <c r="K29" t="s">
        <v>32</v>
      </c>
    </row>
    <row r="30" spans="1:12" x14ac:dyDescent="0.25">
      <c r="A30" t="s">
        <v>149</v>
      </c>
      <c r="B30" t="s">
        <v>180</v>
      </c>
      <c r="C30">
        <v>1</v>
      </c>
      <c r="D30">
        <v>1</v>
      </c>
      <c r="E30" t="s">
        <v>191</v>
      </c>
      <c r="F30" t="s">
        <v>225</v>
      </c>
      <c r="G30" t="s">
        <v>226</v>
      </c>
      <c r="H30">
        <v>1.3137931034482799</v>
      </c>
      <c r="I30">
        <v>0.19034580923570699</v>
      </c>
      <c r="J30">
        <v>29</v>
      </c>
      <c r="K30">
        <v>0.14488263695106299</v>
      </c>
    </row>
    <row r="31" spans="1:12" x14ac:dyDescent="0.25">
      <c r="A31" t="s">
        <v>149</v>
      </c>
      <c r="B31" t="s">
        <v>180</v>
      </c>
      <c r="C31">
        <v>2</v>
      </c>
      <c r="D31">
        <v>2</v>
      </c>
      <c r="E31" t="s">
        <v>191</v>
      </c>
      <c r="F31" t="s">
        <v>225</v>
      </c>
      <c r="G31" t="s">
        <v>226</v>
      </c>
      <c r="H31">
        <v>1.41710526315789</v>
      </c>
      <c r="I31">
        <v>0.21631943215603</v>
      </c>
      <c r="J31">
        <v>38</v>
      </c>
      <c r="K31">
        <v>0.15264881006368</v>
      </c>
    </row>
    <row r="32" spans="1:12" x14ac:dyDescent="0.25">
      <c r="A32" t="s">
        <v>149</v>
      </c>
      <c r="B32" t="s">
        <v>180</v>
      </c>
      <c r="C32">
        <v>3</v>
      </c>
      <c r="D32">
        <v>3</v>
      </c>
      <c r="E32" t="s">
        <v>191</v>
      </c>
      <c r="F32" t="s">
        <v>225</v>
      </c>
      <c r="G32" t="s">
        <v>226</v>
      </c>
      <c r="H32">
        <v>1.6257142857142901</v>
      </c>
      <c r="I32">
        <v>0.241737408751554</v>
      </c>
      <c r="J32">
        <v>35</v>
      </c>
      <c r="K32">
        <v>0.14869612137617599</v>
      </c>
    </row>
    <row r="33" spans="1:12" x14ac:dyDescent="0.25">
      <c r="A33" t="s">
        <v>149</v>
      </c>
      <c r="B33" t="s">
        <v>180</v>
      </c>
      <c r="C33">
        <v>4</v>
      </c>
      <c r="D33">
        <v>4</v>
      </c>
      <c r="E33" t="s">
        <v>191</v>
      </c>
      <c r="F33" t="s">
        <v>225</v>
      </c>
      <c r="G33" t="s">
        <v>226</v>
      </c>
      <c r="H33">
        <v>1.88928571428571</v>
      </c>
      <c r="I33">
        <v>0.25868511634415597</v>
      </c>
      <c r="J33">
        <v>28</v>
      </c>
      <c r="K33">
        <v>0.13692217878329599</v>
      </c>
    </row>
    <row r="34" spans="1:12" x14ac:dyDescent="0.25">
      <c r="A34" t="s">
        <v>149</v>
      </c>
      <c r="B34" t="s">
        <v>180</v>
      </c>
      <c r="C34">
        <v>5</v>
      </c>
      <c r="D34">
        <v>5</v>
      </c>
      <c r="E34" t="s">
        <v>191</v>
      </c>
      <c r="F34" t="s">
        <v>225</v>
      </c>
      <c r="G34" t="s">
        <v>226</v>
      </c>
      <c r="H34">
        <v>2.2583333333333302</v>
      </c>
      <c r="I34">
        <v>0.347364023332703</v>
      </c>
      <c r="J34">
        <v>18</v>
      </c>
      <c r="K34">
        <v>0.153814327674998</v>
      </c>
    </row>
    <row r="35" spans="1:12" x14ac:dyDescent="0.25">
      <c r="A35" t="s">
        <v>149</v>
      </c>
      <c r="B35" t="s">
        <v>180</v>
      </c>
      <c r="C35">
        <v>6</v>
      </c>
      <c r="D35">
        <v>6</v>
      </c>
      <c r="E35" t="s">
        <v>191</v>
      </c>
      <c r="F35" t="s">
        <v>225</v>
      </c>
      <c r="G35" t="s">
        <v>226</v>
      </c>
      <c r="H35">
        <v>2.59</v>
      </c>
      <c r="I35">
        <v>0.26436506745197802</v>
      </c>
      <c r="J35">
        <v>10</v>
      </c>
      <c r="K35">
        <v>0.10207145461466299</v>
      </c>
    </row>
    <row r="36" spans="1:12" x14ac:dyDescent="0.25">
      <c r="A36" t="s">
        <v>149</v>
      </c>
      <c r="B36" t="s">
        <v>180</v>
      </c>
      <c r="C36">
        <v>7</v>
      </c>
      <c r="D36">
        <v>7</v>
      </c>
      <c r="E36" t="s">
        <v>191</v>
      </c>
      <c r="F36" t="s">
        <v>225</v>
      </c>
      <c r="G36" t="s">
        <v>226</v>
      </c>
      <c r="H36">
        <v>3.61</v>
      </c>
      <c r="I36">
        <v>0.50997548960709904</v>
      </c>
      <c r="J36">
        <v>9</v>
      </c>
      <c r="K36">
        <v>0.14126744864462601</v>
      </c>
    </row>
    <row r="37" spans="1:12" x14ac:dyDescent="0.25">
      <c r="A37" t="s">
        <v>149</v>
      </c>
      <c r="B37" t="s">
        <v>180</v>
      </c>
      <c r="C37">
        <v>8</v>
      </c>
      <c r="D37">
        <v>8</v>
      </c>
      <c r="E37" t="s">
        <v>191</v>
      </c>
      <c r="F37" t="s">
        <v>225</v>
      </c>
      <c r="G37" t="s">
        <v>226</v>
      </c>
      <c r="H37">
        <v>6.1711111111111103</v>
      </c>
      <c r="I37">
        <v>0.49417720618327898</v>
      </c>
      <c r="J37">
        <v>9</v>
      </c>
      <c r="K37">
        <v>8.0079129557967393E-2</v>
      </c>
    </row>
    <row r="38" spans="1:12" x14ac:dyDescent="0.25">
      <c r="A38" t="s">
        <v>149</v>
      </c>
      <c r="B38" t="s">
        <v>180</v>
      </c>
      <c r="C38">
        <v>9</v>
      </c>
      <c r="D38">
        <v>9</v>
      </c>
      <c r="E38" t="s">
        <v>191</v>
      </c>
      <c r="F38" t="s">
        <v>225</v>
      </c>
      <c r="G38" t="s">
        <v>226</v>
      </c>
      <c r="H38">
        <v>8.2322222222222194</v>
      </c>
      <c r="I38">
        <v>0.51453322967952697</v>
      </c>
      <c r="J38">
        <v>9</v>
      </c>
      <c r="K38">
        <v>6.2502349400941307E-2</v>
      </c>
    </row>
    <row r="39" spans="1:12" x14ac:dyDescent="0.25">
      <c r="A39" t="s">
        <v>149</v>
      </c>
      <c r="B39" t="s">
        <v>180</v>
      </c>
      <c r="C39">
        <v>10</v>
      </c>
      <c r="D39">
        <v>10</v>
      </c>
      <c r="E39" t="s">
        <v>191</v>
      </c>
      <c r="F39" t="s">
        <v>225</v>
      </c>
      <c r="G39" t="s">
        <v>226</v>
      </c>
      <c r="H39">
        <v>10.577777777777801</v>
      </c>
      <c r="I39">
        <v>0.59780385114554402</v>
      </c>
      <c r="J39">
        <v>9</v>
      </c>
      <c r="K39">
        <v>5.6515069961238402E-2</v>
      </c>
    </row>
    <row r="40" spans="1:12" x14ac:dyDescent="0.25">
      <c r="A40" t="s">
        <v>149</v>
      </c>
      <c r="B40" t="s">
        <v>180</v>
      </c>
      <c r="C40">
        <v>11</v>
      </c>
      <c r="D40">
        <v>11</v>
      </c>
      <c r="E40" t="s">
        <v>191</v>
      </c>
      <c r="F40" t="s">
        <v>225</v>
      </c>
      <c r="G40" t="s">
        <v>226</v>
      </c>
      <c r="H40">
        <v>14.598888888888901</v>
      </c>
      <c r="I40">
        <v>0.61441932839967806</v>
      </c>
      <c r="J40">
        <v>9</v>
      </c>
      <c r="K40">
        <v>4.2086718590433801E-2</v>
      </c>
    </row>
    <row r="41" spans="1:12" x14ac:dyDescent="0.25">
      <c r="A41" t="s">
        <v>149</v>
      </c>
      <c r="B41" t="s">
        <v>180</v>
      </c>
      <c r="C41">
        <v>12</v>
      </c>
      <c r="D41">
        <v>12</v>
      </c>
      <c r="E41" t="s">
        <v>191</v>
      </c>
      <c r="F41" t="s">
        <v>225</v>
      </c>
      <c r="G41" t="s">
        <v>226</v>
      </c>
      <c r="H41" t="s">
        <v>32</v>
      </c>
      <c r="I41" t="s">
        <v>32</v>
      </c>
      <c r="J41">
        <v>0</v>
      </c>
      <c r="K41" t="s">
        <v>32</v>
      </c>
    </row>
    <row r="42" spans="1:12" x14ac:dyDescent="0.25">
      <c r="A42" t="s">
        <v>149</v>
      </c>
      <c r="B42" t="s">
        <v>180</v>
      </c>
      <c r="C42">
        <v>13</v>
      </c>
      <c r="D42">
        <v>13</v>
      </c>
      <c r="E42" t="s">
        <v>191</v>
      </c>
      <c r="F42" t="s">
        <v>225</v>
      </c>
      <c r="G42" t="s">
        <v>226</v>
      </c>
      <c r="H42" t="s">
        <v>32</v>
      </c>
      <c r="I42" t="s">
        <v>32</v>
      </c>
      <c r="J42">
        <v>0</v>
      </c>
      <c r="K42" t="s">
        <v>32</v>
      </c>
    </row>
    <row r="43" spans="1:12" x14ac:dyDescent="0.25">
      <c r="A43" t="s">
        <v>149</v>
      </c>
      <c r="B43" t="s">
        <v>178</v>
      </c>
      <c r="C43">
        <v>1</v>
      </c>
      <c r="D43">
        <v>1</v>
      </c>
      <c r="E43" t="s">
        <v>191</v>
      </c>
      <c r="F43" t="s">
        <v>225</v>
      </c>
      <c r="G43" t="s">
        <v>226</v>
      </c>
      <c r="H43">
        <v>5.7</v>
      </c>
      <c r="I43">
        <v>0.69282032302755103</v>
      </c>
      <c r="J43">
        <v>23</v>
      </c>
      <c r="K43">
        <v>0.12154742509255299</v>
      </c>
    </row>
    <row r="44" spans="1:12" x14ac:dyDescent="0.25">
      <c r="A44" t="s">
        <v>149</v>
      </c>
      <c r="B44" t="s">
        <v>178</v>
      </c>
      <c r="C44">
        <v>2</v>
      </c>
      <c r="D44">
        <v>2</v>
      </c>
      <c r="E44" t="s">
        <v>191</v>
      </c>
      <c r="F44" t="s">
        <v>225</v>
      </c>
      <c r="G44" t="s">
        <v>226</v>
      </c>
      <c r="H44">
        <v>5.0999999999999996</v>
      </c>
      <c r="I44">
        <v>0.53124591501697405</v>
      </c>
      <c r="J44">
        <v>28</v>
      </c>
      <c r="K44">
        <v>0.104165865689603</v>
      </c>
    </row>
    <row r="45" spans="1:12" x14ac:dyDescent="0.25">
      <c r="A45" t="s">
        <v>149</v>
      </c>
      <c r="B45" t="s">
        <v>178</v>
      </c>
      <c r="C45">
        <v>3</v>
      </c>
      <c r="D45">
        <v>3</v>
      </c>
      <c r="E45" t="s">
        <v>191</v>
      </c>
      <c r="F45" t="s">
        <v>225</v>
      </c>
      <c r="G45" t="s">
        <v>226</v>
      </c>
      <c r="H45">
        <v>4.5117647058823502</v>
      </c>
      <c r="I45">
        <v>0.49421790426733397</v>
      </c>
      <c r="J45">
        <v>34</v>
      </c>
      <c r="K45">
        <v>0.10953982232783201</v>
      </c>
      <c r="L45">
        <f>H45/100</f>
        <v>4.5117647058823505E-2</v>
      </c>
    </row>
    <row r="46" spans="1:12" x14ac:dyDescent="0.25">
      <c r="A46" t="s">
        <v>149</v>
      </c>
      <c r="B46" t="s">
        <v>178</v>
      </c>
      <c r="C46">
        <v>4</v>
      </c>
      <c r="D46">
        <v>4</v>
      </c>
      <c r="E46" t="s">
        <v>191</v>
      </c>
      <c r="F46" t="s">
        <v>225</v>
      </c>
      <c r="G46" t="s">
        <v>226</v>
      </c>
      <c r="H46">
        <v>5.9142857142857101</v>
      </c>
      <c r="I46">
        <v>0.85232331098886804</v>
      </c>
      <c r="J46">
        <v>28</v>
      </c>
      <c r="K46">
        <v>0.14411263712372199</v>
      </c>
      <c r="L46">
        <f>H46/100</f>
        <v>5.9142857142857101E-2</v>
      </c>
    </row>
    <row r="47" spans="1:12" x14ac:dyDescent="0.25">
      <c r="A47" t="s">
        <v>149</v>
      </c>
      <c r="B47" t="s">
        <v>178</v>
      </c>
      <c r="C47">
        <v>5</v>
      </c>
      <c r="D47">
        <v>5</v>
      </c>
      <c r="E47" t="s">
        <v>191</v>
      </c>
      <c r="F47" t="s">
        <v>225</v>
      </c>
      <c r="G47" t="s">
        <v>226</v>
      </c>
      <c r="H47">
        <v>7.2</v>
      </c>
      <c r="I47">
        <v>0.974377629415763</v>
      </c>
      <c r="J47">
        <v>18</v>
      </c>
      <c r="K47">
        <v>0.13533022630774499</v>
      </c>
    </row>
    <row r="48" spans="1:12" x14ac:dyDescent="0.25">
      <c r="A48" t="s">
        <v>149</v>
      </c>
      <c r="B48" t="s">
        <v>178</v>
      </c>
      <c r="C48">
        <v>6</v>
      </c>
      <c r="D48">
        <v>6</v>
      </c>
      <c r="E48" t="s">
        <v>191</v>
      </c>
      <c r="F48" t="s">
        <v>225</v>
      </c>
      <c r="G48" t="s">
        <v>226</v>
      </c>
      <c r="H48">
        <v>7.53</v>
      </c>
      <c r="I48">
        <v>0.55787294451534597</v>
      </c>
      <c r="J48">
        <v>10</v>
      </c>
      <c r="K48">
        <v>7.4086712419036693E-2</v>
      </c>
    </row>
    <row r="49" spans="1:11" x14ac:dyDescent="0.25">
      <c r="A49" t="s">
        <v>149</v>
      </c>
      <c r="B49" t="s">
        <v>178</v>
      </c>
      <c r="C49">
        <v>7</v>
      </c>
      <c r="D49">
        <v>7</v>
      </c>
      <c r="E49" t="s">
        <v>191</v>
      </c>
      <c r="F49" t="s">
        <v>225</v>
      </c>
      <c r="G49" t="s">
        <v>226</v>
      </c>
      <c r="H49">
        <v>8.3011111111111102</v>
      </c>
      <c r="I49">
        <v>0.726024180803306</v>
      </c>
      <c r="J49">
        <v>9</v>
      </c>
      <c r="K49">
        <v>8.74610845566825E-2</v>
      </c>
    </row>
    <row r="50" spans="1:11" x14ac:dyDescent="0.25">
      <c r="A50" t="s">
        <v>149</v>
      </c>
      <c r="B50" t="s">
        <v>178</v>
      </c>
      <c r="C50">
        <v>8</v>
      </c>
      <c r="D50">
        <v>8</v>
      </c>
      <c r="E50" t="s">
        <v>191</v>
      </c>
      <c r="F50" t="s">
        <v>225</v>
      </c>
      <c r="G50" t="s">
        <v>226</v>
      </c>
      <c r="H50">
        <v>9.7533333333333303</v>
      </c>
      <c r="I50">
        <v>0.48749358970144402</v>
      </c>
      <c r="J50">
        <v>9</v>
      </c>
      <c r="K50">
        <v>4.9982254583196599E-2</v>
      </c>
    </row>
    <row r="51" spans="1:11" x14ac:dyDescent="0.25">
      <c r="A51" t="s">
        <v>149</v>
      </c>
      <c r="B51" t="s">
        <v>178</v>
      </c>
      <c r="C51">
        <v>9</v>
      </c>
      <c r="D51">
        <v>9</v>
      </c>
      <c r="E51" t="s">
        <v>191</v>
      </c>
      <c r="F51" t="s">
        <v>225</v>
      </c>
      <c r="G51" t="s">
        <v>226</v>
      </c>
      <c r="H51">
        <v>13.2255555555556</v>
      </c>
      <c r="I51">
        <v>0.767595451900138</v>
      </c>
      <c r="J51">
        <v>9</v>
      </c>
      <c r="K51">
        <v>5.8038805906924701E-2</v>
      </c>
    </row>
    <row r="52" spans="1:11" x14ac:dyDescent="0.25">
      <c r="A52" t="s">
        <v>149</v>
      </c>
      <c r="B52" t="s">
        <v>178</v>
      </c>
      <c r="C52">
        <v>10</v>
      </c>
      <c r="D52">
        <v>10</v>
      </c>
      <c r="E52" t="s">
        <v>191</v>
      </c>
      <c r="F52" t="s">
        <v>225</v>
      </c>
      <c r="G52" t="s">
        <v>226</v>
      </c>
      <c r="H52">
        <v>16.4233333333333</v>
      </c>
      <c r="I52">
        <v>0.62797292935284998</v>
      </c>
      <c r="J52">
        <v>9</v>
      </c>
      <c r="K52">
        <v>3.8236630567455902E-2</v>
      </c>
    </row>
    <row r="53" spans="1:11" x14ac:dyDescent="0.25">
      <c r="A53" t="s">
        <v>149</v>
      </c>
      <c r="B53" t="s">
        <v>178</v>
      </c>
      <c r="C53">
        <v>11</v>
      </c>
      <c r="D53">
        <v>11</v>
      </c>
      <c r="E53" t="s">
        <v>191</v>
      </c>
      <c r="F53" t="s">
        <v>225</v>
      </c>
      <c r="G53" t="s">
        <v>226</v>
      </c>
      <c r="H53">
        <v>14.0133333333333</v>
      </c>
      <c r="I53">
        <v>1.27886668578081</v>
      </c>
      <c r="J53">
        <v>9</v>
      </c>
      <c r="K53">
        <v>9.1260705455338695E-2</v>
      </c>
    </row>
    <row r="54" spans="1:11" x14ac:dyDescent="0.25">
      <c r="A54" t="s">
        <v>149</v>
      </c>
      <c r="B54" t="s">
        <v>178</v>
      </c>
      <c r="C54">
        <v>12</v>
      </c>
      <c r="D54">
        <v>12</v>
      </c>
      <c r="E54" t="s">
        <v>191</v>
      </c>
      <c r="F54" t="s">
        <v>225</v>
      </c>
      <c r="G54" t="s">
        <v>226</v>
      </c>
      <c r="H54" t="s">
        <v>32</v>
      </c>
      <c r="I54" t="s">
        <v>32</v>
      </c>
      <c r="J54">
        <v>0</v>
      </c>
      <c r="K54" t="s">
        <v>32</v>
      </c>
    </row>
    <row r="55" spans="1:11" x14ac:dyDescent="0.25">
      <c r="A55" t="s">
        <v>149</v>
      </c>
      <c r="B55" t="s">
        <v>178</v>
      </c>
      <c r="C55">
        <v>13</v>
      </c>
      <c r="D55">
        <v>13</v>
      </c>
      <c r="E55" t="s">
        <v>191</v>
      </c>
      <c r="F55" t="s">
        <v>225</v>
      </c>
      <c r="G55" t="s">
        <v>226</v>
      </c>
      <c r="H55" t="s">
        <v>32</v>
      </c>
      <c r="I55" t="s">
        <v>32</v>
      </c>
      <c r="J55">
        <v>0</v>
      </c>
      <c r="K55" t="s">
        <v>32</v>
      </c>
    </row>
    <row r="56" spans="1:11" x14ac:dyDescent="0.25">
      <c r="A56" t="s">
        <v>149</v>
      </c>
      <c r="B56" t="s">
        <v>196</v>
      </c>
      <c r="C56">
        <v>1</v>
      </c>
      <c r="D56">
        <v>1</v>
      </c>
      <c r="E56" t="s">
        <v>191</v>
      </c>
      <c r="F56" t="s">
        <v>225</v>
      </c>
      <c r="G56" t="s">
        <v>226</v>
      </c>
      <c r="H56">
        <v>0.24009491435889599</v>
      </c>
      <c r="I56">
        <v>4.7238514372910101E-2</v>
      </c>
      <c r="J56">
        <v>23</v>
      </c>
      <c r="K56">
        <v>0.19674933348358001</v>
      </c>
    </row>
    <row r="57" spans="1:11" x14ac:dyDescent="0.25">
      <c r="A57" t="s">
        <v>149</v>
      </c>
      <c r="B57" t="s">
        <v>196</v>
      </c>
      <c r="C57">
        <v>2</v>
      </c>
      <c r="D57">
        <v>2</v>
      </c>
      <c r="E57" t="s">
        <v>191</v>
      </c>
      <c r="F57" t="s">
        <v>225</v>
      </c>
      <c r="G57" t="s">
        <v>226</v>
      </c>
      <c r="H57">
        <v>0.28773772795800401</v>
      </c>
      <c r="I57">
        <v>2.67214065103741E-2</v>
      </c>
      <c r="J57">
        <v>28</v>
      </c>
      <c r="K57">
        <v>9.2867232601051897E-2</v>
      </c>
    </row>
    <row r="58" spans="1:11" x14ac:dyDescent="0.25">
      <c r="A58" t="s">
        <v>149</v>
      </c>
      <c r="B58" t="s">
        <v>196</v>
      </c>
      <c r="C58">
        <v>3</v>
      </c>
      <c r="D58">
        <v>3</v>
      </c>
      <c r="E58" t="s">
        <v>191</v>
      </c>
      <c r="F58" t="s">
        <v>225</v>
      </c>
      <c r="G58" t="s">
        <v>226</v>
      </c>
      <c r="H58">
        <v>0.36304122781630799</v>
      </c>
      <c r="I58">
        <v>5.1246167936005602E-2</v>
      </c>
      <c r="J58">
        <v>34</v>
      </c>
      <c r="K58">
        <v>0.14115798429905899</v>
      </c>
    </row>
    <row r="59" spans="1:11" x14ac:dyDescent="0.25">
      <c r="A59" t="s">
        <v>149</v>
      </c>
      <c r="B59" t="s">
        <v>196</v>
      </c>
      <c r="C59">
        <v>4</v>
      </c>
      <c r="D59">
        <v>4</v>
      </c>
      <c r="E59" t="s">
        <v>191</v>
      </c>
      <c r="F59" t="s">
        <v>225</v>
      </c>
      <c r="G59" t="s">
        <v>226</v>
      </c>
      <c r="H59">
        <v>0.32353692472169698</v>
      </c>
      <c r="I59">
        <v>5.1067233615251603E-2</v>
      </c>
      <c r="J59">
        <v>28</v>
      </c>
      <c r="K59">
        <v>0.157840511277589</v>
      </c>
    </row>
    <row r="60" spans="1:11" x14ac:dyDescent="0.25">
      <c r="A60" t="s">
        <v>149</v>
      </c>
      <c r="B60" t="s">
        <v>196</v>
      </c>
      <c r="C60">
        <v>5</v>
      </c>
      <c r="D60">
        <v>5</v>
      </c>
      <c r="E60" t="s">
        <v>191</v>
      </c>
      <c r="F60" t="s">
        <v>225</v>
      </c>
      <c r="G60" t="s">
        <v>226</v>
      </c>
      <c r="H60">
        <v>0.314309385649511</v>
      </c>
      <c r="I60">
        <v>3.1344821594415401E-2</v>
      </c>
      <c r="J60">
        <v>18</v>
      </c>
      <c r="K60">
        <v>9.9726012093601102E-2</v>
      </c>
    </row>
    <row r="61" spans="1:11" x14ac:dyDescent="0.25">
      <c r="A61" t="s">
        <v>149</v>
      </c>
      <c r="B61" t="s">
        <v>196</v>
      </c>
      <c r="C61">
        <v>6</v>
      </c>
      <c r="D61">
        <v>6</v>
      </c>
      <c r="E61" t="s">
        <v>191</v>
      </c>
      <c r="F61" t="s">
        <v>225</v>
      </c>
      <c r="G61" t="s">
        <v>226</v>
      </c>
      <c r="H61">
        <v>0.34427440135552501</v>
      </c>
      <c r="I61">
        <v>2.96136245221192E-2</v>
      </c>
      <c r="J61">
        <v>10</v>
      </c>
      <c r="K61">
        <v>8.6017503495817202E-2</v>
      </c>
    </row>
    <row r="62" spans="1:11" x14ac:dyDescent="0.25">
      <c r="A62" t="s">
        <v>149</v>
      </c>
      <c r="B62" t="s">
        <v>196</v>
      </c>
      <c r="C62">
        <v>7</v>
      </c>
      <c r="D62">
        <v>7</v>
      </c>
      <c r="E62" t="s">
        <v>191</v>
      </c>
      <c r="F62" t="s">
        <v>225</v>
      </c>
      <c r="G62" t="s">
        <v>226</v>
      </c>
      <c r="H62">
        <v>0.43504339259514502</v>
      </c>
      <c r="I62">
        <v>4.78412630534642E-2</v>
      </c>
      <c r="J62">
        <v>9</v>
      </c>
      <c r="K62">
        <v>0.109968945323083</v>
      </c>
    </row>
    <row r="63" spans="1:11" x14ac:dyDescent="0.25">
      <c r="A63" t="s">
        <v>149</v>
      </c>
      <c r="B63" t="s">
        <v>196</v>
      </c>
      <c r="C63">
        <v>8</v>
      </c>
      <c r="D63">
        <v>8</v>
      </c>
      <c r="E63" t="s">
        <v>191</v>
      </c>
      <c r="F63" t="s">
        <v>225</v>
      </c>
      <c r="G63" t="s">
        <v>226</v>
      </c>
      <c r="H63">
        <v>0.63303728403665904</v>
      </c>
      <c r="I63">
        <v>4.44751206519148E-2</v>
      </c>
      <c r="J63">
        <v>9</v>
      </c>
      <c r="K63">
        <v>7.0256715952514398E-2</v>
      </c>
    </row>
    <row r="64" spans="1:11" x14ac:dyDescent="0.25">
      <c r="A64" t="s">
        <v>149</v>
      </c>
      <c r="B64" t="s">
        <v>196</v>
      </c>
      <c r="C64">
        <v>9</v>
      </c>
      <c r="D64">
        <v>9</v>
      </c>
      <c r="E64" t="s">
        <v>191</v>
      </c>
      <c r="F64" t="s">
        <v>225</v>
      </c>
      <c r="G64" t="s">
        <v>226</v>
      </c>
      <c r="H64">
        <v>0.62317176678167197</v>
      </c>
      <c r="I64">
        <v>3.4997186838243897E-2</v>
      </c>
      <c r="J64">
        <v>9</v>
      </c>
      <c r="K64">
        <v>5.6159776010046902E-2</v>
      </c>
    </row>
    <row r="65" spans="1:11" x14ac:dyDescent="0.25">
      <c r="A65" t="s">
        <v>149</v>
      </c>
      <c r="B65" t="s">
        <v>196</v>
      </c>
      <c r="C65">
        <v>10</v>
      </c>
      <c r="D65">
        <v>10</v>
      </c>
      <c r="E65" t="s">
        <v>191</v>
      </c>
      <c r="F65" t="s">
        <v>225</v>
      </c>
      <c r="G65" t="s">
        <v>226</v>
      </c>
      <c r="H65">
        <v>0.64421287702476804</v>
      </c>
      <c r="I65">
        <v>3.0849480307233001E-2</v>
      </c>
      <c r="J65">
        <v>9</v>
      </c>
      <c r="K65">
        <v>4.7887090443935597E-2</v>
      </c>
    </row>
    <row r="66" spans="1:11" x14ac:dyDescent="0.25">
      <c r="A66" t="s">
        <v>149</v>
      </c>
      <c r="B66" t="s">
        <v>196</v>
      </c>
      <c r="C66">
        <v>11</v>
      </c>
      <c r="D66">
        <v>11</v>
      </c>
      <c r="E66" t="s">
        <v>191</v>
      </c>
      <c r="F66" t="s">
        <v>225</v>
      </c>
      <c r="G66" t="s">
        <v>226</v>
      </c>
      <c r="H66">
        <v>1.0472390620649501</v>
      </c>
      <c r="I66">
        <v>7.6623571250040295E-2</v>
      </c>
      <c r="J66">
        <v>9</v>
      </c>
      <c r="K66">
        <v>7.3167220385146794E-2</v>
      </c>
    </row>
    <row r="67" spans="1:11" x14ac:dyDescent="0.25">
      <c r="A67" t="s">
        <v>149</v>
      </c>
      <c r="B67" t="s">
        <v>196</v>
      </c>
      <c r="C67">
        <v>12</v>
      </c>
      <c r="D67">
        <v>12</v>
      </c>
      <c r="E67" t="s">
        <v>191</v>
      </c>
      <c r="F67" t="s">
        <v>225</v>
      </c>
      <c r="G67" t="s">
        <v>226</v>
      </c>
      <c r="H67" t="s">
        <v>32</v>
      </c>
      <c r="I67" t="s">
        <v>32</v>
      </c>
      <c r="J67">
        <v>0</v>
      </c>
      <c r="K67" t="s">
        <v>32</v>
      </c>
    </row>
    <row r="68" spans="1:11" x14ac:dyDescent="0.25">
      <c r="A68" t="s">
        <v>149</v>
      </c>
      <c r="B68" t="s">
        <v>196</v>
      </c>
      <c r="C68">
        <v>13</v>
      </c>
      <c r="D68">
        <v>13</v>
      </c>
      <c r="E68" t="s">
        <v>191</v>
      </c>
      <c r="F68" t="s">
        <v>225</v>
      </c>
      <c r="G68" t="s">
        <v>226</v>
      </c>
      <c r="H68" t="s">
        <v>32</v>
      </c>
      <c r="I68" t="s">
        <v>32</v>
      </c>
      <c r="J68">
        <v>0</v>
      </c>
      <c r="K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 T1</vt:lpstr>
      <vt:lpstr>Scans_F4point</vt:lpstr>
      <vt:lpstr>SSLW et LSSW</vt:lpstr>
      <vt:lpstr>Scans_OrganesVisibles</vt:lpstr>
      <vt:lpstr>Scans_Largeur_ttes_Dates</vt:lpstr>
      <vt:lpstr>Prelevement_Profils_Longueurs_P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2020-06-22T13:26:45Z</dcterms:modified>
</cp:coreProperties>
</file>