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LEANO\Downloads\"/>
    </mc:Choice>
  </mc:AlternateContent>
  <xr:revisionPtr revIDLastSave="0" documentId="13_ncr:1_{A447A309-A5D3-49F0-9146-3D68B8507962}" xr6:coauthVersionLast="47" xr6:coauthVersionMax="47" xr10:uidLastSave="{00000000-0000-0000-0000-000000000000}"/>
  <bookViews>
    <workbookView xWindow="-120" yWindow="-120" windowWidth="29040" windowHeight="15720" firstSheet="3" activeTab="3" xr2:uid="{6EE792DF-3D08-4B84-AA91-921E6C7F545D}"/>
  </bookViews>
  <sheets>
    <sheet name="Consolidado" sheetId="1" state="hidden" r:id="rId1"/>
    <sheet name="110521 DRAFT" sheetId="2" state="hidden" r:id="rId2"/>
    <sheet name="1-Target historico" sheetId="11" state="hidden" r:id="rId3"/>
    <sheet name="Hoja 1" sheetId="20" r:id="rId4"/>
    <sheet name="2-Año bueno (2)" sheetId="18" state="hidden" r:id="rId5"/>
    <sheet name="BASE" sheetId="10" state="hidden" r:id="rId6"/>
    <sheet name="Pre Crop Plan " sheetId="7" state="hidden" r:id="rId7"/>
    <sheet name="vlook" sheetId="8" state="hidden" r:id="rId8"/>
    <sheet name="hISTORICO" sheetId="9" state="hidden" r:id="rId9"/>
  </sheets>
  <definedNames>
    <definedName name="_xlnm._FilterDatabase" localSheetId="1" hidden="1">'110521 DRAFT'!$B$5:$Z$65</definedName>
    <definedName name="_xlnm._FilterDatabase" localSheetId="2" hidden="1">'1-Target historico'!$B$5:$AA$100</definedName>
    <definedName name="_xlnm._FilterDatabase" localSheetId="4" hidden="1">'2-Año bueno (2)'!$B$5:$AA$100</definedName>
    <definedName name="_xlnm._FilterDatabase" localSheetId="5" hidden="1">BASE!$B$5:$Z$63</definedName>
    <definedName name="_xlnm._FilterDatabase" localSheetId="0" hidden="1">Consolidado!$B$6:$Y$55</definedName>
    <definedName name="_xlnm._FilterDatabase" localSheetId="3" hidden="1">'Hoja 1'!$B$6:$X$104</definedName>
    <definedName name="_xlnm._FilterDatabase" localSheetId="6" hidden="1">'Pre Crop Plan '!$A$3:$V$76</definedName>
    <definedName name="_xlnm._FilterDatabase" localSheetId="7" hidden="1">vlook!$B$5:$Z$63</definedName>
    <definedName name="OK" localSheetId="3">'Hoja 1'!$Z$3:$Z$4</definedName>
    <definedName name="OK">#REF!</definedName>
  </definedNames>
  <calcPr calcId="191028"/>
  <pivotCaches>
    <pivotCache cacheId="0" r:id="rId10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13" i="20" l="1"/>
  <c r="W8" i="20"/>
  <c r="W30" i="20"/>
  <c r="W24" i="20"/>
  <c r="W25" i="20"/>
  <c r="W75" i="20"/>
  <c r="W98" i="20"/>
  <c r="W99" i="20"/>
  <c r="W100" i="20"/>
  <c r="W101" i="20"/>
  <c r="W102" i="20"/>
  <c r="W103" i="20"/>
  <c r="W104" i="20"/>
  <c r="W7" i="20"/>
  <c r="V96" i="20"/>
  <c r="U96" i="20"/>
  <c r="T96" i="20"/>
  <c r="Q96" i="20"/>
  <c r="W96" i="20" s="1"/>
  <c r="V95" i="20"/>
  <c r="U95" i="20"/>
  <c r="T95" i="20"/>
  <c r="Q95" i="20"/>
  <c r="W95" i="20" s="1"/>
  <c r="V94" i="20"/>
  <c r="U94" i="20"/>
  <c r="T94" i="20"/>
  <c r="V93" i="20"/>
  <c r="U93" i="20"/>
  <c r="T93" i="20"/>
  <c r="V92" i="20"/>
  <c r="U92" i="20"/>
  <c r="T92" i="20"/>
  <c r="V91" i="20"/>
  <c r="U91" i="20"/>
  <c r="T91" i="20"/>
  <c r="Q91" i="20"/>
  <c r="W91" i="20" s="1"/>
  <c r="V90" i="20"/>
  <c r="U90" i="20"/>
  <c r="T90" i="20"/>
  <c r="Q90" i="20"/>
  <c r="W90" i="20" s="1"/>
  <c r="V89" i="20"/>
  <c r="U89" i="20"/>
  <c r="T89" i="20"/>
  <c r="Q89" i="20"/>
  <c r="W89" i="20" s="1"/>
  <c r="V88" i="20"/>
  <c r="U88" i="20"/>
  <c r="T88" i="20"/>
  <c r="Q88" i="20"/>
  <c r="W88" i="20" s="1"/>
  <c r="V87" i="20"/>
  <c r="U87" i="20"/>
  <c r="T87" i="20"/>
  <c r="Q87" i="20"/>
  <c r="W87" i="20" s="1"/>
  <c r="V29" i="20"/>
  <c r="U29" i="20"/>
  <c r="T29" i="20"/>
  <c r="Q29" i="20"/>
  <c r="W29" i="20" s="1"/>
  <c r="V28" i="20"/>
  <c r="U28" i="20"/>
  <c r="T28" i="20"/>
  <c r="Q28" i="20"/>
  <c r="W28" i="20" s="1"/>
  <c r="V86" i="20"/>
  <c r="U86" i="20"/>
  <c r="T86" i="20"/>
  <c r="P86" i="20"/>
  <c r="Q86" i="20" s="1"/>
  <c r="W86" i="20" s="1"/>
  <c r="V85" i="20"/>
  <c r="U85" i="20"/>
  <c r="T85" i="20"/>
  <c r="Q85" i="20"/>
  <c r="W85" i="20" s="1"/>
  <c r="V84" i="20"/>
  <c r="U84" i="20"/>
  <c r="T84" i="20"/>
  <c r="Q84" i="20"/>
  <c r="W84" i="20" s="1"/>
  <c r="V83" i="20"/>
  <c r="U83" i="20"/>
  <c r="T83" i="20"/>
  <c r="Q83" i="20"/>
  <c r="W83" i="20" s="1"/>
  <c r="V82" i="20"/>
  <c r="U82" i="20"/>
  <c r="T82" i="20"/>
  <c r="Q82" i="20"/>
  <c r="W82" i="20" s="1"/>
  <c r="V81" i="20"/>
  <c r="U81" i="20"/>
  <c r="T81" i="20"/>
  <c r="Q81" i="20"/>
  <c r="W81" i="20" s="1"/>
  <c r="V80" i="20"/>
  <c r="U80" i="20"/>
  <c r="T80" i="20"/>
  <c r="Q80" i="20"/>
  <c r="W80" i="20" s="1"/>
  <c r="V79" i="20"/>
  <c r="U79" i="20"/>
  <c r="T79" i="20"/>
  <c r="C79" i="20"/>
  <c r="V78" i="20"/>
  <c r="U78" i="20"/>
  <c r="T78" i="20"/>
  <c r="Q78" i="20"/>
  <c r="W78" i="20" s="1"/>
  <c r="V77" i="20"/>
  <c r="U77" i="20"/>
  <c r="T77" i="20"/>
  <c r="Q77" i="20"/>
  <c r="W77" i="20" s="1"/>
  <c r="V76" i="20"/>
  <c r="U76" i="20"/>
  <c r="T76" i="20"/>
  <c r="P76" i="20"/>
  <c r="Q76" i="20" s="1"/>
  <c r="W76" i="20" s="1"/>
  <c r="V27" i="20"/>
  <c r="U27" i="20"/>
  <c r="T27" i="20"/>
  <c r="Q27" i="20"/>
  <c r="W27" i="20" s="1"/>
  <c r="V75" i="20"/>
  <c r="U75" i="20"/>
  <c r="T75" i="20"/>
  <c r="P75" i="20"/>
  <c r="P93" i="20" s="1"/>
  <c r="Q93" i="20" s="1"/>
  <c r="W93" i="20" s="1"/>
  <c r="V74" i="20"/>
  <c r="U74" i="20"/>
  <c r="T74" i="20"/>
  <c r="V73" i="20"/>
  <c r="U73" i="20"/>
  <c r="T73" i="20"/>
  <c r="Q73" i="20"/>
  <c r="W73" i="20" s="1"/>
  <c r="V72" i="20"/>
  <c r="U72" i="20"/>
  <c r="T72" i="20"/>
  <c r="Q72" i="20"/>
  <c r="W72" i="20" s="1"/>
  <c r="V71" i="20"/>
  <c r="U71" i="20"/>
  <c r="T71" i="20"/>
  <c r="Q71" i="20"/>
  <c r="W71" i="20" s="1"/>
  <c r="V70" i="20"/>
  <c r="U70" i="20"/>
  <c r="T70" i="20"/>
  <c r="P70" i="20"/>
  <c r="Q70" i="20" s="1"/>
  <c r="W70" i="20" s="1"/>
  <c r="C70" i="20"/>
  <c r="V69" i="20"/>
  <c r="U69" i="20"/>
  <c r="T69" i="20"/>
  <c r="P69" i="20"/>
  <c r="Q69" i="20" s="1"/>
  <c r="W69" i="20" s="1"/>
  <c r="V68" i="20"/>
  <c r="U68" i="20"/>
  <c r="T68" i="20"/>
  <c r="Q68" i="20"/>
  <c r="W68" i="20" s="1"/>
  <c r="V67" i="20"/>
  <c r="U67" i="20"/>
  <c r="T67" i="20"/>
  <c r="Q67" i="20"/>
  <c r="W67" i="20" s="1"/>
  <c r="V66" i="20"/>
  <c r="U66" i="20"/>
  <c r="T66" i="20"/>
  <c r="Q66" i="20"/>
  <c r="W66" i="20" s="1"/>
  <c r="C66" i="20"/>
  <c r="V26" i="20"/>
  <c r="U26" i="20"/>
  <c r="T26" i="20"/>
  <c r="Q26" i="20"/>
  <c r="W26" i="20" s="1"/>
  <c r="V25" i="20"/>
  <c r="U25" i="20"/>
  <c r="T25" i="20"/>
  <c r="P25" i="20"/>
  <c r="V24" i="20"/>
  <c r="U24" i="20"/>
  <c r="T24" i="20"/>
  <c r="P24" i="20"/>
  <c r="V23" i="20"/>
  <c r="U23" i="20"/>
  <c r="T23" i="20"/>
  <c r="V65" i="20"/>
  <c r="U65" i="20"/>
  <c r="T65" i="20"/>
  <c r="V22" i="20"/>
  <c r="U22" i="20"/>
  <c r="T22" i="20"/>
  <c r="V64" i="20"/>
  <c r="U64" i="20"/>
  <c r="T64" i="20"/>
  <c r="V63" i="20"/>
  <c r="U63" i="20"/>
  <c r="T63" i="20"/>
  <c r="V62" i="20"/>
  <c r="U62" i="20"/>
  <c r="T62" i="20"/>
  <c r="P62" i="20"/>
  <c r="Q62" i="20" s="1"/>
  <c r="W62" i="20" s="1"/>
  <c r="V21" i="20"/>
  <c r="U21" i="20"/>
  <c r="T21" i="20"/>
  <c r="Q21" i="20"/>
  <c r="W21" i="20" s="1"/>
  <c r="V61" i="20"/>
  <c r="U61" i="20"/>
  <c r="T61" i="20"/>
  <c r="P61" i="20"/>
  <c r="Q61" i="20" s="1"/>
  <c r="W61" i="20" s="1"/>
  <c r="V20" i="20"/>
  <c r="U20" i="20"/>
  <c r="T20" i="20"/>
  <c r="Q20" i="20"/>
  <c r="W20" i="20" s="1"/>
  <c r="V19" i="20"/>
  <c r="U19" i="20"/>
  <c r="T19" i="20"/>
  <c r="Q19" i="20"/>
  <c r="W19" i="20" s="1"/>
  <c r="V60" i="20"/>
  <c r="U60" i="20"/>
  <c r="T60" i="20"/>
  <c r="Q60" i="20"/>
  <c r="W60" i="20" s="1"/>
  <c r="V59" i="20"/>
  <c r="U59" i="20"/>
  <c r="T59" i="20"/>
  <c r="Q59" i="20"/>
  <c r="W59" i="20" s="1"/>
  <c r="V58" i="20"/>
  <c r="U58" i="20"/>
  <c r="T58" i="20"/>
  <c r="P58" i="20"/>
  <c r="Q58" i="20" s="1"/>
  <c r="W58" i="20" s="1"/>
  <c r="V57" i="20"/>
  <c r="U57" i="20"/>
  <c r="T57" i="20"/>
  <c r="V56" i="20"/>
  <c r="U56" i="20"/>
  <c r="T56" i="20"/>
  <c r="P56" i="20"/>
  <c r="Q56" i="20" s="1"/>
  <c r="W56" i="20" s="1"/>
  <c r="V55" i="20"/>
  <c r="U55" i="20"/>
  <c r="T55" i="20"/>
  <c r="Q55" i="20"/>
  <c r="W55" i="20" s="1"/>
  <c r="V54" i="20"/>
  <c r="U54" i="20"/>
  <c r="T54" i="20"/>
  <c r="Q54" i="20"/>
  <c r="W54" i="20" s="1"/>
  <c r="V18" i="20"/>
  <c r="U18" i="20"/>
  <c r="T18" i="20"/>
  <c r="V53" i="20"/>
  <c r="U53" i="20"/>
  <c r="T53" i="20"/>
  <c r="Q53" i="20"/>
  <c r="W53" i="20" s="1"/>
  <c r="V52" i="20"/>
  <c r="U52" i="20"/>
  <c r="T52" i="20"/>
  <c r="Q52" i="20"/>
  <c r="W52" i="20" s="1"/>
  <c r="V51" i="20"/>
  <c r="U51" i="20"/>
  <c r="T51" i="20"/>
  <c r="Q51" i="20"/>
  <c r="W51" i="20" s="1"/>
  <c r="V50" i="20"/>
  <c r="U50" i="20"/>
  <c r="T50" i="20"/>
  <c r="Q50" i="20"/>
  <c r="W50" i="20" s="1"/>
  <c r="V49" i="20"/>
  <c r="U49" i="20"/>
  <c r="T49" i="20"/>
  <c r="Q49" i="20"/>
  <c r="W49" i="20" s="1"/>
  <c r="V48" i="20"/>
  <c r="U48" i="20"/>
  <c r="T48" i="20"/>
  <c r="P48" i="20"/>
  <c r="Q48" i="20" s="1"/>
  <c r="W48" i="20" s="1"/>
  <c r="V47" i="20"/>
  <c r="U47" i="20"/>
  <c r="T47" i="20"/>
  <c r="Q47" i="20"/>
  <c r="W47" i="20" s="1"/>
  <c r="V17" i="20"/>
  <c r="U17" i="20"/>
  <c r="T17" i="20"/>
  <c r="V46" i="20"/>
  <c r="U46" i="20"/>
  <c r="T46" i="20"/>
  <c r="Q46" i="20"/>
  <c r="W46" i="20" s="1"/>
  <c r="V16" i="20"/>
  <c r="U16" i="20"/>
  <c r="T16" i="20"/>
  <c r="V45" i="20"/>
  <c r="U45" i="20"/>
  <c r="T45" i="20"/>
  <c r="P45" i="20"/>
  <c r="Q45" i="20" s="1"/>
  <c r="W45" i="20" s="1"/>
  <c r="V44" i="20"/>
  <c r="U44" i="20"/>
  <c r="T44" i="20"/>
  <c r="Q44" i="20"/>
  <c r="W44" i="20" s="1"/>
  <c r="V43" i="20"/>
  <c r="U43" i="20"/>
  <c r="T43" i="20"/>
  <c r="P43" i="20"/>
  <c r="Q43" i="20" s="1"/>
  <c r="W43" i="20" s="1"/>
  <c r="V42" i="20"/>
  <c r="U42" i="20"/>
  <c r="T42" i="20"/>
  <c r="Q42" i="20"/>
  <c r="W42" i="20" s="1"/>
  <c r="V41" i="20"/>
  <c r="U41" i="20"/>
  <c r="T41" i="20"/>
  <c r="Q41" i="20"/>
  <c r="W41" i="20" s="1"/>
  <c r="V12" i="20"/>
  <c r="U12" i="20"/>
  <c r="T12" i="20"/>
  <c r="Q12" i="20"/>
  <c r="W12" i="20" s="1"/>
  <c r="V40" i="20"/>
  <c r="U40" i="20"/>
  <c r="T40" i="20"/>
  <c r="P40" i="20"/>
  <c r="P39" i="20" s="1"/>
  <c r="V11" i="20"/>
  <c r="U11" i="20"/>
  <c r="T11" i="20"/>
  <c r="Q11" i="20"/>
  <c r="W11" i="20" s="1"/>
  <c r="V39" i="20"/>
  <c r="U39" i="20"/>
  <c r="T39" i="20"/>
  <c r="V10" i="20"/>
  <c r="U10" i="20"/>
  <c r="T10" i="20"/>
  <c r="Q10" i="20"/>
  <c r="W10" i="20" s="1"/>
  <c r="V38" i="20"/>
  <c r="U38" i="20"/>
  <c r="T38" i="20"/>
  <c r="V37" i="20"/>
  <c r="U37" i="20"/>
  <c r="T37" i="20"/>
  <c r="Q37" i="20"/>
  <c r="W37" i="20" s="1"/>
  <c r="V36" i="20"/>
  <c r="U36" i="20"/>
  <c r="T36" i="20"/>
  <c r="P36" i="20"/>
  <c r="Q36" i="20" s="1"/>
  <c r="W36" i="20" s="1"/>
  <c r="V35" i="20"/>
  <c r="U35" i="20"/>
  <c r="T35" i="20"/>
  <c r="Q35" i="20"/>
  <c r="W35" i="20" s="1"/>
  <c r="V15" i="20"/>
  <c r="U15" i="20"/>
  <c r="T15" i="20"/>
  <c r="V34" i="20"/>
  <c r="U34" i="20"/>
  <c r="T34" i="20"/>
  <c r="Q34" i="20"/>
  <c r="W34" i="20" s="1"/>
  <c r="V14" i="20"/>
  <c r="U14" i="20"/>
  <c r="T14" i="20"/>
  <c r="V9" i="20"/>
  <c r="U9" i="20"/>
  <c r="T9" i="20"/>
  <c r="Q9" i="20"/>
  <c r="W9" i="20" s="1"/>
  <c r="V33" i="20"/>
  <c r="U33" i="20"/>
  <c r="T33" i="20"/>
  <c r="Q33" i="20"/>
  <c r="W33" i="20" s="1"/>
  <c r="V32" i="20"/>
  <c r="U32" i="20"/>
  <c r="T32" i="20"/>
  <c r="Q32" i="20"/>
  <c r="W32" i="20" s="1"/>
  <c r="V31" i="20"/>
  <c r="U31" i="20"/>
  <c r="T31" i="20"/>
  <c r="Q31" i="20"/>
  <c r="W31" i="20" s="1"/>
  <c r="V30" i="20"/>
  <c r="U30" i="20"/>
  <c r="T30" i="20"/>
  <c r="P30" i="20"/>
  <c r="V8" i="20"/>
  <c r="U8" i="20"/>
  <c r="T8" i="20"/>
  <c r="P8" i="20"/>
  <c r="V13" i="20"/>
  <c r="U13" i="20"/>
  <c r="T13" i="20"/>
  <c r="P13" i="20"/>
  <c r="P14" i="20" s="1"/>
  <c r="V7" i="20"/>
  <c r="U7" i="20"/>
  <c r="T7" i="20"/>
  <c r="P7" i="20"/>
  <c r="P63" i="20" l="1"/>
  <c r="Q63" i="20" s="1"/>
  <c r="W63" i="20" s="1"/>
  <c r="Q39" i="20"/>
  <c r="W39" i="20" s="1"/>
  <c r="P38" i="20"/>
  <c r="P18" i="20" s="1"/>
  <c r="P65" i="20" s="1"/>
  <c r="P74" i="20"/>
  <c r="Q74" i="20" s="1"/>
  <c r="W74" i="20" s="1"/>
  <c r="P94" i="20"/>
  <c r="Q94" i="20" s="1"/>
  <c r="W94" i="20" s="1"/>
  <c r="Q14" i="20"/>
  <c r="W14" i="20" s="1"/>
  <c r="P15" i="20"/>
  <c r="Q15" i="20" s="1"/>
  <c r="W15" i="20" s="1"/>
  <c r="P23" i="20"/>
  <c r="Q23" i="20" s="1"/>
  <c r="W23" i="20" s="1"/>
  <c r="P64" i="20"/>
  <c r="Q40" i="20"/>
  <c r="W40" i="20" s="1"/>
  <c r="P79" i="20" l="1"/>
  <c r="Q79" i="20" s="1"/>
  <c r="W79" i="20" s="1"/>
  <c r="Q65" i="20"/>
  <c r="W65" i="20" s="1"/>
  <c r="Q18" i="20"/>
  <c r="W18" i="20" s="1"/>
  <c r="P17" i="20"/>
  <c r="Q38" i="20"/>
  <c r="W38" i="20" s="1"/>
  <c r="Q64" i="20"/>
  <c r="W64" i="20" s="1"/>
  <c r="P92" i="20"/>
  <c r="Q92" i="20" s="1"/>
  <c r="W92" i="20" s="1"/>
  <c r="Q17" i="20" l="1"/>
  <c r="W17" i="20" s="1"/>
  <c r="P16" i="20"/>
  <c r="W82" i="11"/>
  <c r="R44" i="11"/>
  <c r="T44" i="11" s="1"/>
  <c r="S44" i="11"/>
  <c r="V44" i="11" s="1"/>
  <c r="R45" i="11"/>
  <c r="S45" i="11" s="1"/>
  <c r="Q16" i="20" l="1"/>
  <c r="P22" i="20"/>
  <c r="Q22" i="20" s="1"/>
  <c r="W22" i="20" s="1"/>
  <c r="P97" i="20"/>
  <c r="P57" i="20" s="1"/>
  <c r="Q57" i="20" s="1"/>
  <c r="W57" i="20" s="1"/>
  <c r="R46" i="11"/>
  <c r="U45" i="11"/>
  <c r="V45" i="11"/>
  <c r="U44" i="11"/>
  <c r="T45" i="11"/>
  <c r="Q7" i="11"/>
  <c r="W16" i="20" l="1"/>
  <c r="Q97" i="20"/>
  <c r="W97" i="20" s="1"/>
  <c r="S46" i="11"/>
  <c r="T46" i="11"/>
  <c r="V46" i="11" l="1"/>
  <c r="R47" i="11"/>
  <c r="U46" i="11"/>
  <c r="S47" i="11" l="1"/>
  <c r="T47" i="11"/>
  <c r="U47" i="11" l="1"/>
  <c r="V47" i="11"/>
  <c r="R48" i="11"/>
  <c r="T48" i="11" l="1"/>
  <c r="S48" i="11"/>
  <c r="U48" i="11" l="1"/>
  <c r="V48" i="11"/>
  <c r="R49" i="11"/>
  <c r="S49" i="11" l="1"/>
  <c r="T49" i="11"/>
  <c r="R50" i="11" l="1"/>
  <c r="U49" i="11"/>
  <c r="V49" i="11"/>
  <c r="S50" i="11" l="1"/>
  <c r="T50" i="11"/>
  <c r="V50" i="11" l="1"/>
  <c r="R51" i="11"/>
  <c r="U50" i="11"/>
  <c r="S51" i="11" l="1"/>
  <c r="T51" i="11"/>
  <c r="U51" i="11" l="1"/>
  <c r="V51" i="11"/>
  <c r="Q87" i="11" l="1"/>
  <c r="P44" i="18"/>
  <c r="O44" i="18"/>
  <c r="P44" i="11"/>
  <c r="O44" i="11" s="1"/>
  <c r="Q44" i="18" l="1"/>
  <c r="Q44" i="11"/>
  <c r="F109" i="18" l="1"/>
  <c r="Q99" i="18"/>
  <c r="O99" i="18"/>
  <c r="Q98" i="18"/>
  <c r="O98" i="18"/>
  <c r="W97" i="18"/>
  <c r="P97" i="18"/>
  <c r="Q97" i="18" s="1"/>
  <c r="O97" i="18"/>
  <c r="Q96" i="18"/>
  <c r="O96" i="18"/>
  <c r="Q95" i="18"/>
  <c r="O95" i="18"/>
  <c r="Q94" i="18"/>
  <c r="O94" i="18"/>
  <c r="Q93" i="18"/>
  <c r="O93" i="18"/>
  <c r="Q92" i="18"/>
  <c r="O92" i="18"/>
  <c r="Q91" i="18"/>
  <c r="P91" i="18"/>
  <c r="O91" i="18"/>
  <c r="Q90" i="18"/>
  <c r="O90" i="18"/>
  <c r="Q89" i="18"/>
  <c r="O89" i="18"/>
  <c r="Q88" i="18"/>
  <c r="O88" i="18"/>
  <c r="Q87" i="18"/>
  <c r="O87" i="18"/>
  <c r="Q86" i="18"/>
  <c r="O86" i="18"/>
  <c r="Q85" i="18"/>
  <c r="O85" i="18"/>
  <c r="T84" i="18"/>
  <c r="S84" i="18"/>
  <c r="Q84" i="18"/>
  <c r="O84" i="18"/>
  <c r="O83" i="18"/>
  <c r="O82" i="18"/>
  <c r="O81" i="18"/>
  <c r="V80" i="18"/>
  <c r="U80" i="18"/>
  <c r="T80" i="18"/>
  <c r="O80" i="18"/>
  <c r="S80" i="18" s="1"/>
  <c r="R81" i="18" s="1"/>
  <c r="T81" i="18" s="1"/>
  <c r="U79" i="18"/>
  <c r="T79" i="18"/>
  <c r="O79" i="18"/>
  <c r="S79" i="18" s="1"/>
  <c r="V79" i="18" s="1"/>
  <c r="T78" i="18"/>
  <c r="O78" i="18"/>
  <c r="S78" i="18" s="1"/>
  <c r="U78" i="18" s="1"/>
  <c r="T77" i="18"/>
  <c r="P77" i="18"/>
  <c r="O77" i="18"/>
  <c r="S77" i="18" s="1"/>
  <c r="V77" i="18" s="1"/>
  <c r="T76" i="18"/>
  <c r="S76" i="18"/>
  <c r="O76" i="18"/>
  <c r="T75" i="18"/>
  <c r="S75" i="18"/>
  <c r="Q75" i="18"/>
  <c r="O75" i="18"/>
  <c r="U74" i="18"/>
  <c r="T74" i="18"/>
  <c r="P74" i="18"/>
  <c r="O74" i="18"/>
  <c r="S74" i="18" s="1"/>
  <c r="V74" i="18" s="1"/>
  <c r="Q73" i="18"/>
  <c r="O73" i="18"/>
  <c r="Q72" i="18"/>
  <c r="P72" i="18"/>
  <c r="O72" i="18"/>
  <c r="Q71" i="18"/>
  <c r="O71" i="18"/>
  <c r="O70" i="18"/>
  <c r="O69" i="18"/>
  <c r="O68" i="18"/>
  <c r="Q67" i="18"/>
  <c r="O67" i="18"/>
  <c r="O66" i="18"/>
  <c r="P65" i="18"/>
  <c r="O65" i="18" s="1"/>
  <c r="P64" i="18"/>
  <c r="O64" i="18"/>
  <c r="P63" i="18"/>
  <c r="P62" i="18"/>
  <c r="O62" i="18"/>
  <c r="T61" i="18"/>
  <c r="P61" i="18"/>
  <c r="O61" i="18"/>
  <c r="S61" i="18" s="1"/>
  <c r="Z60" i="18"/>
  <c r="P60" i="18"/>
  <c r="O60" i="18" s="1"/>
  <c r="Q59" i="18"/>
  <c r="P59" i="18"/>
  <c r="O59" i="18"/>
  <c r="P58" i="18"/>
  <c r="Q58" i="18" s="1"/>
  <c r="O58" i="18"/>
  <c r="Q57" i="18"/>
  <c r="P57" i="18"/>
  <c r="O57" i="18" s="1"/>
  <c r="Q56" i="18"/>
  <c r="P56" i="18"/>
  <c r="O56" i="18"/>
  <c r="P55" i="18"/>
  <c r="Q55" i="18" s="1"/>
  <c r="O55" i="18"/>
  <c r="P54" i="18"/>
  <c r="Q54" i="18" s="1"/>
  <c r="O54" i="18"/>
  <c r="Q53" i="18"/>
  <c r="P53" i="18"/>
  <c r="O53" i="18" s="1"/>
  <c r="Q52" i="18"/>
  <c r="P52" i="18"/>
  <c r="O52" i="18"/>
  <c r="P51" i="18"/>
  <c r="Q51" i="18" s="1"/>
  <c r="O51" i="18"/>
  <c r="P50" i="18"/>
  <c r="Q50" i="18" s="1"/>
  <c r="O50" i="18"/>
  <c r="Z49" i="18"/>
  <c r="Q49" i="18"/>
  <c r="P49" i="18"/>
  <c r="O49" i="18"/>
  <c r="Q48" i="18"/>
  <c r="O48" i="18"/>
  <c r="Q47" i="18"/>
  <c r="O47" i="18"/>
  <c r="Q46" i="18"/>
  <c r="O46" i="18"/>
  <c r="Q45" i="18"/>
  <c r="O45" i="18"/>
  <c r="Q43" i="18"/>
  <c r="O43" i="18"/>
  <c r="Q42" i="18"/>
  <c r="O42" i="18"/>
  <c r="Q41" i="18"/>
  <c r="O41" i="18"/>
  <c r="P40" i="18"/>
  <c r="O40" i="18" s="1"/>
  <c r="Q39" i="18"/>
  <c r="P39" i="18"/>
  <c r="O39" i="18"/>
  <c r="Q38" i="18"/>
  <c r="O38" i="18"/>
  <c r="Q37" i="18"/>
  <c r="O37" i="18"/>
  <c r="Q36" i="18"/>
  <c r="O36" i="18"/>
  <c r="Q35" i="18"/>
  <c r="O35" i="18"/>
  <c r="Q34" i="18"/>
  <c r="O34" i="18"/>
  <c r="Z33" i="18"/>
  <c r="Q33" i="18"/>
  <c r="O33" i="18"/>
  <c r="Q32" i="18"/>
  <c r="O32" i="18"/>
  <c r="Q31" i="18"/>
  <c r="O31" i="18"/>
  <c r="Q30" i="18"/>
  <c r="O30" i="18"/>
  <c r="Q29" i="18"/>
  <c r="O29" i="18"/>
  <c r="P28" i="18"/>
  <c r="Q28" i="18" s="1"/>
  <c r="O28" i="18"/>
  <c r="Z27" i="18"/>
  <c r="Q27" i="18"/>
  <c r="O27" i="18"/>
  <c r="Q26" i="18"/>
  <c r="O26" i="18"/>
  <c r="Q25" i="18"/>
  <c r="O25" i="18"/>
  <c r="Q24" i="18"/>
  <c r="O24" i="18"/>
  <c r="Q23" i="18"/>
  <c r="O23" i="18"/>
  <c r="Q22" i="18"/>
  <c r="O22" i="18"/>
  <c r="Z21" i="18"/>
  <c r="Q21" i="18"/>
  <c r="O21" i="18"/>
  <c r="Q20" i="18"/>
  <c r="O20" i="18"/>
  <c r="Q19" i="18"/>
  <c r="O19" i="18"/>
  <c r="Q18" i="18"/>
  <c r="O18" i="18"/>
  <c r="Q17" i="18"/>
  <c r="O17" i="18"/>
  <c r="Q16" i="18"/>
  <c r="O16" i="18"/>
  <c r="Q15" i="18"/>
  <c r="O15" i="18"/>
  <c r="Q14" i="18"/>
  <c r="O14" i="18"/>
  <c r="Q13" i="18"/>
  <c r="O13" i="18"/>
  <c r="Q12" i="18"/>
  <c r="O12" i="18"/>
  <c r="Q11" i="18"/>
  <c r="O11" i="18"/>
  <c r="Q10" i="18"/>
  <c r="O10" i="18"/>
  <c r="P9" i="18"/>
  <c r="O9" i="18"/>
  <c r="P8" i="18"/>
  <c r="O8" i="18"/>
  <c r="P7" i="18"/>
  <c r="O7" i="18"/>
  <c r="T6" i="18"/>
  <c r="P6" i="18"/>
  <c r="P4" i="18"/>
  <c r="J4" i="18"/>
  <c r="T3" i="18"/>
  <c r="T2" i="18"/>
  <c r="J2" i="18"/>
  <c r="J1" i="18"/>
  <c r="I2" i="18" s="1"/>
  <c r="O15" i="11"/>
  <c r="O16" i="11"/>
  <c r="O17" i="11"/>
  <c r="O18" i="11"/>
  <c r="O19" i="11"/>
  <c r="O20" i="11"/>
  <c r="O21" i="11"/>
  <c r="O22" i="11"/>
  <c r="O23" i="11"/>
  <c r="O24" i="11"/>
  <c r="O25" i="11"/>
  <c r="O26" i="11"/>
  <c r="O27" i="11"/>
  <c r="O29" i="11"/>
  <c r="O30" i="11"/>
  <c r="O31" i="11"/>
  <c r="O32" i="11"/>
  <c r="O33" i="11"/>
  <c r="O34" i="11"/>
  <c r="O35" i="11"/>
  <c r="O36" i="11"/>
  <c r="O37" i="11"/>
  <c r="O38" i="11"/>
  <c r="O41" i="11"/>
  <c r="O42" i="11"/>
  <c r="O43" i="11"/>
  <c r="O45" i="11"/>
  <c r="O46" i="11"/>
  <c r="O47" i="11"/>
  <c r="O48" i="11"/>
  <c r="Z49" i="11"/>
  <c r="Z27" i="11"/>
  <c r="Z21" i="11"/>
  <c r="O10" i="11"/>
  <c r="I4" i="18" l="1"/>
  <c r="V61" i="18"/>
  <c r="U61" i="18"/>
  <c r="R62" i="18"/>
  <c r="J3" i="18"/>
  <c r="I3" i="18" s="1"/>
  <c r="W60" i="18"/>
  <c r="W40" i="18"/>
  <c r="O6" i="18"/>
  <c r="S6" i="18" s="1"/>
  <c r="Z14" i="18"/>
  <c r="P100" i="18"/>
  <c r="Z41" i="18"/>
  <c r="Z57" i="18"/>
  <c r="O63" i="18"/>
  <c r="W83" i="18"/>
  <c r="V76" i="18"/>
  <c r="U76" i="18"/>
  <c r="V78" i="18"/>
  <c r="V84" i="18"/>
  <c r="R85" i="18"/>
  <c r="U84" i="18"/>
  <c r="Q40" i="18"/>
  <c r="U75" i="18"/>
  <c r="V75" i="18"/>
  <c r="U77" i="18"/>
  <c r="S81" i="18"/>
  <c r="Q60" i="18"/>
  <c r="Q100" i="18" l="1"/>
  <c r="U6" i="18"/>
  <c r="Y6" i="18"/>
  <c r="R7" i="18"/>
  <c r="V6" i="18"/>
  <c r="S62" i="18"/>
  <c r="T62" i="18"/>
  <c r="S85" i="18"/>
  <c r="T85" i="18"/>
  <c r="U81" i="18"/>
  <c r="V81" i="18"/>
  <c r="R82" i="18"/>
  <c r="Z4" i="18"/>
  <c r="O14" i="11"/>
  <c r="O12" i="11"/>
  <c r="O11" i="11"/>
  <c r="S82" i="18" l="1"/>
  <c r="T82" i="18"/>
  <c r="R86" i="18"/>
  <c r="U85" i="18"/>
  <c r="V85" i="18"/>
  <c r="T7" i="18"/>
  <c r="S7" i="18"/>
  <c r="V62" i="18"/>
  <c r="U62" i="18"/>
  <c r="R63" i="18"/>
  <c r="P97" i="11"/>
  <c r="O97" i="11" s="1"/>
  <c r="Q89" i="11"/>
  <c r="O89" i="11"/>
  <c r="U7" i="18" l="1"/>
  <c r="R8" i="18"/>
  <c r="V7" i="18"/>
  <c r="Y7" i="18"/>
  <c r="T86" i="18"/>
  <c r="S86" i="18"/>
  <c r="T63" i="18"/>
  <c r="S63" i="18"/>
  <c r="V82" i="18"/>
  <c r="R83" i="18"/>
  <c r="U82" i="18"/>
  <c r="Q97" i="11"/>
  <c r="Q32" i="11"/>
  <c r="P39" i="11"/>
  <c r="O68" i="11"/>
  <c r="O69" i="11"/>
  <c r="O70" i="11"/>
  <c r="T83" i="11"/>
  <c r="O72" i="11"/>
  <c r="Q72" i="11"/>
  <c r="T75" i="11"/>
  <c r="T79" i="11"/>
  <c r="T61" i="11"/>
  <c r="O75" i="11"/>
  <c r="S75" i="11" s="1"/>
  <c r="P49" i="11"/>
  <c r="Q35" i="11"/>
  <c r="Q34" i="11"/>
  <c r="Q33" i="11"/>
  <c r="O49" i="11" l="1"/>
  <c r="O39" i="11"/>
  <c r="T83" i="18"/>
  <c r="S83" i="18"/>
  <c r="R64" i="18"/>
  <c r="U63" i="18"/>
  <c r="V63" i="18"/>
  <c r="R87" i="18"/>
  <c r="U86" i="18"/>
  <c r="V86" i="18"/>
  <c r="T8" i="18"/>
  <c r="S8" i="18"/>
  <c r="O13" i="11"/>
  <c r="T64" i="18" l="1"/>
  <c r="S64" i="18"/>
  <c r="U8" i="18"/>
  <c r="Y8" i="18"/>
  <c r="R9" i="18"/>
  <c r="V8" i="18"/>
  <c r="T87" i="18"/>
  <c r="S87" i="18"/>
  <c r="U83" i="18"/>
  <c r="V83" i="18"/>
  <c r="P59" i="11"/>
  <c r="O59" i="11" s="1"/>
  <c r="Q21" i="11"/>
  <c r="R88" i="18" l="1"/>
  <c r="U87" i="18"/>
  <c r="V87" i="18"/>
  <c r="R65" i="18"/>
  <c r="U64" i="18"/>
  <c r="V64" i="18"/>
  <c r="T9" i="18"/>
  <c r="S9" i="18"/>
  <c r="O79" i="11"/>
  <c r="S79" i="11" s="1"/>
  <c r="P73" i="11"/>
  <c r="P76" i="11"/>
  <c r="P65" i="11"/>
  <c r="P64" i="11"/>
  <c r="P63" i="11"/>
  <c r="P62" i="11"/>
  <c r="P8" i="11"/>
  <c r="P61" i="11"/>
  <c r="O61" i="11" s="1"/>
  <c r="P9" i="11"/>
  <c r="P6" i="11"/>
  <c r="P28" i="11"/>
  <c r="P71" i="11"/>
  <c r="O71" i="11" s="1"/>
  <c r="P91" i="11"/>
  <c r="Q92" i="11"/>
  <c r="O92" i="11"/>
  <c r="Q30" i="11"/>
  <c r="Q85" i="11"/>
  <c r="Q96" i="11"/>
  <c r="O96" i="11"/>
  <c r="Q66" i="11"/>
  <c r="Q74" i="11"/>
  <c r="Q13" i="11"/>
  <c r="J2" i="11" l="1"/>
  <c r="W97" i="11"/>
  <c r="O28" i="11"/>
  <c r="Z33" i="11"/>
  <c r="J4" i="11"/>
  <c r="Z14" i="11"/>
  <c r="T65" i="18"/>
  <c r="S65" i="18"/>
  <c r="U9" i="18"/>
  <c r="R10" i="18"/>
  <c r="V9" i="18"/>
  <c r="Y9" i="18"/>
  <c r="S88" i="18"/>
  <c r="T88" i="18"/>
  <c r="Q71" i="11"/>
  <c r="U79" i="11"/>
  <c r="V79" i="11"/>
  <c r="V65" i="18" l="1"/>
  <c r="U65" i="18"/>
  <c r="R66" i="18"/>
  <c r="T10" i="18"/>
  <c r="S10" i="18"/>
  <c r="V88" i="18"/>
  <c r="U88" i="18"/>
  <c r="R89" i="18"/>
  <c r="Q91" i="11"/>
  <c r="Q93" i="11"/>
  <c r="Q94" i="11"/>
  <c r="Q98" i="11"/>
  <c r="Q99" i="11"/>
  <c r="Q95" i="11"/>
  <c r="Q84" i="11"/>
  <c r="Q86" i="11"/>
  <c r="Q88" i="11"/>
  <c r="Q90" i="11"/>
  <c r="Q83" i="11"/>
  <c r="Q28" i="11"/>
  <c r="T66" i="18" l="1"/>
  <c r="S66" i="18"/>
  <c r="S89" i="18"/>
  <c r="T89" i="18"/>
  <c r="U10" i="18"/>
  <c r="Y10" i="18"/>
  <c r="R11" i="18"/>
  <c r="V10" i="18"/>
  <c r="T6" i="11"/>
  <c r="P50" i="11"/>
  <c r="O50" i="11" l="1"/>
  <c r="T11" i="18"/>
  <c r="S11" i="18"/>
  <c r="V89" i="18"/>
  <c r="R90" i="18"/>
  <c r="U89" i="18"/>
  <c r="R67" i="18"/>
  <c r="U66" i="18"/>
  <c r="V66" i="18"/>
  <c r="O9" i="11"/>
  <c r="Q17" i="11"/>
  <c r="O8" i="11"/>
  <c r="Q12" i="11"/>
  <c r="Q27" i="11"/>
  <c r="T67" i="18" l="1"/>
  <c r="S67" i="18"/>
  <c r="U11" i="18"/>
  <c r="R12" i="18"/>
  <c r="V11" i="18"/>
  <c r="Y11" i="18"/>
  <c r="T90" i="18"/>
  <c r="S90" i="18"/>
  <c r="O65" i="11"/>
  <c r="O87" i="11"/>
  <c r="O73" i="11"/>
  <c r="O74" i="11"/>
  <c r="S74" i="11" s="1"/>
  <c r="O66" i="11"/>
  <c r="O67" i="11"/>
  <c r="O77" i="11"/>
  <c r="S77" i="11" s="1"/>
  <c r="O78" i="11"/>
  <c r="S78" i="11" s="1"/>
  <c r="R80" i="11"/>
  <c r="T80" i="11" s="1"/>
  <c r="O80" i="11"/>
  <c r="O81" i="11"/>
  <c r="O82" i="11"/>
  <c r="O85" i="11"/>
  <c r="O86" i="11"/>
  <c r="O88" i="11"/>
  <c r="O90" i="11"/>
  <c r="O91" i="11"/>
  <c r="O93" i="11"/>
  <c r="O94" i="11"/>
  <c r="O98" i="11"/>
  <c r="O99" i="11"/>
  <c r="O95" i="11"/>
  <c r="O84" i="11"/>
  <c r="O83" i="11"/>
  <c r="S83" i="11" s="1"/>
  <c r="R84" i="11" s="1"/>
  <c r="O7" i="11"/>
  <c r="F109" i="11"/>
  <c r="P52" i="11"/>
  <c r="O52" i="11" s="1"/>
  <c r="P53" i="11"/>
  <c r="O53" i="11" s="1"/>
  <c r="P54" i="11"/>
  <c r="O54" i="11" s="1"/>
  <c r="P55" i="11"/>
  <c r="O55" i="11" s="1"/>
  <c r="P60" i="11"/>
  <c r="O60" i="11" s="1"/>
  <c r="P40" i="11"/>
  <c r="P57" i="11"/>
  <c r="P51" i="11"/>
  <c r="P56" i="11"/>
  <c r="O56" i="11" s="1"/>
  <c r="P58" i="11"/>
  <c r="O58" i="11" s="1"/>
  <c r="O64" i="11"/>
  <c r="O63" i="11"/>
  <c r="O62" i="11"/>
  <c r="O76" i="11"/>
  <c r="S76" i="11" s="1"/>
  <c r="Q47" i="11"/>
  <c r="O40" i="11" l="1"/>
  <c r="Z41" i="11"/>
  <c r="W40" i="11"/>
  <c r="J3" i="11"/>
  <c r="I3" i="11" s="1"/>
  <c r="J1" i="11"/>
  <c r="P4" i="11"/>
  <c r="W60" i="11"/>
  <c r="O51" i="11"/>
  <c r="Z57" i="11"/>
  <c r="O57" i="11"/>
  <c r="Z60" i="11"/>
  <c r="R91" i="18"/>
  <c r="V90" i="18"/>
  <c r="U90" i="18"/>
  <c r="U67" i="18"/>
  <c r="V67" i="18"/>
  <c r="R68" i="18"/>
  <c r="T12" i="18"/>
  <c r="S12" i="18"/>
  <c r="V83" i="11"/>
  <c r="U83" i="11"/>
  <c r="S80" i="11"/>
  <c r="O6" i="11"/>
  <c r="S6" i="11" s="1"/>
  <c r="P100" i="11"/>
  <c r="Q70" i="11"/>
  <c r="R7" i="11" l="1"/>
  <c r="T7" i="11" s="1"/>
  <c r="Y6" i="11"/>
  <c r="Z4" i="11"/>
  <c r="I4" i="11"/>
  <c r="I2" i="11"/>
  <c r="U12" i="18"/>
  <c r="Y12" i="18"/>
  <c r="R13" i="18"/>
  <c r="V12" i="18"/>
  <c r="S68" i="18"/>
  <c r="T68" i="18"/>
  <c r="T91" i="18"/>
  <c r="S91" i="18"/>
  <c r="U80" i="11"/>
  <c r="V80" i="11"/>
  <c r="U6" i="11"/>
  <c r="Q14" i="11"/>
  <c r="Q43" i="11"/>
  <c r="T13" i="18" l="1"/>
  <c r="S13" i="18"/>
  <c r="R92" i="18"/>
  <c r="U91" i="18"/>
  <c r="V91" i="18"/>
  <c r="V68" i="18"/>
  <c r="U68" i="18"/>
  <c r="R69" i="18"/>
  <c r="Q49" i="11"/>
  <c r="U13" i="18" l="1"/>
  <c r="R14" i="18"/>
  <c r="V13" i="18"/>
  <c r="Y13" i="18"/>
  <c r="T69" i="18"/>
  <c r="S69" i="18"/>
  <c r="T92" i="18"/>
  <c r="S92" i="18"/>
  <c r="Q23" i="11"/>
  <c r="Q37" i="11"/>
  <c r="Q50" i="11"/>
  <c r="R93" i="18" l="1"/>
  <c r="U92" i="18"/>
  <c r="V92" i="18"/>
  <c r="U69" i="18"/>
  <c r="R70" i="18"/>
  <c r="V69" i="18"/>
  <c r="T14" i="18"/>
  <c r="S14" i="18"/>
  <c r="S61" i="11"/>
  <c r="U14" i="18" l="1"/>
  <c r="Y14" i="18"/>
  <c r="R15" i="18"/>
  <c r="V14" i="18"/>
  <c r="S70" i="18"/>
  <c r="T70" i="18"/>
  <c r="S93" i="18"/>
  <c r="T93" i="18"/>
  <c r="R62" i="11"/>
  <c r="T62" i="11" s="1"/>
  <c r="V61" i="11"/>
  <c r="U61" i="11"/>
  <c r="Q19" i="11"/>
  <c r="T15" i="18" l="1"/>
  <c r="S15" i="18"/>
  <c r="V93" i="18"/>
  <c r="U93" i="18"/>
  <c r="R94" i="18"/>
  <c r="V70" i="18"/>
  <c r="U70" i="18"/>
  <c r="R71" i="18"/>
  <c r="S62" i="11"/>
  <c r="R63" i="11" s="1"/>
  <c r="S84" i="11"/>
  <c r="R85" i="11" s="1"/>
  <c r="Q51" i="11"/>
  <c r="Q53" i="11"/>
  <c r="Q36" i="11"/>
  <c r="Q24" i="11"/>
  <c r="Q52" i="11"/>
  <c r="Q22" i="11"/>
  <c r="Q10" i="11"/>
  <c r="Q60" i="11"/>
  <c r="Q56" i="11"/>
  <c r="Q40" i="11"/>
  <c r="Q20" i="11"/>
  <c r="Q26" i="11"/>
  <c r="Q29" i="11"/>
  <c r="Q31" i="11"/>
  <c r="Q15" i="11"/>
  <c r="Q48" i="11"/>
  <c r="Q38" i="11"/>
  <c r="Q25" i="11"/>
  <c r="Q55" i="11"/>
  <c r="Q45" i="11"/>
  <c r="Q16" i="11"/>
  <c r="Q46" i="11"/>
  <c r="Q41" i="11"/>
  <c r="T71" i="18" l="1"/>
  <c r="S71" i="18"/>
  <c r="Y15" i="18"/>
  <c r="V15" i="18"/>
  <c r="R16" i="18"/>
  <c r="U15" i="18"/>
  <c r="S94" i="18"/>
  <c r="T94" i="18"/>
  <c r="S85" i="11"/>
  <c r="T85" i="11"/>
  <c r="V62" i="11"/>
  <c r="U62" i="11"/>
  <c r="T76" i="11"/>
  <c r="U75" i="11"/>
  <c r="V75" i="11"/>
  <c r="S63" i="11"/>
  <c r="R64" i="11" s="1"/>
  <c r="S64" i="11" s="1"/>
  <c r="R65" i="11" s="1"/>
  <c r="S65" i="11" s="1"/>
  <c r="T63" i="11"/>
  <c r="Q54" i="11"/>
  <c r="Q59" i="11"/>
  <c r="Q58" i="11"/>
  <c r="Q57" i="11"/>
  <c r="Q42" i="11"/>
  <c r="R87" i="11" l="1"/>
  <c r="S87" i="11" s="1"/>
  <c r="R66" i="11"/>
  <c r="S66" i="11" s="1"/>
  <c r="R67" i="11" s="1"/>
  <c r="S67" i="11" s="1"/>
  <c r="R68" i="11" s="1"/>
  <c r="S68" i="11" s="1"/>
  <c r="R69" i="11" s="1"/>
  <c r="S69" i="11" s="1"/>
  <c r="R70" i="11" s="1"/>
  <c r="S70" i="11" s="1"/>
  <c r="R71" i="11" s="1"/>
  <c r="S71" i="11" s="1"/>
  <c r="V94" i="18"/>
  <c r="U94" i="18"/>
  <c r="R95" i="18"/>
  <c r="R72" i="18"/>
  <c r="V71" i="18"/>
  <c r="U71" i="18"/>
  <c r="T16" i="18"/>
  <c r="S16" i="18"/>
  <c r="V85" i="11"/>
  <c r="U85" i="11"/>
  <c r="R86" i="11"/>
  <c r="U63" i="11"/>
  <c r="V63" i="11"/>
  <c r="Q18" i="11"/>
  <c r="T3" i="11"/>
  <c r="T2" i="11"/>
  <c r="T69" i="11" l="1"/>
  <c r="T72" i="18"/>
  <c r="S72" i="18"/>
  <c r="T95" i="18"/>
  <c r="S95" i="18"/>
  <c r="Y16" i="18"/>
  <c r="R17" i="18"/>
  <c r="U16" i="18"/>
  <c r="V16" i="18"/>
  <c r="V69" i="11"/>
  <c r="U69" i="11"/>
  <c r="T86" i="11"/>
  <c r="S86" i="11"/>
  <c r="U76" i="11"/>
  <c r="V76" i="11"/>
  <c r="T64" i="11"/>
  <c r="O64" i="10"/>
  <c r="P57" i="10"/>
  <c r="P56" i="10"/>
  <c r="P55" i="10"/>
  <c r="P54" i="10"/>
  <c r="P53" i="10"/>
  <c r="P52" i="10"/>
  <c r="P51" i="10"/>
  <c r="P50" i="10"/>
  <c r="P49" i="10"/>
  <c r="P48" i="10"/>
  <c r="P46" i="10"/>
  <c r="P45" i="10"/>
  <c r="P44" i="10"/>
  <c r="P43" i="10"/>
  <c r="P39" i="10"/>
  <c r="P38" i="10"/>
  <c r="P37" i="10"/>
  <c r="P36" i="10"/>
  <c r="P35" i="10"/>
  <c r="P34" i="10"/>
  <c r="P28" i="10"/>
  <c r="P27" i="10"/>
  <c r="P26" i="10"/>
  <c r="P25" i="10"/>
  <c r="P24" i="10"/>
  <c r="P23" i="10"/>
  <c r="P22" i="10"/>
  <c r="P21" i="10"/>
  <c r="P20" i="10"/>
  <c r="P19" i="10"/>
  <c r="P18" i="10"/>
  <c r="P17" i="10"/>
  <c r="P16" i="10"/>
  <c r="P15" i="10"/>
  <c r="P14" i="10"/>
  <c r="V95" i="18" l="1"/>
  <c r="R96" i="18"/>
  <c r="U95" i="18"/>
  <c r="T17" i="18"/>
  <c r="S17" i="18"/>
  <c r="R73" i="18"/>
  <c r="U72" i="18"/>
  <c r="V72" i="18"/>
  <c r="T70" i="11"/>
  <c r="U86" i="11"/>
  <c r="V86" i="11"/>
  <c r="R88" i="11"/>
  <c r="T77" i="11"/>
  <c r="V64" i="11"/>
  <c r="U64" i="11"/>
  <c r="V6" i="11"/>
  <c r="P64" i="10"/>
  <c r="AL23" i="9"/>
  <c r="AK23" i="9"/>
  <c r="AG8" i="9"/>
  <c r="AB3" i="9"/>
  <c r="AB23" i="9"/>
  <c r="AC23" i="9" s="1"/>
  <c r="T73" i="18" l="1"/>
  <c r="S73" i="18"/>
  <c r="S96" i="18"/>
  <c r="T96" i="18"/>
  <c r="Y17" i="18"/>
  <c r="V17" i="18"/>
  <c r="R18" i="18"/>
  <c r="U17" i="18"/>
  <c r="U70" i="11"/>
  <c r="V70" i="11"/>
  <c r="T88" i="11"/>
  <c r="S88" i="11"/>
  <c r="R89" i="11" s="1"/>
  <c r="T65" i="11"/>
  <c r="U77" i="11"/>
  <c r="V77" i="11"/>
  <c r="AE23" i="9"/>
  <c r="AB2" i="9"/>
  <c r="AB4" i="9"/>
  <c r="AB5" i="9"/>
  <c r="AC5" i="9" s="1"/>
  <c r="AB6" i="9"/>
  <c r="AE6" i="9" s="1"/>
  <c r="AF6" i="9" s="1"/>
  <c r="AB7" i="9"/>
  <c r="AB8" i="9"/>
  <c r="AB9" i="9"/>
  <c r="AC9" i="9" s="1"/>
  <c r="AB10" i="9"/>
  <c r="AE10" i="9" s="1"/>
  <c r="AF10" i="9" s="1"/>
  <c r="AB11" i="9"/>
  <c r="AB12" i="9"/>
  <c r="AB13" i="9"/>
  <c r="AC13" i="9" s="1"/>
  <c r="AB14" i="9"/>
  <c r="AE14" i="9" s="1"/>
  <c r="AF14" i="9" s="1"/>
  <c r="AB15" i="9"/>
  <c r="AB16" i="9"/>
  <c r="AB17" i="9"/>
  <c r="AC17" i="9" s="1"/>
  <c r="AB18" i="9"/>
  <c r="AE18" i="9" s="1"/>
  <c r="AF18" i="9" s="1"/>
  <c r="AB19" i="9"/>
  <c r="AB20" i="9"/>
  <c r="AB21" i="9"/>
  <c r="AC21" i="9" s="1"/>
  <c r="AB22" i="9"/>
  <c r="AE22" i="9" s="1"/>
  <c r="AF22" i="9" s="1"/>
  <c r="AC2" i="9"/>
  <c r="AK3" i="9"/>
  <c r="AK4" i="9"/>
  <c r="AK5" i="9"/>
  <c r="AK6" i="9"/>
  <c r="AK7" i="9"/>
  <c r="AK8" i="9"/>
  <c r="AK17" i="9"/>
  <c r="AD17" i="9" s="1"/>
  <c r="AK18" i="9"/>
  <c r="AK19" i="9"/>
  <c r="AK20" i="9"/>
  <c r="AK21" i="9"/>
  <c r="AK22" i="9"/>
  <c r="AD22" i="9" s="1"/>
  <c r="AD20" i="9"/>
  <c r="AC3" i="9"/>
  <c r="AC4" i="9"/>
  <c r="AC7" i="9"/>
  <c r="AC8" i="9"/>
  <c r="AC11" i="9"/>
  <c r="AC12" i="9"/>
  <c r="AC15" i="9"/>
  <c r="AC16" i="9"/>
  <c r="AC19" i="9"/>
  <c r="AC20" i="9"/>
  <c r="AD7" i="9"/>
  <c r="AJ3" i="9"/>
  <c r="AJ4" i="9"/>
  <c r="AJ5" i="9"/>
  <c r="AD5" i="9" s="1"/>
  <c r="AJ6" i="9"/>
  <c r="AD6" i="9" s="1"/>
  <c r="AJ7" i="9"/>
  <c r="AJ8" i="9"/>
  <c r="AD8" i="9" s="1"/>
  <c r="AJ9" i="9"/>
  <c r="AJ10" i="9"/>
  <c r="AJ11" i="9"/>
  <c r="AK11" i="9" s="1"/>
  <c r="AJ12" i="9"/>
  <c r="AK12" i="9" s="1"/>
  <c r="AJ13" i="9"/>
  <c r="AJ14" i="9"/>
  <c r="AK14" i="9" s="1"/>
  <c r="AD14" i="9" s="1"/>
  <c r="AJ15" i="9"/>
  <c r="AK15" i="9" s="1"/>
  <c r="AD15" i="9" s="1"/>
  <c r="AJ16" i="9"/>
  <c r="AK16" i="9" s="1"/>
  <c r="AD16" i="9" s="1"/>
  <c r="AJ17" i="9"/>
  <c r="AJ18" i="9"/>
  <c r="AJ19" i="9"/>
  <c r="AD19" i="9" s="1"/>
  <c r="AJ20" i="9"/>
  <c r="AJ21" i="9"/>
  <c r="AD21" i="9" s="1"/>
  <c r="AJ22" i="9"/>
  <c r="AJ2" i="9"/>
  <c r="AK2" i="9" s="1"/>
  <c r="AD2" i="9" s="1"/>
  <c r="AE3" i="9"/>
  <c r="AF3" i="9" s="1"/>
  <c r="AE4" i="9"/>
  <c r="AE5" i="9"/>
  <c r="AF5" i="9" s="1"/>
  <c r="AE7" i="9"/>
  <c r="AF7" i="9" s="1"/>
  <c r="AE8" i="9"/>
  <c r="AE9" i="9"/>
  <c r="AF9" i="9" s="1"/>
  <c r="AE11" i="9"/>
  <c r="AF11" i="9" s="1"/>
  <c r="AE12" i="9"/>
  <c r="AF12" i="9" s="1"/>
  <c r="AE13" i="9"/>
  <c r="AF13" i="9" s="1"/>
  <c r="AE15" i="9"/>
  <c r="AF15" i="9" s="1"/>
  <c r="AE16" i="9"/>
  <c r="AF16" i="9" s="1"/>
  <c r="AE17" i="9"/>
  <c r="AF17" i="9" s="1"/>
  <c r="AE19" i="9"/>
  <c r="AF19" i="9" s="1"/>
  <c r="AE20" i="9"/>
  <c r="AE21" i="9"/>
  <c r="AF21" i="9" s="1"/>
  <c r="AE2" i="9"/>
  <c r="AF2" i="9" s="1"/>
  <c r="AF4" i="9"/>
  <c r="AF8" i="9"/>
  <c r="AF20" i="9"/>
  <c r="T4" i="9"/>
  <c r="T5" i="9"/>
  <c r="T3" i="9"/>
  <c r="S4" i="9"/>
  <c r="S5" i="9"/>
  <c r="S3" i="9"/>
  <c r="R4" i="9"/>
  <c r="R5" i="9"/>
  <c r="R3" i="9"/>
  <c r="K11" i="9"/>
  <c r="U96" i="18" l="1"/>
  <c r="V96" i="18"/>
  <c r="T18" i="18"/>
  <c r="S18" i="18"/>
  <c r="U73" i="18"/>
  <c r="V73" i="18"/>
  <c r="T89" i="11"/>
  <c r="S89" i="11"/>
  <c r="T71" i="11"/>
  <c r="U88" i="11"/>
  <c r="V88" i="11"/>
  <c r="T78" i="11"/>
  <c r="U65" i="11"/>
  <c r="V65" i="11"/>
  <c r="S7" i="11"/>
  <c r="Y7" i="11" s="1"/>
  <c r="AK13" i="9"/>
  <c r="AD13" i="9" s="1"/>
  <c r="AK10" i="9"/>
  <c r="AD10" i="9" s="1"/>
  <c r="AK9" i="9"/>
  <c r="AD9" i="9" s="1"/>
  <c r="AG18" i="9"/>
  <c r="AG16" i="9"/>
  <c r="AG12" i="9"/>
  <c r="AG4" i="9"/>
  <c r="AC22" i="9"/>
  <c r="AC18" i="9"/>
  <c r="AC14" i="9"/>
  <c r="AC10" i="9"/>
  <c r="AC6" i="9"/>
  <c r="AG17" i="9"/>
  <c r="AG15" i="9"/>
  <c r="AG11" i="9"/>
  <c r="AG7" i="9"/>
  <c r="AG3" i="9"/>
  <c r="AG2" i="9"/>
  <c r="AG9" i="9"/>
  <c r="AD18" i="9"/>
  <c r="AG22" i="9"/>
  <c r="AG14" i="9"/>
  <c r="AG6" i="9"/>
  <c r="AG21" i="9"/>
  <c r="AG13" i="9"/>
  <c r="AG5" i="9"/>
  <c r="AG10" i="9"/>
  <c r="AD12" i="9"/>
  <c r="AD3" i="9"/>
  <c r="AD4" i="9"/>
  <c r="AG20" i="9"/>
  <c r="AD11" i="9"/>
  <c r="AG19" i="9"/>
  <c r="Y18" i="18" l="1"/>
  <c r="V18" i="18"/>
  <c r="R19" i="18"/>
  <c r="U18" i="18"/>
  <c r="R90" i="11"/>
  <c r="V89" i="11"/>
  <c r="U89" i="11"/>
  <c r="U71" i="11"/>
  <c r="V71" i="11"/>
  <c r="R72" i="11"/>
  <c r="T87" i="11"/>
  <c r="V78" i="11"/>
  <c r="U78" i="11"/>
  <c r="R8" i="11"/>
  <c r="U7" i="11"/>
  <c r="R81" i="11"/>
  <c r="T81" i="11" s="1"/>
  <c r="V7" i="11"/>
  <c r="P3" i="9"/>
  <c r="P11" i="9"/>
  <c r="L11" i="9"/>
  <c r="M11" i="9"/>
  <c r="N11" i="9"/>
  <c r="O11" i="9"/>
  <c r="K8" i="9"/>
  <c r="L8" i="9"/>
  <c r="P8" i="9"/>
  <c r="P9" i="9" s="1"/>
  <c r="N8" i="9"/>
  <c r="M8" i="9"/>
  <c r="K5" i="9"/>
  <c r="L5" i="9"/>
  <c r="M5" i="9"/>
  <c r="M9" i="9" s="1"/>
  <c r="N5" i="9"/>
  <c r="O5" i="9"/>
  <c r="T19" i="18" l="1"/>
  <c r="S19" i="18"/>
  <c r="S90" i="11"/>
  <c r="T90" i="11"/>
  <c r="S72" i="11"/>
  <c r="T72" i="11"/>
  <c r="S81" i="11"/>
  <c r="U87" i="11"/>
  <c r="V87" i="11"/>
  <c r="S8" i="11"/>
  <c r="T8" i="11"/>
  <c r="N9" i="9"/>
  <c r="K9" i="9"/>
  <c r="L9" i="9"/>
  <c r="R9" i="11" l="1"/>
  <c r="Y8" i="11"/>
  <c r="Y19" i="18"/>
  <c r="V19" i="18"/>
  <c r="R20" i="18"/>
  <c r="U19" i="18"/>
  <c r="R91" i="11"/>
  <c r="U90" i="11"/>
  <c r="V90" i="11"/>
  <c r="V72" i="11"/>
  <c r="U72" i="11"/>
  <c r="U81" i="11"/>
  <c r="V81" i="11"/>
  <c r="S73" i="11"/>
  <c r="T73" i="11"/>
  <c r="R82" i="11"/>
  <c r="U8" i="11"/>
  <c r="V8" i="11"/>
  <c r="V48" i="2"/>
  <c r="V64" i="2"/>
  <c r="V30" i="2"/>
  <c r="Q47" i="2"/>
  <c r="R47" i="2"/>
  <c r="U47" i="2"/>
  <c r="Q48" i="2"/>
  <c r="R48" i="2" s="1"/>
  <c r="U48" i="2" s="1"/>
  <c r="N47" i="2"/>
  <c r="N48" i="2"/>
  <c r="R32" i="2"/>
  <c r="Q33" i="2" s="1"/>
  <c r="R33" i="2" s="1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32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9" i="2"/>
  <c r="N8" i="2"/>
  <c r="N7" i="2"/>
  <c r="R7" i="2" s="1"/>
  <c r="O65" i="2"/>
  <c r="O63" i="8"/>
  <c r="P37" i="8"/>
  <c r="P33" i="2"/>
  <c r="P65" i="2" s="1"/>
  <c r="S9" i="11" l="1"/>
  <c r="T9" i="11"/>
  <c r="T20" i="18"/>
  <c r="S20" i="18"/>
  <c r="S91" i="11"/>
  <c r="T91" i="11"/>
  <c r="S82" i="11"/>
  <c r="T82" i="11"/>
  <c r="U73" i="11"/>
  <c r="V73" i="11"/>
  <c r="Q8" i="2"/>
  <c r="R8" i="2" s="1"/>
  <c r="U7" i="2"/>
  <c r="Q34" i="2"/>
  <c r="R34" i="2" s="1"/>
  <c r="U34" i="2" s="1"/>
  <c r="U33" i="2"/>
  <c r="U32" i="2"/>
  <c r="Y9" i="11" l="1"/>
  <c r="R10" i="11"/>
  <c r="V9" i="11"/>
  <c r="U9" i="11"/>
  <c r="Y20" i="18"/>
  <c r="R21" i="18"/>
  <c r="U20" i="18"/>
  <c r="V20" i="18"/>
  <c r="V91" i="11"/>
  <c r="R92" i="11"/>
  <c r="U91" i="11"/>
  <c r="U82" i="11"/>
  <c r="V82" i="11"/>
  <c r="T74" i="11"/>
  <c r="Q35" i="2"/>
  <c r="R35" i="2" s="1"/>
  <c r="Q36" i="2" s="1"/>
  <c r="R36" i="2" s="1"/>
  <c r="Q9" i="2"/>
  <c r="R9" i="2" s="1"/>
  <c r="U8" i="2"/>
  <c r="U35" i="2"/>
  <c r="S10" i="11" l="1"/>
  <c r="T10" i="11"/>
  <c r="T21" i="18"/>
  <c r="S21" i="18"/>
  <c r="T92" i="11"/>
  <c r="S92" i="11"/>
  <c r="T84" i="11"/>
  <c r="V74" i="11"/>
  <c r="U74" i="11"/>
  <c r="U9" i="2"/>
  <c r="Q10" i="2"/>
  <c r="R10" i="2" s="1"/>
  <c r="U36" i="2"/>
  <c r="Q37" i="2"/>
  <c r="R37" i="2" s="1"/>
  <c r="Y10" i="11" l="1"/>
  <c r="R11" i="11"/>
  <c r="U10" i="11"/>
  <c r="V10" i="11"/>
  <c r="R22" i="18"/>
  <c r="Y21" i="18"/>
  <c r="V21" i="18"/>
  <c r="U21" i="18"/>
  <c r="V92" i="11"/>
  <c r="R93" i="11"/>
  <c r="U92" i="11"/>
  <c r="V84" i="11"/>
  <c r="U84" i="11"/>
  <c r="T66" i="11"/>
  <c r="Q11" i="2"/>
  <c r="R11" i="2" s="1"/>
  <c r="U10" i="2"/>
  <c r="U37" i="2"/>
  <c r="Q38" i="2"/>
  <c r="R38" i="2" s="1"/>
  <c r="T11" i="11" l="1"/>
  <c r="S11" i="11"/>
  <c r="S22" i="18"/>
  <c r="T22" i="18"/>
  <c r="S93" i="11"/>
  <c r="T93" i="11"/>
  <c r="U66" i="11"/>
  <c r="V66" i="11"/>
  <c r="U11" i="2"/>
  <c r="Q12" i="2"/>
  <c r="R12" i="2" s="1"/>
  <c r="U38" i="2"/>
  <c r="Q39" i="2"/>
  <c r="R39" i="2" s="1"/>
  <c r="Y11" i="11" l="1"/>
  <c r="V11" i="11"/>
  <c r="R12" i="11"/>
  <c r="U11" i="11"/>
  <c r="Y22" i="18"/>
  <c r="R23" i="18"/>
  <c r="V22" i="18"/>
  <c r="U22" i="18"/>
  <c r="V93" i="11"/>
  <c r="R94" i="11"/>
  <c r="U93" i="11"/>
  <c r="T67" i="11"/>
  <c r="Q13" i="2"/>
  <c r="R13" i="2" s="1"/>
  <c r="U12" i="2"/>
  <c r="Q40" i="2"/>
  <c r="R40" i="2" s="1"/>
  <c r="U39" i="2"/>
  <c r="S12" i="11" l="1"/>
  <c r="T12" i="11"/>
  <c r="S23" i="18"/>
  <c r="T23" i="18"/>
  <c r="S94" i="11"/>
  <c r="T94" i="11"/>
  <c r="U67" i="11"/>
  <c r="V67" i="11"/>
  <c r="Q14" i="2"/>
  <c r="R14" i="2" s="1"/>
  <c r="U13" i="2"/>
  <c r="U40" i="2"/>
  <c r="Q41" i="2"/>
  <c r="R41" i="2" s="1"/>
  <c r="Y12" i="11" l="1"/>
  <c r="U12" i="11"/>
  <c r="V12" i="11"/>
  <c r="R13" i="11"/>
  <c r="Y23" i="18"/>
  <c r="R24" i="18"/>
  <c r="V23" i="18"/>
  <c r="U23" i="18"/>
  <c r="U94" i="11"/>
  <c r="R95" i="11"/>
  <c r="V94" i="11"/>
  <c r="T68" i="11"/>
  <c r="Q15" i="2"/>
  <c r="R15" i="2" s="1"/>
  <c r="U14" i="2"/>
  <c r="U41" i="2"/>
  <c r="Q42" i="2"/>
  <c r="R42" i="2" s="1"/>
  <c r="S13" i="11" l="1"/>
  <c r="T13" i="11"/>
  <c r="S24" i="18"/>
  <c r="T24" i="18"/>
  <c r="S95" i="11"/>
  <c r="T95" i="11"/>
  <c r="U68" i="11"/>
  <c r="V68" i="11"/>
  <c r="U15" i="2"/>
  <c r="Q16" i="2"/>
  <c r="R16" i="2" s="1"/>
  <c r="U42" i="2"/>
  <c r="Q43" i="2"/>
  <c r="R43" i="2" s="1"/>
  <c r="U43" i="2" s="1"/>
  <c r="Y13" i="11" l="1"/>
  <c r="V13" i="11"/>
  <c r="U13" i="11"/>
  <c r="R14" i="11"/>
  <c r="Y24" i="18"/>
  <c r="R25" i="18"/>
  <c r="V24" i="18"/>
  <c r="U24" i="18"/>
  <c r="R96" i="11"/>
  <c r="V95" i="11"/>
  <c r="U95" i="11"/>
  <c r="Q17" i="2"/>
  <c r="R17" i="2" s="1"/>
  <c r="U16" i="2"/>
  <c r="Q44" i="2"/>
  <c r="R44" i="2" s="1"/>
  <c r="U44" i="2" s="1"/>
  <c r="S14" i="11" l="1"/>
  <c r="T14" i="11"/>
  <c r="S25" i="18"/>
  <c r="T25" i="18"/>
  <c r="T96" i="11"/>
  <c r="S96" i="11"/>
  <c r="U17" i="2"/>
  <c r="Q18" i="2"/>
  <c r="R18" i="2" s="1"/>
  <c r="Q45" i="2"/>
  <c r="R45" i="2" s="1"/>
  <c r="U45" i="2" s="1"/>
  <c r="Y14" i="11" l="1"/>
  <c r="U14" i="11"/>
  <c r="V14" i="11"/>
  <c r="R15" i="11"/>
  <c r="Y25" i="18"/>
  <c r="R26" i="18"/>
  <c r="V25" i="18"/>
  <c r="U25" i="18"/>
  <c r="V96" i="11"/>
  <c r="U96" i="11"/>
  <c r="Q19" i="2"/>
  <c r="R19" i="2" s="1"/>
  <c r="U18" i="2"/>
  <c r="Q46" i="2"/>
  <c r="R46" i="2" s="1"/>
  <c r="U46" i="2" s="1"/>
  <c r="T15" i="11" l="1"/>
  <c r="S15" i="11"/>
  <c r="S26" i="18"/>
  <c r="T26" i="18"/>
  <c r="Q20" i="2"/>
  <c r="R20" i="2" s="1"/>
  <c r="U19" i="2"/>
  <c r="O35" i="1"/>
  <c r="M40" i="1"/>
  <c r="M41" i="1"/>
  <c r="M42" i="1"/>
  <c r="M30" i="1"/>
  <c r="W47" i="1"/>
  <c r="W48" i="1" s="1"/>
  <c r="W49" i="1" s="1"/>
  <c r="W50" i="1" s="1"/>
  <c r="W51" i="1" s="1"/>
  <c r="W52" i="1" s="1"/>
  <c r="W53" i="1" s="1"/>
  <c r="W54" i="1" s="1"/>
  <c r="M26" i="1"/>
  <c r="M27" i="1"/>
  <c r="M28" i="1"/>
  <c r="M29" i="1"/>
  <c r="M31" i="1"/>
  <c r="Y15" i="11" l="1"/>
  <c r="U15" i="11"/>
  <c r="R16" i="11"/>
  <c r="V15" i="11"/>
  <c r="Y26" i="18"/>
  <c r="R27" i="18"/>
  <c r="V26" i="18"/>
  <c r="U26" i="18"/>
  <c r="Q21" i="2"/>
  <c r="R21" i="2" s="1"/>
  <c r="U20" i="2"/>
  <c r="M13" i="1"/>
  <c r="T16" i="11" l="1"/>
  <c r="S16" i="11"/>
  <c r="S27" i="18"/>
  <c r="T27" i="18"/>
  <c r="Q22" i="2"/>
  <c r="R22" i="2" s="1"/>
  <c r="U21" i="2"/>
  <c r="Y16" i="11" l="1"/>
  <c r="V16" i="11"/>
  <c r="U16" i="11"/>
  <c r="R17" i="11"/>
  <c r="Y27" i="18"/>
  <c r="V27" i="18"/>
  <c r="R28" i="18"/>
  <c r="U27" i="18"/>
  <c r="U22" i="2"/>
  <c r="Q23" i="2"/>
  <c r="R23" i="2" s="1"/>
  <c r="S17" i="11" l="1"/>
  <c r="T17" i="11"/>
  <c r="T28" i="18"/>
  <c r="S28" i="18"/>
  <c r="U23" i="2"/>
  <c r="Q24" i="2"/>
  <c r="R24" i="2" s="1"/>
  <c r="Y17" i="11" l="1"/>
  <c r="U17" i="11"/>
  <c r="R18" i="11"/>
  <c r="V17" i="11"/>
  <c r="U28" i="18"/>
  <c r="Y28" i="18"/>
  <c r="R29" i="18"/>
  <c r="V28" i="18"/>
  <c r="Q25" i="2"/>
  <c r="R25" i="2" s="1"/>
  <c r="U24" i="2"/>
  <c r="T18" i="11" l="1"/>
  <c r="S18" i="11"/>
  <c r="T29" i="18"/>
  <c r="S29" i="18"/>
  <c r="U25" i="2"/>
  <c r="Q26" i="2"/>
  <c r="R26" i="2" s="1"/>
  <c r="Y18" i="11" l="1"/>
  <c r="R19" i="11"/>
  <c r="U18" i="11"/>
  <c r="V18" i="11"/>
  <c r="U29" i="18"/>
  <c r="Y29" i="18"/>
  <c r="R30" i="18"/>
  <c r="V29" i="18"/>
  <c r="Q27" i="2"/>
  <c r="R27" i="2" s="1"/>
  <c r="U26" i="2"/>
  <c r="T19" i="11" l="1"/>
  <c r="S19" i="11"/>
  <c r="T30" i="18"/>
  <c r="S30" i="18"/>
  <c r="Q28" i="2"/>
  <c r="R28" i="2" s="1"/>
  <c r="U27" i="2"/>
  <c r="Y19" i="11" l="1"/>
  <c r="R20" i="11"/>
  <c r="V19" i="11"/>
  <c r="U19" i="11"/>
  <c r="R31" i="18"/>
  <c r="U30" i="18"/>
  <c r="Y30" i="18"/>
  <c r="V30" i="18"/>
  <c r="U28" i="2"/>
  <c r="Q29" i="2"/>
  <c r="R29" i="2" s="1"/>
  <c r="S20" i="11" l="1"/>
  <c r="T20" i="11"/>
  <c r="T31" i="18"/>
  <c r="S31" i="18"/>
  <c r="U29" i="2"/>
  <c r="Q30" i="2"/>
  <c r="R30" i="2" s="1"/>
  <c r="U30" i="2" s="1"/>
  <c r="Y20" i="11" l="1"/>
  <c r="U20" i="11"/>
  <c r="V20" i="11"/>
  <c r="R21" i="11"/>
  <c r="R32" i="18"/>
  <c r="V31" i="18"/>
  <c r="Y31" i="18"/>
  <c r="U31" i="18"/>
  <c r="T21" i="11" l="1"/>
  <c r="S21" i="11"/>
  <c r="T32" i="18"/>
  <c r="S32" i="18"/>
  <c r="Y21" i="11" l="1"/>
  <c r="R22" i="11"/>
  <c r="U21" i="11"/>
  <c r="V21" i="11"/>
  <c r="R33" i="18"/>
  <c r="V32" i="18"/>
  <c r="Y32" i="18"/>
  <c r="U32" i="18"/>
  <c r="T22" i="11" l="1"/>
  <c r="S22" i="11"/>
  <c r="T33" i="18"/>
  <c r="S33" i="18"/>
  <c r="Y22" i="11" l="1"/>
  <c r="R23" i="11"/>
  <c r="U22" i="11"/>
  <c r="V22" i="11"/>
  <c r="V33" i="18"/>
  <c r="R34" i="18"/>
  <c r="Y33" i="18"/>
  <c r="U33" i="18"/>
  <c r="T23" i="11" l="1"/>
  <c r="S23" i="11"/>
  <c r="T34" i="18"/>
  <c r="S34" i="18"/>
  <c r="Y23" i="11" l="1"/>
  <c r="R24" i="11"/>
  <c r="U23" i="11"/>
  <c r="V23" i="11"/>
  <c r="U34" i="18"/>
  <c r="Y34" i="18"/>
  <c r="R35" i="18"/>
  <c r="V34" i="18"/>
  <c r="S24" i="11" l="1"/>
  <c r="T24" i="11"/>
  <c r="S35" i="18"/>
  <c r="T35" i="18"/>
  <c r="Y24" i="11" l="1"/>
  <c r="R25" i="11"/>
  <c r="V24" i="11"/>
  <c r="U24" i="11"/>
  <c r="U35" i="18"/>
  <c r="Y35" i="18"/>
  <c r="V35" i="18"/>
  <c r="R36" i="18"/>
  <c r="S25" i="11" l="1"/>
  <c r="T25" i="11"/>
  <c r="T36" i="18"/>
  <c r="S36" i="18"/>
  <c r="Y25" i="11" l="1"/>
  <c r="V25" i="11"/>
  <c r="R26" i="11"/>
  <c r="U25" i="11"/>
  <c r="U36" i="18"/>
  <c r="Y36" i="18"/>
  <c r="R37" i="18"/>
  <c r="V36" i="18"/>
  <c r="T26" i="11" l="1"/>
  <c r="S26" i="11"/>
  <c r="T37" i="18"/>
  <c r="S37" i="18"/>
  <c r="Y26" i="11" l="1"/>
  <c r="U26" i="11"/>
  <c r="V26" i="11"/>
  <c r="R27" i="11"/>
  <c r="U37" i="18"/>
  <c r="R38" i="18"/>
  <c r="V37" i="18"/>
  <c r="Y37" i="18"/>
  <c r="T27" i="11" l="1"/>
  <c r="S27" i="11"/>
  <c r="S38" i="18"/>
  <c r="T38" i="18"/>
  <c r="Y27" i="11" l="1"/>
  <c r="U27" i="11"/>
  <c r="V27" i="11"/>
  <c r="R28" i="11"/>
  <c r="U38" i="18"/>
  <c r="R39" i="18"/>
  <c r="Y38" i="18"/>
  <c r="V38" i="18"/>
  <c r="S28" i="11" l="1"/>
  <c r="T28" i="11"/>
  <c r="T39" i="18"/>
  <c r="S39" i="18"/>
  <c r="Y28" i="11" l="1"/>
  <c r="R29" i="11"/>
  <c r="V28" i="11"/>
  <c r="U28" i="11"/>
  <c r="Y39" i="18"/>
  <c r="V39" i="18"/>
  <c r="R40" i="18"/>
  <c r="U39" i="18"/>
  <c r="S29" i="11" l="1"/>
  <c r="T29" i="11"/>
  <c r="S40" i="18"/>
  <c r="T40" i="18"/>
  <c r="Y29" i="11" l="1"/>
  <c r="V29" i="11"/>
  <c r="R30" i="11"/>
  <c r="U29" i="11"/>
  <c r="R41" i="18"/>
  <c r="Y40" i="18"/>
  <c r="V40" i="18"/>
  <c r="U40" i="18"/>
  <c r="T30" i="11" l="1"/>
  <c r="S30" i="11"/>
  <c r="T41" i="18"/>
  <c r="S41" i="18"/>
  <c r="Y30" i="11" l="1"/>
  <c r="U30" i="11"/>
  <c r="R31" i="11"/>
  <c r="V30" i="11"/>
  <c r="V41" i="18"/>
  <c r="U41" i="18"/>
  <c r="R42" i="18"/>
  <c r="Y41" i="18"/>
  <c r="T31" i="11" l="1"/>
  <c r="S31" i="11"/>
  <c r="T42" i="18"/>
  <c r="S42" i="18"/>
  <c r="Y31" i="11" l="1"/>
  <c r="U31" i="11"/>
  <c r="R32" i="11"/>
  <c r="V31" i="11"/>
  <c r="U42" i="18"/>
  <c r="R43" i="18"/>
  <c r="V42" i="18"/>
  <c r="Y42" i="18"/>
  <c r="S32" i="11" l="1"/>
  <c r="T32" i="11"/>
  <c r="T43" i="18"/>
  <c r="S43" i="18"/>
  <c r="R44" i="18" s="1"/>
  <c r="Y32" i="11" l="1"/>
  <c r="R33" i="11"/>
  <c r="U32" i="11"/>
  <c r="V32" i="11"/>
  <c r="S44" i="18"/>
  <c r="T44" i="18"/>
  <c r="U43" i="18"/>
  <c r="Y43" i="18"/>
  <c r="V43" i="18"/>
  <c r="R45" i="18"/>
  <c r="S33" i="11" l="1"/>
  <c r="T33" i="11"/>
  <c r="Y44" i="18"/>
  <c r="V44" i="18"/>
  <c r="U44" i="18"/>
  <c r="S45" i="18"/>
  <c r="T45" i="18"/>
  <c r="Y33" i="11" l="1"/>
  <c r="V33" i="11"/>
  <c r="R34" i="11"/>
  <c r="U33" i="11"/>
  <c r="U45" i="18"/>
  <c r="Y45" i="18"/>
  <c r="V45" i="18"/>
  <c r="R46" i="18"/>
  <c r="S34" i="11" l="1"/>
  <c r="T34" i="11"/>
  <c r="T46" i="18"/>
  <c r="S46" i="18"/>
  <c r="Y34" i="11" l="1"/>
  <c r="U34" i="11"/>
  <c r="V34" i="11"/>
  <c r="R35" i="11"/>
  <c r="U46" i="18"/>
  <c r="R47" i="18"/>
  <c r="V46" i="18"/>
  <c r="Y46" i="18"/>
  <c r="S35" i="11" l="1"/>
  <c r="T35" i="11"/>
  <c r="T47" i="18"/>
  <c r="S47" i="18"/>
  <c r="Y35" i="11" l="1"/>
  <c r="R36" i="11"/>
  <c r="U35" i="11"/>
  <c r="V35" i="11"/>
  <c r="U47" i="18"/>
  <c r="R48" i="18"/>
  <c r="V47" i="18"/>
  <c r="Y47" i="18"/>
  <c r="S36" i="11" l="1"/>
  <c r="T36" i="11"/>
  <c r="T48" i="18"/>
  <c r="S48" i="18"/>
  <c r="Y36" i="11" l="1"/>
  <c r="R37" i="11"/>
  <c r="U36" i="11"/>
  <c r="V36" i="11"/>
  <c r="U48" i="18"/>
  <c r="R49" i="18"/>
  <c r="Y48" i="18"/>
  <c r="V48" i="18"/>
  <c r="S37" i="11" l="1"/>
  <c r="T37" i="11"/>
  <c r="T49" i="18"/>
  <c r="S49" i="18"/>
  <c r="Y37" i="11" l="1"/>
  <c r="V37" i="11"/>
  <c r="R38" i="11"/>
  <c r="U37" i="11"/>
  <c r="R50" i="18"/>
  <c r="Y49" i="18"/>
  <c r="V49" i="18"/>
  <c r="U49" i="18"/>
  <c r="T38" i="11" l="1"/>
  <c r="S38" i="11"/>
  <c r="T50" i="18"/>
  <c r="S50" i="18"/>
  <c r="Y38" i="11" l="1"/>
  <c r="U38" i="11"/>
  <c r="V38" i="11"/>
  <c r="R39" i="11"/>
  <c r="V50" i="18"/>
  <c r="Y50" i="18"/>
  <c r="R51" i="18"/>
  <c r="U50" i="18"/>
  <c r="T39" i="11" l="1"/>
  <c r="S39" i="11"/>
  <c r="S51" i="18"/>
  <c r="T51" i="18"/>
  <c r="Y39" i="11" l="1"/>
  <c r="U39" i="11"/>
  <c r="R40" i="11"/>
  <c r="V39" i="11"/>
  <c r="U51" i="18"/>
  <c r="R52" i="18"/>
  <c r="Y51" i="18"/>
  <c r="V51" i="18"/>
  <c r="S40" i="11" l="1"/>
  <c r="T40" i="11"/>
  <c r="T52" i="18"/>
  <c r="S52" i="18"/>
  <c r="Y40" i="11" l="1"/>
  <c r="R41" i="11"/>
  <c r="V40" i="11"/>
  <c r="U40" i="11"/>
  <c r="Y52" i="18"/>
  <c r="R53" i="18"/>
  <c r="U52" i="18"/>
  <c r="V52" i="18"/>
  <c r="S41" i="11" l="1"/>
  <c r="T41" i="11"/>
  <c r="S53" i="18"/>
  <c r="T53" i="18"/>
  <c r="Y41" i="11" l="1"/>
  <c r="V41" i="11"/>
  <c r="R42" i="11"/>
  <c r="U41" i="11"/>
  <c r="R54" i="18"/>
  <c r="Y53" i="18"/>
  <c r="U53" i="18"/>
  <c r="V53" i="18"/>
  <c r="T42" i="11" l="1"/>
  <c r="S42" i="11"/>
  <c r="S54" i="18"/>
  <c r="T54" i="18"/>
  <c r="Y42" i="11" l="1"/>
  <c r="U42" i="11"/>
  <c r="V42" i="11"/>
  <c r="R43" i="11"/>
  <c r="V54" i="18"/>
  <c r="Y54" i="18"/>
  <c r="R55" i="18"/>
  <c r="U54" i="18"/>
  <c r="T43" i="11" l="1"/>
  <c r="S43" i="11"/>
  <c r="S55" i="18"/>
  <c r="T55" i="18"/>
  <c r="V43" i="11" l="1"/>
  <c r="Y43" i="11"/>
  <c r="U43" i="11"/>
  <c r="U55" i="18"/>
  <c r="R56" i="18"/>
  <c r="Y55" i="18"/>
  <c r="V55" i="18"/>
  <c r="T56" i="18" l="1"/>
  <c r="S56" i="18"/>
  <c r="Y45" i="11" l="1"/>
  <c r="Y44" i="11"/>
  <c r="Y56" i="18"/>
  <c r="V56" i="18"/>
  <c r="R57" i="18"/>
  <c r="U56" i="18"/>
  <c r="S57" i="18" l="1"/>
  <c r="T57" i="18"/>
  <c r="Y46" i="11" l="1"/>
  <c r="Y57" i="18"/>
  <c r="U57" i="18"/>
  <c r="R58" i="18"/>
  <c r="V57" i="18"/>
  <c r="T58" i="18" l="1"/>
  <c r="S58" i="18"/>
  <c r="Y47" i="11" l="1"/>
  <c r="U58" i="18"/>
  <c r="V58" i="18"/>
  <c r="R59" i="18"/>
  <c r="Y58" i="18"/>
  <c r="T59" i="18" l="1"/>
  <c r="S59" i="18"/>
  <c r="Y48" i="11" l="1"/>
  <c r="R60" i="18"/>
  <c r="V59" i="18"/>
  <c r="U59" i="18"/>
  <c r="Y59" i="18"/>
  <c r="S60" i="18" l="1"/>
  <c r="T60" i="18"/>
  <c r="Y49" i="11" l="1"/>
  <c r="Y60" i="18"/>
  <c r="U60" i="18"/>
  <c r="V60" i="18"/>
  <c r="Y50" i="11" l="1"/>
  <c r="R52" i="11" l="1"/>
  <c r="Y51" i="11"/>
  <c r="S52" i="11" l="1"/>
  <c r="T52" i="11"/>
  <c r="M34" i="1"/>
  <c r="M36" i="1"/>
  <c r="M35" i="1"/>
  <c r="Q35" i="1" s="1"/>
  <c r="P36" i="1" s="1"/>
  <c r="M37" i="1"/>
  <c r="M38" i="1"/>
  <c r="M39" i="1"/>
  <c r="M43" i="1"/>
  <c r="M44" i="1"/>
  <c r="M45" i="1"/>
  <c r="M46" i="1"/>
  <c r="M15" i="1"/>
  <c r="M18" i="1"/>
  <c r="M19" i="1"/>
  <c r="M20" i="1"/>
  <c r="M21" i="1"/>
  <c r="M23" i="1"/>
  <c r="M24" i="1"/>
  <c r="M25" i="1"/>
  <c r="M32" i="1"/>
  <c r="M33" i="1"/>
  <c r="M12" i="1"/>
  <c r="M10" i="1"/>
  <c r="M9" i="1"/>
  <c r="M8" i="1"/>
  <c r="M7" i="1"/>
  <c r="W35" i="1"/>
  <c r="W36" i="1" s="1"/>
  <c r="W37" i="1" s="1"/>
  <c r="W38" i="1" s="1"/>
  <c r="W39" i="1" s="1"/>
  <c r="W40" i="1" s="1"/>
  <c r="W41" i="1" s="1"/>
  <c r="W42" i="1" s="1"/>
  <c r="W43" i="1" s="1"/>
  <c r="W44" i="1" s="1"/>
  <c r="W45" i="1" s="1"/>
  <c r="W46" i="1" s="1"/>
  <c r="W7" i="1"/>
  <c r="W8" i="1" s="1"/>
  <c r="W9" i="1" s="1"/>
  <c r="W10" i="1" s="1"/>
  <c r="W12" i="1" s="1"/>
  <c r="W13" i="1" s="1"/>
  <c r="M48" i="1"/>
  <c r="M49" i="1"/>
  <c r="M50" i="1"/>
  <c r="M51" i="1"/>
  <c r="M52" i="1"/>
  <c r="M53" i="1"/>
  <c r="M54" i="1"/>
  <c r="M47" i="1"/>
  <c r="R53" i="11" l="1"/>
  <c r="Y52" i="11"/>
  <c r="V52" i="11"/>
  <c r="U52" i="11"/>
  <c r="R36" i="1"/>
  <c r="Q36" i="1"/>
  <c r="P37" i="1" s="1"/>
  <c r="Q37" i="1" s="1"/>
  <c r="N22" i="1"/>
  <c r="M22" i="1" s="1"/>
  <c r="N16" i="1"/>
  <c r="M16" i="1" s="1"/>
  <c r="O15" i="1"/>
  <c r="N14" i="1"/>
  <c r="W14" i="1" s="1"/>
  <c r="W15" i="1" s="1"/>
  <c r="S53" i="11" l="1"/>
  <c r="T53" i="11"/>
  <c r="T36" i="1"/>
  <c r="R37" i="1"/>
  <c r="S36" i="1"/>
  <c r="W16" i="1"/>
  <c r="M14" i="1"/>
  <c r="T37" i="1"/>
  <c r="P38" i="1"/>
  <c r="S37" i="1"/>
  <c r="N17" i="1"/>
  <c r="M17" i="1" s="1"/>
  <c r="Y53" i="11" l="1"/>
  <c r="R54" i="11"/>
  <c r="U53" i="11"/>
  <c r="V53" i="11"/>
  <c r="W17" i="1"/>
  <c r="W18" i="1" s="1"/>
  <c r="W19" i="1" s="1"/>
  <c r="W20" i="1" s="1"/>
  <c r="W21" i="1" s="1"/>
  <c r="W22" i="1" s="1"/>
  <c r="W23" i="1" s="1"/>
  <c r="W24" i="1" s="1"/>
  <c r="W25" i="1" s="1"/>
  <c r="W26" i="1" s="1"/>
  <c r="W27" i="1" s="1"/>
  <c r="W28" i="1" s="1"/>
  <c r="W29" i="1" s="1"/>
  <c r="W30" i="1" s="1"/>
  <c r="W31" i="1" s="1"/>
  <c r="W32" i="1" s="1"/>
  <c r="W33" i="1" s="1"/>
  <c r="W34" i="1" s="1"/>
  <c r="W55" i="1" s="1"/>
  <c r="N55" i="1"/>
  <c r="Q38" i="1"/>
  <c r="P39" i="1" s="1"/>
  <c r="R38" i="1"/>
  <c r="O44" i="1"/>
  <c r="S54" i="11" l="1"/>
  <c r="T54" i="11"/>
  <c r="R39" i="1"/>
  <c r="Q39" i="1"/>
  <c r="S38" i="1"/>
  <c r="T38" i="1"/>
  <c r="O41" i="1"/>
  <c r="O39" i="1"/>
  <c r="O38" i="1"/>
  <c r="O37" i="1"/>
  <c r="O12" i="1"/>
  <c r="O53" i="1"/>
  <c r="O40" i="1"/>
  <c r="O54" i="1"/>
  <c r="O48" i="1"/>
  <c r="O49" i="1"/>
  <c r="O50" i="1"/>
  <c r="O30" i="1"/>
  <c r="O51" i="1"/>
  <c r="O52" i="1"/>
  <c r="O31" i="1"/>
  <c r="Y54" i="11" l="1"/>
  <c r="R55" i="11"/>
  <c r="V54" i="11"/>
  <c r="U54" i="11"/>
  <c r="T39" i="1"/>
  <c r="P40" i="1"/>
  <c r="S39" i="1"/>
  <c r="O46" i="1"/>
  <c r="S55" i="11" l="1"/>
  <c r="T55" i="11"/>
  <c r="Q40" i="1"/>
  <c r="R40" i="1"/>
  <c r="O8" i="1"/>
  <c r="O17" i="1"/>
  <c r="R56" i="11" l="1"/>
  <c r="Y55" i="11"/>
  <c r="U55" i="11"/>
  <c r="V55" i="11"/>
  <c r="P41" i="1"/>
  <c r="S40" i="1"/>
  <c r="T40" i="1"/>
  <c r="R35" i="1"/>
  <c r="R7" i="1"/>
  <c r="S56" i="11" l="1"/>
  <c r="T56" i="11"/>
  <c r="R41" i="1"/>
  <c r="Q41" i="1"/>
  <c r="S35" i="1"/>
  <c r="T35" i="1"/>
  <c r="Q7" i="1"/>
  <c r="O47" i="1"/>
  <c r="O43" i="1"/>
  <c r="O34" i="1"/>
  <c r="O33" i="1"/>
  <c r="O32" i="1"/>
  <c r="O20" i="1"/>
  <c r="O29" i="1"/>
  <c r="O28" i="1"/>
  <c r="O27" i="1"/>
  <c r="O26" i="1"/>
  <c r="O24" i="1"/>
  <c r="O25" i="1"/>
  <c r="O21" i="1"/>
  <c r="O19" i="1"/>
  <c r="O23" i="1"/>
  <c r="O18" i="1"/>
  <c r="O16" i="1"/>
  <c r="O13" i="1"/>
  <c r="O36" i="1"/>
  <c r="R57" i="11" l="1"/>
  <c r="Y56" i="11"/>
  <c r="U56" i="11"/>
  <c r="V56" i="11"/>
  <c r="T41" i="1"/>
  <c r="P42" i="1"/>
  <c r="S41" i="1"/>
  <c r="P8" i="1"/>
  <c r="R8" i="1" s="1"/>
  <c r="S7" i="1"/>
  <c r="T7" i="1"/>
  <c r="O14" i="1"/>
  <c r="O22" i="1"/>
  <c r="S57" i="11" l="1"/>
  <c r="T57" i="11"/>
  <c r="Q42" i="1"/>
  <c r="R42" i="1"/>
  <c r="O55" i="1"/>
  <c r="Q8" i="1"/>
  <c r="P9" i="1" s="1"/>
  <c r="Y57" i="11" l="1"/>
  <c r="R58" i="11"/>
  <c r="V57" i="11"/>
  <c r="U57" i="11"/>
  <c r="S42" i="1"/>
  <c r="T42" i="1"/>
  <c r="P43" i="1"/>
  <c r="R9" i="1"/>
  <c r="Q9" i="1"/>
  <c r="S8" i="1"/>
  <c r="T8" i="1"/>
  <c r="S58" i="11" l="1"/>
  <c r="T58" i="11"/>
  <c r="Q43" i="1"/>
  <c r="R43" i="1"/>
  <c r="T9" i="1"/>
  <c r="S9" i="1"/>
  <c r="P10" i="1"/>
  <c r="R59" i="11" l="1"/>
  <c r="Y58" i="11"/>
  <c r="V58" i="11"/>
  <c r="U58" i="11"/>
  <c r="S43" i="1"/>
  <c r="P44" i="1"/>
  <c r="T43" i="1"/>
  <c r="R10" i="1"/>
  <c r="Q10" i="1"/>
  <c r="P12" i="1" s="1"/>
  <c r="S59" i="11" l="1"/>
  <c r="T59" i="11"/>
  <c r="Q44" i="1"/>
  <c r="R44" i="1"/>
  <c r="S10" i="1"/>
  <c r="T10" i="1"/>
  <c r="Y59" i="11" l="1"/>
  <c r="V59" i="11"/>
  <c r="R60" i="11"/>
  <c r="U59" i="11"/>
  <c r="T44" i="1"/>
  <c r="P45" i="1"/>
  <c r="S44" i="1"/>
  <c r="R12" i="1"/>
  <c r="Q12" i="1"/>
  <c r="P13" i="1" s="1"/>
  <c r="S60" i="11" l="1"/>
  <c r="T60" i="11"/>
  <c r="R45" i="1"/>
  <c r="Q45" i="1"/>
  <c r="R13" i="1"/>
  <c r="Q13" i="1"/>
  <c r="S12" i="1"/>
  <c r="T12" i="1"/>
  <c r="Y60" i="11" l="1"/>
  <c r="V60" i="11"/>
  <c r="U60" i="11"/>
  <c r="S45" i="1"/>
  <c r="T45" i="1"/>
  <c r="P46" i="1"/>
  <c r="S13" i="1"/>
  <c r="P14" i="1"/>
  <c r="T13" i="1"/>
  <c r="Q47" i="1"/>
  <c r="P48" i="1" s="1"/>
  <c r="Q48" i="1" s="1"/>
  <c r="P49" i="1" s="1"/>
  <c r="R47" i="1"/>
  <c r="Q46" i="1" l="1"/>
  <c r="R46" i="1"/>
  <c r="R49" i="1"/>
  <c r="Q49" i="1"/>
  <c r="Q14" i="1"/>
  <c r="R14" i="1"/>
  <c r="R48" i="1"/>
  <c r="S47" i="1"/>
  <c r="T47" i="1"/>
  <c r="T46" i="1" l="1"/>
  <c r="S46" i="1"/>
  <c r="T49" i="1"/>
  <c r="P50" i="1"/>
  <c r="S49" i="1"/>
  <c r="P15" i="1"/>
  <c r="S14" i="1"/>
  <c r="T14" i="1"/>
  <c r="T48" i="1"/>
  <c r="S48" i="1"/>
  <c r="Q50" i="1" l="1"/>
  <c r="R50" i="1"/>
  <c r="Q15" i="1"/>
  <c r="P16" i="1" s="1"/>
  <c r="R15" i="1"/>
  <c r="R16" i="1" l="1"/>
  <c r="Q16" i="1"/>
  <c r="S50" i="1"/>
  <c r="P51" i="1"/>
  <c r="T50" i="1"/>
  <c r="T15" i="1"/>
  <c r="S15" i="1"/>
  <c r="R51" i="1" l="1"/>
  <c r="Q51" i="1"/>
  <c r="T16" i="1"/>
  <c r="P17" i="1"/>
  <c r="S16" i="1"/>
  <c r="R17" i="1" l="1"/>
  <c r="Q17" i="1"/>
  <c r="S51" i="1"/>
  <c r="P52" i="1"/>
  <c r="T51" i="1"/>
  <c r="Q52" i="1" l="1"/>
  <c r="R52" i="1"/>
  <c r="S17" i="1"/>
  <c r="P18" i="1"/>
  <c r="T17" i="1"/>
  <c r="R18" i="1" l="1"/>
  <c r="Q18" i="1"/>
  <c r="T52" i="1"/>
  <c r="P53" i="1"/>
  <c r="S52" i="1"/>
  <c r="Q53" i="1" l="1"/>
  <c r="R53" i="1"/>
  <c r="S18" i="1"/>
  <c r="P19" i="1"/>
  <c r="T18" i="1"/>
  <c r="Q19" i="1" l="1"/>
  <c r="R19" i="1"/>
  <c r="S53" i="1"/>
  <c r="T53" i="1"/>
  <c r="P20" i="1" l="1"/>
  <c r="S19" i="1"/>
  <c r="T19" i="1"/>
  <c r="Q20" i="1" l="1"/>
  <c r="R20" i="1"/>
  <c r="T20" i="1" l="1"/>
  <c r="P21" i="1"/>
  <c r="S20" i="1"/>
  <c r="Q21" i="1" l="1"/>
  <c r="R21" i="1"/>
  <c r="S21" i="1" l="1"/>
  <c r="T21" i="1"/>
  <c r="P22" i="1"/>
  <c r="R22" i="1" l="1"/>
  <c r="Q22" i="1"/>
  <c r="P23" i="1" s="1"/>
  <c r="Q23" i="1" l="1"/>
  <c r="R23" i="1"/>
  <c r="S22" i="1"/>
  <c r="T22" i="1"/>
  <c r="T23" i="1" l="1"/>
  <c r="S23" i="1"/>
  <c r="P24" i="1"/>
  <c r="P54" i="1"/>
  <c r="Q24" i="1" l="1"/>
  <c r="R24" i="1"/>
  <c r="R54" i="1"/>
  <c r="Q54" i="1"/>
  <c r="S24" i="1" l="1"/>
  <c r="P25" i="1"/>
  <c r="T24" i="1"/>
  <c r="T54" i="1"/>
  <c r="S54" i="1"/>
  <c r="R25" i="1" l="1"/>
  <c r="Q25" i="1"/>
  <c r="S25" i="1" l="1"/>
  <c r="P26" i="1"/>
  <c r="T25" i="1"/>
  <c r="Q26" i="1" l="1"/>
  <c r="R26" i="1"/>
  <c r="P27" i="1" l="1"/>
  <c r="T26" i="1"/>
  <c r="S26" i="1"/>
  <c r="Q27" i="1" l="1"/>
  <c r="R27" i="1"/>
  <c r="T27" i="1" l="1"/>
  <c r="S27" i="1"/>
  <c r="P28" i="1"/>
  <c r="Q28" i="1" l="1"/>
  <c r="R28" i="1"/>
  <c r="S28" i="1" l="1"/>
  <c r="T28" i="1"/>
  <c r="P29" i="1"/>
  <c r="R29" i="1" l="1"/>
  <c r="Q29" i="1"/>
  <c r="S29" i="1" l="1"/>
  <c r="T29" i="1"/>
  <c r="P30" i="1"/>
  <c r="Q30" i="1" l="1"/>
  <c r="R30" i="1"/>
  <c r="P31" i="1" l="1"/>
  <c r="T30" i="1"/>
  <c r="S30" i="1"/>
  <c r="Q31" i="1" l="1"/>
  <c r="R31" i="1"/>
  <c r="T31" i="1" l="1"/>
  <c r="P32" i="1"/>
  <c r="S31" i="1"/>
  <c r="Q32" i="1" l="1"/>
  <c r="R32" i="1"/>
  <c r="S32" i="1" l="1"/>
  <c r="T32" i="1"/>
  <c r="P33" i="1"/>
  <c r="Q33" i="1" l="1"/>
  <c r="R33" i="1"/>
  <c r="P34" i="1" l="1"/>
  <c r="S33" i="1"/>
  <c r="T33" i="1"/>
  <c r="R34" i="1" l="1"/>
  <c r="Q34" i="1"/>
  <c r="S34" i="1" l="1"/>
  <c r="T34" i="1"/>
  <c r="O8" i="9" l="1"/>
  <c r="O9" i="9" s="1"/>
  <c r="Q11" i="11"/>
  <c r="Q39" i="11"/>
  <c r="Q100" i="1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MARINI, MARTINA [AG/2589]</author>
    <author>QUAGLIA, BRUNO [AG/2589]</author>
  </authors>
  <commentList>
    <comment ref="G19" authorId="0" shapeId="0" xr:uid="{0F9A9793-4E0C-4CC5-A8F0-2DFBEB78B63C}">
      <text>
        <r>
          <rPr>
            <b/>
            <sz val="9"/>
            <color indexed="81"/>
            <rFont val="Tahoma"/>
            <family val="2"/>
          </rPr>
          <t>DK72-20RR2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24" authorId="1" shapeId="0" xr:uid="{ED6F4D10-45B6-411F-9D1E-329815F90AF3}">
      <text>
        <r>
          <rPr>
            <b/>
            <sz val="9"/>
            <color indexed="81"/>
            <rFont val="Tahoma"/>
            <family val="2"/>
          </rPr>
          <t>AT7253MQKZ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25" authorId="1" shapeId="0" xr:uid="{2604650D-FAEB-48FD-ACC8-500EC4E6EE0F}">
      <text>
        <r>
          <rPr>
            <b/>
            <sz val="9"/>
            <color indexed="81"/>
            <rFont val="Tahoma"/>
            <family val="2"/>
          </rPr>
          <t>AT7436MQKZ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28" authorId="1" shapeId="0" xr:uid="{25C090F6-2A04-4D31-BD38-F7F7A3C8C61B}">
      <text>
        <r>
          <rPr>
            <b/>
            <sz val="9"/>
            <color indexed="81"/>
            <rFont val="Tahoma"/>
            <family val="2"/>
          </rPr>
          <t>AP7317ABAZ</t>
        </r>
      </text>
    </comment>
    <comment ref="G29" authorId="0" shapeId="0" xr:uid="{2EFD4DEF-95CA-4D9E-9F9C-A38E7C79312C}">
      <text>
        <r>
          <rPr>
            <b/>
            <sz val="9"/>
            <color indexed="81"/>
            <rFont val="Tahoma"/>
            <family val="2"/>
          </rPr>
          <t>'DK72-27PRO4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33" authorId="1" shapeId="0" xr:uid="{A1A1A5BD-3B4F-43C8-91CD-063B5A08B509}">
      <text>
        <r>
          <rPr>
            <b/>
            <sz val="9"/>
            <color indexed="81"/>
            <rFont val="Tahoma"/>
            <family val="2"/>
          </rPr>
          <t>LT718VT3P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40" authorId="0" shapeId="0" xr:uid="{D175BA35-055A-4232-A6AF-5427DD848031}">
      <text>
        <r>
          <rPr>
            <b/>
            <sz val="9"/>
            <color indexed="81"/>
            <rFont val="Tahoma"/>
            <family val="2"/>
          </rPr>
          <t>DK73-03VT3P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41" authorId="0" shapeId="0" xr:uid="{FFD6A89A-92C1-44FE-9CF9-B798B98EDE5D}">
      <text>
        <r>
          <rPr>
            <b/>
            <sz val="9"/>
            <color indexed="81"/>
            <rFont val="Tahoma"/>
            <family val="2"/>
          </rPr>
          <t>DK72-08VT3P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42" authorId="0" shapeId="0" xr:uid="{F93B016D-7F2A-413F-BC6E-D0A41353E41F}">
      <text>
        <r>
          <rPr>
            <b/>
            <sz val="9"/>
            <color indexed="81"/>
            <rFont val="Tahoma"/>
            <family val="2"/>
          </rPr>
          <t xml:space="preserve">2773VT3P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43" authorId="0" shapeId="0" xr:uid="{4C47E384-6370-4D4F-98EC-54107FD939E7}">
      <text>
        <r>
          <rPr>
            <b/>
            <sz val="9"/>
            <color indexed="81"/>
            <rFont val="Tahoma"/>
            <family val="2"/>
          </rPr>
          <t>'LT721PRO4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49" authorId="0" shapeId="0" xr:uid="{4955B102-8C89-4FA2-B539-FA622F3CB6FD}">
      <text>
        <r>
          <rPr>
            <b/>
            <sz val="9"/>
            <color indexed="81"/>
            <rFont val="Tahoma"/>
            <family val="2"/>
          </rPr>
          <t>8122VT3P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52" authorId="0" shapeId="0" xr:uid="{0B3E387E-34EA-445C-8D8A-D12498713BEB}">
      <text>
        <r>
          <rPr>
            <b/>
            <sz val="9"/>
            <color indexed="81"/>
            <rFont val="Tahoma"/>
            <family val="2"/>
          </rPr>
          <t>'LT723PRO4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<sst xmlns="http://schemas.openxmlformats.org/spreadsheetml/2006/main" count="6509" uniqueCount="552">
  <si>
    <t>Assumption</t>
  </si>
  <si>
    <t>TOLLER</t>
  </si>
  <si>
    <t>Bags/day</t>
  </si>
  <si>
    <t>Programa de Embolse '21</t>
  </si>
  <si>
    <t>FUND</t>
  </si>
  <si>
    <t>Días calidad para dispo</t>
  </si>
  <si>
    <t>Planta Comercial María Eugenia</t>
  </si>
  <si>
    <t>MEU Feb-mar</t>
  </si>
  <si>
    <t xml:space="preserve">Fecha: </t>
  </si>
  <si>
    <t>MEU 15-mar</t>
  </si>
  <si>
    <t xml:space="preserve">VT3PH </t>
  </si>
  <si>
    <t xml:space="preserve">Programa  </t>
  </si>
  <si>
    <t>Cert.</t>
  </si>
  <si>
    <t>Planta Producción</t>
  </si>
  <si>
    <t>Campaña de producción</t>
  </si>
  <si>
    <t>Material #</t>
  </si>
  <si>
    <t>Híbridos</t>
  </si>
  <si>
    <t>Destino</t>
  </si>
  <si>
    <t>Tecn.</t>
  </si>
  <si>
    <t>Tipo de híbrido</t>
  </si>
  <si>
    <t>Unidad</t>
  </si>
  <si>
    <t>Curado</t>
  </si>
  <si>
    <t>Días de proceso NETOS</t>
  </si>
  <si>
    <t>Bolsas estimadas a procesar</t>
  </si>
  <si>
    <t>SSU estimados</t>
  </si>
  <si>
    <t xml:space="preserve">Fecha inicio </t>
  </si>
  <si>
    <t>Fecha fin</t>
  </si>
  <si>
    <t>Semana Inicio</t>
  </si>
  <si>
    <t>Semana Fin</t>
  </si>
  <si>
    <t>Fecha disponibilidad</t>
  </si>
  <si>
    <t>Bolsas Reales</t>
  </si>
  <si>
    <t>SSU Reales</t>
  </si>
  <si>
    <t>Bolsas acum. Total</t>
  </si>
  <si>
    <t>Partidas de Clasificación</t>
  </si>
  <si>
    <t>Observaciones</t>
  </si>
  <si>
    <t>DK Templado</t>
  </si>
  <si>
    <t>NAC</t>
  </si>
  <si>
    <t>IH</t>
  </si>
  <si>
    <t>DK72-27VT3P</t>
  </si>
  <si>
    <t>AR</t>
  </si>
  <si>
    <t>VT3P</t>
  </si>
  <si>
    <t>Templado</t>
  </si>
  <si>
    <t>80M</t>
  </si>
  <si>
    <t>Verde-TB</t>
  </si>
  <si>
    <t>Bulk campaña 2020</t>
  </si>
  <si>
    <t>LT Templado</t>
  </si>
  <si>
    <t>LT723VT3P</t>
  </si>
  <si>
    <t>Verde</t>
  </si>
  <si>
    <t>PL Don Mario</t>
  </si>
  <si>
    <t>D2738MGRR2</t>
  </si>
  <si>
    <t>MGRR2</t>
  </si>
  <si>
    <t>DK72-10VT3P</t>
  </si>
  <si>
    <t>UY</t>
  </si>
  <si>
    <t>DK72-20PRO4</t>
  </si>
  <si>
    <t>DK Tropical</t>
  </si>
  <si>
    <t>DK77-10VT3P</t>
  </si>
  <si>
    <t>Tropical</t>
  </si>
  <si>
    <t>60M</t>
  </si>
  <si>
    <t>DK72-10VT3PH_RIB</t>
  </si>
  <si>
    <t>VT3PH-RIB</t>
  </si>
  <si>
    <t>DK72-10VT3PH</t>
  </si>
  <si>
    <t>VT3PH</t>
  </si>
  <si>
    <t>DK69-10RVT3P_RIB</t>
  </si>
  <si>
    <t>RIB</t>
  </si>
  <si>
    <t>DK69-10RVT3P</t>
  </si>
  <si>
    <t>DK72-10RR2</t>
  </si>
  <si>
    <t>RR2</t>
  </si>
  <si>
    <t>Naranja-TB</t>
  </si>
  <si>
    <t>70-20RR2</t>
  </si>
  <si>
    <t>AQ7229HTTZ</t>
  </si>
  <si>
    <t>LT721RR2</t>
  </si>
  <si>
    <t>Naranja</t>
  </si>
  <si>
    <t>DK72-70RVT3P_RIB</t>
  </si>
  <si>
    <t>DK72-70RVT3P</t>
  </si>
  <si>
    <t>DK72-20VT3P</t>
  </si>
  <si>
    <t>DK72-72VT3P</t>
  </si>
  <si>
    <t>DK73-30VT3P</t>
  </si>
  <si>
    <t>DK70-20PRO4</t>
  </si>
  <si>
    <t>VTPRO4</t>
  </si>
  <si>
    <t>Azul</t>
  </si>
  <si>
    <t xml:space="preserve">DK73-20PRO4 </t>
  </si>
  <si>
    <t>AR7238ABAZ</t>
  </si>
  <si>
    <t>PL Illinois</t>
  </si>
  <si>
    <t>799VT3P</t>
  </si>
  <si>
    <t>PL AFA</t>
  </si>
  <si>
    <t>117VT3P</t>
  </si>
  <si>
    <t>LT721VT3P</t>
  </si>
  <si>
    <t>LT718VT3P</t>
  </si>
  <si>
    <t>LT720VT3P</t>
  </si>
  <si>
    <t>FND</t>
  </si>
  <si>
    <t>DK77-10RR2</t>
  </si>
  <si>
    <t>AR/PY</t>
  </si>
  <si>
    <t>DK79-10VT3P</t>
  </si>
  <si>
    <t>LT Tropical</t>
  </si>
  <si>
    <t>LT795VT3P</t>
  </si>
  <si>
    <t>PL Basf</t>
  </si>
  <si>
    <t>AU7349MQKZ</t>
  </si>
  <si>
    <t>AU7353MQKZ</t>
  </si>
  <si>
    <t>AU7351MQKZ</t>
  </si>
  <si>
    <t>AT7346MQKZ</t>
  </si>
  <si>
    <t>AQ7233ABAZ</t>
  </si>
  <si>
    <t>MD</t>
  </si>
  <si>
    <t>PS4</t>
  </si>
  <si>
    <t>Tolling</t>
  </si>
  <si>
    <t>I797VT3P</t>
  </si>
  <si>
    <t>PL Advanta</t>
  </si>
  <si>
    <t>ADV8112VT3P</t>
  </si>
  <si>
    <t>AR7126MQKZ</t>
  </si>
  <si>
    <t>PL AFA-Bayacasal</t>
  </si>
  <si>
    <t>AR7333MQKZ</t>
  </si>
  <si>
    <t>797RR2</t>
  </si>
  <si>
    <t>AR7323ABAZ</t>
  </si>
  <si>
    <t>AT7344NYFZ</t>
  </si>
  <si>
    <t>DK72-10PRO4</t>
  </si>
  <si>
    <t>Totales</t>
  </si>
  <si>
    <t>SIN PRODUCCION</t>
  </si>
  <si>
    <t>LT722VT3P</t>
  </si>
  <si>
    <t>722RR2</t>
  </si>
  <si>
    <t>DK70-20VT3P</t>
  </si>
  <si>
    <t>DK73-20VT3P</t>
  </si>
  <si>
    <t>8319MGRR2</t>
  </si>
  <si>
    <t>8115VT3P</t>
  </si>
  <si>
    <t>Q</t>
  </si>
  <si>
    <t>Programa de Embolse CY22</t>
  </si>
  <si>
    <t>Q JIT</t>
  </si>
  <si>
    <t>Planta de Producción</t>
  </si>
  <si>
    <t>Experimental</t>
  </si>
  <si>
    <t>MEU</t>
  </si>
  <si>
    <t>AR/UY</t>
  </si>
  <si>
    <t>Naranja TB</t>
  </si>
  <si>
    <t>DK72-20RR2</t>
  </si>
  <si>
    <t>AR7329NYFZ</t>
  </si>
  <si>
    <t>CMS</t>
  </si>
  <si>
    <t>DK73-03VT3P</t>
  </si>
  <si>
    <t>DK72-08VT3P</t>
  </si>
  <si>
    <t>MD CY21</t>
  </si>
  <si>
    <t>PRO4</t>
  </si>
  <si>
    <t>Azul TB</t>
  </si>
  <si>
    <t>DK73-20PRO4</t>
  </si>
  <si>
    <t>DK72-27PRO4</t>
  </si>
  <si>
    <t>LT721PRO4</t>
  </si>
  <si>
    <t xml:space="preserve">Azul </t>
  </si>
  <si>
    <t>LT723PRO4</t>
  </si>
  <si>
    <t>FND/Tolling</t>
  </si>
  <si>
    <t>AQ8042ABAZ</t>
  </si>
  <si>
    <t>DK77-10PRO4</t>
  </si>
  <si>
    <t>AT7710FHJZ</t>
  </si>
  <si>
    <t>DK77-02TRECEPTA</t>
  </si>
  <si>
    <t>Trecepta</t>
  </si>
  <si>
    <t>TBC</t>
  </si>
  <si>
    <t>LT795RR2</t>
  </si>
  <si>
    <t>AU7921MQKZ</t>
  </si>
  <si>
    <t>LT796VT3P</t>
  </si>
  <si>
    <t>AR7238MQKZ</t>
  </si>
  <si>
    <t>AT7436HTTZ</t>
  </si>
  <si>
    <t>DK73-30RR2</t>
  </si>
  <si>
    <t>AR7329FHJZ</t>
  </si>
  <si>
    <t>DK72-70TRECEPTA</t>
  </si>
  <si>
    <t>TRECEPTA</t>
  </si>
  <si>
    <t>AT7253FHJZ</t>
  </si>
  <si>
    <t>DK72-72TRECEPTA</t>
  </si>
  <si>
    <t>AT7436FHJZ</t>
  </si>
  <si>
    <t>DK73-30TRECEPTA</t>
  </si>
  <si>
    <t>AU7353FHJZ</t>
  </si>
  <si>
    <t>DK73-03TRECEPTA</t>
  </si>
  <si>
    <t>AU7351FHJZ</t>
  </si>
  <si>
    <t>DK72-08TRECEPTA</t>
  </si>
  <si>
    <t>AR7129HTTZ</t>
  </si>
  <si>
    <t>LT720RR2</t>
  </si>
  <si>
    <t>D2738RR2</t>
  </si>
  <si>
    <t>2772RR2</t>
  </si>
  <si>
    <t>AP7420HTTZ</t>
  </si>
  <si>
    <t>2772VT3P</t>
  </si>
  <si>
    <t>2773VT3P</t>
  </si>
  <si>
    <t>AT7346</t>
  </si>
  <si>
    <t>2773TRECEPTA</t>
  </si>
  <si>
    <t>AS7246</t>
  </si>
  <si>
    <t>799TRECEPTA</t>
  </si>
  <si>
    <t>8122VT3P</t>
  </si>
  <si>
    <t>AQ7031MQKZ</t>
  </si>
  <si>
    <t>7344VT3P</t>
  </si>
  <si>
    <t>7349VT3P</t>
  </si>
  <si>
    <t>PL Bayacasal</t>
  </si>
  <si>
    <t>21-123VT3P</t>
  </si>
  <si>
    <t>TOTALES</t>
  </si>
  <si>
    <t>No se embolsa</t>
  </si>
  <si>
    <t>ACA</t>
  </si>
  <si>
    <t>470RR2</t>
  </si>
  <si>
    <t>ACA470VT3P</t>
  </si>
  <si>
    <t>473VT3P</t>
  </si>
  <si>
    <t>476VT3P</t>
  </si>
  <si>
    <t>AT7439MQKZ</t>
  </si>
  <si>
    <t>AN7119</t>
  </si>
  <si>
    <t>473TRECEPTA</t>
  </si>
  <si>
    <t>AT7439</t>
  </si>
  <si>
    <t>476TRECEPTA</t>
  </si>
  <si>
    <t>Q 30-may</t>
  </si>
  <si>
    <t>Total</t>
  </si>
  <si>
    <t>30-jun 1,9 M</t>
  </si>
  <si>
    <t>400K mensual</t>
  </si>
  <si>
    <t>Fnd</t>
  </si>
  <si>
    <t>Estado</t>
  </si>
  <si>
    <t>IUR</t>
  </si>
  <si>
    <t>Campo</t>
  </si>
  <si>
    <t>NORLA</t>
  </si>
  <si>
    <t>DEEX</t>
  </si>
  <si>
    <t>DK-390VT3PRO</t>
  </si>
  <si>
    <t>HN</t>
  </si>
  <si>
    <t>Brasil</t>
  </si>
  <si>
    <t>TBD</t>
  </si>
  <si>
    <t>DKB265PRO3</t>
  </si>
  <si>
    <t>PY</t>
  </si>
  <si>
    <t>LT785VT3P</t>
  </si>
  <si>
    <t>60% pre Jun</t>
  </si>
  <si>
    <t>100% pre Jun</t>
  </si>
  <si>
    <t>MEU/FND</t>
  </si>
  <si>
    <t>AT7436KMGZ</t>
  </si>
  <si>
    <t>CMS-DK73-30VT3PC</t>
  </si>
  <si>
    <t>100% Jul</t>
  </si>
  <si>
    <t>SP</t>
  </si>
  <si>
    <t>DS #18</t>
  </si>
  <si>
    <t>100% Rib pre Jun</t>
  </si>
  <si>
    <t>50% VT3P</t>
  </si>
  <si>
    <t>LT722VT3P_RIB</t>
  </si>
  <si>
    <t>No mas de agosto dispo</t>
  </si>
  <si>
    <t>DK-234VT2PRO</t>
  </si>
  <si>
    <t>CO</t>
  </si>
  <si>
    <t>VT2P</t>
  </si>
  <si>
    <t>DK-370VT2PRO</t>
  </si>
  <si>
    <t>CO/HN</t>
  </si>
  <si>
    <t>DK-415RR2</t>
  </si>
  <si>
    <t>DK-415VT3PRO</t>
  </si>
  <si>
    <t xml:space="preserve">Ver Registro </t>
  </si>
  <si>
    <t>AP7951ABAZ</t>
  </si>
  <si>
    <t>AU7349HTTZ</t>
  </si>
  <si>
    <t>Ref universal</t>
  </si>
  <si>
    <t>Siembra tardia NOV</t>
  </si>
  <si>
    <t>AU7261MQKZ</t>
  </si>
  <si>
    <t>Registro 2021</t>
  </si>
  <si>
    <t>LT724VT3P</t>
  </si>
  <si>
    <t>AV7360MQKZ</t>
  </si>
  <si>
    <t>AV7444MQKZ</t>
  </si>
  <si>
    <t>PL TEST</t>
  </si>
  <si>
    <t>AU7135MQKZ</t>
  </si>
  <si>
    <t>Registro JULIO-Embolse sin registro</t>
  </si>
  <si>
    <t>Registro JULIO</t>
  </si>
  <si>
    <t>AS7246FHJZ</t>
  </si>
  <si>
    <t>AT7346FHJZ</t>
  </si>
  <si>
    <t>TOTAL</t>
  </si>
  <si>
    <t>BULK</t>
  </si>
  <si>
    <t>Programa de Embolse CY23</t>
  </si>
  <si>
    <t>Planta Comercial María Eugenia - FND - Tolling</t>
  </si>
  <si>
    <t>Pendiente</t>
  </si>
  <si>
    <t>Registro</t>
  </si>
  <si>
    <t>DKB255PRO4</t>
  </si>
  <si>
    <t>BR/PY</t>
  </si>
  <si>
    <t>OK</t>
  </si>
  <si>
    <t>DK77-02TRE</t>
  </si>
  <si>
    <t>DKB360PRO3</t>
  </si>
  <si>
    <t>PRO3</t>
  </si>
  <si>
    <t>LT723TRE</t>
  </si>
  <si>
    <t>AR7323FHJZ</t>
  </si>
  <si>
    <t xml:space="preserve">Verde </t>
  </si>
  <si>
    <t>DK72-70TRE</t>
  </si>
  <si>
    <t>DK72-72TRE</t>
  </si>
  <si>
    <t>DK73-03TRE</t>
  </si>
  <si>
    <t>LT721TRE</t>
  </si>
  <si>
    <t>AQ7233FHJZ</t>
  </si>
  <si>
    <t>DK72-72VT3P_RIB</t>
  </si>
  <si>
    <t>DK74-47VT3P</t>
  </si>
  <si>
    <t>DK74-47VT3P_RIB</t>
  </si>
  <si>
    <t>LT720VT3P_RIB</t>
  </si>
  <si>
    <t>DK72-08TRE</t>
  </si>
  <si>
    <t>PL BASF</t>
  </si>
  <si>
    <t>LT725TRE</t>
  </si>
  <si>
    <t>AV7360FHJZ</t>
  </si>
  <si>
    <t>2773TRE</t>
  </si>
  <si>
    <t>LT723RR2</t>
  </si>
  <si>
    <t>AR7323HTTZ</t>
  </si>
  <si>
    <t>799TRE</t>
  </si>
  <si>
    <t>DK73-03RR2</t>
  </si>
  <si>
    <t>AU7353HTTZ</t>
  </si>
  <si>
    <t>32-05VT3P</t>
  </si>
  <si>
    <t>AV7139MQK1</t>
  </si>
  <si>
    <t>Ref Universal</t>
  </si>
  <si>
    <t>2300RR2</t>
  </si>
  <si>
    <t>LT785PRO4</t>
  </si>
  <si>
    <t>AU7921ABAZ</t>
  </si>
  <si>
    <t>Pendiente, ABRIL</t>
  </si>
  <si>
    <t>AS7246MQKZ</t>
  </si>
  <si>
    <t>DK69-62VT3P</t>
  </si>
  <si>
    <t>AW7038MQKZ</t>
  </si>
  <si>
    <t>LT3-44TRE</t>
  </si>
  <si>
    <t>AW7449FHJZ</t>
  </si>
  <si>
    <t>2712TRE</t>
  </si>
  <si>
    <t>AU7135FHJZ</t>
  </si>
  <si>
    <t>3202TRE</t>
  </si>
  <si>
    <t>AU7261FHJZ</t>
  </si>
  <si>
    <t>DK74-47TRE</t>
  </si>
  <si>
    <t>AV7444FHJZ</t>
  </si>
  <si>
    <t>Pendiente, JUN/JUL</t>
  </si>
  <si>
    <t>30-jun 2.25 M</t>
  </si>
  <si>
    <t>500K mensual</t>
  </si>
  <si>
    <t>AV8110MQKZ</t>
  </si>
  <si>
    <t>AV7812MQKZ</t>
  </si>
  <si>
    <t>AP7021HTTZ</t>
  </si>
  <si>
    <t>BRZ</t>
  </si>
  <si>
    <t xml:space="preserve">Crop Plan 21/22 </t>
  </si>
  <si>
    <t>Grand Programa</t>
  </si>
  <si>
    <t>Germoplasma</t>
  </si>
  <si>
    <t>Marca/Cliente</t>
  </si>
  <si>
    <t>Código Híbrido</t>
  </si>
  <si>
    <t>Posible Comercial</t>
  </si>
  <si>
    <t xml:space="preserve">Germ </t>
  </si>
  <si>
    <t>Evento</t>
  </si>
  <si>
    <t>TQP Category</t>
  </si>
  <si>
    <t>Regulated Material - 
CONABIA #</t>
  </si>
  <si>
    <t>Unidad Final</t>
  </si>
  <si>
    <t>Cert</t>
  </si>
  <si>
    <t>Tipo Hib</t>
  </si>
  <si>
    <t>Versión</t>
  </si>
  <si>
    <t>Pedigree H</t>
  </si>
  <si>
    <t>Pedigree M</t>
  </si>
  <si>
    <t>Rto ssu/ha</t>
  </si>
  <si>
    <t>Has</t>
  </si>
  <si>
    <t>Bags 21</t>
  </si>
  <si>
    <t>SSU 21</t>
  </si>
  <si>
    <t>Brand</t>
  </si>
  <si>
    <t>Dekalb</t>
  </si>
  <si>
    <t>DK77-10</t>
  </si>
  <si>
    <t>NA</t>
  </si>
  <si>
    <t>SI</t>
  </si>
  <si>
    <t>2X</t>
  </si>
  <si>
    <t>C8661RMQKZ</t>
  </si>
  <si>
    <t>L7995Z</t>
  </si>
  <si>
    <t>34ZN-1NK603T1A1</t>
  </si>
  <si>
    <t>PND</t>
  </si>
  <si>
    <t>L7995XDDFZ</t>
  </si>
  <si>
    <t>C8661RSCVZ</t>
  </si>
  <si>
    <t>DK77-02</t>
  </si>
  <si>
    <t>2x</t>
  </si>
  <si>
    <t>L3853XDDFZ</t>
  </si>
  <si>
    <t>C2152RHTTZ</t>
  </si>
  <si>
    <t>Subtotal</t>
  </si>
  <si>
    <t>Tropical PS4</t>
  </si>
  <si>
    <t>Brand Tropical PS4</t>
  </si>
  <si>
    <t>La Tijereta</t>
  </si>
  <si>
    <t>LT795</t>
  </si>
  <si>
    <t>UB1B13</t>
  </si>
  <si>
    <t>LT796</t>
  </si>
  <si>
    <t>C1037RMQKZ</t>
  </si>
  <si>
    <t>L5131Z</t>
  </si>
  <si>
    <t>Total Brand Tropical</t>
  </si>
  <si>
    <t>DK72-10</t>
  </si>
  <si>
    <t>F2A1-1NK603B</t>
  </si>
  <si>
    <t>C2152Z</t>
  </si>
  <si>
    <t>C6314RMQKZ_T1A3</t>
  </si>
  <si>
    <t>AI7405SMFZ</t>
  </si>
  <si>
    <t>C6314XDFKZ</t>
  </si>
  <si>
    <t>C2152RBDHZ</t>
  </si>
  <si>
    <t>DK70-20</t>
  </si>
  <si>
    <t>C1037RHTTZ</t>
  </si>
  <si>
    <t>34ZN-1</t>
  </si>
  <si>
    <t>DK72-20</t>
  </si>
  <si>
    <t>C2753RHTTZ</t>
  </si>
  <si>
    <t>DK72-70</t>
  </si>
  <si>
    <t>C8475RMQKZ</t>
  </si>
  <si>
    <t>C2152ZXGLZ</t>
  </si>
  <si>
    <t>DK72-27</t>
  </si>
  <si>
    <t>C4148Z</t>
  </si>
  <si>
    <t>AT7253MQKZ</t>
  </si>
  <si>
    <t>DK72-72</t>
  </si>
  <si>
    <t>C8589RMQKZ</t>
  </si>
  <si>
    <t>C1688Z</t>
  </si>
  <si>
    <t>AT7436MQKZ</t>
  </si>
  <si>
    <t>DK73-30</t>
  </si>
  <si>
    <t>C2835Z</t>
  </si>
  <si>
    <t>probable CMS</t>
  </si>
  <si>
    <t>DK73-03</t>
  </si>
  <si>
    <t>C6731Z</t>
  </si>
  <si>
    <t>DK72-08</t>
  </si>
  <si>
    <t>C8268RMQKZ</t>
  </si>
  <si>
    <t>H nuevos MD VT3P</t>
  </si>
  <si>
    <t>M nuevos MD VT3P</t>
  </si>
  <si>
    <t>AI7405ABAZ</t>
  </si>
  <si>
    <t>C6314XDDFZ</t>
  </si>
  <si>
    <t>C2152RSCVZ</t>
  </si>
  <si>
    <t>AP7021LTDZ</t>
  </si>
  <si>
    <t>C1037XDDFZ</t>
  </si>
  <si>
    <t>C8661RQDHZ</t>
  </si>
  <si>
    <t>AQ7229ABAZ</t>
  </si>
  <si>
    <t>C2753XDDFZ</t>
  </si>
  <si>
    <t>AP7317ABAZ</t>
  </si>
  <si>
    <t>DK73-20</t>
  </si>
  <si>
    <t>C8121XDDFZ</t>
  </si>
  <si>
    <t>C4148RSCVZ</t>
  </si>
  <si>
    <t>C8475XDDFZ</t>
  </si>
  <si>
    <t>C8589XDDFZ</t>
  </si>
  <si>
    <t>C1688RHTTZ</t>
  </si>
  <si>
    <t>C2835RHTTZ</t>
  </si>
  <si>
    <t>C6731RHTTZ</t>
  </si>
  <si>
    <t>C8268XDDFZ</t>
  </si>
  <si>
    <t>Templado PS4</t>
  </si>
  <si>
    <t>Brand Templado PS4</t>
  </si>
  <si>
    <t>LT722</t>
  </si>
  <si>
    <t>C7230RMQKZ</t>
  </si>
  <si>
    <t>AN7218HTTZ</t>
  </si>
  <si>
    <t>C7230RHTTZ</t>
  </si>
  <si>
    <t>AQ7233HPEZ</t>
  </si>
  <si>
    <t>LT721</t>
  </si>
  <si>
    <t>AR7129MQKZ</t>
  </si>
  <si>
    <t>LT720</t>
  </si>
  <si>
    <t>C4682RMQKZ</t>
  </si>
  <si>
    <t>C4682RHTTZ</t>
  </si>
  <si>
    <t>AT7133MQKZ</t>
  </si>
  <si>
    <t>LT718</t>
  </si>
  <si>
    <t>C8176RMQKZ</t>
  </si>
  <si>
    <t>C7368Z</t>
  </si>
  <si>
    <t>LT723</t>
  </si>
  <si>
    <t>Total Brand Templado</t>
  </si>
  <si>
    <t>Total Brand</t>
  </si>
  <si>
    <t>Private Label</t>
  </si>
  <si>
    <t>JB</t>
  </si>
  <si>
    <t>C2389RHTTZ</t>
  </si>
  <si>
    <t>C2389RMQKZ</t>
  </si>
  <si>
    <t>C4204RMQKZ</t>
  </si>
  <si>
    <t>DON MARIO</t>
  </si>
  <si>
    <t>C7255RHTTZ</t>
  </si>
  <si>
    <t>34ZN-1EZRAF</t>
  </si>
  <si>
    <t>C9411Z</t>
  </si>
  <si>
    <t>Illinois</t>
  </si>
  <si>
    <t>C5185RMQKZ</t>
  </si>
  <si>
    <t>AJ7404HTTZ</t>
  </si>
  <si>
    <t>C5185Z</t>
  </si>
  <si>
    <t>Advanta</t>
  </si>
  <si>
    <t>C2482RMQKZ</t>
  </si>
  <si>
    <t>C3233RMQKZ</t>
  </si>
  <si>
    <t>AFA</t>
  </si>
  <si>
    <t>C2176RMQKZ</t>
  </si>
  <si>
    <t>BASF</t>
  </si>
  <si>
    <t>C8046Z</t>
  </si>
  <si>
    <t>BayaCasal</t>
  </si>
  <si>
    <t>C8121RMQKZ</t>
  </si>
  <si>
    <t>C4204XDDFZ</t>
  </si>
  <si>
    <t>DM</t>
  </si>
  <si>
    <t>Total Produccion ARG</t>
  </si>
  <si>
    <t>Febrero</t>
  </si>
  <si>
    <t>cap full</t>
  </si>
  <si>
    <t>Semana</t>
  </si>
  <si>
    <t>% distribucion RW</t>
  </si>
  <si>
    <t>kg RW/W</t>
  </si>
  <si>
    <t>TN RE/W</t>
  </si>
  <si>
    <t>Tn RW Ideal W</t>
  </si>
  <si>
    <t>Camiones/W</t>
  </si>
  <si>
    <t>Camiones Dias</t>
  </si>
  <si>
    <t>Cap Planta</t>
  </si>
  <si>
    <t>Oportinidad</t>
  </si>
  <si>
    <t>dia</t>
  </si>
  <si>
    <t>TN RW W Ideal</t>
  </si>
  <si>
    <t>peso bolsa</t>
  </si>
  <si>
    <t>FNG</t>
  </si>
  <si>
    <t>DS</t>
  </si>
  <si>
    <t>RW</t>
  </si>
  <si>
    <t>Row Labels</t>
  </si>
  <si>
    <t>Sum of SSU 21</t>
  </si>
  <si>
    <t>Sum of SSU 21_2</t>
  </si>
  <si>
    <t>SSU</t>
  </si>
  <si>
    <t>SSU Tolling</t>
  </si>
  <si>
    <t>Has Tolling</t>
  </si>
  <si>
    <t>Rendimiento</t>
  </si>
  <si>
    <t>SSU tolling en 4k has</t>
  </si>
  <si>
    <t>Sacar % bolsas arriba de &gt;20 &lt;20kg</t>
  </si>
  <si>
    <t>Disponibilidad a junio</t>
  </si>
  <si>
    <t>Ton RW</t>
  </si>
  <si>
    <t xml:space="preserve">         175.588 </t>
  </si>
  <si>
    <t xml:space="preserve">          158.999 </t>
  </si>
  <si>
    <t xml:space="preserve">        188.607 </t>
  </si>
  <si>
    <t xml:space="preserve">        121.298 </t>
  </si>
  <si>
    <t xml:space="preserve">            155.997 </t>
  </si>
  <si>
    <t xml:space="preserve">       68.619 </t>
  </si>
  <si>
    <t xml:space="preserve">        102.412 </t>
  </si>
  <si>
    <t xml:space="preserve">    115.145 </t>
  </si>
  <si>
    <t xml:space="preserve">      143.168 </t>
  </si>
  <si>
    <t xml:space="preserve">    126.063 </t>
  </si>
  <si>
    <t xml:space="preserve">    96.494 </t>
  </si>
  <si>
    <t>Has IH</t>
  </si>
  <si>
    <t xml:space="preserve">           26.249 </t>
  </si>
  <si>
    <t xml:space="preserve">            29.590 </t>
  </si>
  <si>
    <t xml:space="preserve">          30.297 </t>
  </si>
  <si>
    <t xml:space="preserve">           26.522 </t>
  </si>
  <si>
    <t xml:space="preserve">               21.570 </t>
  </si>
  <si>
    <t xml:space="preserve">         8.503 </t>
  </si>
  <si>
    <t xml:space="preserve">           13.489 </t>
  </si>
  <si>
    <t xml:space="preserve">        17.586 </t>
  </si>
  <si>
    <t xml:space="preserve">       13.550 </t>
  </si>
  <si>
    <t xml:space="preserve">                    -   </t>
  </si>
  <si>
    <t xml:space="preserve">                     -   </t>
  </si>
  <si>
    <t xml:space="preserve">                   -   </t>
  </si>
  <si>
    <t xml:space="preserve">                       -   </t>
  </si>
  <si>
    <t xml:space="preserve">            528 </t>
  </si>
  <si>
    <t xml:space="preserve">             9.160 </t>
  </si>
  <si>
    <t xml:space="preserve">          6.349 </t>
  </si>
  <si>
    <t xml:space="preserve">         4.397 </t>
  </si>
  <si>
    <t>Winter ton DS</t>
  </si>
  <si>
    <t xml:space="preserve">             3.986 </t>
  </si>
  <si>
    <t xml:space="preserve">               2.820 </t>
  </si>
  <si>
    <t xml:space="preserve">          13.000 </t>
  </si>
  <si>
    <t xml:space="preserve">             6.073 </t>
  </si>
  <si>
    <t xml:space="preserve">                 1.193 </t>
  </si>
  <si>
    <t xml:space="preserve">            763 </t>
  </si>
  <si>
    <t>Inicio 1º</t>
  </si>
  <si>
    <t>Fin 1º</t>
  </si>
  <si>
    <t>Tolling (Bls)</t>
  </si>
  <si>
    <t xml:space="preserve">               -   </t>
  </si>
  <si>
    <t xml:space="preserve">        433.000 </t>
  </si>
  <si>
    <t xml:space="preserve">      339.498 </t>
  </si>
  <si>
    <t xml:space="preserve">    360.777 </t>
  </si>
  <si>
    <t>Embolse (bls)</t>
  </si>
  <si>
    <t xml:space="preserve">     3.732.684 </t>
  </si>
  <si>
    <t xml:space="preserve">       3.042.602 </t>
  </si>
  <si>
    <t xml:space="preserve">    3.238.597 </t>
  </si>
  <si>
    <t xml:space="preserve">     2.042.320 </t>
  </si>
  <si>
    <t xml:space="preserve">         2.643.179 </t>
  </si>
  <si>
    <t xml:space="preserve"> 2.332.341 </t>
  </si>
  <si>
    <t xml:space="preserve">     2.826.511 </t>
  </si>
  <si>
    <t xml:space="preserve">  3.317.225 </t>
  </si>
  <si>
    <t xml:space="preserve"> 2.700.000 </t>
  </si>
  <si>
    <t>inicio 2º</t>
  </si>
  <si>
    <t>fin 2º</t>
  </si>
  <si>
    <t>SSU/ha rinde</t>
  </si>
  <si>
    <t xml:space="preserve">                145 </t>
  </si>
  <si>
    <t xml:space="preserve">                  106 </t>
  </si>
  <si>
    <t xml:space="preserve">                134 </t>
  </si>
  <si>
    <t xml:space="preserve">                  93 </t>
  </si>
  <si>
    <t xml:space="preserve">                    131 </t>
  </si>
  <si>
    <t xml:space="preserve">            149 </t>
  </si>
  <si>
    <t xml:space="preserve">                144 </t>
  </si>
  <si>
    <t xml:space="preserve">          160,7 </t>
  </si>
  <si>
    <t xml:space="preserve">         175,5 </t>
  </si>
  <si>
    <t>Estimado 30 - JUN</t>
  </si>
  <si>
    <t>Real 30-JUN</t>
  </si>
  <si>
    <t>Feb</t>
  </si>
  <si>
    <t>Limitacion de vol</t>
  </si>
  <si>
    <t>Grand Total</t>
  </si>
  <si>
    <t>Posiciones</t>
  </si>
  <si>
    <t>Centro</t>
  </si>
  <si>
    <t>Carry</t>
  </si>
  <si>
    <t>Licencias</t>
  </si>
  <si>
    <t>Expo</t>
  </si>
  <si>
    <t>New</t>
  </si>
  <si>
    <t>Tipo</t>
  </si>
  <si>
    <t>Exportacion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</si>
</sst>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43" formatCode="_-* #,##0.00_-;\-* #,##0.00_-;_-* &quot;-&quot;??_-;_-@_-"/>
    <numFmt numFmtId="164" formatCode="_(* #,##0.00_);_(* \(#,##0.00\);_(* &quot;-&quot;??_);_(@_)"/>
    <numFmt numFmtId="165" formatCode="_ * #,##0.00_ ;_ * \-#,##0.00_ ;_ * &quot;-&quot;??_ ;_ @_ "/>
    <numFmt numFmtId="166" formatCode="_ * #,##0_ ;_ * \-#,##0_ ;_ * &quot;-&quot;??_ ;_ @_ "/>
    <numFmt numFmtId="167" formatCode="&quot;Murphy L&quot;General"/>
    <numFmt numFmtId="168" formatCode="_(* #,##0_);_(* \(#,##0\);_(* &quot;-&quot;??_);_(@_)"/>
  </numFmts>
  <fonts count="4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6"/>
      <name val="Calibri"/>
      <family val="2"/>
      <scheme val="minor"/>
    </font>
    <font>
      <sz val="10"/>
      <name val="Arial"/>
      <family val="2"/>
    </font>
    <font>
      <b/>
      <sz val="11"/>
      <color theme="4"/>
      <name val="Tahoma"/>
      <family val="2"/>
    </font>
    <font>
      <sz val="10"/>
      <color theme="1"/>
      <name val="Calibri"/>
      <family val="2"/>
      <scheme val="minor"/>
    </font>
    <font>
      <b/>
      <sz val="9"/>
      <color theme="0" tint="-4.9989318521683403E-2"/>
      <name val="Tahoma"/>
      <family val="2"/>
    </font>
    <font>
      <sz val="11"/>
      <color theme="4"/>
      <name val="Calibri"/>
      <family val="2"/>
      <scheme val="minor"/>
    </font>
    <font>
      <sz val="9"/>
      <color theme="4"/>
      <name val="Tahoma"/>
      <family val="2"/>
    </font>
    <font>
      <b/>
      <sz val="9"/>
      <name val="Tahoma"/>
      <family val="2"/>
    </font>
    <font>
      <sz val="11"/>
      <color theme="3" tint="0.39997558519241921"/>
      <name val="Calibri"/>
      <family val="2"/>
      <scheme val="minor"/>
    </font>
    <font>
      <b/>
      <sz val="9"/>
      <color theme="4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000000"/>
      <name val="Calibri"/>
      <family val="2"/>
    </font>
    <font>
      <sz val="10"/>
      <color indexed="8"/>
      <name val="Arial"/>
      <family val="2"/>
    </font>
    <font>
      <sz val="10"/>
      <color rgb="FF000000"/>
      <name val="Arial"/>
      <family val="2"/>
    </font>
    <font>
      <sz val="9"/>
      <color rgb="FFFF0000"/>
      <name val="Tahoma"/>
      <family val="2"/>
    </font>
    <font>
      <b/>
      <sz val="8"/>
      <color rgb="FF7030A0"/>
      <name val="Calibri"/>
      <family val="2"/>
      <scheme val="minor"/>
    </font>
    <font>
      <b/>
      <sz val="10"/>
      <color indexed="1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8"/>
      <color theme="5" tint="-0.249977111117893"/>
      <name val="Calibri"/>
      <family val="2"/>
      <scheme val="minor"/>
    </font>
    <font>
      <b/>
      <sz val="8"/>
      <color rgb="FF00B050"/>
      <name val="Calibri"/>
      <family val="2"/>
      <scheme val="minor"/>
    </font>
    <font>
      <b/>
      <sz val="8"/>
      <name val="Calibri"/>
      <family val="2"/>
      <scheme val="minor"/>
    </font>
    <font>
      <b/>
      <sz val="8"/>
      <color rgb="FFFF0000"/>
      <name val="Calibri"/>
      <family val="2"/>
      <scheme val="minor"/>
    </font>
    <font>
      <i/>
      <sz val="8"/>
      <name val="Calibri"/>
      <family val="2"/>
      <scheme val="minor"/>
    </font>
    <font>
      <sz val="8"/>
      <name val="Calibri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  <scheme val="minor"/>
    </font>
    <font>
      <sz val="11"/>
      <name val="Calibri"/>
      <family val="2"/>
    </font>
    <font>
      <b/>
      <sz val="11"/>
      <color rgb="FF000000"/>
      <name val="Calibri"/>
      <family val="2"/>
    </font>
    <font>
      <sz val="10"/>
      <color theme="1"/>
      <name val="Arial"/>
      <family val="2"/>
    </font>
    <font>
      <sz val="10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4" tint="0.79998168889431442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rgb="FF92D050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0.59999389629810485"/>
        <bgColor indexed="64"/>
      </patternFill>
    </fill>
  </fills>
  <borders count="61">
    <border>
      <left/>
      <right/>
      <top/>
      <bottom/>
      <diagonal/>
    </border>
    <border>
      <left style="medium">
        <color indexed="64"/>
      </left>
      <right style="dashed">
        <color indexed="64"/>
      </right>
      <top style="medium">
        <color indexed="64"/>
      </top>
      <bottom/>
      <diagonal/>
    </border>
    <border>
      <left/>
      <right style="dashed">
        <color indexed="64"/>
      </right>
      <top style="medium">
        <color indexed="64"/>
      </top>
      <bottom/>
      <diagonal/>
    </border>
    <border>
      <left style="dashed">
        <color indexed="64"/>
      </left>
      <right style="dashed">
        <color indexed="64"/>
      </right>
      <top style="medium">
        <color indexed="64"/>
      </top>
      <bottom/>
      <diagonal/>
    </border>
    <border>
      <left style="dashed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dashed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dashed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medium">
        <color rgb="FF000000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rgb="FF000000"/>
      </right>
      <top/>
      <bottom style="hair">
        <color indexed="64"/>
      </bottom>
      <diagonal/>
    </border>
    <border>
      <left style="medium">
        <color rgb="FF000000"/>
      </left>
      <right style="hair">
        <color indexed="64"/>
      </right>
      <top/>
      <bottom style="medium">
        <color rgb="FF000000"/>
      </bottom>
      <diagonal/>
    </border>
    <border>
      <left style="hair">
        <color indexed="64"/>
      </left>
      <right style="hair">
        <color indexed="64"/>
      </right>
      <top/>
      <bottom style="medium">
        <color rgb="FF000000"/>
      </bottom>
      <diagonal/>
    </border>
    <border>
      <left style="hair">
        <color indexed="64"/>
      </left>
      <right style="medium">
        <color rgb="FF000000"/>
      </right>
      <top/>
      <bottom style="medium">
        <color rgb="FF000000"/>
      </bottom>
      <diagonal/>
    </border>
    <border>
      <left style="hair">
        <color indexed="64"/>
      </left>
      <right/>
      <top/>
      <bottom style="medium">
        <color indexed="64"/>
      </bottom>
      <diagonal/>
    </border>
  </borders>
  <cellStyleXfs count="172">
    <xf numFmtId="0" fontId="0" fillId="0" borderId="0"/>
    <xf numFmtId="165" fontId="1" fillId="0" borderId="0" applyFont="0" applyFill="0" applyBorder="0" applyAlignment="0" applyProtection="0"/>
    <xf numFmtId="0" fontId="3" fillId="0" borderId="0"/>
    <xf numFmtId="0" fontId="3" fillId="0" borderId="0"/>
    <xf numFmtId="165" fontId="1" fillId="0" borderId="0" applyFont="0" applyFill="0" applyBorder="0" applyAlignment="0" applyProtection="0"/>
    <xf numFmtId="0" fontId="17" fillId="0" borderId="0"/>
    <xf numFmtId="165" fontId="17" fillId="0" borderId="0" applyFont="0" applyFill="0" applyBorder="0" applyAlignment="0" applyProtection="0"/>
    <xf numFmtId="0" fontId="17" fillId="0" borderId="0"/>
    <xf numFmtId="165" fontId="17" fillId="0" borderId="0" applyFont="0" applyFill="0" applyBorder="0" applyAlignment="0" applyProtection="0"/>
    <xf numFmtId="0" fontId="15" fillId="6" borderId="0" applyNumberFormat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5" fontId="17" fillId="0" borderId="0" applyFont="0" applyFill="0" applyBorder="0" applyAlignment="0" applyProtection="0"/>
    <xf numFmtId="0" fontId="17" fillId="0" borderId="0"/>
    <xf numFmtId="0" fontId="17" fillId="0" borderId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1" fillId="0" borderId="0"/>
    <xf numFmtId="165" fontId="1" fillId="0" borderId="0" applyFont="0" applyFill="0" applyBorder="0" applyAlignment="0" applyProtection="0"/>
    <xf numFmtId="0" fontId="3" fillId="0" borderId="0"/>
    <xf numFmtId="0" fontId="3" fillId="0" borderId="0"/>
    <xf numFmtId="0" fontId="18" fillId="0" borderId="0"/>
    <xf numFmtId="0" fontId="1" fillId="0" borderId="0"/>
    <xf numFmtId="165" fontId="1" fillId="0" borderId="0" applyFont="0" applyFill="0" applyBorder="0" applyAlignment="0" applyProtection="0"/>
    <xf numFmtId="0" fontId="17" fillId="0" borderId="0"/>
    <xf numFmtId="165" fontId="17" fillId="0" borderId="0" applyFont="0" applyFill="0" applyBorder="0" applyAlignment="0" applyProtection="0"/>
    <xf numFmtId="0" fontId="17" fillId="0" borderId="0"/>
    <xf numFmtId="165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4" fillId="5" borderId="0" applyNumberFormat="0" applyBorder="0" applyAlignment="0" applyProtection="0"/>
    <xf numFmtId="0" fontId="16" fillId="7" borderId="0" applyNumberFormat="0" applyBorder="0" applyAlignment="0" applyProtection="0"/>
    <xf numFmtId="165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7" fillId="0" borderId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0" fontId="1" fillId="0" borderId="0"/>
    <xf numFmtId="0" fontId="17" fillId="0" borderId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363">
    <xf numFmtId="0" fontId="0" fillId="0" borderId="0" xfId="0"/>
    <xf numFmtId="0" fontId="2" fillId="0" borderId="0" xfId="0" applyFont="1"/>
    <xf numFmtId="0" fontId="4" fillId="2" borderId="0" xfId="2" quotePrefix="1" applyFont="1" applyFill="1" applyAlignment="1">
      <alignment horizontal="center" vertical="center"/>
    </xf>
    <xf numFmtId="0" fontId="5" fillId="0" borderId="0" xfId="0" applyFont="1"/>
    <xf numFmtId="0" fontId="2" fillId="0" borderId="0" xfId="0" quotePrefix="1" applyFont="1" applyAlignment="1">
      <alignment horizontal="left"/>
    </xf>
    <xf numFmtId="0" fontId="6" fillId="3" borderId="1" xfId="2" applyFont="1" applyFill="1" applyBorder="1" applyAlignment="1">
      <alignment horizontal="center" vertical="center" wrapText="1"/>
    </xf>
    <xf numFmtId="0" fontId="6" fillId="3" borderId="2" xfId="2" applyFont="1" applyFill="1" applyBorder="1" applyAlignment="1">
      <alignment horizontal="center" vertical="center" wrapText="1"/>
    </xf>
    <xf numFmtId="0" fontId="6" fillId="3" borderId="3" xfId="2" applyFont="1" applyFill="1" applyBorder="1" applyAlignment="1">
      <alignment horizontal="center" vertical="center" wrapText="1"/>
    </xf>
    <xf numFmtId="0" fontId="6" fillId="3" borderId="4" xfId="2" applyFont="1" applyFill="1" applyBorder="1" applyAlignment="1">
      <alignment horizontal="center" vertical="center" wrapText="1"/>
    </xf>
    <xf numFmtId="16" fontId="6" fillId="3" borderId="3" xfId="3" applyNumberFormat="1" applyFont="1" applyFill="1" applyBorder="1" applyAlignment="1">
      <alignment horizontal="center" vertical="center" wrapText="1"/>
    </xf>
    <xf numFmtId="16" fontId="6" fillId="3" borderId="4" xfId="3" applyNumberFormat="1" applyFont="1" applyFill="1" applyBorder="1" applyAlignment="1">
      <alignment horizontal="center" vertical="center" wrapText="1"/>
    </xf>
    <xf numFmtId="0" fontId="8" fillId="0" borderId="5" xfId="2" applyFont="1" applyBorder="1"/>
    <xf numFmtId="0" fontId="8" fillId="0" borderId="6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2" fontId="8" fillId="0" borderId="7" xfId="0" applyNumberFormat="1" applyFont="1" applyBorder="1" applyAlignment="1">
      <alignment horizontal="center"/>
    </xf>
    <xf numFmtId="166" fontId="8" fillId="0" borderId="7" xfId="1" applyNumberFormat="1" applyFont="1" applyFill="1" applyBorder="1" applyAlignment="1">
      <alignment horizontal="center"/>
    </xf>
    <xf numFmtId="1" fontId="8" fillId="0" borderId="6" xfId="4" applyNumberFormat="1" applyFont="1" applyFill="1" applyBorder="1" applyAlignment="1">
      <alignment horizontal="center"/>
    </xf>
    <xf numFmtId="0" fontId="10" fillId="0" borderId="0" xfId="0" applyFont="1"/>
    <xf numFmtId="2" fontId="8" fillId="0" borderId="7" xfId="1" applyNumberFormat="1" applyFont="1" applyFill="1" applyBorder="1" applyAlignment="1">
      <alignment horizontal="center"/>
    </xf>
    <xf numFmtId="0" fontId="8" fillId="0" borderId="5" xfId="2" applyFont="1" applyBorder="1" applyAlignment="1">
      <alignment horizontal="left"/>
    </xf>
    <xf numFmtId="0" fontId="8" fillId="0" borderId="8" xfId="0" applyFont="1" applyBorder="1" applyAlignment="1">
      <alignment horizontal="center"/>
    </xf>
    <xf numFmtId="0" fontId="8" fillId="0" borderId="8" xfId="0" quotePrefix="1" applyFont="1" applyBorder="1" applyAlignment="1">
      <alignment horizontal="center"/>
    </xf>
    <xf numFmtId="0" fontId="11" fillId="0" borderId="8" xfId="0" quotePrefix="1" applyFont="1" applyBorder="1" applyAlignment="1">
      <alignment horizontal="center"/>
    </xf>
    <xf numFmtId="0" fontId="8" fillId="0" borderId="10" xfId="2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5" xfId="2" quotePrefix="1" applyFont="1" applyBorder="1" applyAlignment="1">
      <alignment horizontal="left"/>
    </xf>
    <xf numFmtId="166" fontId="0" fillId="0" borderId="0" xfId="0" applyNumberFormat="1"/>
    <xf numFmtId="0" fontId="6" fillId="3" borderId="18" xfId="2" applyFont="1" applyFill="1" applyBorder="1" applyAlignment="1">
      <alignment horizontal="center" vertical="center" wrapText="1"/>
    </xf>
    <xf numFmtId="16" fontId="6" fillId="3" borderId="1" xfId="3" applyNumberFormat="1" applyFont="1" applyFill="1" applyBorder="1" applyAlignment="1">
      <alignment horizontal="center" vertical="center" wrapText="1"/>
    </xf>
    <xf numFmtId="16" fontId="6" fillId="3" borderId="18" xfId="3" quotePrefix="1" applyNumberFormat="1" applyFont="1" applyFill="1" applyBorder="1" applyAlignment="1">
      <alignment horizontal="center" vertical="center" wrapText="1"/>
    </xf>
    <xf numFmtId="0" fontId="6" fillId="3" borderId="19" xfId="2" applyFont="1" applyFill="1" applyBorder="1" applyAlignment="1">
      <alignment horizontal="center" vertical="center" wrapText="1"/>
    </xf>
    <xf numFmtId="16" fontId="6" fillId="4" borderId="19" xfId="3" quotePrefix="1" applyNumberFormat="1" applyFont="1" applyFill="1" applyBorder="1" applyAlignment="1">
      <alignment horizontal="center" vertical="center" wrapText="1"/>
    </xf>
    <xf numFmtId="16" fontId="6" fillId="4" borderId="18" xfId="3" quotePrefix="1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6" fontId="8" fillId="0" borderId="14" xfId="4" applyNumberFormat="1" applyFont="1" applyFill="1" applyBorder="1" applyAlignment="1">
      <alignment horizontal="center"/>
    </xf>
    <xf numFmtId="0" fontId="8" fillId="0" borderId="6" xfId="2" applyFont="1" applyBorder="1" applyAlignment="1">
      <alignment horizontal="center"/>
    </xf>
    <xf numFmtId="166" fontId="8" fillId="0" borderId="5" xfId="4" applyNumberFormat="1" applyFont="1" applyFill="1" applyBorder="1" applyAlignment="1">
      <alignment horizontal="center"/>
    </xf>
    <xf numFmtId="166" fontId="8" fillId="0" borderId="7" xfId="4" applyNumberFormat="1" applyFont="1" applyFill="1" applyBorder="1" applyAlignment="1">
      <alignment horizontal="center"/>
    </xf>
    <xf numFmtId="1" fontId="8" fillId="0" borderId="6" xfId="0" applyNumberFormat="1" applyFont="1" applyBorder="1" applyAlignment="1">
      <alignment horizontal="center"/>
    </xf>
    <xf numFmtId="15" fontId="8" fillId="0" borderId="7" xfId="0" applyNumberFormat="1" applyFont="1" applyBorder="1" applyAlignment="1">
      <alignment horizontal="center"/>
    </xf>
    <xf numFmtId="0" fontId="7" fillId="0" borderId="0" xfId="0" applyFont="1"/>
    <xf numFmtId="15" fontId="8" fillId="0" borderId="6" xfId="0" applyNumberFormat="1" applyFont="1" applyBorder="1" applyAlignment="1">
      <alignment horizontal="center"/>
    </xf>
    <xf numFmtId="15" fontId="8" fillId="0" borderId="5" xfId="0" applyNumberFormat="1" applyFont="1" applyBorder="1" applyAlignment="1">
      <alignment horizontal="center"/>
    </xf>
    <xf numFmtId="0" fontId="8" fillId="0" borderId="6" xfId="2" quotePrefix="1" applyFont="1" applyBorder="1" applyAlignment="1">
      <alignment horizontal="left"/>
    </xf>
    <xf numFmtId="0" fontId="8" fillId="0" borderId="6" xfId="2" applyFont="1" applyBorder="1" applyAlignment="1">
      <alignment horizontal="left"/>
    </xf>
    <xf numFmtId="1" fontId="0" fillId="0" borderId="0" xfId="0" applyNumberFormat="1"/>
    <xf numFmtId="164" fontId="0" fillId="0" borderId="0" xfId="0" applyNumberFormat="1"/>
    <xf numFmtId="0" fontId="8" fillId="0" borderId="6" xfId="2" applyFont="1" applyBorder="1"/>
    <xf numFmtId="16" fontId="6" fillId="3" borderId="19" xfId="3" quotePrefix="1" applyNumberFormat="1" applyFont="1" applyFill="1" applyBorder="1" applyAlignment="1">
      <alignment horizontal="center" vertical="center" wrapText="1"/>
    </xf>
    <xf numFmtId="0" fontId="8" fillId="0" borderId="21" xfId="2" applyFont="1" applyBorder="1" applyAlignment="1">
      <alignment horizontal="left"/>
    </xf>
    <xf numFmtId="0" fontId="8" fillId="0" borderId="21" xfId="2" quotePrefix="1" applyFont="1" applyBorder="1" applyAlignment="1">
      <alignment horizontal="left"/>
    </xf>
    <xf numFmtId="0" fontId="8" fillId="0" borderId="7" xfId="2" applyFont="1" applyBorder="1" applyAlignment="1">
      <alignment horizontal="center"/>
    </xf>
    <xf numFmtId="16" fontId="6" fillId="3" borderId="23" xfId="3" quotePrefix="1" applyNumberFormat="1" applyFont="1" applyFill="1" applyBorder="1" applyAlignment="1">
      <alignment horizontal="center" vertical="center" wrapText="1"/>
    </xf>
    <xf numFmtId="0" fontId="8" fillId="0" borderId="13" xfId="0" applyFont="1" applyBorder="1" applyAlignment="1">
      <alignment horizontal="center"/>
    </xf>
    <xf numFmtId="0" fontId="8" fillId="0" borderId="12" xfId="2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166" fontId="8" fillId="0" borderId="15" xfId="4" applyNumberFormat="1" applyFont="1" applyFill="1" applyBorder="1" applyAlignment="1">
      <alignment horizontal="center"/>
    </xf>
    <xf numFmtId="15" fontId="8" fillId="0" borderId="15" xfId="0" applyNumberFormat="1" applyFont="1" applyBorder="1" applyAlignment="1">
      <alignment horizontal="center"/>
    </xf>
    <xf numFmtId="15" fontId="8" fillId="0" borderId="16" xfId="0" applyNumberFormat="1" applyFont="1" applyBorder="1" applyAlignment="1">
      <alignment horizontal="center"/>
    </xf>
    <xf numFmtId="1" fontId="8" fillId="0" borderId="16" xfId="4" applyNumberFormat="1" applyFont="1" applyFill="1" applyBorder="1" applyAlignment="1">
      <alignment horizontal="center"/>
    </xf>
    <xf numFmtId="15" fontId="8" fillId="0" borderId="17" xfId="0" applyNumberFormat="1" applyFont="1" applyBorder="1" applyAlignment="1">
      <alignment horizontal="center"/>
    </xf>
    <xf numFmtId="166" fontId="8" fillId="0" borderId="17" xfId="4" applyNumberFormat="1" applyFont="1" applyFill="1" applyBorder="1" applyAlignment="1">
      <alignment horizontal="center"/>
    </xf>
    <xf numFmtId="0" fontId="8" fillId="0" borderId="17" xfId="2" applyFont="1" applyBorder="1" applyAlignment="1">
      <alignment horizontal="center"/>
    </xf>
    <xf numFmtId="0" fontId="8" fillId="0" borderId="20" xfId="2" quotePrefix="1" applyFont="1" applyBorder="1" applyAlignment="1">
      <alignment horizontal="left"/>
    </xf>
    <xf numFmtId="0" fontId="8" fillId="0" borderId="6" xfId="0" quotePrefix="1" applyFont="1" applyBorder="1" applyAlignment="1">
      <alignment horizontal="center"/>
    </xf>
    <xf numFmtId="167" fontId="8" fillId="0" borderId="6" xfId="2" quotePrefix="1" applyNumberFormat="1" applyFont="1" applyBorder="1" applyAlignment="1">
      <alignment horizontal="center" vertical="center"/>
    </xf>
    <xf numFmtId="0" fontId="8" fillId="0" borderId="11" xfId="2" applyFont="1" applyBorder="1"/>
    <xf numFmtId="0" fontId="8" fillId="0" borderId="12" xfId="2" quotePrefix="1" applyFont="1" applyBorder="1" applyAlignment="1">
      <alignment horizontal="left"/>
    </xf>
    <xf numFmtId="0" fontId="8" fillId="0" borderId="12" xfId="0" quotePrefix="1" applyFont="1" applyBorder="1" applyAlignment="1">
      <alignment horizontal="center"/>
    </xf>
    <xf numFmtId="0" fontId="9" fillId="0" borderId="12" xfId="0" applyFont="1" applyBorder="1" applyAlignment="1">
      <alignment horizontal="center"/>
    </xf>
    <xf numFmtId="2" fontId="8" fillId="0" borderId="14" xfId="0" applyNumberFormat="1" applyFont="1" applyBorder="1" applyAlignment="1">
      <alignment horizontal="center"/>
    </xf>
    <xf numFmtId="166" fontId="8" fillId="0" borderId="11" xfId="4" applyNumberFormat="1" applyFont="1" applyFill="1" applyBorder="1" applyAlignment="1">
      <alignment horizontal="center"/>
    </xf>
    <xf numFmtId="166" fontId="8" fillId="0" borderId="14" xfId="1" applyNumberFormat="1" applyFont="1" applyFill="1" applyBorder="1" applyAlignment="1">
      <alignment horizontal="center"/>
    </xf>
    <xf numFmtId="15" fontId="8" fillId="0" borderId="11" xfId="0" applyNumberFormat="1" applyFont="1" applyBorder="1" applyAlignment="1">
      <alignment horizontal="center"/>
    </xf>
    <xf numFmtId="15" fontId="8" fillId="0" borderId="12" xfId="0" applyNumberFormat="1" applyFont="1" applyBorder="1" applyAlignment="1">
      <alignment horizontal="center"/>
    </xf>
    <xf numFmtId="1" fontId="8" fillId="0" borderId="12" xfId="4" applyNumberFormat="1" applyFont="1" applyFill="1" applyBorder="1" applyAlignment="1">
      <alignment horizontal="center"/>
    </xf>
    <xf numFmtId="1" fontId="8" fillId="0" borderId="12" xfId="0" applyNumberFormat="1" applyFont="1" applyBorder="1" applyAlignment="1">
      <alignment horizontal="center"/>
    </xf>
    <xf numFmtId="15" fontId="8" fillId="0" borderId="14" xfId="0" applyNumberFormat="1" applyFont="1" applyBorder="1" applyAlignment="1">
      <alignment horizontal="center"/>
    </xf>
    <xf numFmtId="0" fontId="8" fillId="0" borderId="14" xfId="2" applyFont="1" applyBorder="1" applyAlignment="1">
      <alignment horizontal="center"/>
    </xf>
    <xf numFmtId="0" fontId="8" fillId="0" borderId="24" xfId="2" applyFont="1" applyBorder="1" applyAlignment="1">
      <alignment horizontal="left"/>
    </xf>
    <xf numFmtId="0" fontId="8" fillId="0" borderId="24" xfId="2" quotePrefix="1" applyFont="1" applyBorder="1" applyAlignment="1">
      <alignment horizontal="left"/>
    </xf>
    <xf numFmtId="0" fontId="8" fillId="8" borderId="6" xfId="2" applyFont="1" applyFill="1" applyBorder="1" applyAlignment="1">
      <alignment horizontal="center"/>
    </xf>
    <xf numFmtId="2" fontId="8" fillId="0" borderId="25" xfId="1" applyNumberFormat="1" applyFont="1" applyFill="1" applyBorder="1" applyAlignment="1">
      <alignment horizontal="center"/>
    </xf>
    <xf numFmtId="0" fontId="8" fillId="0" borderId="9" xfId="2" applyFont="1" applyBorder="1"/>
    <xf numFmtId="0" fontId="8" fillId="0" borderId="10" xfId="2" quotePrefix="1" applyFont="1" applyBorder="1" applyAlignment="1">
      <alignment horizontal="left"/>
    </xf>
    <xf numFmtId="0" fontId="8" fillId="0" borderId="10" xfId="0" quotePrefix="1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2" fontId="8" fillId="0" borderId="25" xfId="0" applyNumberFormat="1" applyFont="1" applyBorder="1" applyAlignment="1">
      <alignment horizontal="center"/>
    </xf>
    <xf numFmtId="166" fontId="8" fillId="0" borderId="9" xfId="4" applyNumberFormat="1" applyFont="1" applyFill="1" applyBorder="1" applyAlignment="1">
      <alignment horizontal="center"/>
    </xf>
    <xf numFmtId="166" fontId="8" fillId="0" borderId="25" xfId="4" applyNumberFormat="1" applyFont="1" applyFill="1" applyBorder="1" applyAlignment="1">
      <alignment horizontal="center"/>
    </xf>
    <xf numFmtId="0" fontId="8" fillId="0" borderId="25" xfId="2" applyFont="1" applyBorder="1" applyAlignment="1">
      <alignment horizontal="center"/>
    </xf>
    <xf numFmtId="166" fontId="8" fillId="0" borderId="11" xfId="1" applyNumberFormat="1" applyFont="1" applyFill="1" applyBorder="1" applyAlignment="1">
      <alignment horizontal="center"/>
    </xf>
    <xf numFmtId="166" fontId="8" fillId="0" borderId="5" xfId="1" applyNumberFormat="1" applyFont="1" applyFill="1" applyBorder="1" applyAlignment="1">
      <alignment horizontal="center"/>
    </xf>
    <xf numFmtId="166" fontId="8" fillId="0" borderId="15" xfId="1" applyNumberFormat="1" applyFont="1" applyFill="1" applyBorder="1" applyAlignment="1">
      <alignment horizontal="center"/>
    </xf>
    <xf numFmtId="0" fontId="9" fillId="0" borderId="6" xfId="0" quotePrefix="1" applyFont="1" applyBorder="1" applyAlignment="1">
      <alignment horizontal="center"/>
    </xf>
    <xf numFmtId="0" fontId="8" fillId="0" borderId="26" xfId="2" applyFont="1" applyBorder="1" applyAlignment="1">
      <alignment horizontal="left"/>
    </xf>
    <xf numFmtId="166" fontId="8" fillId="0" borderId="25" xfId="1" applyNumberFormat="1" applyFont="1" applyFill="1" applyBorder="1" applyAlignment="1">
      <alignment horizontal="center"/>
    </xf>
    <xf numFmtId="166" fontId="6" fillId="3" borderId="27" xfId="1" applyNumberFormat="1" applyFont="1" applyFill="1" applyBorder="1" applyAlignment="1">
      <alignment horizontal="center" vertical="center" wrapText="1"/>
    </xf>
    <xf numFmtId="0" fontId="9" fillId="0" borderId="13" xfId="0" applyFont="1" applyBorder="1" applyAlignment="1">
      <alignment horizontal="center"/>
    </xf>
    <xf numFmtId="167" fontId="8" fillId="9" borderId="12" xfId="2" quotePrefix="1" applyNumberFormat="1" applyFont="1" applyFill="1" applyBorder="1" applyAlignment="1">
      <alignment horizontal="center" vertical="center"/>
    </xf>
    <xf numFmtId="0" fontId="8" fillId="9" borderId="6" xfId="2" applyFont="1" applyFill="1" applyBorder="1" applyAlignment="1">
      <alignment horizontal="center"/>
    </xf>
    <xf numFmtId="167" fontId="8" fillId="9" borderId="6" xfId="2" quotePrefix="1" applyNumberFormat="1" applyFont="1" applyFill="1" applyBorder="1" applyAlignment="1">
      <alignment horizontal="center" vertical="center"/>
    </xf>
    <xf numFmtId="167" fontId="8" fillId="10" borderId="6" xfId="2" applyNumberFormat="1" applyFont="1" applyFill="1" applyBorder="1" applyAlignment="1">
      <alignment horizontal="center" vertical="center"/>
    </xf>
    <xf numFmtId="0" fontId="8" fillId="10" borderId="6" xfId="2" applyFont="1" applyFill="1" applyBorder="1" applyAlignment="1">
      <alignment horizontal="center"/>
    </xf>
    <xf numFmtId="0" fontId="8" fillId="0" borderId="28" xfId="2" applyFont="1" applyBorder="1" applyAlignment="1">
      <alignment horizontal="center"/>
    </xf>
    <xf numFmtId="0" fontId="8" fillId="0" borderId="28" xfId="0" applyFont="1" applyBorder="1" applyAlignment="1">
      <alignment horizontal="center"/>
    </xf>
    <xf numFmtId="0" fontId="8" fillId="0" borderId="28" xfId="0" quotePrefix="1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2" fontId="8" fillId="0" borderId="29" xfId="0" applyNumberFormat="1" applyFont="1" applyBorder="1" applyAlignment="1">
      <alignment horizontal="center"/>
    </xf>
    <xf numFmtId="166" fontId="8" fillId="0" borderId="30" xfId="4" applyNumberFormat="1" applyFont="1" applyFill="1" applyBorder="1" applyAlignment="1">
      <alignment horizontal="center"/>
    </xf>
    <xf numFmtId="166" fontId="8" fillId="0" borderId="29" xfId="1" applyNumberFormat="1" applyFont="1" applyFill="1" applyBorder="1" applyAlignment="1">
      <alignment horizontal="center"/>
    </xf>
    <xf numFmtId="15" fontId="8" fillId="0" borderId="30" xfId="0" applyNumberFormat="1" applyFont="1" applyBorder="1" applyAlignment="1">
      <alignment horizontal="center"/>
    </xf>
    <xf numFmtId="15" fontId="8" fillId="0" borderId="28" xfId="0" applyNumberFormat="1" applyFont="1" applyBorder="1" applyAlignment="1">
      <alignment horizontal="center"/>
    </xf>
    <xf numFmtId="1" fontId="8" fillId="0" borderId="28" xfId="4" applyNumberFormat="1" applyFont="1" applyFill="1" applyBorder="1" applyAlignment="1">
      <alignment horizontal="center"/>
    </xf>
    <xf numFmtId="1" fontId="8" fillId="0" borderId="28" xfId="0" applyNumberFormat="1" applyFont="1" applyBorder="1" applyAlignment="1">
      <alignment horizontal="center"/>
    </xf>
    <xf numFmtId="15" fontId="8" fillId="0" borderId="29" xfId="0" applyNumberFormat="1" applyFont="1" applyBorder="1" applyAlignment="1">
      <alignment horizontal="center"/>
    </xf>
    <xf numFmtId="166" fontId="8" fillId="0" borderId="29" xfId="4" applyNumberFormat="1" applyFont="1" applyFill="1" applyBorder="1" applyAlignment="1">
      <alignment horizontal="center"/>
    </xf>
    <xf numFmtId="0" fontId="8" fillId="0" borderId="29" xfId="2" applyFont="1" applyBorder="1" applyAlignment="1">
      <alignment horizontal="center"/>
    </xf>
    <xf numFmtId="0" fontId="8" fillId="0" borderId="31" xfId="2" quotePrefix="1" applyFont="1" applyBorder="1" applyAlignment="1">
      <alignment horizontal="left"/>
    </xf>
    <xf numFmtId="167" fontId="8" fillId="10" borderId="12" xfId="2" applyNumberFormat="1" applyFont="1" applyFill="1" applyBorder="1" applyAlignment="1">
      <alignment horizontal="center" vertical="center"/>
    </xf>
    <xf numFmtId="167" fontId="8" fillId="9" borderId="10" xfId="2" quotePrefix="1" applyNumberFormat="1" applyFont="1" applyFill="1" applyBorder="1" applyAlignment="1">
      <alignment horizontal="center" vertical="center"/>
    </xf>
    <xf numFmtId="0" fontId="6" fillId="3" borderId="22" xfId="2" applyFont="1" applyFill="1" applyBorder="1" applyAlignment="1">
      <alignment horizontal="center" vertical="center" wrapText="1"/>
    </xf>
    <xf numFmtId="166" fontId="6" fillId="3" borderId="32" xfId="1" applyNumberFormat="1" applyFont="1" applyFill="1" applyBorder="1" applyAlignment="1">
      <alignment horizontal="center" vertical="center" wrapText="1"/>
    </xf>
    <xf numFmtId="0" fontId="8" fillId="0" borderId="9" xfId="2" applyFont="1" applyBorder="1" applyAlignment="1">
      <alignment horizontal="left"/>
    </xf>
    <xf numFmtId="167" fontId="8" fillId="10" borderId="10" xfId="2" applyNumberFormat="1" applyFont="1" applyFill="1" applyBorder="1" applyAlignment="1">
      <alignment horizontal="center" vertical="center"/>
    </xf>
    <xf numFmtId="0" fontId="11" fillId="0" borderId="33" xfId="0" quotePrefix="1" applyFont="1" applyBorder="1" applyAlignment="1">
      <alignment horizontal="center"/>
    </xf>
    <xf numFmtId="166" fontId="11" fillId="0" borderId="30" xfId="1" applyNumberFormat="1" applyFont="1" applyFill="1" applyBorder="1" applyAlignment="1">
      <alignment horizontal="center"/>
    </xf>
    <xf numFmtId="166" fontId="11" fillId="0" borderId="9" xfId="1" applyNumberFormat="1" applyFont="1" applyFill="1" applyBorder="1" applyAlignment="1">
      <alignment horizontal="center"/>
    </xf>
    <xf numFmtId="0" fontId="6" fillId="3" borderId="34" xfId="2" applyFont="1" applyFill="1" applyBorder="1" applyAlignment="1">
      <alignment horizontal="center" vertical="center" wrapText="1"/>
    </xf>
    <xf numFmtId="0" fontId="8" fillId="0" borderId="15" xfId="2" applyFont="1" applyBorder="1" applyAlignment="1">
      <alignment horizontal="left"/>
    </xf>
    <xf numFmtId="0" fontId="8" fillId="0" borderId="16" xfId="2" applyFont="1" applyBorder="1" applyAlignment="1">
      <alignment horizontal="center"/>
    </xf>
    <xf numFmtId="0" fontId="8" fillId="0" borderId="17" xfId="2" applyFont="1" applyBorder="1" applyAlignment="1">
      <alignment horizontal="left"/>
    </xf>
    <xf numFmtId="0" fontId="8" fillId="0" borderId="7" xfId="2" applyFont="1" applyBorder="1"/>
    <xf numFmtId="0" fontId="8" fillId="0" borderId="14" xfId="2" quotePrefix="1" applyFont="1" applyBorder="1" applyAlignment="1">
      <alignment horizontal="left"/>
    </xf>
    <xf numFmtId="0" fontId="8" fillId="0" borderId="7" xfId="2" quotePrefix="1" applyFont="1" applyBorder="1" applyAlignment="1">
      <alignment horizontal="left"/>
    </xf>
    <xf numFmtId="0" fontId="8" fillId="0" borderId="25" xfId="2" quotePrefix="1" applyFont="1" applyBorder="1" applyAlignment="1">
      <alignment horizontal="left"/>
    </xf>
    <xf numFmtId="0" fontId="8" fillId="11" borderId="6" xfId="2" applyFont="1" applyFill="1" applyBorder="1" applyAlignment="1">
      <alignment horizontal="center"/>
    </xf>
    <xf numFmtId="0" fontId="8" fillId="11" borderId="12" xfId="2" applyFont="1" applyFill="1" applyBorder="1" applyAlignment="1">
      <alignment horizontal="center"/>
    </xf>
    <xf numFmtId="167" fontId="8" fillId="11" borderId="6" xfId="2" quotePrefix="1" applyNumberFormat="1" applyFont="1" applyFill="1" applyBorder="1" applyAlignment="1">
      <alignment horizontal="center" vertical="center"/>
    </xf>
    <xf numFmtId="167" fontId="8" fillId="11" borderId="12" xfId="2" quotePrefix="1" applyNumberFormat="1" applyFont="1" applyFill="1" applyBorder="1" applyAlignment="1">
      <alignment horizontal="center" vertical="center"/>
    </xf>
    <xf numFmtId="167" fontId="8" fillId="11" borderId="28" xfId="2" quotePrefix="1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right"/>
    </xf>
    <xf numFmtId="0" fontId="6" fillId="3" borderId="2" xfId="2" quotePrefix="1" applyFont="1" applyFill="1" applyBorder="1" applyAlignment="1">
      <alignment horizontal="center" vertical="center" wrapText="1"/>
    </xf>
    <xf numFmtId="1" fontId="8" fillId="0" borderId="0" xfId="4" applyNumberFormat="1" applyFont="1" applyFill="1" applyBorder="1" applyAlignment="1">
      <alignment horizontal="center"/>
    </xf>
    <xf numFmtId="166" fontId="8" fillId="12" borderId="11" xfId="4" applyNumberFormat="1" applyFont="1" applyFill="1" applyBorder="1" applyAlignment="1">
      <alignment horizontal="center"/>
    </xf>
    <xf numFmtId="0" fontId="8" fillId="0" borderId="15" xfId="2" applyFont="1" applyBorder="1"/>
    <xf numFmtId="0" fontId="8" fillId="10" borderId="16" xfId="2" applyFont="1" applyFill="1" applyBorder="1" applyAlignment="1">
      <alignment horizontal="center"/>
    </xf>
    <xf numFmtId="0" fontId="8" fillId="0" borderId="16" xfId="0" applyFont="1" applyBorder="1" applyAlignment="1">
      <alignment horizontal="center"/>
    </xf>
    <xf numFmtId="0" fontId="8" fillId="0" borderId="16" xfId="0" quotePrefix="1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166" fontId="8" fillId="0" borderId="17" xfId="1" applyNumberFormat="1" applyFont="1" applyFill="1" applyBorder="1" applyAlignment="1">
      <alignment horizontal="center"/>
    </xf>
    <xf numFmtId="1" fontId="8" fillId="0" borderId="16" xfId="0" applyNumberFormat="1" applyFont="1" applyBorder="1" applyAlignment="1">
      <alignment horizontal="center"/>
    </xf>
    <xf numFmtId="0" fontId="8" fillId="10" borderId="10" xfId="2" applyFont="1" applyFill="1" applyBorder="1" applyAlignment="1">
      <alignment horizontal="center"/>
    </xf>
    <xf numFmtId="166" fontId="8" fillId="0" borderId="30" xfId="1" applyNumberFormat="1" applyFont="1" applyFill="1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/>
    </xf>
    <xf numFmtId="0" fontId="21" fillId="0" borderId="0" xfId="0" applyFont="1"/>
    <xf numFmtId="0" fontId="22" fillId="0" borderId="36" xfId="0" applyFont="1" applyBorder="1" applyAlignment="1">
      <alignment vertical="center"/>
    </xf>
    <xf numFmtId="0" fontId="23" fillId="0" borderId="0" xfId="0" applyFont="1" applyAlignment="1">
      <alignment horizontal="left"/>
    </xf>
    <xf numFmtId="0" fontId="23" fillId="0" borderId="0" xfId="0" applyFont="1" applyAlignment="1">
      <alignment horizontal="center"/>
    </xf>
    <xf numFmtId="0" fontId="24" fillId="3" borderId="37" xfId="0" applyFont="1" applyFill="1" applyBorder="1" applyAlignment="1">
      <alignment horizontal="center" vertical="center" wrapText="1"/>
    </xf>
    <xf numFmtId="0" fontId="25" fillId="14" borderId="37" xfId="0" applyFont="1" applyFill="1" applyBorder="1" applyAlignment="1">
      <alignment horizontal="center"/>
    </xf>
    <xf numFmtId="0" fontId="25" fillId="14" borderId="37" xfId="0" applyFont="1" applyFill="1" applyBorder="1" applyAlignment="1">
      <alignment horizontal="left"/>
    </xf>
    <xf numFmtId="0" fontId="26" fillId="14" borderId="38" xfId="0" applyFont="1" applyFill="1" applyBorder="1" applyAlignment="1">
      <alignment horizontal="center"/>
    </xf>
    <xf numFmtId="0" fontId="27" fillId="14" borderId="37" xfId="0" applyFont="1" applyFill="1" applyBorder="1" applyAlignment="1">
      <alignment horizontal="center"/>
    </xf>
    <xf numFmtId="0" fontId="25" fillId="13" borderId="37" xfId="0" applyFont="1" applyFill="1" applyBorder="1" applyAlignment="1">
      <alignment horizontal="center"/>
    </xf>
    <xf numFmtId="0" fontId="25" fillId="13" borderId="38" xfId="0" applyFont="1" applyFill="1" applyBorder="1" applyAlignment="1">
      <alignment horizontal="left"/>
    </xf>
    <xf numFmtId="0" fontId="25" fillId="13" borderId="38" xfId="0" applyFont="1" applyFill="1" applyBorder="1" applyAlignment="1">
      <alignment horizontal="center"/>
    </xf>
    <xf numFmtId="0" fontId="27" fillId="13" borderId="37" xfId="0" applyFont="1" applyFill="1" applyBorder="1" applyAlignment="1">
      <alignment horizontal="center"/>
    </xf>
    <xf numFmtId="0" fontId="25" fillId="9" borderId="37" xfId="0" applyFont="1" applyFill="1" applyBorder="1" applyAlignment="1">
      <alignment horizontal="center"/>
    </xf>
    <xf numFmtId="0" fontId="25" fillId="9" borderId="38" xfId="0" applyFont="1" applyFill="1" applyBorder="1" applyAlignment="1">
      <alignment horizontal="left"/>
    </xf>
    <xf numFmtId="0" fontId="25" fillId="9" borderId="38" xfId="0" applyFont="1" applyFill="1" applyBorder="1" applyAlignment="1">
      <alignment horizontal="center"/>
    </xf>
    <xf numFmtId="0" fontId="27" fillId="9" borderId="37" xfId="0" applyFont="1" applyFill="1" applyBorder="1" applyAlignment="1">
      <alignment horizontal="center"/>
    </xf>
    <xf numFmtId="0" fontId="28" fillId="3" borderId="38" xfId="0" applyFont="1" applyFill="1" applyBorder="1" applyAlignment="1">
      <alignment horizontal="center" vertical="center" wrapText="1"/>
    </xf>
    <xf numFmtId="0" fontId="24" fillId="3" borderId="38" xfId="0" applyFont="1" applyFill="1" applyBorder="1" applyAlignment="1">
      <alignment horizontal="left" vertical="center" wrapText="1"/>
    </xf>
    <xf numFmtId="0" fontId="24" fillId="3" borderId="38" xfId="0" applyFont="1" applyFill="1" applyBorder="1" applyAlignment="1">
      <alignment horizontal="center" vertical="center" wrapText="1"/>
    </xf>
    <xf numFmtId="0" fontId="25" fillId="14" borderId="38" xfId="0" applyFont="1" applyFill="1" applyBorder="1" applyAlignment="1">
      <alignment horizontal="left"/>
    </xf>
    <xf numFmtId="0" fontId="29" fillId="3" borderId="38" xfId="0" applyFont="1" applyFill="1" applyBorder="1" applyAlignment="1">
      <alignment horizontal="left" vertical="center" wrapText="1"/>
    </xf>
    <xf numFmtId="0" fontId="29" fillId="3" borderId="38" xfId="0" applyFont="1" applyFill="1" applyBorder="1" applyAlignment="1">
      <alignment horizontal="center" vertical="center" wrapText="1"/>
    </xf>
    <xf numFmtId="0" fontId="25" fillId="14" borderId="38" xfId="0" applyFont="1" applyFill="1" applyBorder="1" applyAlignment="1">
      <alignment horizontal="center"/>
    </xf>
    <xf numFmtId="0" fontId="28" fillId="3" borderId="38" xfId="0" applyFont="1" applyFill="1" applyBorder="1" applyAlignment="1">
      <alignment horizontal="left" vertical="center" wrapText="1"/>
    </xf>
    <xf numFmtId="0" fontId="28" fillId="15" borderId="38" xfId="0" applyFont="1" applyFill="1" applyBorder="1" applyAlignment="1">
      <alignment horizontal="center" vertical="center" wrapText="1"/>
    </xf>
    <xf numFmtId="0" fontId="28" fillId="15" borderId="38" xfId="0" applyFont="1" applyFill="1" applyBorder="1" applyAlignment="1">
      <alignment horizontal="left" vertical="center" wrapText="1"/>
    </xf>
    <xf numFmtId="0" fontId="30" fillId="14" borderId="37" xfId="0" applyFont="1" applyFill="1" applyBorder="1" applyAlignment="1">
      <alignment horizontal="center"/>
    </xf>
    <xf numFmtId="0" fontId="30" fillId="13" borderId="37" xfId="0" applyFont="1" applyFill="1" applyBorder="1" applyAlignment="1">
      <alignment horizontal="left"/>
    </xf>
    <xf numFmtId="0" fontId="25" fillId="9" borderId="37" xfId="0" applyFont="1" applyFill="1" applyBorder="1" applyAlignment="1">
      <alignment horizontal="left"/>
    </xf>
    <xf numFmtId="0" fontId="27" fillId="14" borderId="38" xfId="0" applyFont="1" applyFill="1" applyBorder="1" applyAlignment="1">
      <alignment horizontal="center"/>
    </xf>
    <xf numFmtId="0" fontId="27" fillId="13" borderId="38" xfId="0" applyFont="1" applyFill="1" applyBorder="1" applyAlignment="1">
      <alignment horizontal="center"/>
    </xf>
    <xf numFmtId="0" fontId="23" fillId="13" borderId="37" xfId="0" applyFont="1" applyFill="1" applyBorder="1" applyAlignment="1">
      <alignment horizontal="center"/>
    </xf>
    <xf numFmtId="0" fontId="23" fillId="14" borderId="37" xfId="0" applyFont="1" applyFill="1" applyBorder="1" applyAlignment="1">
      <alignment horizontal="center"/>
    </xf>
    <xf numFmtId="0" fontId="25" fillId="14" borderId="38" xfId="0" applyFont="1" applyFill="1" applyBorder="1" applyAlignment="1">
      <alignment horizontal="center" vertical="center"/>
    </xf>
    <xf numFmtId="0" fontId="25" fillId="14" borderId="37" xfId="0" applyFont="1" applyFill="1" applyBorder="1"/>
    <xf numFmtId="0" fontId="25" fillId="14" borderId="37" xfId="0" applyFont="1" applyFill="1" applyBorder="1" applyAlignment="1">
      <alignment horizontal="center" vertical="center"/>
    </xf>
    <xf numFmtId="0" fontId="25" fillId="14" borderId="38" xfId="0" applyFont="1" applyFill="1" applyBorder="1" applyAlignment="1">
      <alignment horizontal="left" vertical="center"/>
    </xf>
    <xf numFmtId="0" fontId="31" fillId="14" borderId="39" xfId="0" applyFont="1" applyFill="1" applyBorder="1" applyAlignment="1">
      <alignment horizontal="center" wrapText="1"/>
    </xf>
    <xf numFmtId="166" fontId="23" fillId="0" borderId="0" xfId="168" applyNumberFormat="1" applyFont="1" applyBorder="1" applyAlignment="1">
      <alignment horizontal="center"/>
    </xf>
    <xf numFmtId="166" fontId="24" fillId="3" borderId="41" xfId="168" applyNumberFormat="1" applyFont="1" applyFill="1" applyBorder="1" applyAlignment="1">
      <alignment horizontal="center" vertical="center" wrapText="1"/>
    </xf>
    <xf numFmtId="166" fontId="24" fillId="16" borderId="42" xfId="168" applyNumberFormat="1" applyFont="1" applyFill="1" applyBorder="1" applyAlignment="1">
      <alignment horizontal="center" vertical="center" wrapText="1"/>
    </xf>
    <xf numFmtId="1" fontId="25" fillId="17" borderId="37" xfId="168" applyNumberFormat="1" applyFont="1" applyFill="1" applyBorder="1" applyAlignment="1">
      <alignment horizontal="center"/>
    </xf>
    <xf numFmtId="1" fontId="25" fillId="14" borderId="37" xfId="168" applyNumberFormat="1" applyFont="1" applyFill="1" applyBorder="1" applyAlignment="1">
      <alignment horizontal="center"/>
    </xf>
    <xf numFmtId="1" fontId="25" fillId="8" borderId="37" xfId="168" applyNumberFormat="1" applyFont="1" applyFill="1" applyBorder="1" applyAlignment="1">
      <alignment horizontal="center"/>
    </xf>
    <xf numFmtId="1" fontId="25" fillId="13" borderId="37" xfId="168" applyNumberFormat="1" applyFont="1" applyFill="1" applyBorder="1" applyAlignment="1">
      <alignment horizontal="center"/>
    </xf>
    <xf numFmtId="1" fontId="25" fillId="9" borderId="37" xfId="168" applyNumberFormat="1" applyFont="1" applyFill="1" applyBorder="1" applyAlignment="1">
      <alignment horizontal="center"/>
    </xf>
    <xf numFmtId="1" fontId="24" fillId="3" borderId="38" xfId="168" applyNumberFormat="1" applyFont="1" applyFill="1" applyBorder="1" applyAlignment="1">
      <alignment horizontal="center" vertical="center" wrapText="1"/>
    </xf>
    <xf numFmtId="1" fontId="24" fillId="15" borderId="38" xfId="168" applyNumberFormat="1" applyFont="1" applyFill="1" applyBorder="1" applyAlignment="1">
      <alignment horizontal="center" vertical="center" wrapText="1"/>
    </xf>
    <xf numFmtId="1" fontId="25" fillId="18" borderId="37" xfId="168" applyNumberFormat="1" applyFont="1" applyFill="1" applyBorder="1" applyAlignment="1">
      <alignment horizontal="center"/>
    </xf>
    <xf numFmtId="1" fontId="28" fillId="13" borderId="37" xfId="168" applyNumberFormat="1" applyFont="1" applyFill="1" applyBorder="1" applyAlignment="1">
      <alignment horizontal="center"/>
    </xf>
    <xf numFmtId="1" fontId="25" fillId="13" borderId="38" xfId="168" applyNumberFormat="1" applyFont="1" applyFill="1" applyBorder="1" applyAlignment="1">
      <alignment horizontal="center"/>
    </xf>
    <xf numFmtId="1" fontId="25" fillId="9" borderId="38" xfId="168" applyNumberFormat="1" applyFont="1" applyFill="1" applyBorder="1" applyAlignment="1">
      <alignment horizontal="center"/>
    </xf>
    <xf numFmtId="1" fontId="25" fillId="19" borderId="37" xfId="168" applyNumberFormat="1" applyFont="1" applyFill="1" applyBorder="1" applyAlignment="1">
      <alignment horizontal="center"/>
    </xf>
    <xf numFmtId="166" fontId="8" fillId="0" borderId="6" xfId="1" applyNumberFormat="1" applyFont="1" applyFill="1" applyBorder="1" applyAlignment="1">
      <alignment horizontal="center"/>
    </xf>
    <xf numFmtId="0" fontId="11" fillId="0" borderId="6" xfId="0" applyFont="1" applyBorder="1" applyAlignment="1">
      <alignment horizontal="center"/>
    </xf>
    <xf numFmtId="0" fontId="8" fillId="0" borderId="10" xfId="2" applyFont="1" applyBorder="1"/>
    <xf numFmtId="166" fontId="11" fillId="0" borderId="5" xfId="4" applyNumberFormat="1" applyFont="1" applyFill="1" applyBorder="1" applyAlignment="1">
      <alignment horizontal="center"/>
    </xf>
    <xf numFmtId="166" fontId="11" fillId="0" borderId="9" xfId="4" applyNumberFormat="1" applyFont="1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168" fontId="0" fillId="0" borderId="0" xfId="0" applyNumberFormat="1"/>
    <xf numFmtId="0" fontId="0" fillId="0" borderId="43" xfId="0" applyBorder="1"/>
    <xf numFmtId="0" fontId="32" fillId="0" borderId="43" xfId="0" applyFont="1" applyBorder="1"/>
    <xf numFmtId="168" fontId="35" fillId="0" borderId="43" xfId="0" applyNumberFormat="1" applyFont="1" applyBorder="1"/>
    <xf numFmtId="168" fontId="36" fillId="20" borderId="43" xfId="1" applyNumberFormat="1" applyFont="1" applyFill="1" applyBorder="1"/>
    <xf numFmtId="168" fontId="0" fillId="0" borderId="43" xfId="0" applyNumberFormat="1" applyBorder="1"/>
    <xf numFmtId="0" fontId="33" fillId="14" borderId="43" xfId="0" applyFont="1" applyFill="1" applyBorder="1" applyAlignment="1">
      <alignment horizontal="right"/>
    </xf>
    <xf numFmtId="168" fontId="34" fillId="21" borderId="43" xfId="1" applyNumberFormat="1" applyFont="1" applyFill="1" applyBorder="1"/>
    <xf numFmtId="0" fontId="32" fillId="14" borderId="43" xfId="0" applyFont="1" applyFill="1" applyBorder="1" applyAlignment="1">
      <alignment horizontal="right"/>
    </xf>
    <xf numFmtId="0" fontId="32" fillId="11" borderId="43" xfId="0" applyFont="1" applyFill="1" applyBorder="1"/>
    <xf numFmtId="168" fontId="0" fillId="11" borderId="43" xfId="0" applyNumberFormat="1" applyFill="1" applyBorder="1"/>
    <xf numFmtId="168" fontId="0" fillId="14" borderId="43" xfId="0" applyNumberFormat="1" applyFill="1" applyBorder="1"/>
    <xf numFmtId="0" fontId="0" fillId="0" borderId="0" xfId="0" applyAlignment="1">
      <alignment vertical="center"/>
    </xf>
    <xf numFmtId="0" fontId="0" fillId="0" borderId="43" xfId="0" applyBorder="1" applyAlignment="1">
      <alignment horizontal="center" vertical="center"/>
    </xf>
    <xf numFmtId="0" fontId="0" fillId="0" borderId="43" xfId="0" applyBorder="1" applyAlignment="1">
      <alignment wrapText="1"/>
    </xf>
    <xf numFmtId="0" fontId="32" fillId="0" borderId="44" xfId="0" applyFont="1" applyBorder="1"/>
    <xf numFmtId="168" fontId="0" fillId="0" borderId="44" xfId="0" applyNumberFormat="1" applyBorder="1"/>
    <xf numFmtId="168" fontId="0" fillId="14" borderId="44" xfId="0" applyNumberFormat="1" applyFill="1" applyBorder="1"/>
    <xf numFmtId="168" fontId="34" fillId="21" borderId="44" xfId="1" applyNumberFormat="1" applyFont="1" applyFill="1" applyBorder="1"/>
    <xf numFmtId="168" fontId="0" fillId="11" borderId="44" xfId="0" applyNumberFormat="1" applyFill="1" applyBorder="1"/>
    <xf numFmtId="0" fontId="0" fillId="0" borderId="44" xfId="0" applyBorder="1"/>
    <xf numFmtId="0" fontId="0" fillId="0" borderId="44" xfId="0" applyBorder="1" applyAlignment="1">
      <alignment horizontal="center" vertical="center"/>
    </xf>
    <xf numFmtId="0" fontId="32" fillId="0" borderId="45" xfId="0" applyFont="1" applyBorder="1"/>
    <xf numFmtId="0" fontId="0" fillId="0" borderId="46" xfId="0" applyBorder="1"/>
    <xf numFmtId="0" fontId="0" fillId="0" borderId="23" xfId="0" applyBorder="1"/>
    <xf numFmtId="168" fontId="0" fillId="22" borderId="47" xfId="0" applyNumberFormat="1" applyFill="1" applyBorder="1"/>
    <xf numFmtId="0" fontId="0" fillId="0" borderId="48" xfId="0" applyBorder="1"/>
    <xf numFmtId="168" fontId="0" fillId="13" borderId="47" xfId="0" applyNumberFormat="1" applyFill="1" applyBorder="1"/>
    <xf numFmtId="168" fontId="36" fillId="20" borderId="47" xfId="1" applyNumberFormat="1" applyFont="1" applyFill="1" applyBorder="1"/>
    <xf numFmtId="168" fontId="34" fillId="21" borderId="47" xfId="1" applyNumberFormat="1" applyFont="1" applyFill="1" applyBorder="1"/>
    <xf numFmtId="168" fontId="0" fillId="11" borderId="47" xfId="0" applyNumberFormat="1" applyFill="1" applyBorder="1"/>
    <xf numFmtId="0" fontId="0" fillId="0" borderId="47" xfId="0" applyBorder="1"/>
    <xf numFmtId="0" fontId="0" fillId="13" borderId="49" xfId="0" applyFill="1" applyBorder="1" applyAlignment="1">
      <alignment horizontal="center" vertical="center"/>
    </xf>
    <xf numFmtId="0" fontId="0" fillId="0" borderId="50" xfId="0" applyBorder="1"/>
    <xf numFmtId="0" fontId="0" fillId="0" borderId="31" xfId="0" applyBorder="1"/>
    <xf numFmtId="164" fontId="36" fillId="20" borderId="0" xfId="1" applyNumberFormat="1" applyFont="1" applyFill="1" applyBorder="1"/>
    <xf numFmtId="9" fontId="0" fillId="0" borderId="0" xfId="169" applyFont="1"/>
    <xf numFmtId="0" fontId="17" fillId="0" borderId="27" xfId="0" applyFont="1" applyBorder="1" applyAlignment="1">
      <alignment vertical="center"/>
    </xf>
    <xf numFmtId="0" fontId="17" fillId="23" borderId="35" xfId="0" applyFont="1" applyFill="1" applyBorder="1" applyAlignment="1">
      <alignment horizontal="right" vertical="center"/>
    </xf>
    <xf numFmtId="0" fontId="17" fillId="23" borderId="32" xfId="0" applyFont="1" applyFill="1" applyBorder="1" applyAlignment="1">
      <alignment vertical="center"/>
    </xf>
    <xf numFmtId="0" fontId="17" fillId="0" borderId="31" xfId="0" applyFont="1" applyBorder="1" applyAlignment="1">
      <alignment vertical="center"/>
    </xf>
    <xf numFmtId="0" fontId="37" fillId="0" borderId="31" xfId="0" applyFont="1" applyBorder="1" applyAlignment="1">
      <alignment vertical="center"/>
    </xf>
    <xf numFmtId="16" fontId="38" fillId="0" borderId="31" xfId="0" applyNumberFormat="1" applyFont="1" applyBorder="1" applyAlignment="1">
      <alignment horizontal="center" vertical="center"/>
    </xf>
    <xf numFmtId="0" fontId="38" fillId="0" borderId="31" xfId="0" applyFont="1" applyBorder="1" applyAlignment="1">
      <alignment horizontal="center" vertical="center"/>
    </xf>
    <xf numFmtId="1" fontId="17" fillId="0" borderId="31" xfId="0" applyNumberFormat="1" applyFont="1" applyBorder="1" applyAlignment="1">
      <alignment vertical="center"/>
    </xf>
    <xf numFmtId="0" fontId="17" fillId="4" borderId="35" xfId="0" applyFont="1" applyFill="1" applyBorder="1" applyAlignment="1">
      <alignment horizontal="right" vertical="center"/>
    </xf>
    <xf numFmtId="0" fontId="37" fillId="4" borderId="31" xfId="0" applyFont="1" applyFill="1" applyBorder="1" applyAlignment="1">
      <alignment vertical="center"/>
    </xf>
    <xf numFmtId="0" fontId="17" fillId="4" borderId="31" xfId="0" applyFont="1" applyFill="1" applyBorder="1" applyAlignment="1">
      <alignment vertical="center"/>
    </xf>
    <xf numFmtId="16" fontId="38" fillId="4" borderId="31" xfId="0" applyNumberFormat="1" applyFont="1" applyFill="1" applyBorder="1" applyAlignment="1">
      <alignment horizontal="center" vertical="center"/>
    </xf>
    <xf numFmtId="168" fontId="36" fillId="24" borderId="47" xfId="1" applyNumberFormat="1" applyFont="1" applyFill="1" applyBorder="1"/>
    <xf numFmtId="168" fontId="0" fillId="25" borderId="47" xfId="0" applyNumberFormat="1" applyFill="1" applyBorder="1"/>
    <xf numFmtId="0" fontId="8" fillId="26" borderId="6" xfId="2" applyFont="1" applyFill="1" applyBorder="1" applyAlignment="1">
      <alignment horizontal="center"/>
    </xf>
    <xf numFmtId="0" fontId="8" fillId="12" borderId="6" xfId="2" applyFont="1" applyFill="1" applyBorder="1" applyAlignment="1">
      <alignment horizontal="left"/>
    </xf>
    <xf numFmtId="0" fontId="8" fillId="4" borderId="6" xfId="2" applyFont="1" applyFill="1" applyBorder="1" applyAlignment="1">
      <alignment horizontal="left"/>
    </xf>
    <xf numFmtId="166" fontId="8" fillId="4" borderId="11" xfId="4" applyNumberFormat="1" applyFont="1" applyFill="1" applyBorder="1" applyAlignment="1">
      <alignment horizontal="center"/>
    </xf>
    <xf numFmtId="0" fontId="8" fillId="27" borderId="6" xfId="2" applyFont="1" applyFill="1" applyBorder="1"/>
    <xf numFmtId="166" fontId="8" fillId="27" borderId="5" xfId="4" applyNumberFormat="1" applyFont="1" applyFill="1" applyBorder="1" applyAlignment="1">
      <alignment horizontal="center"/>
    </xf>
    <xf numFmtId="0" fontId="8" fillId="27" borderId="6" xfId="2" applyFont="1" applyFill="1" applyBorder="1" applyAlignment="1">
      <alignment horizontal="left"/>
    </xf>
    <xf numFmtId="166" fontId="8" fillId="27" borderId="11" xfId="4" applyNumberFormat="1" applyFont="1" applyFill="1" applyBorder="1" applyAlignment="1">
      <alignment horizontal="center"/>
    </xf>
    <xf numFmtId="0" fontId="8" fillId="12" borderId="6" xfId="2" applyFont="1" applyFill="1" applyBorder="1"/>
    <xf numFmtId="166" fontId="8" fillId="12" borderId="5" xfId="4" applyNumberFormat="1" applyFont="1" applyFill="1" applyBorder="1" applyAlignment="1">
      <alignment horizontal="center"/>
    </xf>
    <xf numFmtId="16" fontId="6" fillId="28" borderId="23" xfId="3" quotePrefix="1" applyNumberFormat="1" applyFont="1" applyFill="1" applyBorder="1" applyAlignment="1">
      <alignment horizontal="center" vertical="center" wrapText="1"/>
    </xf>
    <xf numFmtId="0" fontId="20" fillId="0" borderId="6" xfId="2" applyFont="1" applyBorder="1" applyAlignment="1">
      <alignment horizontal="left"/>
    </xf>
    <xf numFmtId="0" fontId="8" fillId="26" borderId="16" xfId="2" applyFont="1" applyFill="1" applyBorder="1" applyAlignment="1">
      <alignment horizontal="center"/>
    </xf>
    <xf numFmtId="0" fontId="8" fillId="0" borderId="16" xfId="2" applyFont="1" applyBorder="1"/>
    <xf numFmtId="2" fontId="8" fillId="0" borderId="17" xfId="1" applyNumberFormat="1" applyFont="1" applyFill="1" applyBorder="1" applyAlignment="1">
      <alignment horizontal="center"/>
    </xf>
    <xf numFmtId="0" fontId="8" fillId="0" borderId="20" xfId="2" applyFont="1" applyBorder="1" applyAlignment="1">
      <alignment horizontal="left"/>
    </xf>
    <xf numFmtId="0" fontId="8" fillId="26" borderId="10" xfId="2" applyFont="1" applyFill="1" applyBorder="1" applyAlignment="1">
      <alignment horizontal="center"/>
    </xf>
    <xf numFmtId="0" fontId="11" fillId="0" borderId="10" xfId="0" applyFont="1" applyBorder="1" applyAlignment="1">
      <alignment horizontal="center"/>
    </xf>
    <xf numFmtId="15" fontId="11" fillId="0" borderId="11" xfId="0" applyNumberFormat="1" applyFont="1" applyBorder="1" applyAlignment="1">
      <alignment horizontal="center"/>
    </xf>
    <xf numFmtId="0" fontId="11" fillId="0" borderId="6" xfId="2" applyFont="1" applyBorder="1" applyAlignment="1">
      <alignment horizontal="center"/>
    </xf>
    <xf numFmtId="0" fontId="8" fillId="29" borderId="6" xfId="2" applyFont="1" applyFill="1" applyBorder="1" applyAlignment="1">
      <alignment horizontal="left"/>
    </xf>
    <xf numFmtId="0" fontId="8" fillId="29" borderId="6" xfId="2" applyFont="1" applyFill="1" applyBorder="1"/>
    <xf numFmtId="0" fontId="20" fillId="0" borderId="6" xfId="2" applyFont="1" applyBorder="1" applyAlignment="1">
      <alignment horizontal="center"/>
    </xf>
    <xf numFmtId="0" fontId="11" fillId="0" borderId="6" xfId="2" applyFont="1" applyBorder="1" applyAlignment="1">
      <alignment horizontal="left"/>
    </xf>
    <xf numFmtId="0" fontId="20" fillId="0" borderId="6" xfId="2" applyFont="1" applyBorder="1"/>
    <xf numFmtId="0" fontId="20" fillId="0" borderId="10" xfId="2" applyFont="1" applyBorder="1"/>
    <xf numFmtId="166" fontId="11" fillId="0" borderId="11" xfId="4" applyNumberFormat="1" applyFont="1" applyFill="1" applyBorder="1" applyAlignment="1">
      <alignment horizontal="center"/>
    </xf>
    <xf numFmtId="0" fontId="8" fillId="13" borderId="6" xfId="2" applyFont="1" applyFill="1" applyBorder="1" applyAlignment="1">
      <alignment horizontal="left"/>
    </xf>
    <xf numFmtId="166" fontId="0" fillId="0" borderId="0" xfId="1" applyNumberFormat="1" applyFont="1"/>
    <xf numFmtId="166" fontId="8" fillId="0" borderId="14" xfId="2" applyNumberFormat="1" applyFont="1" applyBorder="1" applyAlignment="1">
      <alignment horizontal="center"/>
    </xf>
    <xf numFmtId="0" fontId="0" fillId="12" borderId="0" xfId="0" applyFill="1"/>
    <xf numFmtId="16" fontId="0" fillId="0" borderId="0" xfId="0" applyNumberFormat="1"/>
    <xf numFmtId="0" fontId="17" fillId="23" borderId="0" xfId="0" applyFont="1" applyFill="1" applyAlignment="1">
      <alignment vertical="center"/>
    </xf>
    <xf numFmtId="166" fontId="8" fillId="4" borderId="15" xfId="4" applyNumberFormat="1" applyFont="1" applyFill="1" applyBorder="1" applyAlignment="1">
      <alignment horizontal="center"/>
    </xf>
    <xf numFmtId="166" fontId="8" fillId="4" borderId="5" xfId="4" applyNumberFormat="1" applyFont="1" applyFill="1" applyBorder="1" applyAlignment="1">
      <alignment horizontal="center"/>
    </xf>
    <xf numFmtId="0" fontId="8" fillId="0" borderId="12" xfId="2" applyFont="1" applyBorder="1"/>
    <xf numFmtId="0" fontId="8" fillId="0" borderId="0" xfId="2" applyFont="1"/>
    <xf numFmtId="0" fontId="8" fillId="0" borderId="11" xfId="2" applyFont="1" applyBorder="1" applyAlignment="1">
      <alignment horizontal="left"/>
    </xf>
    <xf numFmtId="0" fontId="2" fillId="0" borderId="0" xfId="0" quotePrefix="1" applyFont="1" applyAlignment="1">
      <alignment horizontal="center" vertical="center"/>
    </xf>
    <xf numFmtId="0" fontId="8" fillId="29" borderId="12" xfId="2" applyFont="1" applyFill="1" applyBorder="1"/>
    <xf numFmtId="0" fontId="8" fillId="10" borderId="12" xfId="2" applyFont="1" applyFill="1" applyBorder="1"/>
    <xf numFmtId="0" fontId="8" fillId="0" borderId="12" xfId="2" applyFont="1" applyBorder="1" applyAlignment="1">
      <alignment horizontal="left"/>
    </xf>
    <xf numFmtId="0" fontId="8" fillId="10" borderId="12" xfId="2" applyFont="1" applyFill="1" applyBorder="1" applyAlignment="1">
      <alignment horizontal="center"/>
    </xf>
    <xf numFmtId="0" fontId="8" fillId="9" borderId="12" xfId="2" applyFont="1" applyFill="1" applyBorder="1" applyAlignment="1">
      <alignment horizontal="center"/>
    </xf>
    <xf numFmtId="0" fontId="8" fillId="0" borderId="30" xfId="2" applyFont="1" applyBorder="1" applyAlignment="1">
      <alignment horizontal="left"/>
    </xf>
    <xf numFmtId="0" fontId="8" fillId="0" borderId="28" xfId="2" applyFont="1" applyBorder="1"/>
    <xf numFmtId="0" fontId="8" fillId="9" borderId="28" xfId="2" applyFont="1" applyFill="1" applyBorder="1" applyAlignment="1">
      <alignment horizontal="center"/>
    </xf>
    <xf numFmtId="0" fontId="8" fillId="0" borderId="28" xfId="2" applyFont="1" applyBorder="1" applyAlignment="1">
      <alignment horizontal="left"/>
    </xf>
    <xf numFmtId="0" fontId="11" fillId="0" borderId="12" xfId="2" applyFont="1" applyBorder="1" applyAlignment="1">
      <alignment horizontal="center"/>
    </xf>
    <xf numFmtId="0" fontId="39" fillId="0" borderId="0" xfId="0" applyFont="1"/>
    <xf numFmtId="0" fontId="8" fillId="0" borderId="52" xfId="2" applyFont="1" applyBorder="1" applyAlignment="1">
      <alignment horizontal="left"/>
    </xf>
    <xf numFmtId="0" fontId="8" fillId="0" borderId="53" xfId="2" applyFont="1" applyBorder="1" applyAlignment="1">
      <alignment horizontal="center"/>
    </xf>
    <xf numFmtId="0" fontId="8" fillId="11" borderId="53" xfId="2" applyFont="1" applyFill="1" applyBorder="1" applyAlignment="1">
      <alignment horizontal="center"/>
    </xf>
    <xf numFmtId="0" fontId="8" fillId="0" borderId="53" xfId="2" applyFont="1" applyBorder="1"/>
    <xf numFmtId="0" fontId="8" fillId="0" borderId="53" xfId="0" applyFont="1" applyBorder="1" applyAlignment="1">
      <alignment horizontal="center"/>
    </xf>
    <xf numFmtId="0" fontId="8" fillId="0" borderId="53" xfId="0" quotePrefix="1" applyFont="1" applyBorder="1" applyAlignment="1">
      <alignment horizontal="center"/>
    </xf>
    <xf numFmtId="0" fontId="9" fillId="0" borderId="53" xfId="0" applyFont="1" applyBorder="1" applyAlignment="1">
      <alignment horizontal="center"/>
    </xf>
    <xf numFmtId="166" fontId="8" fillId="0" borderId="52" xfId="4" applyNumberFormat="1" applyFont="1" applyFill="1" applyBorder="1" applyAlignment="1">
      <alignment horizontal="center"/>
    </xf>
    <xf numFmtId="166" fontId="8" fillId="0" borderId="54" xfId="1" applyNumberFormat="1" applyFont="1" applyFill="1" applyBorder="1" applyAlignment="1">
      <alignment horizontal="center"/>
    </xf>
    <xf numFmtId="15" fontId="8" fillId="0" borderId="52" xfId="0" applyNumberFormat="1" applyFont="1" applyBorder="1" applyAlignment="1">
      <alignment horizontal="center"/>
    </xf>
    <xf numFmtId="15" fontId="8" fillId="0" borderId="53" xfId="0" applyNumberFormat="1" applyFont="1" applyBorder="1" applyAlignment="1">
      <alignment horizontal="center"/>
    </xf>
    <xf numFmtId="1" fontId="8" fillId="0" borderId="53" xfId="4" applyNumberFormat="1" applyFont="1" applyFill="1" applyBorder="1" applyAlignment="1">
      <alignment horizontal="center"/>
    </xf>
    <xf numFmtId="15" fontId="8" fillId="0" borderId="54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8" fillId="0" borderId="10" xfId="2" applyFont="1" applyBorder="1" applyAlignment="1">
      <alignment horizontal="left"/>
    </xf>
    <xf numFmtId="15" fontId="8" fillId="0" borderId="55" xfId="0" applyNumberFormat="1" applyFont="1" applyBorder="1" applyAlignment="1">
      <alignment horizontal="center"/>
    </xf>
    <xf numFmtId="15" fontId="8" fillId="0" borderId="56" xfId="0" applyNumberFormat="1" applyFont="1" applyBorder="1" applyAlignment="1">
      <alignment horizontal="center"/>
    </xf>
    <xf numFmtId="15" fontId="8" fillId="0" borderId="57" xfId="0" applyNumberFormat="1" applyFont="1" applyBorder="1" applyAlignment="1">
      <alignment horizontal="center"/>
    </xf>
    <xf numFmtId="15" fontId="8" fillId="0" borderId="58" xfId="0" applyNumberFormat="1" applyFont="1" applyBorder="1" applyAlignment="1">
      <alignment horizontal="center"/>
    </xf>
    <xf numFmtId="1" fontId="8" fillId="0" borderId="58" xfId="4" applyNumberFormat="1" applyFont="1" applyFill="1" applyBorder="1" applyAlignment="1">
      <alignment horizontal="center"/>
    </xf>
    <xf numFmtId="15" fontId="8" fillId="0" borderId="59" xfId="0" applyNumberFormat="1" applyFont="1" applyBorder="1" applyAlignment="1">
      <alignment horizontal="center"/>
    </xf>
    <xf numFmtId="166" fontId="8" fillId="0" borderId="13" xfId="1" applyNumberFormat="1" applyFont="1" applyFill="1" applyBorder="1" applyAlignment="1">
      <alignment horizontal="center"/>
    </xf>
    <xf numFmtId="166" fontId="8" fillId="0" borderId="60" xfId="1" applyNumberFormat="1" applyFont="1" applyFill="1" applyBorder="1" applyAlignment="1">
      <alignment horizontal="center"/>
    </xf>
    <xf numFmtId="15" fontId="8" fillId="0" borderId="9" xfId="0" applyNumberFormat="1" applyFont="1" applyBorder="1" applyAlignment="1">
      <alignment horizontal="center"/>
    </xf>
    <xf numFmtId="15" fontId="8" fillId="0" borderId="10" xfId="0" applyNumberFormat="1" applyFont="1" applyBorder="1" applyAlignment="1">
      <alignment horizontal="center"/>
    </xf>
    <xf numFmtId="1" fontId="8" fillId="0" borderId="10" xfId="4" applyNumberFormat="1" applyFont="1" applyFill="1" applyBorder="1" applyAlignment="1">
      <alignment horizontal="center"/>
    </xf>
    <xf numFmtId="14" fontId="0" fillId="0" borderId="0" xfId="0" applyNumberFormat="1"/>
    <xf numFmtId="166" fontId="8" fillId="0" borderId="11" xfId="4" applyNumberFormat="1" applyFont="1" applyBorder="1" applyAlignment="1">
      <alignment horizontal="center"/>
    </xf>
    <xf numFmtId="166" fontId="8" fillId="0" borderId="14" xfId="1" applyNumberFormat="1" applyFont="1" applyBorder="1" applyAlignment="1">
      <alignment horizontal="center"/>
    </xf>
    <xf numFmtId="1" fontId="8" fillId="0" borderId="12" xfId="4" applyNumberFormat="1" applyFont="1" applyBorder="1" applyAlignment="1">
      <alignment horizontal="center"/>
    </xf>
    <xf numFmtId="1" fontId="8" fillId="0" borderId="53" xfId="4" applyNumberFormat="1" applyFont="1" applyBorder="1" applyAlignment="1">
      <alignment horizontal="center"/>
    </xf>
    <xf numFmtId="1" fontId="8" fillId="0" borderId="10" xfId="4" applyNumberFormat="1" applyFont="1" applyBorder="1" applyAlignment="1">
      <alignment horizontal="center"/>
    </xf>
    <xf numFmtId="1" fontId="8" fillId="0" borderId="58" xfId="4" applyNumberFormat="1" applyFont="1" applyBorder="1" applyAlignment="1">
      <alignment horizontal="center"/>
    </xf>
    <xf numFmtId="16" fontId="6" fillId="3" borderId="0" xfId="3" applyNumberFormat="1" applyFont="1" applyFill="1" applyAlignment="1">
      <alignment horizontal="center" vertical="center" wrapText="1"/>
    </xf>
    <xf numFmtId="0" fontId="0" fillId="13" borderId="0" xfId="0" applyFill="1"/>
    <xf numFmtId="0" fontId="0" fillId="9" borderId="0" xfId="0" applyFill="1"/>
    <xf numFmtId="0" fontId="0" fillId="10" borderId="0" xfId="0" applyFill="1"/>
    <xf numFmtId="0" fontId="0" fillId="4" borderId="0" xfId="0" applyFill="1"/>
    <xf numFmtId="0" fontId="6" fillId="3" borderId="51" xfId="2" applyFont="1" applyFill="1" applyBorder="1" applyAlignment="1">
      <alignment horizontal="center" vertical="center" wrapText="1"/>
    </xf>
    <xf numFmtId="0" fontId="6" fillId="3" borderId="31" xfId="2" applyFont="1" applyFill="1" applyBorder="1" applyAlignment="1">
      <alignment horizontal="center" vertical="center" wrapText="1"/>
    </xf>
    <xf numFmtId="166" fontId="24" fillId="16" borderId="38" xfId="168" applyNumberFormat="1" applyFont="1" applyFill="1" applyBorder="1" applyAlignment="1">
      <alignment horizontal="center" vertical="center" wrapText="1"/>
    </xf>
    <xf numFmtId="166" fontId="24" fillId="16" borderId="40" xfId="168" applyNumberFormat="1" applyFont="1" applyFill="1" applyBorder="1" applyAlignment="1">
      <alignment horizontal="center" vertical="center" wrapText="1"/>
    </xf>
    <xf numFmtId="16" fontId="6" fillId="3" borderId="0" xfId="3" applyNumberFormat="1" applyFont="1" applyFill="1" applyBorder="1" applyAlignment="1">
      <alignment horizontal="center" vertical="center" wrapText="1"/>
    </xf>
    <xf numFmtId="0" fontId="8" fillId="11" borderId="16" xfId="2" applyFont="1" applyFill="1" applyBorder="1" applyAlignment="1">
      <alignment horizontal="center"/>
    </xf>
  </cellXfs>
  <cellStyles count="172">
    <cellStyle name="Bad 2" xfId="9" xr:uid="{D37FC770-8DA7-4A07-9632-17FF08477A93}"/>
    <cellStyle name="Comma 10" xfId="93" xr:uid="{05EA0266-BF04-4C94-88B7-8EDEAD4139E5}"/>
    <cellStyle name="Comma 10 2" xfId="165" xr:uid="{05EA0266-BF04-4C94-88B7-8EDEAD4139E5}"/>
    <cellStyle name="Comma 10 3" xfId="129" xr:uid="{05EA0266-BF04-4C94-88B7-8EDEAD4139E5}"/>
    <cellStyle name="Comma 10 4" xfId="32" xr:uid="{B3062120-DDF2-4C2E-982D-AEDA708803B7}"/>
    <cellStyle name="Comma 10 4 2" xfId="56" xr:uid="{DCE3C7EC-2FB4-46AA-89EA-8B974D1ACB3C}"/>
    <cellStyle name="Comma 10 4 2 2" xfId="89" xr:uid="{F836A887-6E4D-4E23-BBC7-C251B42DE816}"/>
    <cellStyle name="Comma 10 4 2 2 2" xfId="161" xr:uid="{F836A887-6E4D-4E23-BBC7-C251B42DE816}"/>
    <cellStyle name="Comma 10 4 2 2 3" xfId="126" xr:uid="{F836A887-6E4D-4E23-BBC7-C251B42DE816}"/>
    <cellStyle name="Comma 10 4 2 3" xfId="145" xr:uid="{DCE3C7EC-2FB4-46AA-89EA-8B974D1ACB3C}"/>
    <cellStyle name="Comma 10 4 2 4" xfId="110" xr:uid="{DCE3C7EC-2FB4-46AA-89EA-8B974D1ACB3C}"/>
    <cellStyle name="Comma 10 4 3" xfId="74" xr:uid="{FA301315-7545-4106-AACD-3CBCAF3A1E6F}"/>
    <cellStyle name="Comma 10 4 3 2" xfId="153" xr:uid="{FA301315-7545-4106-AACD-3CBCAF3A1E6F}"/>
    <cellStyle name="Comma 10 4 3 3" xfId="118" xr:uid="{FA301315-7545-4106-AACD-3CBCAF3A1E6F}"/>
    <cellStyle name="Comma 10 4 4" xfId="137" xr:uid="{B3062120-DDF2-4C2E-982D-AEDA708803B7}"/>
    <cellStyle name="Comma 10 4 5" xfId="102" xr:uid="{B3062120-DDF2-4C2E-982D-AEDA708803B7}"/>
    <cellStyle name="Comma 11" xfId="166" xr:uid="{00000000-0005-0000-0000-0000AF000000}"/>
    <cellStyle name="Comma 11 2" xfId="171" xr:uid="{2E9B6798-532D-433E-801C-672EE8410C1B}"/>
    <cellStyle name="Comma 12" xfId="94" xr:uid="{00000000-0005-0000-0000-00008B000000}"/>
    <cellStyle name="Comma 12 2" xfId="170" xr:uid="{03A0EF21-7D3B-4948-ACF9-F64FBEB1000E}"/>
    <cellStyle name="Comma 19" xfId="27" xr:uid="{60B2CEFA-3591-4383-9FD9-90F31FD50112}"/>
    <cellStyle name="Comma 19 2" xfId="54" xr:uid="{450015CE-838D-4157-9EC5-E66A4D2AED76}"/>
    <cellStyle name="Comma 19 2 2" xfId="87" xr:uid="{07A5107C-FC34-428C-A811-76210C13A4A1}"/>
    <cellStyle name="Comma 19 2 2 2" xfId="160" xr:uid="{07A5107C-FC34-428C-A811-76210C13A4A1}"/>
    <cellStyle name="Comma 19 2 2 3" xfId="125" xr:uid="{07A5107C-FC34-428C-A811-76210C13A4A1}"/>
    <cellStyle name="Comma 19 2 3" xfId="144" xr:uid="{450015CE-838D-4157-9EC5-E66A4D2AED76}"/>
    <cellStyle name="Comma 19 2 4" xfId="109" xr:uid="{450015CE-838D-4157-9EC5-E66A4D2AED76}"/>
    <cellStyle name="Comma 19 3" xfId="72" xr:uid="{99808C56-1F47-46CC-8FC2-0609FC5F4DA3}"/>
    <cellStyle name="Comma 19 3 2" xfId="152" xr:uid="{99808C56-1F47-46CC-8FC2-0609FC5F4DA3}"/>
    <cellStyle name="Comma 19 3 3" xfId="117" xr:uid="{99808C56-1F47-46CC-8FC2-0609FC5F4DA3}"/>
    <cellStyle name="Comma 19 4" xfId="136" xr:uid="{60B2CEFA-3591-4383-9FD9-90F31FD50112}"/>
    <cellStyle name="Comma 19 5" xfId="101" xr:uid="{60B2CEFA-3591-4383-9FD9-90F31FD50112}"/>
    <cellStyle name="Comma 2" xfId="8" xr:uid="{2DC68B9A-4B67-4969-B210-37614F2AD867}"/>
    <cellStyle name="Comma 2 2" xfId="36" xr:uid="{1BB39BC3-DB55-4F6A-9CB0-B66E1F81337D}"/>
    <cellStyle name="Comma 2 2 2" xfId="58" xr:uid="{82356996-F60C-41E2-8C36-39B3C2EC338D}"/>
    <cellStyle name="Comma 2 2 2 2" xfId="91" xr:uid="{23F1D077-F2F0-4BBE-9B40-33B7D02AFA33}"/>
    <cellStyle name="Comma 2 2 2 2 2" xfId="163" xr:uid="{23F1D077-F2F0-4BBE-9B40-33B7D02AFA33}"/>
    <cellStyle name="Comma 2 2 2 2 3" xfId="128" xr:uid="{23F1D077-F2F0-4BBE-9B40-33B7D02AFA33}"/>
    <cellStyle name="Comma 2 2 2 3" xfId="147" xr:uid="{82356996-F60C-41E2-8C36-39B3C2EC338D}"/>
    <cellStyle name="Comma 2 2 2 4" xfId="112" xr:uid="{82356996-F60C-41E2-8C36-39B3C2EC338D}"/>
    <cellStyle name="Comma 2 2 3" xfId="77" xr:uid="{02A7D8BB-9DBF-4754-8383-868BE91433D0}"/>
    <cellStyle name="Comma 2 2 3 2" xfId="155" xr:uid="{02A7D8BB-9DBF-4754-8383-868BE91433D0}"/>
    <cellStyle name="Comma 2 2 3 3" xfId="120" xr:uid="{02A7D8BB-9DBF-4754-8383-868BE91433D0}"/>
    <cellStyle name="Comma 2 2 4" xfId="139" xr:uid="{1BB39BC3-DB55-4F6A-9CB0-B66E1F81337D}"/>
    <cellStyle name="Comma 2 2 5" xfId="104" xr:uid="{1BB39BC3-DB55-4F6A-9CB0-B66E1F81337D}"/>
    <cellStyle name="Comma 2 3" xfId="48" xr:uid="{7F1624F1-0FA8-4361-838C-C64C7EDBA8BD}"/>
    <cellStyle name="Comma 2 3 2" xfId="81" xr:uid="{14CF5780-13B5-4BA0-939D-409D57BD7323}"/>
    <cellStyle name="Comma 2 3 2 2" xfId="157" xr:uid="{14CF5780-13B5-4BA0-939D-409D57BD7323}"/>
    <cellStyle name="Comma 2 3 2 3" xfId="122" xr:uid="{14CF5780-13B5-4BA0-939D-409D57BD7323}"/>
    <cellStyle name="Comma 2 3 3" xfId="141" xr:uid="{7F1624F1-0FA8-4361-838C-C64C7EDBA8BD}"/>
    <cellStyle name="Comma 2 3 4" xfId="106" xr:uid="{7F1624F1-0FA8-4361-838C-C64C7EDBA8BD}"/>
    <cellStyle name="Comma 2 4" xfId="64" xr:uid="{EA7D9A01-4AC6-4130-99ED-AA7F92CE535D}"/>
    <cellStyle name="Comma 2 4 2" xfId="150" xr:uid="{EA7D9A01-4AC6-4130-99ED-AA7F92CE535D}"/>
    <cellStyle name="Comma 2 4 3" xfId="115" xr:uid="{EA7D9A01-4AC6-4130-99ED-AA7F92CE535D}"/>
    <cellStyle name="Comma 2 5" xfId="133" xr:uid="{2DC68B9A-4B67-4969-B210-37614F2AD867}"/>
    <cellStyle name="Comma 2 6" xfId="98" xr:uid="{2DC68B9A-4B67-4969-B210-37614F2AD867}"/>
    <cellStyle name="Comma 3" xfId="4" xr:uid="{2D2B79B6-BAD4-4AA8-B23F-9A4FFA5EB67F}"/>
    <cellStyle name="Comma 3 2" xfId="49" xr:uid="{C397C7EB-9803-4972-AAD5-B933DE54D599}"/>
    <cellStyle name="Comma 3 2 2" xfId="82" xr:uid="{552A81B6-6928-4E3A-8F34-55DEFC871044}"/>
    <cellStyle name="Comma 3 2 2 2" xfId="158" xr:uid="{552A81B6-6928-4E3A-8F34-55DEFC871044}"/>
    <cellStyle name="Comma 3 2 2 3" xfId="123" xr:uid="{552A81B6-6928-4E3A-8F34-55DEFC871044}"/>
    <cellStyle name="Comma 3 2 3" xfId="142" xr:uid="{C397C7EB-9803-4972-AAD5-B933DE54D599}"/>
    <cellStyle name="Comma 3 2 4" xfId="107" xr:uid="{C397C7EB-9803-4972-AAD5-B933DE54D599}"/>
    <cellStyle name="Comma 3 3" xfId="17" xr:uid="{A7027B39-A29E-478B-9799-FD70BA4E69B0}"/>
    <cellStyle name="Comma 3 3 2" xfId="134" xr:uid="{A7027B39-A29E-478B-9799-FD70BA4E69B0}"/>
    <cellStyle name="Comma 3 3 3" xfId="99" xr:uid="{A7027B39-A29E-478B-9799-FD70BA4E69B0}"/>
    <cellStyle name="Comma 3 4" xfId="61" xr:uid="{73A30E3D-80BE-42D5-BFCB-6CB31A4FE325}"/>
    <cellStyle name="Comma 3 4 2" xfId="149" xr:uid="{73A30E3D-80BE-42D5-BFCB-6CB31A4FE325}"/>
    <cellStyle name="Comma 3 4 3" xfId="114" xr:uid="{73A30E3D-80BE-42D5-BFCB-6CB31A4FE325}"/>
    <cellStyle name="Comma 3 5" xfId="131" xr:uid="{2D2B79B6-BAD4-4AA8-B23F-9A4FFA5EB67F}"/>
    <cellStyle name="Comma 3 6" xfId="96" xr:uid="{338F26C2-0D13-466A-B8EC-FB9245803921}"/>
    <cellStyle name="Comma 4" xfId="34" xr:uid="{3BD6800B-B228-4A3D-99E6-AD4150166C98}"/>
    <cellStyle name="Comma 4 2" xfId="57" xr:uid="{3CF72AC9-5FD6-41CC-8A30-8AEB3B87EFA7}"/>
    <cellStyle name="Comma 4 2 2" xfId="90" xr:uid="{1464E76C-B25A-4062-89C5-7BCC87709DCE}"/>
    <cellStyle name="Comma 4 2 2 2" xfId="162" xr:uid="{1464E76C-B25A-4062-89C5-7BCC87709DCE}"/>
    <cellStyle name="Comma 4 2 2 3" xfId="127" xr:uid="{1464E76C-B25A-4062-89C5-7BCC87709DCE}"/>
    <cellStyle name="Comma 4 2 3" xfId="146" xr:uid="{3CF72AC9-5FD6-41CC-8A30-8AEB3B87EFA7}"/>
    <cellStyle name="Comma 4 2 4" xfId="111" xr:uid="{3CF72AC9-5FD6-41CC-8A30-8AEB3B87EFA7}"/>
    <cellStyle name="Comma 4 2 7" xfId="168" xr:uid="{A930CC27-8049-4287-A079-FF584E0966CF}"/>
    <cellStyle name="Comma 4 3" xfId="76" xr:uid="{6473AC90-51D1-4357-BE94-0ADBA8A5B004}"/>
    <cellStyle name="Comma 4 3 2" xfId="154" xr:uid="{6473AC90-51D1-4357-BE94-0ADBA8A5B004}"/>
    <cellStyle name="Comma 4 3 3" xfId="119" xr:uid="{6473AC90-51D1-4357-BE94-0ADBA8A5B004}"/>
    <cellStyle name="Comma 4 4" xfId="138" xr:uid="{3BD6800B-B228-4A3D-99E6-AD4150166C98}"/>
    <cellStyle name="Comma 4 5" xfId="103" xr:uid="{3BD6800B-B228-4A3D-99E6-AD4150166C98}"/>
    <cellStyle name="Comma 4 6" xfId="167" xr:uid="{E9DF7D4B-2579-435C-9872-48A95EC25AC3}"/>
    <cellStyle name="Comma 5" xfId="21" xr:uid="{48DDDE13-290F-4A66-BA91-DD70EFE4D1BA}"/>
    <cellStyle name="Comma 5 2" xfId="51" xr:uid="{1639DA40-9F30-4307-A6C0-8E896AB284D2}"/>
    <cellStyle name="Comma 5 2 2" xfId="84" xr:uid="{155DBBB9-9C00-4ABD-8793-4404A217D6CF}"/>
    <cellStyle name="Comma 5 2 2 2" xfId="159" xr:uid="{155DBBB9-9C00-4ABD-8793-4404A217D6CF}"/>
    <cellStyle name="Comma 5 2 2 3" xfId="124" xr:uid="{155DBBB9-9C00-4ABD-8793-4404A217D6CF}"/>
    <cellStyle name="Comma 5 2 3" xfId="143" xr:uid="{1639DA40-9F30-4307-A6C0-8E896AB284D2}"/>
    <cellStyle name="Comma 5 2 4" xfId="108" xr:uid="{1639DA40-9F30-4307-A6C0-8E896AB284D2}"/>
    <cellStyle name="Comma 5 3" xfId="69" xr:uid="{46C31CE4-EB73-4334-BC48-A961FF9AC789}"/>
    <cellStyle name="Comma 5 3 2" xfId="151" xr:uid="{46C31CE4-EB73-4334-BC48-A961FF9AC789}"/>
    <cellStyle name="Comma 5 3 3" xfId="116" xr:uid="{46C31CE4-EB73-4334-BC48-A961FF9AC789}"/>
    <cellStyle name="Comma 5 4" xfId="135" xr:uid="{48DDDE13-290F-4A66-BA91-DD70EFE4D1BA}"/>
    <cellStyle name="Comma 5 5" xfId="100" xr:uid="{48DDDE13-290F-4A66-BA91-DD70EFE4D1BA}"/>
    <cellStyle name="Comma 6" xfId="47" xr:uid="{3C133642-356F-495B-A187-06BB6311A3C2}"/>
    <cellStyle name="Comma 6 2" xfId="80" xr:uid="{32F587D5-CE24-4516-8647-3017E63710D5}"/>
    <cellStyle name="Comma 6 2 2" xfId="156" xr:uid="{32F587D5-CE24-4516-8647-3017E63710D5}"/>
    <cellStyle name="Comma 6 2 3" xfId="121" xr:uid="{32F587D5-CE24-4516-8647-3017E63710D5}"/>
    <cellStyle name="Comma 6 3" xfId="140" xr:uid="{3C133642-356F-495B-A187-06BB6311A3C2}"/>
    <cellStyle name="Comma 6 4" xfId="105" xr:uid="{3C133642-356F-495B-A187-06BB6311A3C2}"/>
    <cellStyle name="Comma 7" xfId="6" xr:uid="{2B0FBC3A-4199-48E8-9C44-87663BB20A1F}"/>
    <cellStyle name="Comma 7 2" xfId="132" xr:uid="{2B0FBC3A-4199-48E8-9C44-87663BB20A1F}"/>
    <cellStyle name="Comma 7 3" xfId="97" xr:uid="{2B0FBC3A-4199-48E8-9C44-87663BB20A1F}"/>
    <cellStyle name="Comma 8" xfId="60" xr:uid="{44EDDCF8-576E-421A-AEBF-DC795201F3D7}"/>
    <cellStyle name="Comma 8 2" xfId="148" xr:uid="{44EDDCF8-576E-421A-AEBF-DC795201F3D7}"/>
    <cellStyle name="Comma 8 3" xfId="113" xr:uid="{44EDDCF8-576E-421A-AEBF-DC795201F3D7}"/>
    <cellStyle name="Comma 9" xfId="130" xr:uid="{00000000-0005-0000-0000-00008B000000}"/>
    <cellStyle name="Good 2" xfId="62" xr:uid="{1FD1A5FF-0ED5-4107-8021-44B36269C148}"/>
    <cellStyle name="Millares" xfId="1" builtinId="3"/>
    <cellStyle name="Millares 2" xfId="92" xr:uid="{1606FEA4-1ACC-4D1B-BC7F-A8ED30C8D3EA}"/>
    <cellStyle name="Millares 2 2" xfId="164" xr:uid="{1606FEA4-1ACC-4D1B-BC7F-A8ED30C8D3EA}"/>
    <cellStyle name="Millares 2 3" xfId="95" xr:uid="{D2D7CCF3-F4B4-41D4-A690-DC394A3A3F01}"/>
    <cellStyle name="N1" xfId="23" xr:uid="{61781990-B4D4-4965-91A0-314F7008F335}"/>
    <cellStyle name="N1 10" xfId="28" xr:uid="{9FCB2372-904A-4391-99EA-20C148792A0B}"/>
    <cellStyle name="N1 2" xfId="25" xr:uid="{BE8E9A48-A620-4D74-8F3A-5B6A119A5952}"/>
    <cellStyle name="Neutral 2" xfId="63" xr:uid="{650D6BE6-10B3-412F-BFC6-3C745C79F632}"/>
    <cellStyle name="Normal" xfId="0" builtinId="0"/>
    <cellStyle name="Normal 10" xfId="15" xr:uid="{09D75CF3-2A8F-4FC5-AD8B-CCA82B9D2D1D}"/>
    <cellStyle name="Normal 10 2" xfId="42" xr:uid="{7C13B828-A063-468A-8E6E-5F8DBAA6247B}"/>
    <cellStyle name="Normal 11" xfId="16" xr:uid="{6C349209-EDE4-480F-B711-E62AC4F809E8}"/>
    <cellStyle name="Normal 11 2" xfId="65" xr:uid="{BB32A1B5-A0FA-448F-9AA5-A6FA6403BE14}"/>
    <cellStyle name="Normal 12" xfId="18" xr:uid="{4772CEF1-B164-406A-92FA-17495DAF0CA7}"/>
    <cellStyle name="Normal 12 2" xfId="66" xr:uid="{11F1AABB-734A-4775-A279-4172673D0826}"/>
    <cellStyle name="Normal 13" xfId="19" xr:uid="{38DD2CC0-31DD-41CC-8537-FD897DFF3152}"/>
    <cellStyle name="Normal 13 2" xfId="67" xr:uid="{9AC31F13-8F9D-4125-ABB1-453A9B8A2103}"/>
    <cellStyle name="Normal 13 2 2 2" xfId="31" xr:uid="{9897C3BB-0811-4B35-B5FC-E2FA52CDC169}"/>
    <cellStyle name="Normal 13 2 2 2 2" xfId="55" xr:uid="{D770AA92-9AFF-40EA-8FEA-1D9DDFE57B7C}"/>
    <cellStyle name="Normal 13 2 2 2 2 2" xfId="88" xr:uid="{365A80B6-2AAE-402D-B55D-7270F9B3B5C8}"/>
    <cellStyle name="Normal 13 2 2 2 3" xfId="73" xr:uid="{817D9C51-7B4E-4610-8769-97FD307D4077}"/>
    <cellStyle name="Normal 13 2 3 3" xfId="26" xr:uid="{CE9CC1CB-FEE5-46D1-95C1-CEA468520887}"/>
    <cellStyle name="Normal 13 2 3 3 2" xfId="53" xr:uid="{02B05979-0771-47C4-AC7E-0C10F9E7AE35}"/>
    <cellStyle name="Normal 13 2 3 3 2 2" xfId="86" xr:uid="{19E8958E-7E3D-4DE3-B10E-2A40FE1CDA60}"/>
    <cellStyle name="Normal 13 2 3 3 3" xfId="71" xr:uid="{F7BD9D9D-EB87-41EF-92B2-184A6FA89DD9}"/>
    <cellStyle name="Normal 14" xfId="33" xr:uid="{F32E9020-51A0-4F46-9E69-D9F129BCE3D1}"/>
    <cellStyle name="Normal 14 2" xfId="75" xr:uid="{DD017740-D237-4FC9-8D82-D0111BC77D78}"/>
    <cellStyle name="Normal 15" xfId="20" xr:uid="{C585BEA5-8B51-4CA5-8F86-6075F707271F}"/>
    <cellStyle name="Normal 15 2" xfId="50" xr:uid="{5206225A-FA4B-48EB-B53E-C8576A2F6792}"/>
    <cellStyle name="Normal 15 2 2" xfId="83" xr:uid="{F422CE9C-99B8-4041-84EE-AD7391B1B3BC}"/>
    <cellStyle name="Normal 15 3" xfId="68" xr:uid="{CBB36781-542E-4E9E-85B3-BBA29D611723}"/>
    <cellStyle name="Normal 16" xfId="46" xr:uid="{E48AB2E4-BD30-4371-87DB-EE5BC1B95A5D}"/>
    <cellStyle name="Normal 16 2" xfId="79" xr:uid="{70CEF50F-4514-4968-B43A-1771D3657EA3}"/>
    <cellStyle name="Normal 17" xfId="43" xr:uid="{ED7D9B2C-F14C-4A74-9F70-9318896E8D30}"/>
    <cellStyle name="Normal 17 2" xfId="78" xr:uid="{C91E4985-4832-418E-BEA0-B0368BE01923}"/>
    <cellStyle name="Normal 18" xfId="5" xr:uid="{25E496CF-1587-4A18-8A8E-60E039B1649F}"/>
    <cellStyle name="Normal 19" xfId="59" xr:uid="{5DC03C4B-E78C-4171-8A17-5F98C4FF66F3}"/>
    <cellStyle name="Normal 2" xfId="3" xr:uid="{ED01E950-E4EF-480A-B07D-F2543CD3061B}"/>
    <cellStyle name="Normal 20" xfId="44" xr:uid="{9FBC3DA8-0D31-46DC-83F5-DD8AE51D5877}"/>
    <cellStyle name="Normal 21" xfId="45" xr:uid="{1C16869E-0F19-4A88-9531-230E289ED30F}"/>
    <cellStyle name="Normal 3" xfId="2" xr:uid="{934E8EE0-418F-40C4-9AC4-FEE007C6A95F}"/>
    <cellStyle name="Normal 4" xfId="7" xr:uid="{6205B54D-DCE8-412A-8918-FBCB1F1C2C15}"/>
    <cellStyle name="Normal 4 2" xfId="35" xr:uid="{FB864BFB-2515-4CD2-9D4A-9E7488391525}"/>
    <cellStyle name="Normal 4 2 3" xfId="29" xr:uid="{5B249BA2-1627-4B68-BAA7-9C2E6EA234E0}"/>
    <cellStyle name="Normal 5" xfId="10" xr:uid="{D62FFA0F-E204-49AC-A12E-B13DF4BC2081}"/>
    <cellStyle name="Normal 5 2" xfId="37" xr:uid="{F1C8DB8C-FB86-4F21-9597-EFE656403FB3}"/>
    <cellStyle name="Normal 5 4" xfId="30" xr:uid="{0AF6BD34-5BC7-4EA4-92E1-EF523BDF20DC}"/>
    <cellStyle name="Normal 6" xfId="11" xr:uid="{1CE7D35A-EEF8-48D2-9E9E-D60FE2232D8B}"/>
    <cellStyle name="Normal 6 2" xfId="38" xr:uid="{13224830-3A92-454A-BC4F-6F4010EF9958}"/>
    <cellStyle name="Normal 7" xfId="12" xr:uid="{399E9E56-4955-4587-8BEC-5F0C17C28BFC}"/>
    <cellStyle name="Normal 7 2" xfId="39" xr:uid="{F4BFCBAC-296C-4EE3-87C4-525503A28B10}"/>
    <cellStyle name="Normal 8" xfId="13" xr:uid="{495B0F23-FC05-4B3B-AFB0-94495BD6FF34}"/>
    <cellStyle name="Normal 8 2" xfId="40" xr:uid="{067FBC17-0E9D-4E31-B553-8EF2D773F11D}"/>
    <cellStyle name="Normal 9" xfId="14" xr:uid="{B279201B-28FA-4ADC-8350-CAF3BEB00767}"/>
    <cellStyle name="Normal 9 2" xfId="41" xr:uid="{C16680CF-E9CF-4D64-B6F7-D6F4E68A7ABD}"/>
    <cellStyle name="Percent 2" xfId="24" xr:uid="{D5EDDCE3-B9A9-4594-892B-D621B0236A88}"/>
    <cellStyle name="Percent 3" xfId="22" xr:uid="{DD788F22-96F7-4962-9ADC-8BED72E9C01B}"/>
    <cellStyle name="Percent 3 2" xfId="52" xr:uid="{853C1774-574D-47E4-AE5A-CD7138B6ECAA}"/>
    <cellStyle name="Percent 3 2 2" xfId="85" xr:uid="{D46AD615-EE3E-475F-B106-DC48C53E5C7D}"/>
    <cellStyle name="Percent 3 3" xfId="70" xr:uid="{85426960-3404-4383-B5EA-B25E2E3E1EB9}"/>
    <cellStyle name="Porcentaje" xfId="169" builtinId="5"/>
  </cellStyles>
  <dxfs count="910">
    <dxf>
      <fill>
        <patternFill patternType="solid">
          <fgColor rgb="FFF8CBAD"/>
          <bgColor rgb="FF000000"/>
        </patternFill>
      </fill>
    </dxf>
    <dxf>
      <fill>
        <patternFill patternType="solid">
          <fgColor rgb="FFF8CBAD"/>
          <bgColor rgb="FF000000"/>
        </patternFill>
      </fill>
    </dxf>
    <dxf>
      <fill>
        <patternFill patternType="solid">
          <fgColor rgb="FFF8CBAD"/>
          <bgColor rgb="FF000000"/>
        </patternFill>
      </fill>
    </dxf>
    <dxf>
      <fill>
        <patternFill patternType="solid">
          <fgColor rgb="FFF8CBAD"/>
          <bgColor rgb="FF000000"/>
        </patternFill>
      </fill>
    </dxf>
    <dxf>
      <fill>
        <patternFill patternType="solid">
          <fgColor rgb="FFF8CBAD"/>
          <bgColor rgb="FF000000"/>
        </patternFill>
      </fill>
    </dxf>
    <dxf>
      <fill>
        <patternFill patternType="solid">
          <fgColor rgb="FFF8CBAD"/>
          <bgColor rgb="FF000000"/>
        </patternFill>
      </fill>
    </dxf>
    <dxf>
      <fill>
        <patternFill patternType="solid">
          <fgColor rgb="FFF8CBAD"/>
          <bgColor rgb="FF000000"/>
        </patternFill>
      </fill>
    </dxf>
    <dxf>
      <fill>
        <patternFill patternType="solid">
          <fgColor rgb="FFF8CBAD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numFmt numFmtId="1" formatCode="0"/>
    </dxf>
    <dxf>
      <font>
        <color rgb="FFFF0000"/>
      </font>
    </dxf>
    <dxf>
      <font>
        <b/>
        <i val="0"/>
        <color theme="9"/>
      </font>
    </dxf>
    <dxf>
      <font>
        <b/>
        <i val="0"/>
        <strike val="0"/>
        <color theme="5"/>
      </font>
    </dxf>
    <dxf>
      <font>
        <color rgb="FFFF0000"/>
      </font>
    </dxf>
    <dxf>
      <font>
        <b/>
        <i val="0"/>
        <color theme="9"/>
      </font>
    </dxf>
    <dxf>
      <font>
        <b/>
        <i val="0"/>
        <strike val="0"/>
        <color theme="5"/>
      </font>
    </dxf>
    <dxf>
      <font>
        <color rgb="FFFF0000"/>
      </font>
    </dxf>
    <dxf>
      <font>
        <b/>
        <i val="0"/>
        <color theme="9"/>
      </font>
    </dxf>
    <dxf>
      <font>
        <b/>
        <i val="0"/>
        <strike val="0"/>
        <color theme="5"/>
      </font>
    </dxf>
    <dxf>
      <font>
        <color rgb="FFFF0000"/>
      </font>
    </dxf>
    <dxf>
      <font>
        <b/>
        <i val="0"/>
        <color theme="9"/>
      </font>
    </dxf>
    <dxf>
      <font>
        <b/>
        <i val="0"/>
        <strike val="0"/>
        <color theme="5"/>
      </font>
    </dxf>
    <dxf>
      <font>
        <color rgb="FFFF0000"/>
      </font>
    </dxf>
    <dxf>
      <font>
        <b/>
        <i val="0"/>
        <color theme="9"/>
      </font>
    </dxf>
    <dxf>
      <font>
        <b/>
        <i val="0"/>
        <strike val="0"/>
        <color theme="5"/>
      </font>
    </dxf>
    <dxf>
      <font>
        <color rgb="FFFF0000"/>
      </font>
    </dxf>
    <dxf>
      <font>
        <b/>
        <i val="0"/>
        <color theme="9"/>
      </font>
    </dxf>
    <dxf>
      <font>
        <b/>
        <i val="0"/>
        <strike val="0"/>
        <color theme="5"/>
      </font>
    </dxf>
    <dxf>
      <font>
        <color rgb="FFFF0000"/>
      </font>
    </dxf>
    <dxf>
      <font>
        <b/>
        <i val="0"/>
        <color theme="9"/>
      </font>
    </dxf>
    <dxf>
      <font>
        <b/>
        <i val="0"/>
        <strike val="0"/>
        <color theme="5"/>
      </font>
    </dxf>
    <dxf>
      <font>
        <color rgb="FFFF0000"/>
      </font>
    </dxf>
    <dxf>
      <font>
        <b/>
        <i val="0"/>
        <color theme="9"/>
      </font>
    </dxf>
    <dxf>
      <font>
        <b/>
        <i val="0"/>
        <strike val="0"/>
        <color theme="5"/>
      </font>
    </dxf>
    <dxf>
      <font>
        <color rgb="FFFF0000"/>
      </font>
    </dxf>
    <dxf>
      <font>
        <b/>
        <i val="0"/>
        <color theme="9"/>
      </font>
    </dxf>
    <dxf>
      <font>
        <b/>
        <i val="0"/>
        <strike val="0"/>
        <color theme="5"/>
      </font>
    </dxf>
    <dxf>
      <font>
        <color rgb="FFFF0000"/>
      </font>
    </dxf>
    <dxf>
      <font>
        <b/>
        <i val="0"/>
        <color theme="9"/>
      </font>
    </dxf>
    <dxf>
      <font>
        <b/>
        <i val="0"/>
        <strike val="0"/>
        <color theme="5"/>
      </font>
    </dxf>
    <dxf>
      <font>
        <color rgb="FFFF0000"/>
      </font>
    </dxf>
    <dxf>
      <font>
        <b/>
        <i val="0"/>
        <color theme="9"/>
      </font>
    </dxf>
    <dxf>
      <font>
        <b/>
        <i val="0"/>
        <strike val="0"/>
        <color theme="5"/>
      </font>
    </dxf>
    <dxf>
      <font>
        <color rgb="FFFF0000"/>
      </font>
    </dxf>
    <dxf>
      <font>
        <b/>
        <i val="0"/>
        <color theme="9"/>
      </font>
    </dxf>
    <dxf>
      <font>
        <b/>
        <i val="0"/>
        <strike val="0"/>
        <color theme="5"/>
      </font>
    </dxf>
    <dxf>
      <font>
        <color rgb="FFFF0000"/>
      </font>
    </dxf>
    <dxf>
      <font>
        <b/>
        <i val="0"/>
        <color theme="9"/>
      </font>
    </dxf>
    <dxf>
      <font>
        <b/>
        <i val="0"/>
        <strike val="0"/>
        <color theme="5"/>
      </font>
    </dxf>
    <dxf>
      <font>
        <color rgb="FFFF0000"/>
      </font>
    </dxf>
    <dxf>
      <font>
        <b/>
        <i val="0"/>
        <color theme="9"/>
      </font>
    </dxf>
    <dxf>
      <font>
        <b/>
        <i val="0"/>
        <strike val="0"/>
        <color theme="5"/>
      </font>
    </dxf>
    <dxf>
      <font>
        <color rgb="FFFF0000"/>
      </font>
    </dxf>
    <dxf>
      <font>
        <b/>
        <i val="0"/>
        <color theme="9"/>
      </font>
    </dxf>
    <dxf>
      <font>
        <b/>
        <i val="0"/>
        <strike val="0"/>
        <color theme="5"/>
      </font>
    </dxf>
    <dxf>
      <font>
        <color rgb="FFFF0000"/>
      </font>
    </dxf>
    <dxf>
      <font>
        <b/>
        <i val="0"/>
        <color theme="9"/>
      </font>
    </dxf>
    <dxf>
      <font>
        <b/>
        <i val="0"/>
        <strike val="0"/>
        <color theme="5"/>
      </font>
    </dxf>
    <dxf>
      <font>
        <color rgb="FFFF0000"/>
      </font>
    </dxf>
    <dxf>
      <font>
        <b/>
        <i val="0"/>
        <color theme="9"/>
      </font>
    </dxf>
    <dxf>
      <font>
        <b/>
        <i val="0"/>
        <strike val="0"/>
        <color theme="5"/>
      </font>
    </dxf>
    <dxf>
      <font>
        <color rgb="FFFF0000"/>
      </font>
    </dxf>
    <dxf>
      <font>
        <b/>
        <i val="0"/>
        <color theme="9"/>
      </font>
    </dxf>
    <dxf>
      <font>
        <b/>
        <i val="0"/>
        <strike val="0"/>
        <color theme="5"/>
      </font>
    </dxf>
    <dxf>
      <font>
        <color rgb="FFFF0000"/>
      </font>
    </dxf>
    <dxf>
      <font>
        <b/>
        <i val="0"/>
        <color theme="9"/>
      </font>
    </dxf>
    <dxf>
      <font>
        <b/>
        <i val="0"/>
        <strike val="0"/>
        <color theme="5"/>
      </font>
    </dxf>
    <dxf>
      <font>
        <color rgb="FFFF0000"/>
      </font>
    </dxf>
    <dxf>
      <font>
        <b/>
        <i val="0"/>
        <color theme="9"/>
      </font>
    </dxf>
    <dxf>
      <font>
        <b/>
        <i val="0"/>
        <strike val="0"/>
        <color theme="5"/>
      </font>
    </dxf>
    <dxf>
      <font>
        <color rgb="FFFF0000"/>
      </font>
    </dxf>
    <dxf>
      <font>
        <b/>
        <i val="0"/>
        <color theme="9"/>
      </font>
    </dxf>
    <dxf>
      <font>
        <b/>
        <i val="0"/>
        <strike val="0"/>
        <color theme="5"/>
      </font>
    </dxf>
    <dxf>
      <font>
        <color rgb="FFFF0000"/>
      </font>
    </dxf>
    <dxf>
      <font>
        <b/>
        <i val="0"/>
        <color theme="9"/>
      </font>
    </dxf>
    <dxf>
      <font>
        <b/>
        <i val="0"/>
        <strike val="0"/>
        <color theme="5"/>
      </font>
    </dxf>
    <dxf>
      <font>
        <color rgb="FFFF0000"/>
      </font>
    </dxf>
    <dxf>
      <font>
        <b/>
        <i val="0"/>
        <color theme="9"/>
      </font>
    </dxf>
    <dxf>
      <font>
        <b/>
        <i val="0"/>
        <strike val="0"/>
        <color theme="5"/>
      </font>
    </dxf>
    <dxf>
      <font>
        <color rgb="FFFF0000"/>
      </font>
    </dxf>
    <dxf>
      <font>
        <b/>
        <i val="0"/>
        <color theme="9"/>
      </font>
    </dxf>
    <dxf>
      <font>
        <b/>
        <i val="0"/>
        <strike val="0"/>
        <color theme="5"/>
      </font>
    </dxf>
    <dxf>
      <font>
        <color rgb="FFFF0000"/>
      </font>
    </dxf>
    <dxf>
      <font>
        <b/>
        <i val="0"/>
        <color theme="9"/>
      </font>
    </dxf>
    <dxf>
      <font>
        <b/>
        <i val="0"/>
        <strike val="0"/>
        <color theme="5"/>
      </font>
    </dxf>
    <dxf>
      <font>
        <color rgb="FFFF0000"/>
      </font>
    </dxf>
    <dxf>
      <font>
        <b/>
        <i val="0"/>
        <color theme="9"/>
      </font>
    </dxf>
    <dxf>
      <font>
        <b/>
        <i val="0"/>
        <strike val="0"/>
        <color theme="5"/>
      </font>
    </dxf>
    <dxf>
      <font>
        <color rgb="FFFF0000"/>
      </font>
    </dxf>
    <dxf>
      <font>
        <b/>
        <i val="0"/>
        <color theme="9"/>
      </font>
    </dxf>
    <dxf>
      <font>
        <b/>
        <i val="0"/>
        <strike val="0"/>
        <color theme="5"/>
      </font>
    </dxf>
    <dxf>
      <font>
        <color rgb="FFFF0000"/>
      </font>
    </dxf>
    <dxf>
      <font>
        <b/>
        <i val="0"/>
        <color theme="9"/>
      </font>
    </dxf>
    <dxf>
      <font>
        <b/>
        <i val="0"/>
        <strike val="0"/>
        <color theme="5"/>
      </font>
    </dxf>
    <dxf>
      <font>
        <color rgb="FFFF0000"/>
      </font>
    </dxf>
    <dxf>
      <font>
        <b/>
        <i val="0"/>
        <color theme="9"/>
      </font>
    </dxf>
    <dxf>
      <font>
        <b/>
        <i val="0"/>
        <strike val="0"/>
        <color theme="5"/>
      </font>
    </dxf>
    <dxf>
      <font>
        <color rgb="FFFF0000"/>
      </font>
    </dxf>
    <dxf>
      <font>
        <b/>
        <i val="0"/>
        <color theme="9"/>
      </font>
    </dxf>
    <dxf>
      <font>
        <b/>
        <i val="0"/>
        <strike val="0"/>
        <color theme="5"/>
      </font>
    </dxf>
    <dxf>
      <font>
        <color rgb="FFFF0000"/>
      </font>
    </dxf>
    <dxf>
      <font>
        <b/>
        <i val="0"/>
        <color theme="9"/>
      </font>
    </dxf>
    <dxf>
      <font>
        <b/>
        <i val="0"/>
        <strike val="0"/>
        <color theme="5"/>
      </font>
    </dxf>
    <dxf>
      <font>
        <color rgb="FFFF0000"/>
      </font>
    </dxf>
    <dxf>
      <font>
        <b/>
        <i val="0"/>
        <color theme="9"/>
      </font>
    </dxf>
    <dxf>
      <font>
        <b/>
        <i val="0"/>
        <strike val="0"/>
        <color theme="5"/>
      </font>
    </dxf>
    <dxf>
      <font>
        <color rgb="FFFF0000"/>
      </font>
    </dxf>
    <dxf>
      <font>
        <b/>
        <i val="0"/>
        <color theme="9"/>
      </font>
    </dxf>
    <dxf>
      <font>
        <b/>
        <i val="0"/>
        <strike val="0"/>
        <color theme="5"/>
      </font>
    </dxf>
    <dxf>
      <font>
        <color rgb="FFFF0000"/>
      </font>
    </dxf>
    <dxf>
      <font>
        <b/>
        <i val="0"/>
        <color theme="9"/>
      </font>
    </dxf>
    <dxf>
      <font>
        <b/>
        <i val="0"/>
        <strike val="0"/>
        <color theme="5"/>
      </font>
    </dxf>
    <dxf>
      <font>
        <color rgb="FFFF0000"/>
      </font>
    </dxf>
    <dxf>
      <font>
        <b/>
        <i val="0"/>
        <color theme="9"/>
      </font>
    </dxf>
    <dxf>
      <font>
        <b/>
        <i val="0"/>
        <strike val="0"/>
        <color theme="5"/>
      </font>
    </dxf>
    <dxf>
      <font>
        <b/>
        <i val="0"/>
        <color theme="9"/>
      </font>
    </dxf>
    <dxf>
      <font>
        <b/>
        <i val="0"/>
        <strike val="0"/>
        <color theme="5"/>
      </font>
    </dxf>
    <dxf>
      <font>
        <color rgb="FFFF0000"/>
      </font>
    </dxf>
    <dxf>
      <font>
        <b/>
        <i val="0"/>
        <color theme="9"/>
      </font>
    </dxf>
    <dxf>
      <font>
        <b/>
        <i val="0"/>
        <strike val="0"/>
        <color theme="5"/>
      </font>
    </dxf>
    <dxf>
      <font>
        <color rgb="FFFF0000"/>
      </font>
    </dxf>
    <dxf>
      <font>
        <color rgb="FFFF0000"/>
      </font>
    </dxf>
    <dxf>
      <font>
        <b/>
        <i val="0"/>
        <color theme="9"/>
      </font>
    </dxf>
    <dxf>
      <font>
        <b/>
        <i val="0"/>
        <strike val="0"/>
        <color theme="5"/>
      </font>
    </dxf>
    <dxf>
      <font>
        <color rgb="FFFF0000"/>
      </font>
    </dxf>
    <dxf>
      <font>
        <b/>
        <i val="0"/>
        <color theme="9"/>
      </font>
    </dxf>
    <dxf>
      <font>
        <b/>
        <i val="0"/>
        <strike val="0"/>
        <color theme="5"/>
      </font>
    </dxf>
    <dxf>
      <font>
        <color rgb="FFFF0000"/>
      </font>
    </dxf>
    <dxf>
      <font>
        <b/>
        <i val="0"/>
        <color theme="9"/>
      </font>
    </dxf>
    <dxf>
      <font>
        <b/>
        <i val="0"/>
        <strike val="0"/>
        <color theme="5"/>
      </font>
    </dxf>
    <dxf>
      <font>
        <color rgb="FFFF0000"/>
      </font>
    </dxf>
    <dxf>
      <font>
        <b/>
        <i val="0"/>
        <color theme="9"/>
      </font>
    </dxf>
    <dxf>
      <font>
        <b/>
        <i val="0"/>
        <strike val="0"/>
        <color theme="5"/>
      </font>
    </dxf>
    <dxf>
      <font>
        <color rgb="FFFF0000"/>
      </font>
    </dxf>
    <dxf>
      <font>
        <b/>
        <i val="0"/>
        <color theme="9"/>
      </font>
    </dxf>
    <dxf>
      <font>
        <b/>
        <i val="0"/>
        <strike val="0"/>
        <color theme="5"/>
      </font>
    </dxf>
    <dxf>
      <font>
        <color rgb="FFFF0000"/>
      </font>
    </dxf>
    <dxf>
      <font>
        <b/>
        <i val="0"/>
        <color theme="9"/>
      </font>
    </dxf>
    <dxf>
      <font>
        <b/>
        <i val="0"/>
        <strike val="0"/>
        <color theme="5"/>
      </font>
    </dxf>
    <dxf>
      <font>
        <color rgb="FFFF0000"/>
      </font>
    </dxf>
    <dxf>
      <font>
        <b/>
        <i val="0"/>
        <color theme="9"/>
      </font>
    </dxf>
    <dxf>
      <font>
        <b/>
        <i val="0"/>
        <strike val="0"/>
        <color theme="5"/>
      </font>
    </dxf>
    <dxf>
      <font>
        <color rgb="FFFF0000"/>
      </font>
    </dxf>
    <dxf>
      <font>
        <b/>
        <i val="0"/>
        <color theme="9"/>
      </font>
    </dxf>
    <dxf>
      <font>
        <b/>
        <i val="0"/>
        <strike val="0"/>
        <color theme="5"/>
      </font>
    </dxf>
    <dxf>
      <font>
        <color rgb="FFFF0000"/>
      </font>
    </dxf>
    <dxf>
      <font>
        <b/>
        <i val="0"/>
        <color theme="9"/>
      </font>
    </dxf>
    <dxf>
      <font>
        <b/>
        <i val="0"/>
        <strike val="0"/>
        <color theme="5"/>
      </font>
    </dxf>
    <dxf>
      <font>
        <b/>
        <i val="0"/>
        <color theme="9"/>
      </font>
    </dxf>
    <dxf>
      <font>
        <b/>
        <i val="0"/>
        <strike val="0"/>
        <color theme="5"/>
      </font>
    </dxf>
    <dxf>
      <font>
        <color rgb="FFFF0000"/>
      </font>
    </dxf>
    <dxf>
      <font>
        <color rgb="FFFF0000"/>
      </font>
    </dxf>
    <dxf>
      <font>
        <b/>
        <i val="0"/>
        <color theme="9"/>
      </font>
    </dxf>
    <dxf>
      <font>
        <b/>
        <i val="0"/>
        <strike val="0"/>
        <color theme="5"/>
      </font>
    </dxf>
    <dxf>
      <font>
        <color rgb="FFFF0000"/>
      </font>
    </dxf>
    <dxf>
      <font>
        <b/>
        <i val="0"/>
        <color theme="9"/>
      </font>
    </dxf>
    <dxf>
      <font>
        <b/>
        <i val="0"/>
        <strike val="0"/>
        <color theme="5"/>
      </font>
    </dxf>
    <dxf>
      <font>
        <color rgb="FFFF0000"/>
      </font>
    </dxf>
    <dxf>
      <font>
        <b/>
        <i val="0"/>
        <color theme="9"/>
      </font>
    </dxf>
    <dxf>
      <font>
        <b/>
        <i val="0"/>
        <strike val="0"/>
        <color theme="5"/>
      </font>
    </dxf>
    <dxf>
      <font>
        <color rgb="FFFF0000"/>
      </font>
    </dxf>
    <dxf>
      <font>
        <b/>
        <i val="0"/>
        <color theme="9"/>
      </font>
    </dxf>
    <dxf>
      <font>
        <b/>
        <i val="0"/>
        <strike val="0"/>
        <color theme="5"/>
      </font>
    </dxf>
    <dxf>
      <font>
        <color rgb="FFFF0000"/>
      </font>
    </dxf>
    <dxf>
      <font>
        <b/>
        <i val="0"/>
        <color theme="9"/>
      </font>
    </dxf>
    <dxf>
      <font>
        <b/>
        <i val="0"/>
        <strike val="0"/>
        <color theme="5"/>
      </font>
    </dxf>
    <dxf>
      <font>
        <b/>
        <i val="0"/>
        <color theme="9"/>
      </font>
    </dxf>
    <dxf>
      <font>
        <b/>
        <i val="0"/>
        <strike val="0"/>
        <color theme="5"/>
      </font>
    </dxf>
    <dxf>
      <font>
        <color rgb="FFFF0000"/>
      </font>
    </dxf>
    <dxf>
      <font>
        <color rgb="FFFF0000"/>
      </font>
    </dxf>
    <dxf>
      <font>
        <b/>
        <i val="0"/>
        <color theme="9"/>
      </font>
    </dxf>
    <dxf>
      <font>
        <b/>
        <i val="0"/>
        <strike val="0"/>
        <color theme="5"/>
      </font>
    </dxf>
    <dxf>
      <font>
        <color rgb="FFFF0000"/>
      </font>
    </dxf>
    <dxf>
      <font>
        <b/>
        <i val="0"/>
        <color theme="9"/>
      </font>
    </dxf>
    <dxf>
      <font>
        <b/>
        <i val="0"/>
        <strike val="0"/>
        <color theme="5"/>
      </font>
    </dxf>
    <dxf>
      <font>
        <color rgb="FFFF0000"/>
      </font>
    </dxf>
    <dxf>
      <font>
        <b/>
        <i val="0"/>
        <color theme="9"/>
      </font>
    </dxf>
    <dxf>
      <font>
        <b/>
        <i val="0"/>
        <strike val="0"/>
        <color theme="5"/>
      </font>
    </dxf>
    <dxf>
      <font>
        <color rgb="FFFF0000"/>
      </font>
    </dxf>
    <dxf>
      <font>
        <b/>
        <i val="0"/>
        <color theme="9"/>
      </font>
    </dxf>
    <dxf>
      <font>
        <b/>
        <i val="0"/>
        <strike val="0"/>
        <color theme="5"/>
      </font>
    </dxf>
    <dxf>
      <font>
        <color rgb="FFFF0000"/>
      </font>
    </dxf>
    <dxf>
      <font>
        <b/>
        <i val="0"/>
        <color theme="9"/>
      </font>
    </dxf>
    <dxf>
      <font>
        <b/>
        <i val="0"/>
        <strike val="0"/>
        <color theme="5"/>
      </font>
    </dxf>
    <dxf>
      <font>
        <color rgb="FFFF0000"/>
      </font>
    </dxf>
    <dxf>
      <font>
        <b/>
        <i val="0"/>
        <color theme="9"/>
      </font>
    </dxf>
    <dxf>
      <font>
        <b/>
        <i val="0"/>
        <strike val="0"/>
        <color theme="5"/>
      </font>
    </dxf>
    <dxf>
      <font>
        <color rgb="FFFF0000"/>
      </font>
    </dxf>
    <dxf>
      <font>
        <b/>
        <i val="0"/>
        <color theme="9"/>
      </font>
    </dxf>
    <dxf>
      <font>
        <b/>
        <i val="0"/>
        <strike val="0"/>
        <color theme="5"/>
      </font>
    </dxf>
    <dxf>
      <font>
        <color rgb="FFFF0000"/>
      </font>
    </dxf>
    <dxf>
      <font>
        <b/>
        <i val="0"/>
        <color theme="9"/>
      </font>
    </dxf>
    <dxf>
      <font>
        <b/>
        <i val="0"/>
        <strike val="0"/>
        <color theme="5"/>
      </font>
    </dxf>
    <dxf>
      <font>
        <color rgb="FFFF0000"/>
      </font>
    </dxf>
    <dxf>
      <font>
        <b/>
        <i val="0"/>
        <color theme="9"/>
      </font>
    </dxf>
    <dxf>
      <font>
        <b/>
        <i val="0"/>
        <strike val="0"/>
        <color theme="5"/>
      </font>
    </dxf>
    <dxf>
      <font>
        <color rgb="FFFF0000"/>
      </font>
    </dxf>
    <dxf>
      <font>
        <b/>
        <i val="0"/>
        <color theme="9"/>
      </font>
    </dxf>
    <dxf>
      <font>
        <b/>
        <i val="0"/>
        <strike val="0"/>
        <color theme="5"/>
      </font>
    </dxf>
    <dxf>
      <font>
        <color rgb="FFFF0000"/>
      </font>
    </dxf>
    <dxf>
      <font>
        <b/>
        <i val="0"/>
        <color theme="9"/>
      </font>
    </dxf>
    <dxf>
      <font>
        <b/>
        <i val="0"/>
        <strike val="0"/>
        <color theme="5"/>
      </font>
    </dxf>
    <dxf>
      <font>
        <color rgb="FFFF0000"/>
      </font>
    </dxf>
    <dxf>
      <font>
        <b/>
        <i val="0"/>
        <color theme="9"/>
      </font>
    </dxf>
    <dxf>
      <font>
        <b/>
        <i val="0"/>
        <strike val="0"/>
        <color theme="5"/>
      </font>
    </dxf>
    <dxf>
      <font>
        <color rgb="FFFF0000"/>
      </font>
    </dxf>
    <dxf>
      <font>
        <b/>
        <i val="0"/>
        <color theme="9"/>
      </font>
    </dxf>
    <dxf>
      <font>
        <b/>
        <i val="0"/>
        <strike val="0"/>
        <color theme="5"/>
      </font>
    </dxf>
    <dxf>
      <font>
        <color rgb="FFFF0000"/>
      </font>
    </dxf>
    <dxf>
      <font>
        <b/>
        <i val="0"/>
        <color theme="9"/>
      </font>
    </dxf>
    <dxf>
      <font>
        <b/>
        <i val="0"/>
        <strike val="0"/>
        <color theme="5"/>
      </font>
    </dxf>
    <dxf>
      <font>
        <color rgb="FFFF0000"/>
      </font>
    </dxf>
    <dxf>
      <font>
        <b/>
        <i val="0"/>
        <color theme="9"/>
      </font>
    </dxf>
    <dxf>
      <font>
        <b/>
        <i val="0"/>
        <strike val="0"/>
        <color theme="5"/>
      </font>
    </dxf>
    <dxf>
      <font>
        <color rgb="FFFF0000"/>
      </font>
    </dxf>
    <dxf>
      <font>
        <b/>
        <i val="0"/>
        <color theme="9"/>
      </font>
    </dxf>
    <dxf>
      <font>
        <b/>
        <i val="0"/>
        <strike val="0"/>
        <color theme="5"/>
      </font>
    </dxf>
    <dxf>
      <font>
        <color rgb="FFFF0000"/>
      </font>
    </dxf>
    <dxf>
      <font>
        <b/>
        <i val="0"/>
        <color theme="9"/>
      </font>
    </dxf>
    <dxf>
      <font>
        <b/>
        <i val="0"/>
        <strike val="0"/>
        <color theme="5"/>
      </font>
    </dxf>
    <dxf>
      <font>
        <color rgb="FFFF0000"/>
      </font>
    </dxf>
    <dxf>
      <font>
        <b/>
        <i val="0"/>
        <color theme="9"/>
      </font>
    </dxf>
    <dxf>
      <font>
        <b/>
        <i val="0"/>
        <strike val="0"/>
        <color theme="5"/>
      </font>
    </dxf>
    <dxf>
      <font>
        <color rgb="FFFF0000"/>
      </font>
    </dxf>
    <dxf>
      <font>
        <b/>
        <i val="0"/>
        <color theme="9"/>
      </font>
    </dxf>
    <dxf>
      <font>
        <b/>
        <i val="0"/>
        <strike val="0"/>
        <color theme="5"/>
      </font>
    </dxf>
    <dxf>
      <font>
        <color rgb="FFFF0000"/>
      </font>
    </dxf>
    <dxf>
      <font>
        <b/>
        <i val="0"/>
        <color theme="9"/>
      </font>
    </dxf>
    <dxf>
      <font>
        <b/>
        <i val="0"/>
        <strike val="0"/>
        <color theme="5"/>
      </font>
    </dxf>
    <dxf>
      <font>
        <color rgb="FFFF0000"/>
      </font>
    </dxf>
    <dxf>
      <font>
        <b/>
        <i val="0"/>
        <color theme="9"/>
      </font>
    </dxf>
    <dxf>
      <font>
        <b/>
        <i val="0"/>
        <strike val="0"/>
        <color theme="5"/>
      </font>
    </dxf>
    <dxf>
      <font>
        <color rgb="FFFF0000"/>
      </font>
    </dxf>
    <dxf>
      <font>
        <b/>
        <i val="0"/>
        <color theme="9"/>
      </font>
    </dxf>
    <dxf>
      <font>
        <b/>
        <i val="0"/>
        <strike val="0"/>
        <color theme="5"/>
      </font>
    </dxf>
    <dxf>
      <font>
        <color rgb="FFFF0000"/>
      </font>
    </dxf>
    <dxf>
      <font>
        <b/>
        <i val="0"/>
        <color theme="9"/>
      </font>
    </dxf>
    <dxf>
      <font>
        <b/>
        <i val="0"/>
        <strike val="0"/>
        <color theme="5"/>
      </font>
    </dxf>
    <dxf>
      <font>
        <color rgb="FFFF0000"/>
      </font>
    </dxf>
    <dxf>
      <font>
        <b/>
        <i val="0"/>
        <color theme="9"/>
      </font>
    </dxf>
    <dxf>
      <font>
        <b/>
        <i val="0"/>
        <strike val="0"/>
        <color theme="5"/>
      </font>
    </dxf>
    <dxf>
      <font>
        <color rgb="FFFF0000"/>
      </font>
    </dxf>
    <dxf>
      <font>
        <b/>
        <i val="0"/>
        <color theme="9"/>
      </font>
    </dxf>
    <dxf>
      <font>
        <b/>
        <i val="0"/>
        <strike val="0"/>
        <color theme="5"/>
      </font>
    </dxf>
    <dxf>
      <font>
        <color rgb="FFFF0000"/>
      </font>
    </dxf>
    <dxf>
      <font>
        <b/>
        <i val="0"/>
        <color theme="9"/>
      </font>
    </dxf>
    <dxf>
      <font>
        <b/>
        <i val="0"/>
        <strike val="0"/>
        <color theme="5"/>
      </font>
    </dxf>
    <dxf>
      <font>
        <color rgb="FFFF0000"/>
      </font>
    </dxf>
    <dxf>
      <font>
        <b/>
        <i val="0"/>
        <color theme="9"/>
      </font>
    </dxf>
    <dxf>
      <font>
        <b/>
        <i val="0"/>
        <strike val="0"/>
        <color theme="5"/>
      </font>
    </dxf>
    <dxf>
      <font>
        <color rgb="FFFF0000"/>
      </font>
    </dxf>
    <dxf>
      <font>
        <b/>
        <i val="0"/>
        <color theme="9"/>
      </font>
    </dxf>
    <dxf>
      <font>
        <b/>
        <i val="0"/>
        <strike val="0"/>
        <color theme="5"/>
      </font>
    </dxf>
    <dxf>
      <font>
        <color rgb="FFFF0000"/>
      </font>
    </dxf>
    <dxf>
      <font>
        <b/>
        <i val="0"/>
        <color theme="9"/>
      </font>
    </dxf>
    <dxf>
      <font>
        <b/>
        <i val="0"/>
        <strike val="0"/>
        <color theme="5"/>
      </font>
    </dxf>
    <dxf>
      <font>
        <color rgb="FFFF0000"/>
      </font>
    </dxf>
    <dxf>
      <font>
        <b/>
        <i val="0"/>
        <color theme="9"/>
      </font>
    </dxf>
    <dxf>
      <font>
        <b/>
        <i val="0"/>
        <strike val="0"/>
        <color theme="5"/>
      </font>
    </dxf>
    <dxf>
      <font>
        <color rgb="FFFF0000"/>
      </font>
    </dxf>
    <dxf>
      <font>
        <b/>
        <i val="0"/>
        <color theme="9"/>
      </font>
    </dxf>
    <dxf>
      <font>
        <b/>
        <i val="0"/>
        <strike val="0"/>
        <color theme="5"/>
      </font>
    </dxf>
    <dxf>
      <font>
        <color rgb="FFFF0000"/>
      </font>
    </dxf>
    <dxf>
      <font>
        <b/>
        <i val="0"/>
        <color theme="9"/>
      </font>
    </dxf>
    <dxf>
      <font>
        <b/>
        <i val="0"/>
        <strike val="0"/>
        <color theme="5"/>
      </font>
    </dxf>
    <dxf>
      <font>
        <color rgb="FFFF0000"/>
      </font>
    </dxf>
    <dxf>
      <font>
        <b/>
        <i val="0"/>
        <color theme="9"/>
      </font>
    </dxf>
    <dxf>
      <font>
        <b/>
        <i val="0"/>
        <strike val="0"/>
        <color theme="5"/>
      </font>
    </dxf>
    <dxf>
      <font>
        <color rgb="FFFF0000"/>
      </font>
    </dxf>
    <dxf>
      <font>
        <b/>
        <i val="0"/>
        <color theme="9"/>
      </font>
    </dxf>
    <dxf>
      <font>
        <b/>
        <i val="0"/>
        <strike val="0"/>
        <color theme="5"/>
      </font>
    </dxf>
    <dxf>
      <font>
        <color rgb="FFFF0000"/>
      </font>
    </dxf>
    <dxf>
      <font>
        <b/>
        <i val="0"/>
        <color theme="9"/>
      </font>
    </dxf>
    <dxf>
      <font>
        <b/>
        <i val="0"/>
        <strike val="0"/>
        <color theme="5"/>
      </font>
    </dxf>
    <dxf>
      <font>
        <color rgb="FFFF0000"/>
      </font>
    </dxf>
    <dxf>
      <font>
        <b/>
        <i val="0"/>
        <color theme="9"/>
      </font>
    </dxf>
    <dxf>
      <font>
        <b/>
        <i val="0"/>
        <strike val="0"/>
        <color theme="5"/>
      </font>
    </dxf>
    <dxf>
      <font>
        <color rgb="FFFF0000"/>
      </font>
    </dxf>
    <dxf>
      <font>
        <b/>
        <i val="0"/>
        <color theme="9"/>
      </font>
    </dxf>
    <dxf>
      <font>
        <b/>
        <i val="0"/>
        <strike val="0"/>
        <color theme="5"/>
      </font>
    </dxf>
    <dxf>
      <font>
        <color rgb="FFFF0000"/>
      </font>
    </dxf>
    <dxf>
      <font>
        <b/>
        <i val="0"/>
        <color theme="9"/>
      </font>
    </dxf>
    <dxf>
      <font>
        <b/>
        <i val="0"/>
        <strike val="0"/>
        <color theme="5"/>
      </font>
    </dxf>
    <dxf>
      <font>
        <color rgb="FFFF0000"/>
      </font>
    </dxf>
    <dxf>
      <font>
        <b/>
        <i val="0"/>
        <color theme="9"/>
      </font>
    </dxf>
    <dxf>
      <font>
        <b/>
        <i val="0"/>
        <strike val="0"/>
        <color theme="5"/>
      </font>
    </dxf>
    <dxf>
      <font>
        <color rgb="FFFF0000"/>
      </font>
    </dxf>
    <dxf>
      <font>
        <b/>
        <i val="0"/>
        <color theme="9"/>
      </font>
    </dxf>
    <dxf>
      <font>
        <b/>
        <i val="0"/>
        <strike val="0"/>
        <color theme="5"/>
      </font>
    </dxf>
    <dxf>
      <font>
        <color rgb="FFFF0000"/>
      </font>
    </dxf>
    <dxf>
      <font>
        <b/>
        <i val="0"/>
        <color theme="9"/>
      </font>
    </dxf>
    <dxf>
      <font>
        <b/>
        <i val="0"/>
        <strike val="0"/>
        <color theme="5"/>
      </font>
    </dxf>
    <dxf>
      <font>
        <color rgb="FFFF0000"/>
      </font>
    </dxf>
    <dxf>
      <font>
        <b/>
        <i val="0"/>
        <color theme="9"/>
      </font>
    </dxf>
    <dxf>
      <font>
        <b/>
        <i val="0"/>
        <strike val="0"/>
        <color theme="5"/>
      </font>
    </dxf>
    <dxf>
      <font>
        <color rgb="FFFF0000"/>
      </font>
    </dxf>
    <dxf>
      <font>
        <b/>
        <i val="0"/>
        <color theme="9"/>
      </font>
    </dxf>
    <dxf>
      <font>
        <b/>
        <i val="0"/>
        <strike val="0"/>
        <color theme="5"/>
      </font>
    </dxf>
    <dxf>
      <font>
        <color rgb="FFFF0000"/>
      </font>
    </dxf>
    <dxf>
      <font>
        <b/>
        <i val="0"/>
        <color theme="9"/>
      </font>
    </dxf>
    <dxf>
      <font>
        <b/>
        <i val="0"/>
        <strike val="0"/>
        <color theme="5"/>
      </font>
    </dxf>
    <dxf>
      <font>
        <color rgb="FFFF0000"/>
      </font>
    </dxf>
    <dxf>
      <font>
        <b/>
        <i val="0"/>
        <color theme="9"/>
      </font>
    </dxf>
    <dxf>
      <font>
        <b/>
        <i val="0"/>
        <strike val="0"/>
        <color theme="5"/>
      </font>
    </dxf>
    <dxf>
      <font>
        <color rgb="FFFF0000"/>
      </font>
    </dxf>
    <dxf>
      <font>
        <b/>
        <i val="0"/>
        <color theme="9"/>
      </font>
    </dxf>
    <dxf>
      <font>
        <b/>
        <i val="0"/>
        <strike val="0"/>
        <color theme="5"/>
      </font>
    </dxf>
    <dxf>
      <font>
        <color rgb="FFFF0000"/>
      </font>
    </dxf>
    <dxf>
      <font>
        <b/>
        <i val="0"/>
        <color theme="9"/>
      </font>
    </dxf>
    <dxf>
      <font>
        <b/>
        <i val="0"/>
        <strike val="0"/>
        <color theme="5"/>
      </font>
    </dxf>
    <dxf>
      <font>
        <color rgb="FFFF0000"/>
      </font>
    </dxf>
    <dxf>
      <font>
        <b/>
        <i val="0"/>
        <color theme="9"/>
      </font>
    </dxf>
    <dxf>
      <font>
        <b/>
        <i val="0"/>
        <strike val="0"/>
        <color theme="5"/>
      </font>
    </dxf>
    <dxf>
      <font>
        <color rgb="FFFF0000"/>
      </font>
    </dxf>
    <dxf>
      <font>
        <b/>
        <i val="0"/>
        <color theme="9"/>
      </font>
    </dxf>
    <dxf>
      <font>
        <b/>
        <i val="0"/>
        <strike val="0"/>
        <color theme="5"/>
      </font>
    </dxf>
    <dxf>
      <font>
        <color rgb="FFFF0000"/>
      </font>
    </dxf>
    <dxf>
      <font>
        <b/>
        <i val="0"/>
        <color theme="9"/>
      </font>
    </dxf>
    <dxf>
      <font>
        <b/>
        <i val="0"/>
        <strike val="0"/>
        <color theme="5"/>
      </font>
    </dxf>
    <dxf>
      <font>
        <color rgb="FFFF0000"/>
      </font>
    </dxf>
    <dxf>
      <font>
        <b/>
        <i val="0"/>
        <color theme="9"/>
      </font>
    </dxf>
    <dxf>
      <font>
        <b/>
        <i val="0"/>
        <strike val="0"/>
        <color theme="5"/>
      </font>
    </dxf>
    <dxf>
      <font>
        <color rgb="FFFF0000"/>
      </font>
    </dxf>
    <dxf>
      <font>
        <b/>
        <i val="0"/>
        <color theme="9"/>
      </font>
    </dxf>
    <dxf>
      <font>
        <b/>
        <i val="0"/>
        <strike val="0"/>
        <color theme="5"/>
      </font>
    </dxf>
    <dxf>
      <font>
        <color rgb="FFFF0000"/>
      </font>
    </dxf>
    <dxf>
      <font>
        <b/>
        <i val="0"/>
        <color theme="9"/>
      </font>
    </dxf>
    <dxf>
      <font>
        <b/>
        <i val="0"/>
        <strike val="0"/>
        <color theme="5"/>
      </font>
    </dxf>
    <dxf>
      <font>
        <color rgb="FFFF0000"/>
      </font>
    </dxf>
    <dxf>
      <font>
        <b/>
        <i val="0"/>
        <color theme="9"/>
      </font>
    </dxf>
    <dxf>
      <font>
        <b/>
        <i val="0"/>
        <strike val="0"/>
        <color theme="5"/>
      </font>
    </dxf>
    <dxf>
      <font>
        <color rgb="FFFF0000"/>
      </font>
    </dxf>
    <dxf>
      <font>
        <b/>
        <i val="0"/>
        <color theme="9"/>
      </font>
    </dxf>
    <dxf>
      <font>
        <b/>
        <i val="0"/>
        <strike val="0"/>
        <color theme="5"/>
      </font>
    </dxf>
    <dxf>
      <font>
        <color rgb="FFFF0000"/>
      </font>
    </dxf>
    <dxf>
      <font>
        <b/>
        <i val="0"/>
        <color theme="9"/>
      </font>
    </dxf>
    <dxf>
      <font>
        <b/>
        <i val="0"/>
        <strike val="0"/>
        <color theme="5"/>
      </font>
    </dxf>
    <dxf>
      <font>
        <color rgb="FFFF0000"/>
      </font>
    </dxf>
    <dxf>
      <font>
        <b/>
        <i val="0"/>
        <color theme="9"/>
      </font>
    </dxf>
    <dxf>
      <font>
        <b/>
        <i val="0"/>
        <strike val="0"/>
        <color theme="5"/>
      </font>
    </dxf>
    <dxf>
      <font>
        <color rgb="FFFF0000"/>
      </font>
    </dxf>
    <dxf>
      <font>
        <b/>
        <i val="0"/>
        <color theme="9"/>
      </font>
    </dxf>
    <dxf>
      <font>
        <b/>
        <i val="0"/>
        <strike val="0"/>
        <color theme="5"/>
      </font>
    </dxf>
    <dxf>
      <font>
        <color rgb="FFFF0000"/>
      </font>
    </dxf>
    <dxf>
      <font>
        <b/>
        <i val="0"/>
        <color theme="9"/>
      </font>
    </dxf>
    <dxf>
      <font>
        <b/>
        <i val="0"/>
        <strike val="0"/>
        <color theme="5"/>
      </font>
    </dxf>
    <dxf>
      <font>
        <color rgb="FFFF0000"/>
      </font>
    </dxf>
    <dxf>
      <font>
        <b/>
        <i val="0"/>
        <color theme="9"/>
      </font>
    </dxf>
    <dxf>
      <font>
        <b/>
        <i val="0"/>
        <strike val="0"/>
        <color theme="5"/>
      </font>
    </dxf>
    <dxf>
      <font>
        <color rgb="FFFF0000"/>
      </font>
    </dxf>
    <dxf>
      <font>
        <b/>
        <i val="0"/>
        <color theme="9"/>
      </font>
    </dxf>
    <dxf>
      <font>
        <b/>
        <i val="0"/>
        <strike val="0"/>
        <color theme="5"/>
      </font>
    </dxf>
    <dxf>
      <font>
        <color rgb="FFFF0000"/>
      </font>
    </dxf>
    <dxf>
      <font>
        <b/>
        <i val="0"/>
        <color theme="9"/>
      </font>
    </dxf>
    <dxf>
      <font>
        <b/>
        <i val="0"/>
        <strike val="0"/>
        <color theme="5"/>
      </font>
    </dxf>
    <dxf>
      <font>
        <color rgb="FFFF0000"/>
      </font>
    </dxf>
    <dxf>
      <font>
        <b/>
        <i val="0"/>
        <color theme="9"/>
      </font>
    </dxf>
    <dxf>
      <font>
        <b/>
        <i val="0"/>
        <strike val="0"/>
        <color theme="5"/>
      </font>
    </dxf>
    <dxf>
      <font>
        <color rgb="FFFF0000"/>
      </font>
    </dxf>
    <dxf>
      <font>
        <b/>
        <i val="0"/>
        <color theme="9"/>
      </font>
    </dxf>
    <dxf>
      <font>
        <b/>
        <i val="0"/>
        <strike val="0"/>
        <color theme="5"/>
      </font>
    </dxf>
    <dxf>
      <font>
        <color rgb="FFFF0000"/>
      </font>
    </dxf>
    <dxf>
      <font>
        <b/>
        <i val="0"/>
        <color theme="9"/>
      </font>
    </dxf>
    <dxf>
      <font>
        <b/>
        <i val="0"/>
        <strike val="0"/>
        <color theme="5"/>
      </font>
    </dxf>
    <dxf>
      <font>
        <color rgb="FFFF0000"/>
      </font>
    </dxf>
    <dxf>
      <font>
        <b/>
        <i val="0"/>
        <color theme="9"/>
      </font>
    </dxf>
    <dxf>
      <font>
        <b/>
        <i val="0"/>
        <strike val="0"/>
        <color theme="5"/>
      </font>
    </dxf>
    <dxf>
      <font>
        <color rgb="FFFF0000"/>
      </font>
    </dxf>
    <dxf>
      <font>
        <b/>
        <i val="0"/>
        <color theme="9"/>
      </font>
    </dxf>
    <dxf>
      <font>
        <b/>
        <i val="0"/>
        <strike val="0"/>
        <color theme="5"/>
      </font>
    </dxf>
    <dxf>
      <font>
        <color rgb="FFFF0000"/>
      </font>
    </dxf>
    <dxf>
      <font>
        <b/>
        <i val="0"/>
        <color theme="9"/>
      </font>
    </dxf>
    <dxf>
      <font>
        <b/>
        <i val="0"/>
        <strike val="0"/>
        <color theme="5"/>
      </font>
    </dxf>
    <dxf>
      <font>
        <color rgb="FFFF0000"/>
      </font>
    </dxf>
    <dxf>
      <font>
        <b/>
        <i val="0"/>
        <color theme="9"/>
      </font>
    </dxf>
    <dxf>
      <font>
        <b/>
        <i val="0"/>
        <strike val="0"/>
        <color theme="5"/>
      </font>
    </dxf>
    <dxf>
      <font>
        <color rgb="FFFF0000"/>
      </font>
    </dxf>
    <dxf>
      <font>
        <b/>
        <i val="0"/>
        <color theme="9"/>
      </font>
    </dxf>
    <dxf>
      <font>
        <b/>
        <i val="0"/>
        <strike val="0"/>
        <color theme="5"/>
      </font>
    </dxf>
    <dxf>
      <font>
        <color rgb="FFFF0000"/>
      </font>
    </dxf>
    <dxf>
      <font>
        <b/>
        <i val="0"/>
        <color theme="9"/>
      </font>
    </dxf>
    <dxf>
      <font>
        <b/>
        <i val="0"/>
        <strike val="0"/>
        <color theme="5"/>
      </font>
    </dxf>
    <dxf>
      <font>
        <color rgb="FFFF0000"/>
      </font>
    </dxf>
    <dxf>
      <font>
        <b/>
        <i val="0"/>
        <color theme="9"/>
      </font>
    </dxf>
    <dxf>
      <font>
        <b/>
        <i val="0"/>
        <strike val="0"/>
        <color theme="5"/>
      </font>
    </dxf>
    <dxf>
      <font>
        <color rgb="FFFF0000"/>
      </font>
    </dxf>
    <dxf>
      <font>
        <b/>
        <i val="0"/>
        <color theme="9"/>
      </font>
    </dxf>
    <dxf>
      <font>
        <b/>
        <i val="0"/>
        <strike val="0"/>
        <color theme="5"/>
      </font>
    </dxf>
    <dxf>
      <font>
        <color rgb="FFFF0000"/>
      </font>
    </dxf>
    <dxf>
      <font>
        <b/>
        <i val="0"/>
        <color theme="9"/>
      </font>
    </dxf>
    <dxf>
      <font>
        <b/>
        <i val="0"/>
        <strike val="0"/>
        <color theme="5"/>
      </font>
    </dxf>
    <dxf>
      <font>
        <color rgb="FFFF0000"/>
      </font>
    </dxf>
    <dxf>
      <font>
        <b/>
        <i val="0"/>
        <color theme="9"/>
      </font>
    </dxf>
    <dxf>
      <font>
        <b/>
        <i val="0"/>
        <strike val="0"/>
        <color theme="5"/>
      </font>
    </dxf>
    <dxf>
      <font>
        <color rgb="FFFF0000"/>
      </font>
    </dxf>
    <dxf>
      <font>
        <b/>
        <i val="0"/>
        <color theme="9"/>
      </font>
    </dxf>
    <dxf>
      <font>
        <b/>
        <i val="0"/>
        <strike val="0"/>
        <color theme="5"/>
      </font>
    </dxf>
    <dxf>
      <font>
        <color rgb="FFFF0000"/>
      </font>
    </dxf>
    <dxf>
      <font>
        <b/>
        <i val="0"/>
        <color theme="9"/>
      </font>
    </dxf>
    <dxf>
      <font>
        <b/>
        <i val="0"/>
        <strike val="0"/>
        <color theme="5"/>
      </font>
    </dxf>
    <dxf>
      <font>
        <color rgb="FFFF0000"/>
      </font>
    </dxf>
    <dxf>
      <font>
        <b/>
        <i val="0"/>
        <color theme="9"/>
      </font>
    </dxf>
    <dxf>
      <font>
        <b/>
        <i val="0"/>
        <strike val="0"/>
        <color theme="5"/>
      </font>
    </dxf>
    <dxf>
      <font>
        <color rgb="FFFF0000"/>
      </font>
    </dxf>
    <dxf>
      <font>
        <b/>
        <i val="0"/>
        <color theme="9"/>
      </font>
    </dxf>
    <dxf>
      <font>
        <b/>
        <i val="0"/>
        <strike val="0"/>
        <color theme="5"/>
      </font>
    </dxf>
    <dxf>
      <font>
        <color rgb="FFFF0000"/>
      </font>
    </dxf>
    <dxf>
      <font>
        <b/>
        <i val="0"/>
        <color theme="9"/>
      </font>
    </dxf>
    <dxf>
      <font>
        <b/>
        <i val="0"/>
        <strike val="0"/>
        <color theme="5"/>
      </font>
    </dxf>
    <dxf>
      <font>
        <color rgb="FFFF0000"/>
      </font>
    </dxf>
    <dxf>
      <font>
        <b/>
        <i val="0"/>
        <color theme="9"/>
      </font>
    </dxf>
    <dxf>
      <font>
        <b/>
        <i val="0"/>
        <strike val="0"/>
        <color theme="5"/>
      </font>
    </dxf>
    <dxf>
      <font>
        <color rgb="FFFF0000"/>
      </font>
    </dxf>
    <dxf>
      <font>
        <b/>
        <i val="0"/>
        <color theme="9"/>
      </font>
    </dxf>
    <dxf>
      <font>
        <b/>
        <i val="0"/>
        <strike val="0"/>
        <color theme="5"/>
      </font>
    </dxf>
    <dxf>
      <font>
        <color rgb="FFFF0000"/>
      </font>
    </dxf>
    <dxf>
      <font>
        <b/>
        <i val="0"/>
        <color theme="9"/>
      </font>
    </dxf>
    <dxf>
      <font>
        <b/>
        <i val="0"/>
        <strike val="0"/>
        <color theme="5"/>
      </font>
    </dxf>
    <dxf>
      <font>
        <color rgb="FFFF0000"/>
      </font>
    </dxf>
    <dxf>
      <font>
        <b/>
        <i val="0"/>
        <color theme="9"/>
      </font>
    </dxf>
    <dxf>
      <font>
        <b/>
        <i val="0"/>
        <strike val="0"/>
        <color theme="5"/>
      </font>
    </dxf>
    <dxf>
      <font>
        <color rgb="FFFF0000"/>
      </font>
    </dxf>
    <dxf>
      <font>
        <b/>
        <i val="0"/>
        <color theme="9"/>
      </font>
    </dxf>
    <dxf>
      <font>
        <b/>
        <i val="0"/>
        <strike val="0"/>
        <color theme="5"/>
      </font>
    </dxf>
    <dxf>
      <font>
        <color rgb="FFFF0000"/>
      </font>
    </dxf>
    <dxf>
      <font>
        <b/>
        <i val="0"/>
        <color theme="9"/>
      </font>
    </dxf>
    <dxf>
      <font>
        <b/>
        <i val="0"/>
        <strike val="0"/>
        <color theme="5"/>
      </font>
    </dxf>
    <dxf>
      <font>
        <color rgb="FFFF0000"/>
      </font>
    </dxf>
    <dxf>
      <font>
        <b/>
        <i val="0"/>
        <color theme="9"/>
      </font>
    </dxf>
    <dxf>
      <font>
        <b/>
        <i val="0"/>
        <strike val="0"/>
        <color theme="5"/>
      </font>
    </dxf>
    <dxf>
      <font>
        <color rgb="FFFF0000"/>
      </font>
    </dxf>
    <dxf>
      <font>
        <b/>
        <i val="0"/>
        <color theme="9"/>
      </font>
    </dxf>
    <dxf>
      <font>
        <b/>
        <i val="0"/>
        <strike val="0"/>
        <color theme="5"/>
      </font>
    </dxf>
    <dxf>
      <font>
        <color rgb="FFFF0000"/>
      </font>
    </dxf>
    <dxf>
      <font>
        <b/>
        <i val="0"/>
        <color theme="9"/>
      </font>
    </dxf>
    <dxf>
      <font>
        <b/>
        <i val="0"/>
        <strike val="0"/>
        <color theme="5"/>
      </font>
    </dxf>
    <dxf>
      <font>
        <b/>
        <i val="0"/>
        <color theme="9"/>
      </font>
    </dxf>
    <dxf>
      <font>
        <b/>
        <i val="0"/>
        <strike val="0"/>
        <color theme="5"/>
      </font>
    </dxf>
    <dxf>
      <font>
        <color rgb="FFFF0000"/>
      </font>
    </dxf>
    <dxf>
      <font>
        <b/>
        <i val="0"/>
        <color theme="9"/>
      </font>
    </dxf>
    <dxf>
      <font>
        <b/>
        <i val="0"/>
        <strike val="0"/>
        <color theme="5"/>
      </font>
    </dxf>
    <dxf>
      <font>
        <color rgb="FFFF0000"/>
      </font>
    </dxf>
    <dxf>
      <font>
        <color rgb="FFFF0000"/>
      </font>
    </dxf>
    <dxf>
      <font>
        <b/>
        <i val="0"/>
        <color theme="9"/>
      </font>
    </dxf>
    <dxf>
      <font>
        <b/>
        <i val="0"/>
        <strike val="0"/>
        <color theme="5"/>
      </font>
    </dxf>
    <dxf>
      <font>
        <color rgb="FFFF0000"/>
      </font>
    </dxf>
    <dxf>
      <font>
        <b/>
        <i val="0"/>
        <color theme="9"/>
      </font>
    </dxf>
    <dxf>
      <font>
        <b/>
        <i val="0"/>
        <strike val="0"/>
        <color theme="5"/>
      </font>
    </dxf>
    <dxf>
      <font>
        <color rgb="FFFF0000"/>
      </font>
    </dxf>
    <dxf>
      <font>
        <b/>
        <i val="0"/>
        <color theme="9"/>
      </font>
    </dxf>
    <dxf>
      <font>
        <b/>
        <i val="0"/>
        <strike val="0"/>
        <color theme="5"/>
      </font>
    </dxf>
    <dxf>
      <font>
        <color rgb="FFFF0000"/>
      </font>
    </dxf>
    <dxf>
      <font>
        <b/>
        <i val="0"/>
        <color theme="9"/>
      </font>
    </dxf>
    <dxf>
      <font>
        <b/>
        <i val="0"/>
        <strike val="0"/>
        <color theme="5"/>
      </font>
    </dxf>
    <dxf>
      <font>
        <color rgb="FFFF0000"/>
      </font>
    </dxf>
    <dxf>
      <font>
        <b/>
        <i val="0"/>
        <color theme="9"/>
      </font>
    </dxf>
    <dxf>
      <font>
        <b/>
        <i val="0"/>
        <strike val="0"/>
        <color theme="5"/>
      </font>
    </dxf>
    <dxf>
      <font>
        <color rgb="FFFF0000"/>
      </font>
    </dxf>
    <dxf>
      <font>
        <b/>
        <i val="0"/>
        <color theme="9"/>
      </font>
    </dxf>
    <dxf>
      <font>
        <b/>
        <i val="0"/>
        <strike val="0"/>
        <color theme="5"/>
      </font>
    </dxf>
    <dxf>
      <font>
        <color rgb="FFFF0000"/>
      </font>
    </dxf>
    <dxf>
      <font>
        <b/>
        <i val="0"/>
        <color theme="9"/>
      </font>
    </dxf>
    <dxf>
      <font>
        <b/>
        <i val="0"/>
        <strike val="0"/>
        <color theme="5"/>
      </font>
    </dxf>
    <dxf>
      <font>
        <color rgb="FFFF0000"/>
      </font>
    </dxf>
    <dxf>
      <font>
        <b/>
        <i val="0"/>
        <color theme="9"/>
      </font>
    </dxf>
    <dxf>
      <font>
        <b/>
        <i val="0"/>
        <strike val="0"/>
        <color theme="5"/>
      </font>
    </dxf>
    <dxf>
      <font>
        <color rgb="FFFF0000"/>
      </font>
    </dxf>
    <dxf>
      <font>
        <b/>
        <i val="0"/>
        <color theme="9"/>
      </font>
    </dxf>
    <dxf>
      <font>
        <b/>
        <i val="0"/>
        <strike val="0"/>
        <color theme="5"/>
      </font>
    </dxf>
    <dxf>
      <font>
        <b/>
        <i val="0"/>
        <color theme="9"/>
      </font>
    </dxf>
    <dxf>
      <font>
        <b/>
        <i val="0"/>
        <strike val="0"/>
        <color theme="5"/>
      </font>
    </dxf>
    <dxf>
      <font>
        <color rgb="FFFF0000"/>
      </font>
    </dxf>
    <dxf>
      <font>
        <color rgb="FFFF0000"/>
      </font>
    </dxf>
    <dxf>
      <font>
        <b/>
        <i val="0"/>
        <color theme="9"/>
      </font>
    </dxf>
    <dxf>
      <font>
        <b/>
        <i val="0"/>
        <strike val="0"/>
        <color theme="5"/>
      </font>
    </dxf>
    <dxf>
      <font>
        <color rgb="FFFF0000"/>
      </font>
    </dxf>
    <dxf>
      <font>
        <b/>
        <i val="0"/>
        <color theme="9"/>
      </font>
    </dxf>
    <dxf>
      <font>
        <b/>
        <i val="0"/>
        <strike val="0"/>
        <color theme="5"/>
      </font>
    </dxf>
    <dxf>
      <font>
        <color rgb="FFFF0000"/>
      </font>
    </dxf>
    <dxf>
      <font>
        <b/>
        <i val="0"/>
        <color theme="9"/>
      </font>
    </dxf>
    <dxf>
      <font>
        <b/>
        <i val="0"/>
        <strike val="0"/>
        <color theme="5"/>
      </font>
    </dxf>
    <dxf>
      <font>
        <color rgb="FFFF0000"/>
      </font>
    </dxf>
    <dxf>
      <font>
        <b/>
        <i val="0"/>
        <color theme="9"/>
      </font>
    </dxf>
    <dxf>
      <font>
        <b/>
        <i val="0"/>
        <strike val="0"/>
        <color theme="5"/>
      </font>
    </dxf>
    <dxf>
      <font>
        <color rgb="FFFF0000"/>
      </font>
    </dxf>
    <dxf>
      <font>
        <b/>
        <i val="0"/>
        <color theme="9"/>
      </font>
    </dxf>
    <dxf>
      <font>
        <b/>
        <i val="0"/>
        <strike val="0"/>
        <color theme="5"/>
      </font>
    </dxf>
    <dxf>
      <font>
        <b/>
        <i val="0"/>
        <color theme="9"/>
      </font>
    </dxf>
    <dxf>
      <font>
        <b/>
        <i val="0"/>
        <strike val="0"/>
        <color theme="5"/>
      </font>
    </dxf>
    <dxf>
      <font>
        <color rgb="FFFF0000"/>
      </font>
    </dxf>
    <dxf>
      <font>
        <color rgb="FFFF0000"/>
      </font>
    </dxf>
    <dxf>
      <font>
        <b/>
        <i val="0"/>
        <color theme="9"/>
      </font>
    </dxf>
    <dxf>
      <font>
        <b/>
        <i val="0"/>
        <strike val="0"/>
        <color theme="5"/>
      </font>
    </dxf>
    <dxf>
      <font>
        <color rgb="FFFF0000"/>
      </font>
    </dxf>
    <dxf>
      <font>
        <b/>
        <i val="0"/>
        <color theme="9"/>
      </font>
    </dxf>
    <dxf>
      <font>
        <b/>
        <i val="0"/>
        <strike val="0"/>
        <color theme="5"/>
      </font>
    </dxf>
    <dxf>
      <font>
        <color rgb="FFFF0000"/>
      </font>
    </dxf>
    <dxf>
      <font>
        <b/>
        <i val="0"/>
        <color theme="9"/>
      </font>
    </dxf>
    <dxf>
      <font>
        <b/>
        <i val="0"/>
        <strike val="0"/>
        <color theme="5"/>
      </font>
    </dxf>
    <dxf>
      <font>
        <color rgb="FFFF0000"/>
      </font>
    </dxf>
    <dxf>
      <font>
        <b/>
        <i val="0"/>
        <color theme="9"/>
      </font>
    </dxf>
    <dxf>
      <font>
        <b/>
        <i val="0"/>
        <strike val="0"/>
        <color theme="5"/>
      </font>
    </dxf>
    <dxf>
      <font>
        <color rgb="FFFF0000"/>
      </font>
    </dxf>
    <dxf>
      <font>
        <b/>
        <i val="0"/>
        <color theme="9"/>
      </font>
    </dxf>
    <dxf>
      <font>
        <b/>
        <i val="0"/>
        <strike val="0"/>
        <color theme="5"/>
      </font>
    </dxf>
    <dxf>
      <font>
        <color rgb="FFFF0000"/>
      </font>
    </dxf>
    <dxf>
      <font>
        <b/>
        <i val="0"/>
        <color theme="9"/>
      </font>
    </dxf>
    <dxf>
      <font>
        <b/>
        <i val="0"/>
        <strike val="0"/>
        <color theme="5"/>
      </font>
    </dxf>
    <dxf>
      <font>
        <color rgb="FFFF0000"/>
      </font>
    </dxf>
    <dxf>
      <font>
        <b/>
        <i val="0"/>
        <color theme="9"/>
      </font>
    </dxf>
    <dxf>
      <font>
        <b/>
        <i val="0"/>
        <strike val="0"/>
        <color theme="5"/>
      </font>
    </dxf>
    <dxf>
      <font>
        <color rgb="FFFF0000"/>
      </font>
    </dxf>
    <dxf>
      <font>
        <b/>
        <i val="0"/>
        <color theme="9"/>
      </font>
    </dxf>
    <dxf>
      <font>
        <b/>
        <i val="0"/>
        <strike val="0"/>
        <color theme="5"/>
      </font>
    </dxf>
    <dxf>
      <font>
        <color rgb="FFFF0000"/>
      </font>
    </dxf>
    <dxf>
      <font>
        <b/>
        <i val="0"/>
        <color theme="9"/>
      </font>
    </dxf>
    <dxf>
      <font>
        <b/>
        <i val="0"/>
        <strike val="0"/>
        <color theme="5"/>
      </font>
    </dxf>
    <dxf>
      <font>
        <color rgb="FFFF0000"/>
      </font>
    </dxf>
    <dxf>
      <font>
        <b/>
        <i val="0"/>
        <color theme="9"/>
      </font>
    </dxf>
    <dxf>
      <font>
        <b/>
        <i val="0"/>
        <strike val="0"/>
        <color theme="5"/>
      </font>
    </dxf>
    <dxf>
      <font>
        <color rgb="FFFF0000"/>
      </font>
    </dxf>
    <dxf>
      <font>
        <b/>
        <i val="0"/>
        <color theme="9"/>
      </font>
    </dxf>
    <dxf>
      <font>
        <b/>
        <i val="0"/>
        <strike val="0"/>
        <color theme="5"/>
      </font>
    </dxf>
    <dxf>
      <font>
        <color rgb="FFFF0000"/>
      </font>
    </dxf>
    <dxf>
      <font>
        <b/>
        <i val="0"/>
        <color theme="9"/>
      </font>
    </dxf>
    <dxf>
      <font>
        <b/>
        <i val="0"/>
        <strike val="0"/>
        <color theme="5"/>
      </font>
    </dxf>
    <dxf>
      <font>
        <color rgb="FFFF0000"/>
      </font>
    </dxf>
    <dxf>
      <font>
        <b/>
        <i val="0"/>
        <color theme="9"/>
      </font>
    </dxf>
    <dxf>
      <font>
        <b/>
        <i val="0"/>
        <strike val="0"/>
        <color theme="5"/>
      </font>
    </dxf>
    <dxf>
      <font>
        <color rgb="FFFF0000"/>
      </font>
    </dxf>
    <dxf>
      <font>
        <b/>
        <i val="0"/>
        <color theme="9"/>
      </font>
    </dxf>
    <dxf>
      <font>
        <b/>
        <i val="0"/>
        <strike val="0"/>
        <color theme="5"/>
      </font>
    </dxf>
    <dxf>
      <font>
        <color rgb="FFFF0000"/>
      </font>
    </dxf>
    <dxf>
      <font>
        <b/>
        <i val="0"/>
        <color theme="9"/>
      </font>
    </dxf>
    <dxf>
      <font>
        <b/>
        <i val="0"/>
        <strike val="0"/>
        <color theme="5"/>
      </font>
    </dxf>
    <dxf>
      <font>
        <color rgb="FFFF0000"/>
      </font>
    </dxf>
    <dxf>
      <font>
        <b/>
        <i val="0"/>
        <color theme="9"/>
      </font>
    </dxf>
    <dxf>
      <font>
        <b/>
        <i val="0"/>
        <strike val="0"/>
        <color theme="5"/>
      </font>
    </dxf>
    <dxf>
      <font>
        <color rgb="FFFF0000"/>
      </font>
    </dxf>
    <dxf>
      <font>
        <b/>
        <i val="0"/>
        <color theme="9"/>
      </font>
    </dxf>
    <dxf>
      <font>
        <b/>
        <i val="0"/>
        <strike val="0"/>
        <color theme="5"/>
      </font>
    </dxf>
    <dxf>
      <font>
        <color rgb="FFFF0000"/>
      </font>
    </dxf>
    <dxf>
      <font>
        <b/>
        <i val="0"/>
        <color theme="9"/>
      </font>
    </dxf>
    <dxf>
      <font>
        <b/>
        <i val="0"/>
        <strike val="0"/>
        <color theme="5"/>
      </font>
    </dxf>
    <dxf>
      <font>
        <color rgb="FFFF0000"/>
      </font>
    </dxf>
    <dxf>
      <font>
        <b/>
        <i val="0"/>
        <color theme="9"/>
      </font>
    </dxf>
    <dxf>
      <font>
        <b/>
        <i val="0"/>
        <strike val="0"/>
        <color theme="5"/>
      </font>
    </dxf>
    <dxf>
      <font>
        <color rgb="FFFF0000"/>
      </font>
    </dxf>
    <dxf>
      <font>
        <b/>
        <i val="0"/>
        <color theme="9"/>
      </font>
    </dxf>
    <dxf>
      <font>
        <b/>
        <i val="0"/>
        <strike val="0"/>
        <color theme="5"/>
      </font>
    </dxf>
    <dxf>
      <font>
        <color rgb="FFFF0000"/>
      </font>
    </dxf>
    <dxf>
      <font>
        <b/>
        <i val="0"/>
        <color theme="9"/>
      </font>
    </dxf>
    <dxf>
      <font>
        <b/>
        <i val="0"/>
        <strike val="0"/>
        <color theme="5"/>
      </font>
    </dxf>
    <dxf>
      <font>
        <color rgb="FFFF0000"/>
      </font>
    </dxf>
    <dxf>
      <font>
        <b/>
        <i val="0"/>
        <color theme="9"/>
      </font>
    </dxf>
    <dxf>
      <font>
        <b/>
        <i val="0"/>
        <strike val="0"/>
        <color theme="5"/>
      </font>
    </dxf>
    <dxf>
      <font>
        <color rgb="FFFF0000"/>
      </font>
    </dxf>
    <dxf>
      <font>
        <b/>
        <i val="0"/>
        <color theme="9"/>
      </font>
    </dxf>
    <dxf>
      <font>
        <b/>
        <i val="0"/>
        <strike val="0"/>
        <color theme="5"/>
      </font>
    </dxf>
    <dxf>
      <font>
        <color rgb="FFFF0000"/>
      </font>
    </dxf>
    <dxf>
      <font>
        <b/>
        <i val="0"/>
        <color theme="9"/>
      </font>
    </dxf>
    <dxf>
      <font>
        <b/>
        <i val="0"/>
        <strike val="0"/>
        <color theme="5"/>
      </font>
    </dxf>
    <dxf>
      <font>
        <color rgb="FFFF0000"/>
      </font>
    </dxf>
    <dxf>
      <font>
        <b/>
        <i val="0"/>
        <color theme="9"/>
      </font>
    </dxf>
    <dxf>
      <font>
        <b/>
        <i val="0"/>
        <strike val="0"/>
        <color theme="5"/>
      </font>
    </dxf>
    <dxf>
      <font>
        <color rgb="FFFF0000"/>
      </font>
    </dxf>
    <dxf>
      <font>
        <b/>
        <i val="0"/>
        <color theme="9"/>
      </font>
    </dxf>
    <dxf>
      <font>
        <b/>
        <i val="0"/>
        <strike val="0"/>
        <color theme="5"/>
      </font>
    </dxf>
    <dxf>
      <font>
        <color rgb="FFFF0000"/>
      </font>
    </dxf>
    <dxf>
      <font>
        <b/>
        <i val="0"/>
        <color theme="9"/>
      </font>
    </dxf>
    <dxf>
      <font>
        <b/>
        <i val="0"/>
        <strike val="0"/>
        <color theme="5"/>
      </font>
    </dxf>
    <dxf>
      <font>
        <color rgb="FFFF0000"/>
      </font>
    </dxf>
    <dxf>
      <font>
        <b/>
        <i val="0"/>
        <color theme="9"/>
      </font>
    </dxf>
    <dxf>
      <font>
        <b/>
        <i val="0"/>
        <strike val="0"/>
        <color theme="5"/>
      </font>
    </dxf>
    <dxf>
      <font>
        <color rgb="FFFF0000"/>
      </font>
    </dxf>
    <dxf>
      <font>
        <b/>
        <i val="0"/>
        <color theme="9"/>
      </font>
    </dxf>
    <dxf>
      <font>
        <b/>
        <i val="0"/>
        <strike val="0"/>
        <color theme="5"/>
      </font>
    </dxf>
    <dxf>
      <font>
        <color rgb="FFFF0000"/>
      </font>
    </dxf>
    <dxf>
      <font>
        <b/>
        <i val="0"/>
        <color theme="9"/>
      </font>
    </dxf>
    <dxf>
      <font>
        <b/>
        <i val="0"/>
        <strike val="0"/>
        <color theme="5"/>
      </font>
    </dxf>
    <dxf>
      <font>
        <color rgb="FFFF0000"/>
      </font>
    </dxf>
    <dxf>
      <font>
        <b/>
        <i val="0"/>
        <color theme="9"/>
      </font>
    </dxf>
    <dxf>
      <font>
        <b/>
        <i val="0"/>
        <strike val="0"/>
        <color theme="5"/>
      </font>
    </dxf>
    <dxf>
      <font>
        <color rgb="FFFF0000"/>
      </font>
    </dxf>
    <dxf>
      <font>
        <b/>
        <i val="0"/>
        <color theme="9"/>
      </font>
    </dxf>
    <dxf>
      <font>
        <b/>
        <i val="0"/>
        <strike val="0"/>
        <color theme="5"/>
      </font>
    </dxf>
    <dxf>
      <font>
        <color rgb="FFFF0000"/>
      </font>
    </dxf>
    <dxf>
      <font>
        <b/>
        <i val="0"/>
        <color theme="9"/>
      </font>
    </dxf>
    <dxf>
      <font>
        <b/>
        <i val="0"/>
        <strike val="0"/>
        <color theme="5"/>
      </font>
    </dxf>
    <dxf>
      <font>
        <color rgb="FFFF0000"/>
      </font>
    </dxf>
    <dxf>
      <font>
        <b/>
        <i val="0"/>
        <color theme="9"/>
      </font>
    </dxf>
    <dxf>
      <font>
        <b/>
        <i val="0"/>
        <strike val="0"/>
        <color theme="5"/>
      </font>
    </dxf>
    <dxf>
      <font>
        <color rgb="FFFF0000"/>
      </font>
    </dxf>
    <dxf>
      <font>
        <b/>
        <i val="0"/>
        <color theme="9"/>
      </font>
    </dxf>
    <dxf>
      <font>
        <b/>
        <i val="0"/>
        <strike val="0"/>
        <color theme="5"/>
      </font>
    </dxf>
    <dxf>
      <font>
        <color rgb="FFFF0000"/>
      </font>
    </dxf>
    <dxf>
      <font>
        <b/>
        <i val="0"/>
        <color theme="9"/>
      </font>
    </dxf>
    <dxf>
      <font>
        <b/>
        <i val="0"/>
        <strike val="0"/>
        <color theme="5"/>
      </font>
    </dxf>
    <dxf>
      <font>
        <color rgb="FFFF0000"/>
      </font>
    </dxf>
    <dxf>
      <font>
        <b/>
        <i val="0"/>
        <color theme="9"/>
      </font>
    </dxf>
    <dxf>
      <font>
        <b/>
        <i val="0"/>
        <strike val="0"/>
        <color theme="5"/>
      </font>
    </dxf>
    <dxf>
      <font>
        <color rgb="FFFF0000"/>
      </font>
    </dxf>
    <dxf>
      <font>
        <b/>
        <i val="0"/>
        <color theme="9"/>
      </font>
    </dxf>
    <dxf>
      <font>
        <b/>
        <i val="0"/>
        <strike val="0"/>
        <color theme="5"/>
      </font>
    </dxf>
    <dxf>
      <font>
        <color rgb="FFFF0000"/>
      </font>
    </dxf>
    <dxf>
      <font>
        <b/>
        <i val="0"/>
        <color theme="9"/>
      </font>
    </dxf>
    <dxf>
      <font>
        <b/>
        <i val="0"/>
        <strike val="0"/>
        <color theme="5"/>
      </font>
    </dxf>
    <dxf>
      <font>
        <color rgb="FFFF0000"/>
      </font>
    </dxf>
    <dxf>
      <font>
        <b/>
        <i val="0"/>
        <color theme="9"/>
      </font>
    </dxf>
    <dxf>
      <font>
        <b/>
        <i val="0"/>
        <strike val="0"/>
        <color theme="5"/>
      </font>
    </dxf>
    <dxf>
      <font>
        <color rgb="FFFF0000"/>
      </font>
    </dxf>
    <dxf>
      <font>
        <b/>
        <i val="0"/>
        <color theme="9"/>
      </font>
    </dxf>
    <dxf>
      <font>
        <b/>
        <i val="0"/>
        <strike val="0"/>
        <color theme="5"/>
      </font>
    </dxf>
    <dxf>
      <font>
        <color rgb="FFFF0000"/>
      </font>
    </dxf>
    <dxf>
      <font>
        <b/>
        <i val="0"/>
        <color theme="9"/>
      </font>
    </dxf>
    <dxf>
      <font>
        <b/>
        <i val="0"/>
        <strike val="0"/>
        <color theme="5"/>
      </font>
    </dxf>
    <dxf>
      <font>
        <color rgb="FFFF0000"/>
      </font>
    </dxf>
    <dxf>
      <font>
        <b/>
        <i val="0"/>
        <color theme="9"/>
      </font>
    </dxf>
    <dxf>
      <font>
        <b/>
        <i val="0"/>
        <strike val="0"/>
        <color theme="5"/>
      </font>
    </dxf>
    <dxf>
      <font>
        <color rgb="FFFF0000"/>
      </font>
    </dxf>
    <dxf>
      <font>
        <b/>
        <i val="0"/>
        <color theme="9"/>
      </font>
    </dxf>
    <dxf>
      <font>
        <b/>
        <i val="0"/>
        <strike val="0"/>
        <color theme="5"/>
      </font>
    </dxf>
    <dxf>
      <font>
        <color rgb="FFFF0000"/>
      </font>
    </dxf>
    <dxf>
      <font>
        <b/>
        <i val="0"/>
        <color theme="9"/>
      </font>
    </dxf>
    <dxf>
      <font>
        <b/>
        <i val="0"/>
        <strike val="0"/>
        <color theme="5"/>
      </font>
    </dxf>
    <dxf>
      <font>
        <color rgb="FFFF0000"/>
      </font>
    </dxf>
    <dxf>
      <font>
        <b/>
        <i val="0"/>
        <color theme="9"/>
      </font>
    </dxf>
    <dxf>
      <font>
        <b/>
        <i val="0"/>
        <strike val="0"/>
        <color theme="5"/>
      </font>
    </dxf>
    <dxf>
      <font>
        <color rgb="FFFF0000"/>
      </font>
    </dxf>
    <dxf>
      <font>
        <b/>
        <i val="0"/>
        <color theme="9"/>
      </font>
    </dxf>
    <dxf>
      <font>
        <b/>
        <i val="0"/>
        <strike val="0"/>
        <color theme="5"/>
      </font>
    </dxf>
    <dxf>
      <font>
        <color rgb="FFFF0000"/>
      </font>
    </dxf>
    <dxf>
      <font>
        <b/>
        <i val="0"/>
        <color theme="9"/>
      </font>
    </dxf>
    <dxf>
      <font>
        <b/>
        <i val="0"/>
        <strike val="0"/>
        <color theme="5"/>
      </font>
    </dxf>
    <dxf>
      <font>
        <color rgb="FFFF0000"/>
      </font>
    </dxf>
    <dxf>
      <font>
        <b/>
        <i val="0"/>
        <color theme="9"/>
      </font>
    </dxf>
    <dxf>
      <font>
        <b/>
        <i val="0"/>
        <strike val="0"/>
        <color theme="5"/>
      </font>
    </dxf>
    <dxf>
      <font>
        <color rgb="FFFF0000"/>
      </font>
    </dxf>
    <dxf>
      <font>
        <b/>
        <i val="0"/>
        <color theme="9"/>
      </font>
    </dxf>
    <dxf>
      <font>
        <b/>
        <i val="0"/>
        <strike val="0"/>
        <color theme="5"/>
      </font>
    </dxf>
    <dxf>
      <font>
        <color rgb="FFFF0000"/>
      </font>
    </dxf>
    <dxf>
      <font>
        <b/>
        <i val="0"/>
        <color theme="9"/>
      </font>
    </dxf>
    <dxf>
      <font>
        <b/>
        <i val="0"/>
        <strike val="0"/>
        <color theme="5"/>
      </font>
    </dxf>
    <dxf>
      <font>
        <color rgb="FFFF0000"/>
      </font>
    </dxf>
    <dxf>
      <font>
        <b/>
        <i val="0"/>
        <color theme="9"/>
      </font>
    </dxf>
    <dxf>
      <font>
        <b/>
        <i val="0"/>
        <strike val="0"/>
        <color theme="5"/>
      </font>
    </dxf>
    <dxf>
      <font>
        <color rgb="FFFF0000"/>
      </font>
    </dxf>
    <dxf>
      <font>
        <b/>
        <i val="0"/>
        <color theme="9"/>
      </font>
    </dxf>
    <dxf>
      <font>
        <b/>
        <i val="0"/>
        <strike val="0"/>
        <color theme="5"/>
      </font>
    </dxf>
    <dxf>
      <font>
        <color rgb="FFFF0000"/>
      </font>
    </dxf>
    <dxf>
      <font>
        <b/>
        <i val="0"/>
        <color theme="9"/>
      </font>
    </dxf>
    <dxf>
      <font>
        <b/>
        <i val="0"/>
        <strike val="0"/>
        <color theme="5"/>
      </font>
    </dxf>
    <dxf>
      <font>
        <color rgb="FFFF0000"/>
      </font>
    </dxf>
    <dxf>
      <font>
        <b/>
        <i val="0"/>
        <color theme="9"/>
      </font>
    </dxf>
    <dxf>
      <font>
        <b/>
        <i val="0"/>
        <strike val="0"/>
        <color theme="5"/>
      </font>
    </dxf>
    <dxf>
      <font>
        <color rgb="FFFF0000"/>
      </font>
    </dxf>
    <dxf>
      <font>
        <b/>
        <i val="0"/>
        <color theme="9"/>
      </font>
    </dxf>
    <dxf>
      <font>
        <b/>
        <i val="0"/>
        <strike val="0"/>
        <color theme="5"/>
      </font>
    </dxf>
    <dxf>
      <font>
        <color rgb="FFFF0000"/>
      </font>
    </dxf>
    <dxf>
      <font>
        <b/>
        <i val="0"/>
        <color theme="9"/>
      </font>
    </dxf>
    <dxf>
      <font>
        <b/>
        <i val="0"/>
        <strike val="0"/>
        <color theme="5"/>
      </font>
    </dxf>
    <dxf>
      <font>
        <color rgb="FFFF0000"/>
      </font>
    </dxf>
    <dxf>
      <font>
        <b/>
        <i val="0"/>
        <color theme="9"/>
      </font>
    </dxf>
    <dxf>
      <font>
        <b/>
        <i val="0"/>
        <strike val="0"/>
        <color theme="5"/>
      </font>
    </dxf>
    <dxf>
      <font>
        <color rgb="FFFF0000"/>
      </font>
    </dxf>
    <dxf>
      <font>
        <b/>
        <i val="0"/>
        <color theme="9"/>
      </font>
    </dxf>
    <dxf>
      <font>
        <b/>
        <i val="0"/>
        <strike val="0"/>
        <color theme="5"/>
      </font>
    </dxf>
    <dxf>
      <font>
        <color rgb="FFFF0000"/>
      </font>
    </dxf>
    <dxf>
      <font>
        <b/>
        <i val="0"/>
        <color theme="9"/>
      </font>
    </dxf>
    <dxf>
      <font>
        <b/>
        <i val="0"/>
        <strike val="0"/>
        <color theme="5"/>
      </font>
    </dxf>
    <dxf>
      <font>
        <color rgb="FFFF0000"/>
      </font>
    </dxf>
    <dxf>
      <font>
        <b/>
        <i val="0"/>
        <color theme="9"/>
      </font>
    </dxf>
    <dxf>
      <font>
        <b/>
        <i val="0"/>
        <strike val="0"/>
        <color theme="5"/>
      </font>
    </dxf>
    <dxf>
      <font>
        <color rgb="FFFF0000"/>
      </font>
    </dxf>
    <dxf>
      <font>
        <b/>
        <i val="0"/>
        <color theme="9"/>
      </font>
    </dxf>
    <dxf>
      <font>
        <b/>
        <i val="0"/>
        <strike val="0"/>
        <color theme="5"/>
      </font>
    </dxf>
    <dxf>
      <font>
        <color rgb="FFFF0000"/>
      </font>
    </dxf>
    <dxf>
      <font>
        <b/>
        <i val="0"/>
        <color theme="9"/>
      </font>
    </dxf>
    <dxf>
      <font>
        <b/>
        <i val="0"/>
        <strike val="0"/>
        <color theme="5"/>
      </font>
    </dxf>
    <dxf>
      <font>
        <color rgb="FFFF0000"/>
      </font>
    </dxf>
    <dxf>
      <font>
        <b/>
        <i val="0"/>
        <color theme="9"/>
      </font>
    </dxf>
    <dxf>
      <font>
        <b/>
        <i val="0"/>
        <strike val="0"/>
        <color theme="5"/>
      </font>
    </dxf>
    <dxf>
      <font>
        <color rgb="FFFF0000"/>
      </font>
    </dxf>
    <dxf>
      <font>
        <b/>
        <i val="0"/>
        <color theme="9"/>
      </font>
    </dxf>
    <dxf>
      <font>
        <b/>
        <i val="0"/>
        <strike val="0"/>
        <color theme="5"/>
      </font>
    </dxf>
    <dxf>
      <font>
        <color rgb="FFFF0000"/>
      </font>
    </dxf>
    <dxf>
      <font>
        <b/>
        <i val="0"/>
        <color theme="9"/>
      </font>
    </dxf>
    <dxf>
      <font>
        <b/>
        <i val="0"/>
        <strike val="0"/>
        <color theme="5"/>
      </font>
    </dxf>
    <dxf>
      <font>
        <color rgb="FFFF0000"/>
      </font>
    </dxf>
    <dxf>
      <font>
        <b/>
        <i val="0"/>
        <color theme="9"/>
      </font>
    </dxf>
    <dxf>
      <font>
        <b/>
        <i val="0"/>
        <strike val="0"/>
        <color theme="5"/>
      </font>
    </dxf>
    <dxf>
      <font>
        <color rgb="FFFF0000"/>
      </font>
    </dxf>
    <dxf>
      <font>
        <b/>
        <i val="0"/>
        <color theme="9"/>
      </font>
    </dxf>
    <dxf>
      <font>
        <b/>
        <i val="0"/>
        <strike val="0"/>
        <color theme="5"/>
      </font>
    </dxf>
    <dxf>
      <font>
        <color rgb="FFFF0000"/>
      </font>
    </dxf>
    <dxf>
      <font>
        <b/>
        <i val="0"/>
        <color theme="9"/>
      </font>
    </dxf>
    <dxf>
      <font>
        <b/>
        <i val="0"/>
        <strike val="0"/>
        <color theme="5"/>
      </font>
    </dxf>
    <dxf>
      <font>
        <color rgb="FFFF0000"/>
      </font>
    </dxf>
    <dxf>
      <font>
        <b/>
        <i val="0"/>
        <color theme="9"/>
      </font>
    </dxf>
    <dxf>
      <font>
        <b/>
        <i val="0"/>
        <strike val="0"/>
        <color theme="5"/>
      </font>
    </dxf>
    <dxf>
      <font>
        <color rgb="FFFF0000"/>
      </font>
    </dxf>
    <dxf>
      <font>
        <b/>
        <i val="0"/>
        <color theme="9"/>
      </font>
    </dxf>
    <dxf>
      <font>
        <b/>
        <i val="0"/>
        <strike val="0"/>
        <color theme="5"/>
      </font>
    </dxf>
    <dxf>
      <font>
        <color rgb="FFFF0000"/>
      </font>
    </dxf>
    <dxf>
      <font>
        <b/>
        <i val="0"/>
        <color theme="9"/>
      </font>
    </dxf>
    <dxf>
      <font>
        <b/>
        <i val="0"/>
        <strike val="0"/>
        <color theme="5"/>
      </font>
    </dxf>
    <dxf>
      <font>
        <color rgb="FFFF0000"/>
      </font>
    </dxf>
    <dxf>
      <font>
        <b/>
        <i val="0"/>
        <color theme="9"/>
      </font>
    </dxf>
    <dxf>
      <font>
        <b/>
        <i val="0"/>
        <strike val="0"/>
        <color theme="5"/>
      </font>
    </dxf>
    <dxf>
      <font>
        <color rgb="FFFF0000"/>
      </font>
    </dxf>
    <dxf>
      <font>
        <b/>
        <i val="0"/>
        <color theme="9"/>
      </font>
    </dxf>
    <dxf>
      <font>
        <b/>
        <i val="0"/>
        <strike val="0"/>
        <color theme="5"/>
      </font>
    </dxf>
    <dxf>
      <font>
        <color rgb="FFFF0000"/>
      </font>
    </dxf>
    <dxf>
      <font>
        <b/>
        <i val="0"/>
        <color theme="9"/>
      </font>
    </dxf>
    <dxf>
      <font>
        <b/>
        <i val="0"/>
        <strike val="0"/>
        <color theme="5"/>
      </font>
    </dxf>
    <dxf>
      <font>
        <color rgb="FFFF0000"/>
      </font>
    </dxf>
    <dxf>
      <font>
        <b/>
        <i val="0"/>
        <color theme="9"/>
      </font>
    </dxf>
    <dxf>
      <font>
        <b/>
        <i val="0"/>
        <strike val="0"/>
        <color theme="5"/>
      </font>
    </dxf>
    <dxf>
      <font>
        <color rgb="FFFF0000"/>
      </font>
    </dxf>
    <dxf>
      <font>
        <b/>
        <i val="0"/>
        <color theme="9"/>
      </font>
    </dxf>
    <dxf>
      <font>
        <b/>
        <i val="0"/>
        <strike val="0"/>
        <color theme="5"/>
      </font>
    </dxf>
    <dxf>
      <font>
        <color rgb="FFFF0000"/>
      </font>
    </dxf>
    <dxf>
      <font>
        <b/>
        <i val="0"/>
        <color theme="9"/>
      </font>
    </dxf>
    <dxf>
      <font>
        <b/>
        <i val="0"/>
        <strike val="0"/>
        <color theme="5"/>
      </font>
    </dxf>
    <dxf>
      <font>
        <color rgb="FFFF0000"/>
      </font>
    </dxf>
    <dxf>
      <font>
        <b/>
        <i val="0"/>
        <color theme="9"/>
      </font>
    </dxf>
    <dxf>
      <font>
        <b/>
        <i val="0"/>
        <strike val="0"/>
        <color theme="5"/>
      </font>
    </dxf>
    <dxf>
      <font>
        <color rgb="FFFF0000"/>
      </font>
    </dxf>
    <dxf>
      <font>
        <b/>
        <i val="0"/>
        <color theme="9"/>
      </font>
    </dxf>
    <dxf>
      <font>
        <b/>
        <i val="0"/>
        <strike val="0"/>
        <color theme="5"/>
      </font>
    </dxf>
    <dxf>
      <font>
        <color rgb="FFFF0000"/>
      </font>
    </dxf>
    <dxf>
      <font>
        <b/>
        <i val="0"/>
        <color theme="9"/>
      </font>
    </dxf>
    <dxf>
      <font>
        <b/>
        <i val="0"/>
        <strike val="0"/>
        <color theme="5"/>
      </font>
    </dxf>
    <dxf>
      <font>
        <color rgb="FFFF0000"/>
      </font>
    </dxf>
    <dxf>
      <font>
        <b/>
        <i val="0"/>
        <color theme="9"/>
      </font>
    </dxf>
    <dxf>
      <font>
        <b/>
        <i val="0"/>
        <strike val="0"/>
        <color theme="5"/>
      </font>
    </dxf>
    <dxf>
      <font>
        <color rgb="FFFF0000"/>
      </font>
    </dxf>
    <dxf>
      <font>
        <b/>
        <i val="0"/>
        <color theme="9"/>
      </font>
    </dxf>
    <dxf>
      <font>
        <b/>
        <i val="0"/>
        <strike val="0"/>
        <color theme="5"/>
      </font>
    </dxf>
    <dxf>
      <font>
        <color rgb="FFFF0000"/>
      </font>
    </dxf>
    <dxf>
      <font>
        <b/>
        <i val="0"/>
        <color theme="9"/>
      </font>
    </dxf>
    <dxf>
      <font>
        <b/>
        <i val="0"/>
        <strike val="0"/>
        <color theme="5"/>
      </font>
    </dxf>
    <dxf>
      <font>
        <color rgb="FFFF0000"/>
      </font>
    </dxf>
    <dxf>
      <font>
        <b/>
        <i val="0"/>
        <color theme="9"/>
      </font>
    </dxf>
    <dxf>
      <font>
        <b/>
        <i val="0"/>
        <strike val="0"/>
        <color theme="5"/>
      </font>
    </dxf>
    <dxf>
      <font>
        <color rgb="FFFF0000"/>
      </font>
    </dxf>
    <dxf>
      <font>
        <b/>
        <i val="0"/>
        <color theme="9"/>
      </font>
    </dxf>
    <dxf>
      <font>
        <b/>
        <i val="0"/>
        <strike val="0"/>
        <color theme="5"/>
      </font>
    </dxf>
    <dxf>
      <font>
        <color rgb="FFFF0000"/>
      </font>
    </dxf>
    <dxf>
      <font>
        <b/>
        <i val="0"/>
        <color theme="9"/>
      </font>
    </dxf>
    <dxf>
      <font>
        <b/>
        <i val="0"/>
        <strike val="0"/>
        <color theme="5"/>
      </font>
    </dxf>
    <dxf>
      <font>
        <color rgb="FFFF0000"/>
      </font>
    </dxf>
    <dxf>
      <font>
        <b/>
        <i val="0"/>
        <color theme="9"/>
      </font>
    </dxf>
    <dxf>
      <font>
        <b/>
        <i val="0"/>
        <strike val="0"/>
        <color theme="5"/>
      </font>
    </dxf>
    <dxf>
      <font>
        <color rgb="FFFF0000"/>
      </font>
    </dxf>
    <dxf>
      <font>
        <b/>
        <i val="0"/>
        <color theme="9"/>
      </font>
    </dxf>
    <dxf>
      <font>
        <b/>
        <i val="0"/>
        <strike val="0"/>
        <color theme="5"/>
      </font>
    </dxf>
    <dxf>
      <font>
        <color rgb="FFFF0000"/>
      </font>
    </dxf>
    <dxf>
      <font>
        <b/>
        <i val="0"/>
        <color theme="9"/>
      </font>
    </dxf>
    <dxf>
      <font>
        <b/>
        <i val="0"/>
        <strike val="0"/>
        <color theme="5"/>
      </font>
    </dxf>
    <dxf>
      <font>
        <color rgb="FFFF0000"/>
      </font>
    </dxf>
    <dxf>
      <font>
        <b/>
        <i val="0"/>
        <color theme="9"/>
      </font>
    </dxf>
    <dxf>
      <font>
        <b/>
        <i val="0"/>
        <strike val="0"/>
        <color theme="5"/>
      </font>
    </dxf>
    <dxf>
      <font>
        <color rgb="FFFF0000"/>
      </font>
    </dxf>
    <dxf>
      <font>
        <b/>
        <i val="0"/>
        <color theme="9"/>
      </font>
    </dxf>
    <dxf>
      <font>
        <b/>
        <i val="0"/>
        <strike val="0"/>
        <color theme="5"/>
      </font>
    </dxf>
    <dxf>
      <font>
        <color rgb="FFFF0000"/>
      </font>
    </dxf>
    <dxf>
      <font>
        <b/>
        <i val="0"/>
        <color theme="9"/>
      </font>
    </dxf>
    <dxf>
      <font>
        <b/>
        <i val="0"/>
        <strike val="0"/>
        <color theme="5"/>
      </font>
    </dxf>
    <dxf>
      <font>
        <color rgb="FFFF0000"/>
      </font>
    </dxf>
    <dxf>
      <font>
        <b/>
        <i val="0"/>
        <color theme="9"/>
      </font>
    </dxf>
    <dxf>
      <font>
        <b/>
        <i val="0"/>
        <strike val="0"/>
        <color theme="5"/>
      </font>
    </dxf>
    <dxf>
      <font>
        <color rgb="FFFF0000"/>
      </font>
    </dxf>
    <dxf>
      <font>
        <b/>
        <i val="0"/>
        <color theme="9"/>
      </font>
    </dxf>
    <dxf>
      <font>
        <b/>
        <i val="0"/>
        <strike val="0"/>
        <color theme="5"/>
      </font>
    </dxf>
    <dxf>
      <font>
        <color rgb="FFFF0000"/>
      </font>
    </dxf>
    <dxf>
      <font>
        <b/>
        <i val="0"/>
        <color theme="9"/>
      </font>
    </dxf>
    <dxf>
      <font>
        <b/>
        <i val="0"/>
        <strike val="0"/>
        <color theme="5"/>
      </font>
    </dxf>
    <dxf>
      <font>
        <color rgb="FFFF0000"/>
      </font>
    </dxf>
    <dxf>
      <font>
        <b/>
        <i val="0"/>
        <color theme="9"/>
      </font>
    </dxf>
    <dxf>
      <font>
        <b/>
        <i val="0"/>
        <strike val="0"/>
        <color theme="5"/>
      </font>
    </dxf>
    <dxf>
      <font>
        <color rgb="FFFF0000"/>
      </font>
    </dxf>
    <dxf>
      <font>
        <b/>
        <i val="0"/>
        <color theme="9"/>
      </font>
    </dxf>
    <dxf>
      <font>
        <b/>
        <i val="0"/>
        <strike val="0"/>
        <color theme="5"/>
      </font>
    </dxf>
    <dxf>
      <font>
        <color rgb="FFFF0000"/>
      </font>
    </dxf>
    <dxf>
      <font>
        <b/>
        <i val="0"/>
        <color theme="9"/>
      </font>
    </dxf>
    <dxf>
      <font>
        <b/>
        <i val="0"/>
        <strike val="0"/>
        <color theme="5"/>
      </font>
    </dxf>
    <dxf>
      <font>
        <color rgb="FFFF0000"/>
      </font>
    </dxf>
    <dxf>
      <font>
        <b/>
        <i val="0"/>
        <color theme="9"/>
      </font>
    </dxf>
    <dxf>
      <font>
        <b/>
        <i val="0"/>
        <strike val="0"/>
        <color theme="5"/>
      </font>
    </dxf>
    <dxf>
      <font>
        <color rgb="FFFF0000"/>
      </font>
    </dxf>
    <dxf>
      <font>
        <b/>
        <i val="0"/>
        <color theme="9"/>
      </font>
    </dxf>
    <dxf>
      <font>
        <b/>
        <i val="0"/>
        <strike val="0"/>
        <color theme="5"/>
      </font>
    </dxf>
    <dxf>
      <font>
        <color rgb="FFFF0000"/>
      </font>
    </dxf>
    <dxf>
      <font>
        <b/>
        <i val="0"/>
        <color theme="9"/>
      </font>
    </dxf>
    <dxf>
      <font>
        <b/>
        <i val="0"/>
        <strike val="0"/>
        <color theme="5"/>
      </font>
    </dxf>
    <dxf>
      <font>
        <color rgb="FFFF0000"/>
      </font>
    </dxf>
    <dxf>
      <font>
        <b/>
        <i val="0"/>
        <color theme="9"/>
      </font>
    </dxf>
    <dxf>
      <font>
        <b/>
        <i val="0"/>
        <strike val="0"/>
        <color theme="5"/>
      </font>
    </dxf>
    <dxf>
      <font>
        <color rgb="FFFF0000"/>
      </font>
    </dxf>
    <dxf>
      <font>
        <b/>
        <i val="0"/>
        <color theme="9"/>
      </font>
    </dxf>
    <dxf>
      <font>
        <b/>
        <i val="0"/>
        <strike val="0"/>
        <color theme="5"/>
      </font>
    </dxf>
    <dxf>
      <font>
        <color rgb="FFFF0000"/>
      </font>
    </dxf>
    <dxf>
      <font>
        <b/>
        <i val="0"/>
        <color theme="9"/>
      </font>
    </dxf>
    <dxf>
      <font>
        <b/>
        <i val="0"/>
        <strike val="0"/>
        <color theme="5"/>
      </font>
    </dxf>
    <dxf>
      <font>
        <color rgb="FFFF0000"/>
      </font>
    </dxf>
    <dxf>
      <font>
        <b/>
        <i val="0"/>
        <color theme="9"/>
      </font>
    </dxf>
    <dxf>
      <font>
        <b/>
        <i val="0"/>
        <strike val="0"/>
        <color theme="5"/>
      </font>
    </dxf>
    <dxf>
      <font>
        <color rgb="FFFF0000"/>
      </font>
    </dxf>
    <dxf>
      <font>
        <b/>
        <i val="0"/>
        <color theme="9"/>
      </font>
    </dxf>
    <dxf>
      <font>
        <b/>
        <i val="0"/>
        <strike val="0"/>
        <color theme="5"/>
      </font>
    </dxf>
    <dxf>
      <font>
        <color rgb="FFFF0000"/>
      </font>
    </dxf>
    <dxf>
      <font>
        <b/>
        <i val="0"/>
        <color theme="9"/>
      </font>
    </dxf>
    <dxf>
      <font>
        <b/>
        <i val="0"/>
        <strike val="0"/>
        <color theme="5"/>
      </font>
    </dxf>
    <dxf>
      <font>
        <color rgb="FFFF0000"/>
      </font>
    </dxf>
    <dxf>
      <font>
        <b/>
        <i val="0"/>
        <color theme="9"/>
      </font>
    </dxf>
    <dxf>
      <font>
        <b/>
        <i val="0"/>
        <strike val="0"/>
        <color theme="5"/>
      </font>
    </dxf>
    <dxf>
      <font>
        <color rgb="FFFF0000"/>
      </font>
    </dxf>
    <dxf>
      <font>
        <b/>
        <i val="0"/>
        <color theme="9"/>
      </font>
    </dxf>
    <dxf>
      <font>
        <b/>
        <i val="0"/>
        <strike val="0"/>
        <color theme="5"/>
      </font>
    </dxf>
    <dxf>
      <font>
        <color rgb="FFFF0000"/>
      </font>
    </dxf>
    <dxf>
      <font>
        <b/>
        <i val="0"/>
        <color theme="9"/>
      </font>
    </dxf>
    <dxf>
      <font>
        <b/>
        <i val="0"/>
        <strike val="0"/>
        <color theme="5"/>
      </font>
    </dxf>
    <dxf>
      <font>
        <color rgb="FFFF0000"/>
      </font>
    </dxf>
    <dxf>
      <font>
        <b/>
        <i val="0"/>
        <color theme="9"/>
      </font>
    </dxf>
    <dxf>
      <font>
        <b/>
        <i val="0"/>
        <strike val="0"/>
        <color theme="5"/>
      </font>
    </dxf>
    <dxf>
      <font>
        <color rgb="FFFF0000"/>
      </font>
    </dxf>
    <dxf>
      <font>
        <b/>
        <i val="0"/>
        <color theme="9"/>
      </font>
    </dxf>
    <dxf>
      <font>
        <b/>
        <i val="0"/>
        <strike val="0"/>
        <color theme="5"/>
      </font>
    </dxf>
    <dxf>
      <font>
        <color rgb="FFFF0000"/>
      </font>
    </dxf>
    <dxf>
      <font>
        <b/>
        <i val="0"/>
        <color theme="9"/>
      </font>
    </dxf>
    <dxf>
      <font>
        <b/>
        <i val="0"/>
        <strike val="0"/>
        <color theme="5"/>
      </font>
    </dxf>
    <dxf>
      <font>
        <color rgb="FFFF0000"/>
      </font>
    </dxf>
    <dxf>
      <font>
        <b/>
        <i val="0"/>
        <color theme="9"/>
      </font>
    </dxf>
    <dxf>
      <font>
        <b/>
        <i val="0"/>
        <strike val="0"/>
        <color theme="5"/>
      </font>
    </dxf>
    <dxf>
      <font>
        <color rgb="FFFF0000"/>
      </font>
    </dxf>
    <dxf>
      <font>
        <b/>
        <i val="0"/>
        <color theme="9"/>
      </font>
    </dxf>
    <dxf>
      <font>
        <b/>
        <i val="0"/>
        <strike val="0"/>
        <color theme="5"/>
      </font>
    </dxf>
    <dxf>
      <font>
        <color rgb="FFFF0000"/>
      </font>
    </dxf>
    <dxf>
      <font>
        <b/>
        <i val="0"/>
        <color theme="9"/>
      </font>
    </dxf>
    <dxf>
      <font>
        <b/>
        <i val="0"/>
        <strike val="0"/>
        <color theme="5"/>
      </font>
    </dxf>
    <dxf>
      <font>
        <color rgb="FFFF0000"/>
      </font>
    </dxf>
    <dxf>
      <font>
        <b/>
        <i val="0"/>
        <color theme="9"/>
      </font>
    </dxf>
    <dxf>
      <font>
        <b/>
        <i val="0"/>
        <strike val="0"/>
        <color theme="5"/>
      </font>
    </dxf>
    <dxf>
      <font>
        <color rgb="FFFF0000"/>
      </font>
    </dxf>
    <dxf>
      <font>
        <b/>
        <i val="0"/>
        <color theme="9"/>
      </font>
    </dxf>
    <dxf>
      <font>
        <b/>
        <i val="0"/>
        <strike val="0"/>
        <color theme="5"/>
      </font>
    </dxf>
    <dxf>
      <font>
        <color rgb="FFFF0000"/>
      </font>
    </dxf>
    <dxf>
      <font>
        <b/>
        <i val="0"/>
        <color theme="9"/>
      </font>
    </dxf>
    <dxf>
      <font>
        <b/>
        <i val="0"/>
        <strike val="0"/>
        <color theme="5"/>
      </font>
    </dxf>
    <dxf>
      <font>
        <color rgb="FFFF0000"/>
      </font>
    </dxf>
    <dxf>
      <font>
        <b/>
        <i val="0"/>
        <color theme="9"/>
      </font>
    </dxf>
    <dxf>
      <font>
        <b/>
        <i val="0"/>
        <strike val="0"/>
        <color theme="5"/>
      </font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D9E2F3"/>
          <bgColor rgb="FFD9E2F3"/>
        </patternFill>
      </fill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b/>
        <color rgb="FF000000"/>
      </font>
      <fill>
        <patternFill patternType="solid">
          <fgColor rgb="FFD9D9D9"/>
          <bgColor rgb="FFD9D9D9"/>
        </patternFill>
      </fill>
      <border>
        <top style="double">
          <color rgb="FF000000"/>
        </top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FFFFFF"/>
          <bgColor rgb="FFFFFFFF"/>
        </patternFill>
      </fill>
    </dxf>
  </dxfs>
  <tableStyles count="23" defaultTableStyle="TableStyleMedium2" defaultPivotStyle="PivotStyleLight16">
    <tableStyle name="Google Sheets Pivot Table Style" table="0" count="12" xr9:uid="{694E34A8-B9C6-43BA-B7B6-DC4D15A478C7}">
      <tableStyleElement type="wholeTable" dxfId="909"/>
      <tableStyleElement type="headerRow" dxfId="908"/>
      <tableStyleElement type="totalRow" dxfId="907"/>
      <tableStyleElement type="firstSubtotalRow" dxfId="906"/>
      <tableStyleElement type="secondSubtotalRow" dxfId="905"/>
      <tableStyleElement type="thirdSubtotalRow" dxfId="904"/>
      <tableStyleElement type="firstColumnSubheading" dxfId="903"/>
      <tableStyleElement type="secondColumnSubheading" dxfId="902"/>
      <tableStyleElement type="thirdColumnSubheading" dxfId="901"/>
      <tableStyleElement type="firstRowSubheading" dxfId="900"/>
      <tableStyleElement type="secondRowSubheading" dxfId="899"/>
      <tableStyleElement type="thirdRowSubheading" dxfId="898"/>
    </tableStyle>
    <tableStyle name="Parametros-style" pivot="0" count="2" xr9:uid="{5F0DC033-D6D4-46F5-9FD6-9881CC22BCE6}">
      <tableStyleElement type="firstRowStripe" dxfId="897"/>
      <tableStyleElement type="secondRowStripe" dxfId="896"/>
    </tableStyle>
    <tableStyle name="Parametros-style 2" pivot="0" count="2" xr9:uid="{3BE0EF87-4A79-4702-B5E3-70CBED6E6AB7}">
      <tableStyleElement type="firstRowStripe" dxfId="895"/>
      <tableStyleElement type="secondRowStripe" dxfId="894"/>
    </tableStyle>
    <tableStyle name="Torre Comercial MON-style" pivot="0" count="2" xr9:uid="{8E54B26C-1452-4E8D-AE07-8C03B689AA23}">
      <tableStyleElement type="firstRowStripe" dxfId="893"/>
      <tableStyleElement type="secondRowStripe" dxfId="892"/>
    </tableStyle>
    <tableStyle name="Torre Comercial MON-style 2" pivot="0" count="2" xr9:uid="{9872C21A-1A1D-4DE0-BD34-AFC1668F3DFD}">
      <tableStyleElement type="firstRowStripe" dxfId="891"/>
      <tableStyleElement type="secondRowStripe" dxfId="890"/>
    </tableStyle>
    <tableStyle name="Torre Comercial MON-style 3" pivot="0" count="2" xr9:uid="{F71B7EFA-DCDA-4486-A3AF-3EFEF1239840}">
      <tableStyleElement type="firstRowStripe" dxfId="889"/>
      <tableStyleElement type="secondRowStripe" dxfId="888"/>
    </tableStyle>
    <tableStyle name="Torre Comercial MON-style 4" pivot="0" count="2" xr9:uid="{A6315158-22DF-4A54-A22C-051436EE54A3}">
      <tableStyleElement type="firstRowStripe" dxfId="887"/>
      <tableStyleElement type="secondRowStripe" dxfId="886"/>
    </tableStyle>
    <tableStyle name="Torre Horizontal MON-style" pivot="0" count="2" xr9:uid="{E4FE4B09-CC66-4619-B5A7-DA997F76DA43}">
      <tableStyleElement type="firstRowStripe" dxfId="885"/>
      <tableStyleElement type="secondRowStripe" dxfId="884"/>
    </tableStyle>
    <tableStyle name="Torre Horizontal MON-style 2" pivot="0" count="2" xr9:uid="{9172B45C-3370-4F36-9D1D-E86D222C7FAD}">
      <tableStyleElement type="firstRowStripe" dxfId="883"/>
      <tableStyleElement type="secondRowStripe" dxfId="882"/>
    </tableStyle>
    <tableStyle name="Torre Horizontal MON-style 3" pivot="0" count="2" xr9:uid="{F5D06379-1164-4E83-91CB-8033D659D7C0}">
      <tableStyleElement type="firstRowStripe" dxfId="881"/>
      <tableStyleElement type="secondRowStripe" dxfId="880"/>
    </tableStyle>
    <tableStyle name="Torre Horizontal MON-style 4" pivot="0" count="2" xr9:uid="{4AB73361-55EE-406A-A62D-F0BE02E2F1F5}">
      <tableStyleElement type="firstRowStripe" dxfId="879"/>
      <tableStyleElement type="secondRowStripe" dxfId="878"/>
    </tableStyle>
    <tableStyle name="Torre Horizontal MON-style 5" pivot="0" count="2" xr9:uid="{5025A498-A069-43BE-8E48-707125409C3E}">
      <tableStyleElement type="firstRowStripe" dxfId="877"/>
      <tableStyleElement type="secondRowStripe" dxfId="876"/>
    </tableStyle>
    <tableStyle name="Torre Horizontal MON-style 6" pivot="0" count="2" xr9:uid="{47AD9A44-78A0-4F17-BD06-EA2130B6DAC5}">
      <tableStyleElement type="firstRowStripe" dxfId="875"/>
      <tableStyleElement type="secondRowStripe" dxfId="874"/>
    </tableStyle>
    <tableStyle name="Torre Horizontal BAY-style" pivot="0" count="2" xr9:uid="{18144FFC-42E8-4B0E-868E-4323590E0CD4}">
      <tableStyleElement type="firstRowStripe" dxfId="873"/>
      <tableStyleElement type="secondRowStripe" dxfId="872"/>
    </tableStyle>
    <tableStyle name="Torre Horizontal BAY-style 2" pivot="0" count="2" xr9:uid="{E0A60034-0648-423C-9192-ECB378B5F5E6}">
      <tableStyleElement type="firstRowStripe" dxfId="871"/>
      <tableStyleElement type="secondRowStripe" dxfId="870"/>
    </tableStyle>
    <tableStyle name="Torre Horizontal BAY-style 3" pivot="0" count="2" xr9:uid="{534445A2-ACEA-4218-A44C-1D10A0565AF5}">
      <tableStyleElement type="firstRowStripe" dxfId="869"/>
      <tableStyleElement type="secondRowStripe" dxfId="868"/>
    </tableStyle>
    <tableStyle name="Torre Horizontal BAY-style 4" pivot="0" count="2" xr9:uid="{395194AA-A797-4559-9F40-E25CD1B7DC42}">
      <tableStyleElement type="firstRowStripe" dxfId="867"/>
      <tableStyleElement type="secondRowStripe" dxfId="866"/>
    </tableStyle>
    <tableStyle name="Torre Horizontal BAY-style 5" pivot="0" count="2" xr9:uid="{CF9FFDD4-1AF7-4587-9F24-1DF16C0D9BA8}">
      <tableStyleElement type="firstRowStripe" dxfId="865"/>
      <tableStyleElement type="secondRowStripe" dxfId="864"/>
    </tableStyle>
    <tableStyle name="Torre Horizontal BAY-style 6" pivot="0" count="2" xr9:uid="{26686AF4-A3D2-4775-87DE-425F589B8814}">
      <tableStyleElement type="firstRowStripe" dxfId="863"/>
      <tableStyleElement type="secondRowStripe" dxfId="862"/>
    </tableStyle>
    <tableStyle name="Torre Comercial BAY-style" pivot="0" count="2" xr9:uid="{DD72631C-D052-483B-818E-153C4F01FF89}">
      <tableStyleElement type="firstRowStripe" dxfId="861"/>
      <tableStyleElement type="secondRowStripe" dxfId="860"/>
    </tableStyle>
    <tableStyle name="Torre Comercial BAY-style 2" pivot="0" count="2" xr9:uid="{53D818E1-DF50-40B5-A49A-80EA48064BE9}">
      <tableStyleElement type="firstRowStripe" dxfId="859"/>
      <tableStyleElement type="secondRowStripe" dxfId="858"/>
    </tableStyle>
    <tableStyle name="Torre Comercial BAY-style 3" pivot="0" count="2" xr9:uid="{A58A59A9-4005-4279-8F04-E7CAA060730F}">
      <tableStyleElement type="firstRowStripe" dxfId="857"/>
      <tableStyleElement type="secondRowStripe" dxfId="856"/>
    </tableStyle>
    <tableStyle name="Torre Comercial BAY-style 4" pivot="0" count="2" xr9:uid="{12C9C4C0-120B-4EBC-B815-D45523F585C4}">
      <tableStyleElement type="firstRowStripe" dxfId="855"/>
      <tableStyleElement type="secondRowStripe" dxfId="85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18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Simulación Curva RW x Semana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hISTORICO!$AC$1</c:f>
              <c:strCache>
                <c:ptCount val="1"/>
                <c:pt idx="0">
                  <c:v>TN RE/W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hISTORICO!$AC$2:$AC$22</c:f>
              <c:numCache>
                <c:formatCode>0</c:formatCode>
                <c:ptCount val="21"/>
                <c:pt idx="0">
                  <c:v>746.25303095898573</c:v>
                </c:pt>
                <c:pt idx="1">
                  <c:v>2667.9298578752009</c:v>
                </c:pt>
                <c:pt idx="2">
                  <c:v>3545.715463269883</c:v>
                </c:pt>
                <c:pt idx="3">
                  <c:v>2716.5139619460442</c:v>
                </c:pt>
                <c:pt idx="4">
                  <c:v>2145.7977270010197</c:v>
                </c:pt>
                <c:pt idx="5">
                  <c:v>6506.646543446147</c:v>
                </c:pt>
                <c:pt idx="6">
                  <c:v>6387.1949820880482</c:v>
                </c:pt>
                <c:pt idx="7">
                  <c:v>12551.760145827382</c:v>
                </c:pt>
                <c:pt idx="8">
                  <c:v>11266.415764831858</c:v>
                </c:pt>
                <c:pt idx="9">
                  <c:v>14705.451967342111</c:v>
                </c:pt>
                <c:pt idx="10">
                  <c:v>8042.970793632654</c:v>
                </c:pt>
                <c:pt idx="11">
                  <c:v>6152.7870706191961</c:v>
                </c:pt>
                <c:pt idx="12">
                  <c:v>10104.21589910982</c:v>
                </c:pt>
                <c:pt idx="13">
                  <c:v>19151.907399084368</c:v>
                </c:pt>
                <c:pt idx="14">
                  <c:v>13387.632345690143</c:v>
                </c:pt>
                <c:pt idx="15">
                  <c:v>7391.5779573303207</c:v>
                </c:pt>
                <c:pt idx="16">
                  <c:v>4054.3064258105319</c:v>
                </c:pt>
                <c:pt idx="17">
                  <c:v>6609.3835196440223</c:v>
                </c:pt>
                <c:pt idx="18">
                  <c:v>975.71753276554216</c:v>
                </c:pt>
                <c:pt idx="19">
                  <c:v>1387.644155327029</c:v>
                </c:pt>
                <c:pt idx="20">
                  <c:v>406.7232869061981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CA-4AA3-A156-D645754C96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15692615"/>
        <c:axId val="115697207"/>
      </c:barChart>
      <c:lineChart>
        <c:grouping val="standard"/>
        <c:varyColors val="0"/>
        <c:ser>
          <c:idx val="1"/>
          <c:order val="1"/>
          <c:tx>
            <c:strRef>
              <c:f>hISTORICO!$AK$1</c:f>
              <c:strCache>
                <c:ptCount val="1"/>
                <c:pt idx="0">
                  <c:v>TN RW W Ideal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hISTORICO!$AK$2:$AK$22</c:f>
              <c:numCache>
                <c:formatCode>General</c:formatCode>
                <c:ptCount val="21"/>
                <c:pt idx="0">
                  <c:v>1540</c:v>
                </c:pt>
                <c:pt idx="1">
                  <c:v>12320</c:v>
                </c:pt>
                <c:pt idx="2">
                  <c:v>12320</c:v>
                </c:pt>
                <c:pt idx="3">
                  <c:v>12320</c:v>
                </c:pt>
                <c:pt idx="4">
                  <c:v>12320</c:v>
                </c:pt>
                <c:pt idx="5">
                  <c:v>12320</c:v>
                </c:pt>
                <c:pt idx="6">
                  <c:v>12320</c:v>
                </c:pt>
                <c:pt idx="7">
                  <c:v>14630</c:v>
                </c:pt>
                <c:pt idx="8">
                  <c:v>14630</c:v>
                </c:pt>
                <c:pt idx="9">
                  <c:v>14630</c:v>
                </c:pt>
                <c:pt idx="10">
                  <c:v>14630</c:v>
                </c:pt>
                <c:pt idx="11">
                  <c:v>14630</c:v>
                </c:pt>
                <c:pt idx="12">
                  <c:v>14630</c:v>
                </c:pt>
                <c:pt idx="13">
                  <c:v>15400</c:v>
                </c:pt>
                <c:pt idx="14">
                  <c:v>15400</c:v>
                </c:pt>
                <c:pt idx="15">
                  <c:v>12320</c:v>
                </c:pt>
                <c:pt idx="16">
                  <c:v>12320</c:v>
                </c:pt>
                <c:pt idx="17">
                  <c:v>12320</c:v>
                </c:pt>
                <c:pt idx="18">
                  <c:v>12320</c:v>
                </c:pt>
                <c:pt idx="19">
                  <c:v>12320</c:v>
                </c:pt>
                <c:pt idx="20">
                  <c:v>12320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CA-4AA3-A156-D645754C96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692615"/>
        <c:axId val="115697207"/>
      </c:lineChart>
      <c:catAx>
        <c:axId val="1156926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5697207"/>
        <c:crosses val="autoZero"/>
        <c:auto val="1"/>
        <c:lblAlgn val="ctr"/>
        <c:lblOffset val="100"/>
        <c:noMultiLvlLbl val="0"/>
      </c:catAx>
      <c:valAx>
        <c:axId val="115697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5692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528203</xdr:colOff>
      <xdr:row>27</xdr:row>
      <xdr:rowOff>108859</xdr:rowOff>
    </xdr:from>
    <xdr:to>
      <xdr:col>37</xdr:col>
      <xdr:colOff>204107</xdr:colOff>
      <xdr:row>58</xdr:row>
      <xdr:rowOff>10886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271EF1D-8ACE-45DF-B5EB-727284B431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RESPO, ANTUEL [AG/2589]" refreshedDate="44354.461789930552" createdVersion="6" refreshedVersion="6" minRefreshableVersion="3" recordCount="73" xr:uid="{05770921-C730-4D88-A1DF-0696BAE2D791}">
  <cacheSource type="worksheet">
    <worksheetSource ref="A3:U76" sheet="Pre Crop Plan "/>
  </cacheSource>
  <cacheFields count="21">
    <cacheField name="Grand Programa" numFmtId="0">
      <sharedItems containsBlank="1"/>
    </cacheField>
    <cacheField name="Germoplasma" numFmtId="0">
      <sharedItems containsBlank="1"/>
    </cacheField>
    <cacheField name="Marca/Cliente" numFmtId="0">
      <sharedItems/>
    </cacheField>
    <cacheField name="Código Híbrido" numFmtId="0">
      <sharedItems containsBlank="1" count="61">
        <s v="DK77-10VT3P"/>
        <s v="DK77-10RR2"/>
        <s v="AQ8042ABAZ"/>
        <s v="AT7710FHJZ"/>
        <s v="Subtotal"/>
        <m/>
        <s v="LT795RR2"/>
        <s v="AU7921MQKZ"/>
        <s v="DK72-10RR2"/>
        <s v="DK72-10VT3P"/>
        <s v="DK72-10VT3PH"/>
        <s v="70-20RR2"/>
        <s v="AQ7229HTTZ"/>
        <s v="DK72-70RVT3P"/>
        <s v="DK72-27VT3P"/>
        <s v="DK72-72VT3P"/>
        <s v="DK73-30VT3P"/>
        <s v="AT7436HTTZ"/>
        <s v="AU7353MQKZ"/>
        <s v="AU7351MQKZ"/>
        <s v="MD CY21"/>
        <s v="DK72-10PRO4"/>
        <s v="DK70-20PRO4"/>
        <s v="DK72-20PRO4"/>
        <s v="DK73-20PRO4"/>
        <s v="AR7238ABAZ"/>
        <s v="AR7329FHJZ"/>
        <s v="AT7253FHJZ"/>
        <s v="AT7436FHJZ"/>
        <s v="AU7353FHJZ"/>
        <s v="AU7351FHJZ"/>
        <s v="LT722VT3P"/>
        <s v="722RR2"/>
        <s v="LT721RR2"/>
        <s v="LT720VT3P"/>
        <s v="AR7129HTTZ"/>
        <s v="LT718VT3P"/>
        <s v="AQ7233ABAZ"/>
        <s v="AR7323ABAZ"/>
        <s v="470RR2"/>
        <s v="ACA470VT3P"/>
        <s v="473VT3P"/>
        <s v="476VT3P"/>
        <s v="D2738MGRR2"/>
        <s v="D2738RR2"/>
        <s v="2772RR2"/>
        <s v="2772VT3P"/>
        <s v="2773VT3P"/>
        <s v="I797VT3P"/>
        <s v="797RR2"/>
        <s v="799VT3P"/>
        <s v="ADV8112VT3P"/>
        <s v="8122VT3P"/>
        <s v="117VT3P"/>
        <s v="AT7344NYFZ"/>
        <s v="AU7349MQKZ"/>
        <s v="AR7333MQKZ"/>
        <s v="AN7119"/>
        <s v="AT7439"/>
        <s v="AT7346"/>
        <s v="AS7246"/>
      </sharedItems>
    </cacheField>
    <cacheField name="Posible Comercial" numFmtId="0">
      <sharedItems containsBlank="1"/>
    </cacheField>
    <cacheField name="Destino" numFmtId="0">
      <sharedItems containsBlank="1"/>
    </cacheField>
    <cacheField name="Germ " numFmtId="0">
      <sharedItems containsBlank="1" containsMixedTypes="1" containsNumber="1" containsInteger="1" minValue="117" maxValue="8112"/>
    </cacheField>
    <cacheField name="Evento" numFmtId="0">
      <sharedItems containsBlank="1"/>
    </cacheField>
    <cacheField name="TQP Category" numFmtId="0">
      <sharedItems containsString="0" containsBlank="1" containsNumber="1" containsInteger="1" minValue="3" maxValue="3"/>
    </cacheField>
    <cacheField name="Regulated Material - _x000a_CONABIA #" numFmtId="0">
      <sharedItems containsBlank="1"/>
    </cacheField>
    <cacheField name="Unidad Final" numFmtId="0">
      <sharedItems containsBlank="1"/>
    </cacheField>
    <cacheField name="Cert" numFmtId="0">
      <sharedItems containsBlank="1"/>
    </cacheField>
    <cacheField name="Registro" numFmtId="0">
      <sharedItems containsBlank="1"/>
    </cacheField>
    <cacheField name="Tipo Hib" numFmtId="0">
      <sharedItems containsBlank="1"/>
    </cacheField>
    <cacheField name="Versión" numFmtId="0">
      <sharedItems containsBlank="1"/>
    </cacheField>
    <cacheField name="Pedigree H" numFmtId="0">
      <sharedItems containsBlank="1"/>
    </cacheField>
    <cacheField name="Pedigree M" numFmtId="0">
      <sharedItems containsBlank="1"/>
    </cacheField>
    <cacheField name="Rto ssu/ha" numFmtId="1">
      <sharedItems containsString="0" containsBlank="1" containsNumber="1" containsInteger="1" minValue="0" maxValue="0"/>
    </cacheField>
    <cacheField name="Has" numFmtId="1">
      <sharedItems containsSemiMixedTypes="0" containsString="0" containsNumber="1" containsInteger="1" minValue="0" maxValue="0"/>
    </cacheField>
    <cacheField name="Bags 21" numFmtId="1">
      <sharedItems containsSemiMixedTypes="0" containsString="0" containsNumber="1" minValue="533.33333333333337" maxValue="3179282.8403653763"/>
    </cacheField>
    <cacheField name="SSU 21" numFmtId="1">
      <sharedItems containsSemiMixedTypes="0" containsString="0" containsNumber="1" minValue="400" maxValue="3145042.708786428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3">
  <r>
    <s v="Brand"/>
    <s v="Tropical"/>
    <s v="Dekalb"/>
    <x v="0"/>
    <m/>
    <s v="AR"/>
    <s v="DK77-10"/>
    <s v="VT3P"/>
    <n v="3"/>
    <s v="NA"/>
    <s v="60M"/>
    <s v="NAC"/>
    <s v="SI"/>
    <s v="2X"/>
    <s v="Verde"/>
    <s v="C8661RMQKZ"/>
    <s v="L7995Z"/>
    <n v="0"/>
    <n v="0"/>
    <n v="80760.526315789481"/>
    <n v="60570.394736842107"/>
  </r>
  <r>
    <s v="Brand"/>
    <s v="Tropical"/>
    <s v="Dekalb"/>
    <x v="1"/>
    <m/>
    <s v="AR"/>
    <s v="DK77-10"/>
    <s v="RR2"/>
    <n v="3"/>
    <s v="NA"/>
    <s v="60M"/>
    <s v="NAC"/>
    <s v="SI"/>
    <s v="2X"/>
    <s v="Naranja"/>
    <s v="34ZN-1NK603T1A1"/>
    <s v="L7995Z"/>
    <n v="0"/>
    <n v="0"/>
    <n v="10000"/>
    <n v="7500"/>
  </r>
  <r>
    <s v="Brand"/>
    <s v="Tropical"/>
    <s v="Dekalb"/>
    <x v="2"/>
    <s v="DK77-10PRO4"/>
    <s v="AR"/>
    <s v="DK77-10"/>
    <s v="PRO4"/>
    <n v="3"/>
    <s v="NA"/>
    <s v="60M"/>
    <s v="NAC"/>
    <s v="PND"/>
    <s v="2X"/>
    <s v="Verde"/>
    <s v="L7995XDDFZ"/>
    <s v="C8661RSCVZ"/>
    <n v="0"/>
    <n v="0"/>
    <n v="10666.666666666666"/>
    <n v="8000"/>
  </r>
  <r>
    <s v="Brand"/>
    <s v="Tropical"/>
    <s v="Dekalb"/>
    <x v="3"/>
    <s v="DK77-02TRECEPTA"/>
    <s v="AR"/>
    <s v="DK77-02"/>
    <s v="Trecepta"/>
    <n v="3"/>
    <s v="NA"/>
    <s v="80M"/>
    <s v="NAC"/>
    <s v="PND"/>
    <s v="2X"/>
    <s v="Verde"/>
    <s v="L3853XDDFZ"/>
    <s v="C2152RHTTZ"/>
    <n v="0"/>
    <n v="0"/>
    <n v="10000"/>
    <n v="7500"/>
  </r>
  <r>
    <m/>
    <m/>
    <s v="DK Tropical"/>
    <x v="4"/>
    <m/>
    <m/>
    <m/>
    <m/>
    <m/>
    <m/>
    <m/>
    <m/>
    <m/>
    <m/>
    <m/>
    <m/>
    <m/>
    <n v="0"/>
    <n v="0"/>
    <n v="111427.19298245615"/>
    <n v="83570.394736842107"/>
  </r>
  <r>
    <s v="Brand"/>
    <s v="Tropical"/>
    <s v="Tropical PS4"/>
    <x v="5"/>
    <m/>
    <s v="AR"/>
    <s v="TBD"/>
    <s v="VT3P"/>
    <n v="3"/>
    <s v="NA"/>
    <s v="60M"/>
    <s v="NAC"/>
    <s v="PND"/>
    <s v="2X"/>
    <s v="Verde"/>
    <m/>
    <m/>
    <n v="0"/>
    <n v="0"/>
    <n v="533.33333333333337"/>
    <n v="400"/>
  </r>
  <r>
    <m/>
    <m/>
    <s v="Brand Tropical PS4"/>
    <x v="4"/>
    <m/>
    <m/>
    <m/>
    <m/>
    <m/>
    <m/>
    <m/>
    <m/>
    <m/>
    <m/>
    <m/>
    <m/>
    <m/>
    <m/>
    <n v="0"/>
    <n v="533.33333333333337"/>
    <n v="400"/>
  </r>
  <r>
    <s v="Brand"/>
    <s v="Tropical"/>
    <s v="La Tijereta"/>
    <x v="6"/>
    <m/>
    <s v="AR"/>
    <s v="LT795"/>
    <s v="RR2"/>
    <n v="3"/>
    <s v="NA"/>
    <s v="60M"/>
    <s v="NAC"/>
    <s v="SI"/>
    <s v="2X"/>
    <s v="Naranja"/>
    <s v="34ZN-1NK603T1A1"/>
    <s v="UB1B13"/>
    <n v="0"/>
    <n v="0"/>
    <n v="5000"/>
    <n v="3750"/>
  </r>
  <r>
    <s v="Brand"/>
    <s v="Tropical"/>
    <s v="La Tijereta"/>
    <x v="7"/>
    <s v="LT796VT3P"/>
    <s v="AR"/>
    <s v="LT796"/>
    <s v="VT3P"/>
    <n v="3"/>
    <s v="NA"/>
    <s v="60M"/>
    <s v="NAC"/>
    <s v="PND"/>
    <s v="2X"/>
    <s v="Verde"/>
    <s v="C1037RMQKZ"/>
    <s v="L5131Z"/>
    <n v="0"/>
    <n v="0"/>
    <n v="20000"/>
    <n v="15000"/>
  </r>
  <r>
    <m/>
    <m/>
    <s v="LT Tropical"/>
    <x v="4"/>
    <m/>
    <m/>
    <m/>
    <m/>
    <m/>
    <m/>
    <m/>
    <m/>
    <m/>
    <m/>
    <m/>
    <m/>
    <m/>
    <n v="0"/>
    <n v="0"/>
    <n v="25000"/>
    <n v="18750"/>
  </r>
  <r>
    <m/>
    <m/>
    <s v="Total Brand Tropical"/>
    <x v="5"/>
    <m/>
    <m/>
    <m/>
    <m/>
    <m/>
    <m/>
    <m/>
    <m/>
    <m/>
    <m/>
    <m/>
    <m/>
    <m/>
    <n v="0"/>
    <n v="0"/>
    <n v="136960.5263157895"/>
    <n v="102720.39473684211"/>
  </r>
  <r>
    <s v="Brand"/>
    <s v="Templado"/>
    <s v="Dekalb"/>
    <x v="8"/>
    <m/>
    <s v="AR/UY"/>
    <s v="DK72-10"/>
    <s v="RR2"/>
    <n v="3"/>
    <s v="NA"/>
    <s v="80M"/>
    <s v="NAC"/>
    <s v="SI"/>
    <s v="2X"/>
    <s v="Verde"/>
    <s v="F2A1-1NK603B"/>
    <s v="C2152Z"/>
    <n v="0"/>
    <n v="0"/>
    <n v="140000"/>
    <n v="140000"/>
  </r>
  <r>
    <s v="Brand"/>
    <s v="Templado"/>
    <s v="Dekalb"/>
    <x v="9"/>
    <m/>
    <s v="AR"/>
    <s v="DK72-10"/>
    <s v="VT3P"/>
    <n v="3"/>
    <s v="NA"/>
    <s v="80M"/>
    <s v="NAC"/>
    <s v="SI"/>
    <s v="2X"/>
    <s v="Verde"/>
    <s v="C6314RMQKZ_T1A3"/>
    <s v="C2152Z"/>
    <n v="0"/>
    <n v="0"/>
    <n v="10000"/>
    <n v="10000"/>
  </r>
  <r>
    <s v="Brand"/>
    <s v="Templado"/>
    <s v="Dekalb"/>
    <x v="10"/>
    <s v="AI7405SMFZ"/>
    <s v="AR"/>
    <s v="DK72-10"/>
    <s v="VT3PH"/>
    <n v="3"/>
    <s v="NA"/>
    <s v="80M"/>
    <s v="NAC"/>
    <s v="SI"/>
    <s v="2X"/>
    <s v="Verde"/>
    <s v="C6314XDFKZ"/>
    <s v="C2152RBDHZ"/>
    <n v="0"/>
    <n v="0"/>
    <n v="120000"/>
    <n v="120000"/>
  </r>
  <r>
    <s v="Brand"/>
    <s v="Templado"/>
    <s v="Dekalb"/>
    <x v="11"/>
    <s v="AP7021HTTZ"/>
    <s v="AR"/>
    <s v="DK70-20"/>
    <s v="RR2"/>
    <n v="3"/>
    <s v="NA"/>
    <s v="80M"/>
    <s v="NAC"/>
    <s v="SI"/>
    <s v="2X"/>
    <s v="Verde"/>
    <s v="C1037RHTTZ"/>
    <s v="34ZN-1"/>
    <n v="0"/>
    <n v="0"/>
    <n v="30000"/>
    <n v="30000"/>
  </r>
  <r>
    <s v="Brand"/>
    <s v="Templado"/>
    <s v="Dekalb"/>
    <x v="12"/>
    <s v="DK72-20RR2"/>
    <s v="AR"/>
    <s v="DK72-20"/>
    <s v="RR2"/>
    <n v="3"/>
    <s v="NA"/>
    <s v="80M"/>
    <s v="NAC"/>
    <s v="PND"/>
    <s v="2X"/>
    <s v="Verde"/>
    <s v="C2753RHTTZ"/>
    <s v="C2152Z"/>
    <n v="0"/>
    <n v="0"/>
    <n v="50000"/>
    <n v="50000"/>
  </r>
  <r>
    <s v="Brand"/>
    <s v="Templado"/>
    <s v="Dekalb"/>
    <x v="13"/>
    <s v="AR7329NYFZ"/>
    <s v="AR"/>
    <s v="DK72-70"/>
    <s v="VT3P"/>
    <n v="3"/>
    <s v="NA"/>
    <s v="80M"/>
    <s v="NAC"/>
    <s v="SI"/>
    <s v="2X"/>
    <s v="Verde"/>
    <s v="C8475RMQKZ"/>
    <s v="C2152ZXGLZ"/>
    <n v="0"/>
    <n v="0"/>
    <n v="350000"/>
    <n v="350000"/>
  </r>
  <r>
    <s v="Brand"/>
    <s v="Templado"/>
    <s v="Dekalb"/>
    <x v="14"/>
    <s v="AR7238MQKZ"/>
    <s v="AR"/>
    <s v="DK72-27"/>
    <s v="VT3P"/>
    <n v="3"/>
    <s v="NA"/>
    <s v="80M"/>
    <s v="NAC"/>
    <s v="SI"/>
    <s v="2X"/>
    <s v="Verde"/>
    <s v="C1037RMQKZ"/>
    <s v="C4148Z"/>
    <n v="0"/>
    <n v="0"/>
    <n v="20000"/>
    <n v="20000"/>
  </r>
  <r>
    <s v="Brand"/>
    <s v="Templado"/>
    <s v="Dekalb"/>
    <x v="15"/>
    <s v="AT7253MQKZ"/>
    <s v="AR"/>
    <s v="DK72-72"/>
    <s v="VT3P"/>
    <n v="3"/>
    <s v="NA"/>
    <s v="80M"/>
    <s v="NAC"/>
    <s v="SI"/>
    <s v="2X"/>
    <s v="Verde"/>
    <s v="C8589RMQKZ"/>
    <s v="C1688Z"/>
    <n v="0"/>
    <n v="0"/>
    <n v="100000"/>
    <n v="100000"/>
  </r>
  <r>
    <s v="Brand"/>
    <s v="Templado"/>
    <s v="Dekalb"/>
    <x v="16"/>
    <s v="AT7436MQKZ"/>
    <s v="AR"/>
    <s v="DK73-30"/>
    <s v="VT3P"/>
    <n v="3"/>
    <s v="NA"/>
    <s v="80M"/>
    <s v="NAC"/>
    <s v="SI"/>
    <s v="2X"/>
    <s v="Verde"/>
    <s v="C1037RMQKZ"/>
    <s v="C2835Z"/>
    <n v="0"/>
    <n v="0"/>
    <n v="180000"/>
    <n v="180000"/>
  </r>
  <r>
    <s v="Brand"/>
    <s v="Templado"/>
    <s v="Dekalb"/>
    <x v="17"/>
    <s v="DK73-30RR2"/>
    <s v="AR"/>
    <s v="DK73-30"/>
    <s v="RR2"/>
    <n v="3"/>
    <s v="NA"/>
    <s v="80M"/>
    <s v="NAC"/>
    <s v="SI"/>
    <s v="2X"/>
    <s v="Verde"/>
    <s v="C1037RHTTZ"/>
    <s v="C2835Z"/>
    <n v="0"/>
    <n v="0"/>
    <n v="20000"/>
    <n v="20000"/>
  </r>
  <r>
    <s v="Brand"/>
    <s v="Templado"/>
    <s v="Dekalb"/>
    <x v="18"/>
    <s v="DK73-03VT3P"/>
    <s v="AR"/>
    <s v="DK73-03"/>
    <s v="VT3P"/>
    <n v="3"/>
    <s v="NA"/>
    <s v="80M"/>
    <s v="NAC"/>
    <s v="PND"/>
    <s v="2X"/>
    <s v="Verde"/>
    <s v="C8475RMQKZ"/>
    <s v="C6731Z"/>
    <n v="0"/>
    <n v="0"/>
    <n v="90000"/>
    <n v="90000"/>
  </r>
  <r>
    <s v="Brand"/>
    <s v="Templado"/>
    <s v="Dekalb"/>
    <x v="19"/>
    <s v="DK72-08VT3P"/>
    <s v="AR"/>
    <s v="DK72-08"/>
    <s v="VT3P"/>
    <n v="3"/>
    <s v="NA"/>
    <s v="80M"/>
    <s v="NAC"/>
    <s v="PND"/>
    <s v="2X"/>
    <s v="Verde"/>
    <s v="C8268RMQKZ"/>
    <s v="C1688Z"/>
    <n v="0"/>
    <n v="0"/>
    <n v="90000"/>
    <n v="90000"/>
  </r>
  <r>
    <s v="Brand"/>
    <s v="Templado"/>
    <s v="Dekalb"/>
    <x v="20"/>
    <m/>
    <m/>
    <m/>
    <s v="VT3P"/>
    <m/>
    <m/>
    <m/>
    <m/>
    <m/>
    <m/>
    <m/>
    <s v="H nuevos MD VT3P"/>
    <s v="M nuevos MD VT3P"/>
    <n v="0"/>
    <n v="0"/>
    <n v="10000"/>
    <n v="10000"/>
  </r>
  <r>
    <s v="Brand"/>
    <s v="Templado"/>
    <s v="Dekalb"/>
    <x v="21"/>
    <s v="AI7405ABAZ"/>
    <s v="AR"/>
    <s v="DK72-10"/>
    <s v="PRO4"/>
    <n v="3"/>
    <s v="NA"/>
    <s v="80M"/>
    <s v="NAC"/>
    <s v="SI"/>
    <s v="2X"/>
    <s v="Verde"/>
    <s v="C6314XDDFZ"/>
    <s v="C2152RSCVZ"/>
    <n v="0"/>
    <n v="0"/>
    <n v="110000"/>
    <n v="110000"/>
  </r>
  <r>
    <s v="Brand"/>
    <s v="Templado"/>
    <s v="Dekalb"/>
    <x v="22"/>
    <s v="AP7021LTDZ"/>
    <s v="AR"/>
    <s v="DK70-20"/>
    <s v="PRO4"/>
    <n v="3"/>
    <s v="NA"/>
    <s v="80M"/>
    <s v="NAC"/>
    <s v="SI"/>
    <s v="2X"/>
    <s v="Verde"/>
    <s v="C1037XDDFZ"/>
    <s v="C8661RQDHZ"/>
    <n v="0"/>
    <n v="0"/>
    <n v="60000"/>
    <n v="60000"/>
  </r>
  <r>
    <s v="Brand"/>
    <s v="Templado"/>
    <s v="Dekalb"/>
    <x v="23"/>
    <s v="AQ7229ABAZ"/>
    <s v="AR"/>
    <s v="DK72-20"/>
    <s v="PRO4"/>
    <n v="3"/>
    <s v="NA"/>
    <s v="80M"/>
    <s v="NAC"/>
    <s v="SI"/>
    <s v="2X"/>
    <s v="Verde"/>
    <s v="C2753XDDFZ"/>
    <s v="C2152RSCVZ"/>
    <n v="0"/>
    <n v="0"/>
    <n v="230000"/>
    <n v="230000"/>
  </r>
  <r>
    <s v="Brand"/>
    <s v="Templado"/>
    <s v="Dekalb"/>
    <x v="24"/>
    <s v="AP7317ABAZ"/>
    <s v="AR"/>
    <s v="DK73-20"/>
    <s v="PRO4"/>
    <n v="3"/>
    <s v="NA"/>
    <s v="80M"/>
    <s v="NAC"/>
    <s v="SI"/>
    <s v="2X"/>
    <s v="Verde"/>
    <s v="C8121XDDFZ"/>
    <s v="C2152RSCVZ"/>
    <n v="0"/>
    <n v="0"/>
    <n v="160000"/>
    <n v="160000"/>
  </r>
  <r>
    <s v="Brand"/>
    <s v="Templado"/>
    <s v="Dekalb"/>
    <x v="25"/>
    <s v="DK72-27PRO4"/>
    <s v="AR"/>
    <s v="DK72-27"/>
    <s v="PRO4"/>
    <n v="3"/>
    <s v="NA"/>
    <s v="80M"/>
    <s v="NAC"/>
    <s v="PND"/>
    <s v="2X"/>
    <s v="Verde"/>
    <s v="C1037XDDFZ"/>
    <s v="C4148RSCVZ"/>
    <n v="0"/>
    <n v="0"/>
    <n v="140000"/>
    <n v="140000"/>
  </r>
  <r>
    <s v="Brand"/>
    <s v="Templado"/>
    <s v="Dekalb"/>
    <x v="26"/>
    <s v="DK72-70TRECEPTA"/>
    <s v="AR"/>
    <s v="DK72-70"/>
    <s v="Trecepta"/>
    <n v="3"/>
    <s v="NA"/>
    <s v="80M"/>
    <s v="NAC"/>
    <s v="PND"/>
    <s v="2X"/>
    <s v="Verde"/>
    <s v="C8475XDDFZ"/>
    <s v="C2152RHTTZ"/>
    <n v="0"/>
    <n v="0"/>
    <n v="10000"/>
    <n v="10000"/>
  </r>
  <r>
    <s v="Brand"/>
    <s v="Templado"/>
    <s v="Dekalb"/>
    <x v="27"/>
    <s v="DK72-72TRECEPTA"/>
    <s v="AR"/>
    <s v="DK72-72"/>
    <s v="Trecepta"/>
    <n v="3"/>
    <s v="NA"/>
    <s v="80M"/>
    <s v="NAC"/>
    <s v="PND"/>
    <s v="2X"/>
    <s v="Verde"/>
    <s v="C8589XDDFZ"/>
    <s v="C1688RHTTZ"/>
    <n v="0"/>
    <n v="0"/>
    <n v="7500"/>
    <n v="7500"/>
  </r>
  <r>
    <s v="Brand"/>
    <s v="Templado"/>
    <s v="Dekalb"/>
    <x v="28"/>
    <s v="DK73-30TRECEPTA"/>
    <s v="AR"/>
    <s v="DK73-30"/>
    <s v="Trecepta"/>
    <n v="3"/>
    <s v="NA"/>
    <s v="80M"/>
    <s v="NAC"/>
    <s v="PND"/>
    <s v="2X"/>
    <s v="Verde"/>
    <s v="C1037XDDFZ"/>
    <s v="C2835RHTTZ"/>
    <n v="0"/>
    <n v="0"/>
    <n v="10000"/>
    <n v="10000"/>
  </r>
  <r>
    <s v="Brand"/>
    <s v="Templado"/>
    <s v="Dekalb"/>
    <x v="29"/>
    <s v="DK73-03TRECEPTA"/>
    <s v="AR"/>
    <s v="DK73-03"/>
    <s v="Trecepta"/>
    <n v="3"/>
    <s v="NA"/>
    <s v="80M"/>
    <s v="NAC"/>
    <s v="PND"/>
    <s v="2X"/>
    <s v="Verde"/>
    <s v="C8475XDDFZ"/>
    <s v="C6731RHTTZ"/>
    <n v="0"/>
    <n v="0"/>
    <n v="5000"/>
    <n v="5000"/>
  </r>
  <r>
    <s v="Brand"/>
    <s v="Templado"/>
    <s v="Dekalb"/>
    <x v="30"/>
    <s v="DK72-08TRECEPTA"/>
    <s v="AR"/>
    <s v="DK72-08"/>
    <s v="Trecepta"/>
    <n v="3"/>
    <s v="NA"/>
    <s v="80M"/>
    <s v="NAC"/>
    <s v="PND"/>
    <s v="2X"/>
    <s v="Verde"/>
    <s v="C8268XDDFZ"/>
    <s v="C1688RHTTZ"/>
    <n v="0"/>
    <n v="0"/>
    <n v="7500"/>
    <n v="7500"/>
  </r>
  <r>
    <m/>
    <m/>
    <s v="DK Templado"/>
    <x v="4"/>
    <m/>
    <m/>
    <m/>
    <m/>
    <m/>
    <m/>
    <m/>
    <m/>
    <m/>
    <m/>
    <m/>
    <m/>
    <m/>
    <n v="0"/>
    <n v="0"/>
    <n v="1950000"/>
    <n v="1950000"/>
  </r>
  <r>
    <s v="Brand"/>
    <s v="Templado"/>
    <s v="Templado PS4"/>
    <x v="5"/>
    <m/>
    <s v="AR"/>
    <s v="TBD"/>
    <s v="VT3P"/>
    <n v="3"/>
    <s v="NA"/>
    <s v="80M"/>
    <s v="NAC"/>
    <s v="PND"/>
    <s v="2X"/>
    <s v="Verde"/>
    <m/>
    <m/>
    <n v="0"/>
    <n v="0"/>
    <n v="6000"/>
    <n v="6000"/>
  </r>
  <r>
    <m/>
    <m/>
    <s v="Brand Templado PS4"/>
    <x v="4"/>
    <m/>
    <m/>
    <m/>
    <m/>
    <m/>
    <m/>
    <m/>
    <m/>
    <m/>
    <m/>
    <m/>
    <m/>
    <m/>
    <n v="0"/>
    <n v="0"/>
    <n v="6000"/>
    <n v="6000"/>
  </r>
  <r>
    <s v="Brand"/>
    <s v="Templado"/>
    <s v="La Tijereta"/>
    <x v="31"/>
    <m/>
    <s v="AR"/>
    <s v="LT722"/>
    <s v="VT3P"/>
    <n v="3"/>
    <s v="NA"/>
    <s v="80M"/>
    <s v="NAC"/>
    <s v="SI"/>
    <s v="2X"/>
    <s v="Verde"/>
    <s v="C7230RMQKZ"/>
    <s v="C2152Z"/>
    <n v="0"/>
    <n v="0"/>
    <n v="110000"/>
    <n v="110000"/>
  </r>
  <r>
    <s v="Brand"/>
    <s v="Templado"/>
    <s v="La Tijereta"/>
    <x v="32"/>
    <s v="AN7218HTTZ"/>
    <s v="AR"/>
    <s v="LT722"/>
    <s v="RR2"/>
    <n v="3"/>
    <s v="NA"/>
    <s v="80M"/>
    <s v="NAC"/>
    <s v="SI"/>
    <s v="2X"/>
    <s v="Verde"/>
    <s v="C7230RHTTZ"/>
    <s v="C2152Z"/>
    <n v="0"/>
    <n v="0"/>
    <n v="30000"/>
    <n v="30000"/>
  </r>
  <r>
    <s v="Brand"/>
    <s v="Templado"/>
    <s v="La Tijereta"/>
    <x v="33"/>
    <s v="AQ7233HPEZ"/>
    <s v="AR"/>
    <s v="LT721"/>
    <s v="VT3P"/>
    <n v="3"/>
    <s v="NA"/>
    <s v="80M"/>
    <s v="NAC"/>
    <s v="SI"/>
    <s v="2X"/>
    <s v="Verde"/>
    <s v="C1037RHTTZ"/>
    <s v="C2152ZXGLZ"/>
    <n v="0"/>
    <n v="0"/>
    <n v="20000"/>
    <n v="20000"/>
  </r>
  <r>
    <s v="Brand"/>
    <s v="Templado"/>
    <s v="La Tijereta"/>
    <x v="34"/>
    <s v="AR7129MQKZ"/>
    <s v="AR"/>
    <s v="LT720"/>
    <s v="VT3P"/>
    <n v="3"/>
    <s v="NA"/>
    <s v="80M"/>
    <s v="NAC"/>
    <s v="SI"/>
    <s v="2X"/>
    <s v="Verde"/>
    <s v="C4682RMQKZ"/>
    <s v="C2152Z"/>
    <n v="0"/>
    <n v="0"/>
    <n v="120000"/>
    <n v="120000"/>
  </r>
  <r>
    <s v="Brand"/>
    <s v="Templado"/>
    <s v="La Tijereta"/>
    <x v="35"/>
    <s v="LT720RR2"/>
    <s v="AR"/>
    <s v="LT720"/>
    <s v="RR2"/>
    <n v="3"/>
    <s v="NA"/>
    <s v="80M"/>
    <s v="NAC"/>
    <s v="SI"/>
    <s v="2X"/>
    <s v="Verde"/>
    <s v="C4682RHTTZ"/>
    <s v="C2152Z"/>
    <n v="0"/>
    <n v="0"/>
    <n v="20000"/>
    <n v="20000"/>
  </r>
  <r>
    <s v="Brand"/>
    <s v="Templado"/>
    <s v="La Tijereta"/>
    <x v="36"/>
    <s v="AT7133MQKZ"/>
    <s v="AR"/>
    <s v="LT718"/>
    <s v="VT3P"/>
    <n v="3"/>
    <s v="NA"/>
    <s v="80M"/>
    <s v="NAC"/>
    <s v="SI"/>
    <s v="2X"/>
    <s v="Verde"/>
    <s v="C8176RMQKZ"/>
    <s v="C7368Z"/>
    <n v="0"/>
    <n v="0"/>
    <n v="110000"/>
    <n v="110000"/>
  </r>
  <r>
    <s v="Brand"/>
    <m/>
    <s v="La Tijereta"/>
    <x v="20"/>
    <m/>
    <m/>
    <m/>
    <s v="VT3P"/>
    <m/>
    <m/>
    <m/>
    <m/>
    <m/>
    <m/>
    <m/>
    <s v="H nuevos MD VT3P"/>
    <s v="M nuevos MD VT3P"/>
    <n v="0"/>
    <n v="0"/>
    <n v="10000"/>
    <n v="10000"/>
  </r>
  <r>
    <s v="Brand"/>
    <s v="Templado"/>
    <s v="La Tijereta"/>
    <x v="37"/>
    <s v="LT721PRO4"/>
    <s v="AR"/>
    <s v="LT721"/>
    <s v="PRO4"/>
    <n v="3"/>
    <s v="NA"/>
    <s v="80M"/>
    <s v="NAC"/>
    <s v="PND"/>
    <s v="2X"/>
    <s v="Verde"/>
    <s v="C1037XDDFZ"/>
    <s v="C2152RSCVZ"/>
    <n v="0"/>
    <n v="0"/>
    <n v="130000"/>
    <n v="130000"/>
  </r>
  <r>
    <s v="Brand"/>
    <s v="Templado"/>
    <s v="La Tijereta"/>
    <x v="38"/>
    <s v="LT723PRO4"/>
    <s v="AR"/>
    <s v="LT723"/>
    <s v="PRO4"/>
    <n v="3"/>
    <s v="NA"/>
    <s v="80M"/>
    <s v="NAC"/>
    <s v="PND"/>
    <s v="2X"/>
    <s v="Verde"/>
    <s v="C2753XDDFZ"/>
    <s v="C4148RSCVZ"/>
    <n v="0"/>
    <n v="0"/>
    <n v="130000"/>
    <n v="130000"/>
  </r>
  <r>
    <m/>
    <m/>
    <s v="LT Templado"/>
    <x v="4"/>
    <m/>
    <m/>
    <m/>
    <m/>
    <m/>
    <m/>
    <m/>
    <m/>
    <m/>
    <m/>
    <m/>
    <m/>
    <m/>
    <n v="0"/>
    <n v="0"/>
    <n v="680000"/>
    <n v="680000"/>
  </r>
  <r>
    <m/>
    <m/>
    <s v="Total Brand Templado"/>
    <x v="5"/>
    <m/>
    <m/>
    <m/>
    <m/>
    <m/>
    <m/>
    <m/>
    <m/>
    <m/>
    <m/>
    <m/>
    <m/>
    <m/>
    <n v="0"/>
    <n v="0"/>
    <n v="2636000"/>
    <n v="2636000"/>
  </r>
  <r>
    <m/>
    <m/>
    <s v="Total Brand"/>
    <x v="5"/>
    <m/>
    <m/>
    <m/>
    <m/>
    <m/>
    <m/>
    <m/>
    <m/>
    <m/>
    <m/>
    <m/>
    <m/>
    <m/>
    <n v="0"/>
    <n v="0"/>
    <n v="2772960.5263157897"/>
    <n v="2738720.3947368423"/>
  </r>
  <r>
    <s v="Private Label"/>
    <s v="Templado"/>
    <s v="ACA"/>
    <x v="39"/>
    <m/>
    <s v="AR"/>
    <n v="470"/>
    <s v="RR2"/>
    <n v="3"/>
    <s v="NA"/>
    <s v="JB"/>
    <s v="NAC"/>
    <s v="SI"/>
    <s v="2X"/>
    <s v="Verde"/>
    <s v="C2389RHTTZ"/>
    <s v="34ZN-1"/>
    <n v="0"/>
    <n v="0"/>
    <n v="9669.4214876033056"/>
    <n v="9669.4214876033056"/>
  </r>
  <r>
    <s v="Private Label"/>
    <s v="Templado"/>
    <s v="ACA"/>
    <x v="40"/>
    <m/>
    <s v="AR"/>
    <n v="470"/>
    <s v="VT3P"/>
    <n v="3"/>
    <s v="NA"/>
    <s v="JB"/>
    <s v="NAC"/>
    <s v="SI"/>
    <s v="2X"/>
    <s v="Verde"/>
    <s v="C2389RMQKZ"/>
    <s v="34ZN-1"/>
    <n v="0"/>
    <n v="0"/>
    <n v="38677.685950413223"/>
    <n v="38677.685950413223"/>
  </r>
  <r>
    <s v="Private Label"/>
    <s v="Templado"/>
    <s v="ACA"/>
    <x v="41"/>
    <m/>
    <s v="AR"/>
    <n v="473"/>
    <s v="VT3P"/>
    <n v="3"/>
    <s v="NA"/>
    <s v="JB"/>
    <s v="NAC"/>
    <s v="SI"/>
    <s v="2X"/>
    <s v="Verde"/>
    <s v="C4204RMQKZ"/>
    <s v="C2152Z"/>
    <n v="0"/>
    <n v="0"/>
    <n v="51570.247933884297"/>
    <n v="51570.247933884297"/>
  </r>
  <r>
    <s v="Private Label"/>
    <s v="Templado"/>
    <s v="ACA"/>
    <x v="42"/>
    <s v="AT7439MQKZ"/>
    <s v="AR"/>
    <n v="476"/>
    <s v="VT3P"/>
    <n v="3"/>
    <s v="NA"/>
    <s v="JB"/>
    <s v="NAC"/>
    <s v="SI"/>
    <s v="2X"/>
    <s v="Verde"/>
    <s v="C1037RMQKZ"/>
    <s v="C1688Z"/>
    <n v="0"/>
    <n v="0"/>
    <n v="38677.685950413223"/>
    <n v="38677.685950413223"/>
  </r>
  <r>
    <s v="Private Label"/>
    <s v="Templado"/>
    <s v="DON MARIO"/>
    <x v="43"/>
    <m/>
    <s v="AR"/>
    <n v="2738"/>
    <s v="MGRR2"/>
    <n v="3"/>
    <s v="NA"/>
    <s v="80M"/>
    <s v="NAC"/>
    <s v="SI"/>
    <s v="2X"/>
    <s v="Verde"/>
    <s v="C7255RHTTZ"/>
    <s v="34ZN-1EZRAF"/>
    <n v="0"/>
    <n v="0"/>
    <n v="58016.528925619838"/>
    <n v="58016.528925619838"/>
  </r>
  <r>
    <s v="Private Label"/>
    <s v="Templado"/>
    <s v="DON MARIO"/>
    <x v="44"/>
    <m/>
    <s v="AR"/>
    <n v="2738"/>
    <s v="RR2"/>
    <n v="3"/>
    <s v="NA"/>
    <s v="80M"/>
    <s v="NAC"/>
    <s v="SI"/>
    <s v="2X"/>
    <s v="Verde"/>
    <s v="C7255RHTTZ"/>
    <s v="34ZN-1"/>
    <n v="0"/>
    <n v="0"/>
    <n v="9669.4214876033056"/>
    <n v="9669.4214876033056"/>
  </r>
  <r>
    <s v="Private Label"/>
    <s v="Templado"/>
    <s v="DON MARIO"/>
    <x v="45"/>
    <s v="AP7420HTTZ"/>
    <s v="AR"/>
    <n v="2771"/>
    <s v="RR2"/>
    <n v="3"/>
    <s v="NA"/>
    <s v="80M"/>
    <s v="NAC"/>
    <s v="SI"/>
    <s v="2X"/>
    <s v="Verde"/>
    <s v="F2A1-1NK603B"/>
    <s v="C9411Z"/>
    <n v="0"/>
    <n v="0"/>
    <n v="3223.1404958677685"/>
    <n v="3223.1404958677685"/>
  </r>
  <r>
    <s v="Private Label"/>
    <s v="Templado"/>
    <s v="DON MARIO"/>
    <x v="46"/>
    <m/>
    <s v="AR"/>
    <n v="2772"/>
    <s v="VT3P"/>
    <n v="3"/>
    <s v="NA"/>
    <s v="80M"/>
    <s v="NAC"/>
    <s v="SI"/>
    <s v="2X"/>
    <s v="Verde"/>
    <s v="C6314RMQKZ_T1A3"/>
    <s v="C9411Z"/>
    <n v="0"/>
    <n v="0"/>
    <n v="12892.561983471074"/>
    <n v="12892.561983471074"/>
  </r>
  <r>
    <s v="Private Label"/>
    <s v="Templado"/>
    <s v="DON MARIO"/>
    <x v="47"/>
    <s v="AT7346MQKZ"/>
    <s v="AR"/>
    <n v="2773"/>
    <s v="VT3P"/>
    <n v="3"/>
    <s v="NA"/>
    <s v="80M"/>
    <s v="NAC"/>
    <s v="SI"/>
    <s v="2X"/>
    <s v="Verde"/>
    <s v="C1037RMQKZ"/>
    <s v="C6731Z"/>
    <n v="0"/>
    <n v="0"/>
    <n v="19338.842975206611"/>
    <n v="19338.842975206611"/>
  </r>
  <r>
    <s v="Private Label"/>
    <s v="Templado"/>
    <s v="Illinois"/>
    <x v="48"/>
    <m/>
    <s v="AR"/>
    <n v="797"/>
    <s v="VT3P"/>
    <n v="3"/>
    <s v="NA"/>
    <s v="80M"/>
    <s v="NAC"/>
    <s v="SI"/>
    <s v="2X"/>
    <s v="Verde"/>
    <s v="C5185RMQKZ"/>
    <s v="34ZN-1"/>
    <n v="0"/>
    <n v="0"/>
    <n v="12892.561983471074"/>
    <n v="12892.561983471074"/>
  </r>
  <r>
    <s v="Private Label"/>
    <s v="Templado"/>
    <s v="Illinois"/>
    <x v="49"/>
    <s v="AJ7404HTTZ"/>
    <s v="AR"/>
    <n v="797"/>
    <s v="RR2"/>
    <n v="3"/>
    <s v="NA"/>
    <s v="80M"/>
    <s v="NAC"/>
    <s v="SI"/>
    <s v="2X"/>
    <s v="Verde"/>
    <s v="34ZN-1NK603T1A1"/>
    <s v="C5185Z"/>
    <n v="0"/>
    <n v="0"/>
    <n v="3223.1404958677685"/>
    <n v="3223.1404958677685"/>
  </r>
  <r>
    <s v="Private Label"/>
    <s v="Templado"/>
    <s v="Illinois"/>
    <x v="50"/>
    <s v="AS7246MQKZ"/>
    <s v="AR"/>
    <n v="799"/>
    <s v="VT3P"/>
    <n v="3"/>
    <s v="NA"/>
    <s v="80M"/>
    <s v="NAC"/>
    <s v="SI"/>
    <s v="2X"/>
    <s v="Verde"/>
    <s v="C4204RMQKZ"/>
    <s v="C2835Z"/>
    <n v="0"/>
    <n v="0"/>
    <n v="19338.842975206611"/>
    <n v="19338.842975206611"/>
  </r>
  <r>
    <s v="Private Label"/>
    <s v="Templado"/>
    <s v="Advanta"/>
    <x v="51"/>
    <m/>
    <s v="AR"/>
    <n v="8112"/>
    <s v="VT3P"/>
    <n v="3"/>
    <s v="NA"/>
    <s v="80M"/>
    <s v="NAC"/>
    <s v="SI"/>
    <s v="2X"/>
    <s v="Verde"/>
    <s v="C2482RMQKZ"/>
    <s v="34ZN-1"/>
    <n v="0"/>
    <n v="0"/>
    <n v="12892.561983471074"/>
    <n v="12892.561983471074"/>
  </r>
  <r>
    <s v="Private Label"/>
    <s v="Templado"/>
    <s v="Advanta"/>
    <x v="52"/>
    <s v="AR7126MQKZ"/>
    <s v="AR"/>
    <s v="TBD"/>
    <s v="VT3P"/>
    <n v="3"/>
    <s v="NA"/>
    <s v="80M"/>
    <s v="NAC"/>
    <s v="SI"/>
    <s v="2X"/>
    <s v="Verde"/>
    <s v="C3233RMQKZ"/>
    <s v="C2152Z"/>
    <n v="0"/>
    <n v="0"/>
    <n v="10000"/>
    <n v="10000"/>
  </r>
  <r>
    <s v="Private Label"/>
    <s v="Templado"/>
    <s v="AFA"/>
    <x v="53"/>
    <s v="AQ7031MQKZ"/>
    <s v="AR"/>
    <n v="117"/>
    <s v="VT3P"/>
    <n v="3"/>
    <s v="NA"/>
    <s v="80M"/>
    <s v="NAC"/>
    <s v="SI"/>
    <s v="2X"/>
    <s v="Verde"/>
    <s v="C2176RMQKZ"/>
    <s v="34ZN-1"/>
    <n v="0"/>
    <n v="0"/>
    <n v="22561.983471074382"/>
    <n v="22561.983471074382"/>
  </r>
  <r>
    <s v="Private Label"/>
    <s v="Templado"/>
    <s v="BASF"/>
    <x v="54"/>
    <s v="7344VT3P"/>
    <s v="AR"/>
    <s v="TBD"/>
    <s v="VT3P"/>
    <n v="3"/>
    <s v="NA"/>
    <s v="80M"/>
    <s v="NAC"/>
    <s v="PND"/>
    <s v="2X"/>
    <s v="Verde"/>
    <s v="C8268RMQKZ"/>
    <s v="C2152ZXGLZ"/>
    <n v="0"/>
    <n v="0"/>
    <n v="19338.842975206611"/>
    <n v="19338.842975206611"/>
  </r>
  <r>
    <s v="Private Label"/>
    <s v="Templado"/>
    <s v="BASF"/>
    <x v="55"/>
    <s v="7349VT3P"/>
    <s v="AR"/>
    <s v="TBD"/>
    <s v="VT3P"/>
    <n v="3"/>
    <s v="NA"/>
    <s v="80M"/>
    <s v="NAC"/>
    <s v="PND"/>
    <s v="2X"/>
    <s v="Verde"/>
    <s v="C4682RMQKZ"/>
    <s v="C8046Z"/>
    <n v="0"/>
    <n v="0"/>
    <n v="19338.842975206611"/>
    <n v="19338.842975206611"/>
  </r>
  <r>
    <s v="Private Label"/>
    <s v="Templado"/>
    <s v="BayaCasal"/>
    <x v="56"/>
    <s v="21-123VT3P"/>
    <s v="AR"/>
    <s v="TBD"/>
    <s v="VT3P"/>
    <n v="3"/>
    <s v="NA"/>
    <s v="80M"/>
    <s v="NAC"/>
    <s v="PND"/>
    <s v="2X"/>
    <s v="Verde"/>
    <s v="C8121RMQKZ"/>
    <s v="C8046Z"/>
    <n v="0"/>
    <n v="0"/>
    <n v="10000"/>
    <n v="10000"/>
  </r>
  <r>
    <s v="Private Label"/>
    <s v="Templado"/>
    <s v="ACA"/>
    <x v="57"/>
    <s v="473TRECEPTA"/>
    <s v="AR"/>
    <n v="473"/>
    <s v="Trecepta"/>
    <n v="3"/>
    <s v="NA"/>
    <s v="80M"/>
    <s v="NAC"/>
    <s v="PND"/>
    <s v="2X"/>
    <s v="Verde"/>
    <s v="C4204XDDFZ"/>
    <s v="C2152RHTTZ"/>
    <n v="0"/>
    <n v="0"/>
    <n v="10000"/>
    <n v="10000"/>
  </r>
  <r>
    <s v="Private Label"/>
    <s v="Templado"/>
    <s v="ACA"/>
    <x v="58"/>
    <s v="476TRECEPTA"/>
    <s v="AR"/>
    <n v="476"/>
    <s v="Trecepta"/>
    <n v="3"/>
    <s v="NA"/>
    <s v="80M"/>
    <s v="NAC"/>
    <s v="PND"/>
    <s v="2X"/>
    <s v="Verde"/>
    <s v="C1037XDDFZ"/>
    <s v="C1688RHTTZ"/>
    <n v="0"/>
    <n v="0"/>
    <n v="7500"/>
    <n v="7500"/>
  </r>
  <r>
    <s v="Private Label"/>
    <s v="Templado"/>
    <s v="DM"/>
    <x v="59"/>
    <s v="2773TRECEPTA"/>
    <s v="AR"/>
    <n v="2773"/>
    <s v="Trecepta"/>
    <n v="3"/>
    <s v="NA"/>
    <s v="80M"/>
    <s v="NAC"/>
    <s v="PND"/>
    <s v="2X"/>
    <s v="Verde"/>
    <s v="C1037XDDFZ"/>
    <s v="C6731RHTTZ"/>
    <n v="0"/>
    <n v="0"/>
    <n v="10000"/>
    <n v="10000"/>
  </r>
  <r>
    <s v="Private Label"/>
    <s v="Templado"/>
    <s v="Illinois"/>
    <x v="60"/>
    <s v="799TRECEPTA"/>
    <s v="AR"/>
    <n v="799"/>
    <s v="Trecepta"/>
    <n v="3"/>
    <s v="NA"/>
    <s v="80M"/>
    <s v="NAC"/>
    <s v="PND"/>
    <s v="2X"/>
    <s v="Verde"/>
    <s v="C4204XDDFZ"/>
    <s v="C2835RHTTZ"/>
    <n v="0"/>
    <n v="0"/>
    <n v="7500"/>
    <n v="7500"/>
  </r>
  <r>
    <m/>
    <m/>
    <s v="Private Label"/>
    <x v="4"/>
    <m/>
    <m/>
    <m/>
    <m/>
    <m/>
    <m/>
    <m/>
    <m/>
    <m/>
    <m/>
    <m/>
    <m/>
    <m/>
    <n v="0"/>
    <n v="0"/>
    <n v="406322.31404958677"/>
    <n v="406322.31404958677"/>
  </r>
  <r>
    <m/>
    <m/>
    <s v="Total Produccion ARG"/>
    <x v="5"/>
    <m/>
    <m/>
    <m/>
    <m/>
    <m/>
    <m/>
    <m/>
    <m/>
    <m/>
    <m/>
    <m/>
    <m/>
    <m/>
    <n v="0"/>
    <n v="0"/>
    <n v="3179282.8403653763"/>
    <n v="3145042.708786428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EF4B8C-132E-4FB9-9350-E0831290825E}" name="PivotTable10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62" firstHeaderRow="0" firstDataRow="1" firstDataCol="1"/>
  <pivotFields count="21">
    <pivotField showAll="0"/>
    <pivotField showAll="0"/>
    <pivotField showAll="0"/>
    <pivotField axis="axisRow" showAll="0">
      <items count="62">
        <item x="53"/>
        <item x="45"/>
        <item x="46"/>
        <item x="47"/>
        <item x="39"/>
        <item x="41"/>
        <item x="42"/>
        <item x="11"/>
        <item x="32"/>
        <item x="49"/>
        <item x="50"/>
        <item x="52"/>
        <item x="40"/>
        <item x="51"/>
        <item x="57"/>
        <item x="12"/>
        <item x="37"/>
        <item x="2"/>
        <item x="35"/>
        <item x="25"/>
        <item x="38"/>
        <item x="26"/>
        <item x="56"/>
        <item x="60"/>
        <item x="27"/>
        <item x="54"/>
        <item x="59"/>
        <item x="28"/>
        <item x="17"/>
        <item x="58"/>
        <item x="3"/>
        <item x="55"/>
        <item x="30"/>
        <item x="19"/>
        <item x="29"/>
        <item x="18"/>
        <item x="7"/>
        <item x="43"/>
        <item x="44"/>
        <item x="22"/>
        <item x="21"/>
        <item x="8"/>
        <item x="9"/>
        <item x="10"/>
        <item x="23"/>
        <item x="14"/>
        <item x="13"/>
        <item x="15"/>
        <item x="24"/>
        <item x="16"/>
        <item x="1"/>
        <item x="0"/>
        <item x="48"/>
        <item x="36"/>
        <item x="34"/>
        <item x="33"/>
        <item x="31"/>
        <item x="6"/>
        <item h="1" x="20"/>
        <item h="1" x="4"/>
        <item h="1"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" showAll="0"/>
    <pivotField numFmtId="1" showAll="0"/>
    <pivotField dataField="1" numFmtId="1" showAll="0"/>
  </pivotFields>
  <rowFields count="1">
    <field x="3"/>
  </rowFields>
  <rowItems count="5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SU 21" fld="20" showDataAs="percentOfCol" baseField="3" baseItem="0" numFmtId="10"/>
    <dataField name="Sum of SSU 21_2" fld="20" baseField="0" baseItem="0" numFmtId="1"/>
  </dataFields>
  <formats count="1">
    <format dxfId="10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9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64A4D-8281-4844-A946-BF20216737A9}">
  <dimension ref="A1:Z70"/>
  <sheetViews>
    <sheetView showGridLines="0" zoomScale="85" zoomScaleNormal="85" workbookViewId="0">
      <pane xSplit="7" ySplit="6" topLeftCell="H7" activePane="bottomRight" state="frozen"/>
      <selection pane="topRight" activeCell="G1" sqref="G1"/>
      <selection pane="bottomLeft" activeCell="A6" sqref="A6"/>
      <selection pane="bottomRight" activeCell="G35" sqref="G35"/>
    </sheetView>
  </sheetViews>
  <sheetFormatPr baseColWidth="10" defaultColWidth="8.85546875" defaultRowHeight="15" x14ac:dyDescent="0.25"/>
  <cols>
    <col min="1" max="1" width="1.5703125" customWidth="1"/>
    <col min="2" max="2" width="12.5703125" customWidth="1"/>
    <col min="3" max="3" width="7" customWidth="1"/>
    <col min="4" max="4" width="7.5703125" customWidth="1"/>
    <col min="5" max="5" width="10" customWidth="1"/>
    <col min="6" max="6" width="3.42578125" customWidth="1"/>
    <col min="7" max="7" width="18.42578125" customWidth="1"/>
    <col min="8" max="8" width="8" customWidth="1"/>
    <col min="9" max="11" width="9.42578125" customWidth="1"/>
    <col min="12" max="12" width="14.5703125" customWidth="1"/>
    <col min="13" max="13" width="9.42578125" customWidth="1"/>
    <col min="14" max="14" width="12.42578125" customWidth="1"/>
    <col min="15" max="16" width="11.42578125" customWidth="1"/>
    <col min="17" max="17" width="11.5703125" customWidth="1"/>
    <col min="18" max="19" width="8.5703125" customWidth="1"/>
    <col min="20" max="20" width="14" customWidth="1"/>
    <col min="21" max="22" width="8.42578125" customWidth="1"/>
    <col min="23" max="23" width="11.42578125" customWidth="1"/>
    <col min="24" max="24" width="13.5703125" customWidth="1"/>
    <col min="25" max="25" width="18.5703125" bestFit="1" customWidth="1"/>
  </cols>
  <sheetData>
    <row r="1" spans="1:26" x14ac:dyDescent="0.25">
      <c r="B1" s="1" t="s">
        <v>0</v>
      </c>
      <c r="C1" s="1" t="s">
        <v>1</v>
      </c>
      <c r="D1" s="1">
        <v>1500</v>
      </c>
      <c r="E1" s="1" t="s">
        <v>2</v>
      </c>
      <c r="F1" s="1"/>
      <c r="G1" s="33">
        <v>17</v>
      </c>
      <c r="K1" s="2" t="s">
        <v>3</v>
      </c>
    </row>
    <row r="2" spans="1:26" x14ac:dyDescent="0.25">
      <c r="B2" s="1"/>
      <c r="C2" s="1" t="s">
        <v>4</v>
      </c>
      <c r="D2" s="1">
        <v>1000</v>
      </c>
      <c r="E2" s="1" t="s">
        <v>2</v>
      </c>
      <c r="F2" s="1"/>
      <c r="G2" s="1" t="s">
        <v>5</v>
      </c>
      <c r="K2" s="2" t="s">
        <v>6</v>
      </c>
      <c r="O2" s="26"/>
    </row>
    <row r="3" spans="1:26" x14ac:dyDescent="0.25">
      <c r="B3" s="1"/>
      <c r="C3" s="4" t="s">
        <v>7</v>
      </c>
      <c r="D3" s="1">
        <v>10000</v>
      </c>
      <c r="E3" s="1" t="s">
        <v>2</v>
      </c>
      <c r="F3" s="1"/>
      <c r="G3" s="1"/>
      <c r="K3" s="2" t="s">
        <v>8</v>
      </c>
      <c r="O3" s="26"/>
    </row>
    <row r="4" spans="1:26" x14ac:dyDescent="0.25">
      <c r="B4" s="1"/>
      <c r="C4" s="1" t="s">
        <v>9</v>
      </c>
      <c r="D4" s="1">
        <v>15000</v>
      </c>
      <c r="E4" s="1" t="s">
        <v>2</v>
      </c>
      <c r="F4" s="1"/>
      <c r="K4" s="2"/>
      <c r="O4" s="46"/>
    </row>
    <row r="5" spans="1:26" ht="15.75" thickBot="1" x14ac:dyDescent="0.3">
      <c r="B5" s="1"/>
      <c r="C5" s="141" t="s">
        <v>10</v>
      </c>
      <c r="D5" s="1">
        <v>9000</v>
      </c>
      <c r="E5" s="1"/>
      <c r="F5" s="1"/>
      <c r="G5" s="141"/>
      <c r="H5" s="1"/>
      <c r="K5" s="2"/>
      <c r="O5" s="46"/>
    </row>
    <row r="6" spans="1:26" ht="36" customHeight="1" thickBot="1" x14ac:dyDescent="0.3">
      <c r="B6" s="5" t="s">
        <v>11</v>
      </c>
      <c r="C6" s="6" t="s">
        <v>12</v>
      </c>
      <c r="D6" s="142" t="s">
        <v>13</v>
      </c>
      <c r="E6" s="6" t="s">
        <v>14</v>
      </c>
      <c r="F6" s="6" t="s">
        <v>15</v>
      </c>
      <c r="G6" s="7" t="s">
        <v>16</v>
      </c>
      <c r="H6" s="7" t="s">
        <v>17</v>
      </c>
      <c r="I6" s="7" t="s">
        <v>18</v>
      </c>
      <c r="J6" s="7" t="s">
        <v>19</v>
      </c>
      <c r="K6" s="7" t="s">
        <v>20</v>
      </c>
      <c r="L6" s="8" t="s">
        <v>21</v>
      </c>
      <c r="M6" s="27" t="s">
        <v>22</v>
      </c>
      <c r="N6" s="30" t="s">
        <v>23</v>
      </c>
      <c r="O6" s="27" t="s">
        <v>24</v>
      </c>
      <c r="P6" s="28" t="s">
        <v>25</v>
      </c>
      <c r="Q6" s="9" t="s">
        <v>26</v>
      </c>
      <c r="R6" s="10" t="s">
        <v>27</v>
      </c>
      <c r="S6" s="10" t="s">
        <v>28</v>
      </c>
      <c r="T6" s="29" t="s">
        <v>29</v>
      </c>
      <c r="U6" s="31" t="s">
        <v>30</v>
      </c>
      <c r="V6" s="32" t="s">
        <v>31</v>
      </c>
      <c r="W6" s="48" t="s">
        <v>32</v>
      </c>
      <c r="X6" s="29" t="s">
        <v>33</v>
      </c>
      <c r="Y6" s="52" t="s">
        <v>34</v>
      </c>
    </row>
    <row r="7" spans="1:26" s="17" customFormat="1" ht="14.1" customHeight="1" x14ac:dyDescent="0.25">
      <c r="A7" s="40"/>
      <c r="B7" s="19" t="s">
        <v>35</v>
      </c>
      <c r="C7" s="35" t="s">
        <v>36</v>
      </c>
      <c r="D7" s="136" t="s">
        <v>37</v>
      </c>
      <c r="E7" s="81">
        <v>2020</v>
      </c>
      <c r="F7" s="35"/>
      <c r="G7" s="43" t="s">
        <v>38</v>
      </c>
      <c r="H7" s="35" t="s">
        <v>39</v>
      </c>
      <c r="I7" s="12" t="s">
        <v>40</v>
      </c>
      <c r="J7" s="12" t="s">
        <v>41</v>
      </c>
      <c r="K7" s="12" t="s">
        <v>42</v>
      </c>
      <c r="L7" s="20" t="s">
        <v>43</v>
      </c>
      <c r="M7" s="18">
        <f>+N7/$D$3+1</f>
        <v>6.1292999999999997</v>
      </c>
      <c r="N7" s="36">
        <v>51293</v>
      </c>
      <c r="O7" s="37">
        <v>51293</v>
      </c>
      <c r="P7" s="57">
        <v>44242</v>
      </c>
      <c r="Q7" s="58">
        <f>+P7+M7</f>
        <v>44248.129300000001</v>
      </c>
      <c r="R7" s="59">
        <f>_xlfn.ISOWEEKNUM(P7)</f>
        <v>7</v>
      </c>
      <c r="S7" s="59">
        <f>_xlfn.ISOWEEKNUM(Q7)</f>
        <v>7</v>
      </c>
      <c r="T7" s="60">
        <f>+Q7+$G$1</f>
        <v>44265.129300000001</v>
      </c>
      <c r="U7" s="56"/>
      <c r="V7" s="61"/>
      <c r="W7" s="93">
        <f>+N7</f>
        <v>51293</v>
      </c>
      <c r="X7" s="62"/>
      <c r="Y7" s="63" t="s">
        <v>44</v>
      </c>
      <c r="Z7" s="45"/>
    </row>
    <row r="8" spans="1:26" s="17" customFormat="1" ht="14.1" customHeight="1" x14ac:dyDescent="0.25">
      <c r="A8" s="40"/>
      <c r="B8" s="19" t="s">
        <v>45</v>
      </c>
      <c r="C8" s="35" t="s">
        <v>36</v>
      </c>
      <c r="D8" s="136" t="s">
        <v>37</v>
      </c>
      <c r="E8" s="81">
        <v>2020</v>
      </c>
      <c r="F8" s="35"/>
      <c r="G8" s="43" t="s">
        <v>46</v>
      </c>
      <c r="H8" s="35" t="s">
        <v>39</v>
      </c>
      <c r="I8" s="12" t="s">
        <v>40</v>
      </c>
      <c r="J8" s="12" t="s">
        <v>41</v>
      </c>
      <c r="K8" s="12" t="s">
        <v>42</v>
      </c>
      <c r="L8" s="20" t="s">
        <v>47</v>
      </c>
      <c r="M8" s="18">
        <f>+N8/$D$3+0.5</f>
        <v>4.9924999999999997</v>
      </c>
      <c r="N8" s="36">
        <v>44925</v>
      </c>
      <c r="O8" s="37">
        <f>+N8</f>
        <v>44925</v>
      </c>
      <c r="P8" s="73">
        <f>+Q7</f>
        <v>44248.129300000001</v>
      </c>
      <c r="Q8" s="74">
        <f t="shared" ref="Q8" si="0">+P8+M8</f>
        <v>44253.121800000001</v>
      </c>
      <c r="R8" s="75">
        <f t="shared" ref="R8:R35" si="1">_xlfn.ISOWEEKNUM(P8)</f>
        <v>7</v>
      </c>
      <c r="S8" s="76">
        <f t="shared" ref="S8:S35" si="2">_xlfn.ISOWEEKNUM(Q8)</f>
        <v>8</v>
      </c>
      <c r="T8" s="77">
        <f t="shared" ref="T8:T35" si="3">+Q8+$G$1</f>
        <v>44270.121800000001</v>
      </c>
      <c r="U8" s="71"/>
      <c r="V8" s="34"/>
      <c r="W8" s="91">
        <f>+W7+N8</f>
        <v>96218</v>
      </c>
      <c r="X8" s="78"/>
      <c r="Y8" s="80" t="s">
        <v>44</v>
      </c>
      <c r="Z8" s="45"/>
    </row>
    <row r="9" spans="1:26" s="17" customFormat="1" ht="14.1" customHeight="1" x14ac:dyDescent="0.25">
      <c r="A9" s="40"/>
      <c r="B9" s="19" t="s">
        <v>48</v>
      </c>
      <c r="C9" s="35" t="s">
        <v>36</v>
      </c>
      <c r="D9" s="136" t="s">
        <v>37</v>
      </c>
      <c r="E9" s="81">
        <v>2020</v>
      </c>
      <c r="F9" s="35"/>
      <c r="G9" s="44" t="s">
        <v>49</v>
      </c>
      <c r="H9" s="35" t="s">
        <v>39</v>
      </c>
      <c r="I9" s="12" t="s">
        <v>50</v>
      </c>
      <c r="J9" s="12" t="s">
        <v>41</v>
      </c>
      <c r="K9" s="12" t="s">
        <v>42</v>
      </c>
      <c r="L9" s="20" t="s">
        <v>47</v>
      </c>
      <c r="M9" s="18">
        <f>+N9/$D$3+0.5</f>
        <v>7.9661999999999997</v>
      </c>
      <c r="N9" s="36">
        <v>74662</v>
      </c>
      <c r="O9" s="37">
        <v>74662</v>
      </c>
      <c r="P9" s="73">
        <f t="shared" ref="P9:P34" si="4">+Q8</f>
        <v>44253.121800000001</v>
      </c>
      <c r="Q9" s="74">
        <f t="shared" ref="Q9:Q12" si="5">+P9+M9</f>
        <v>44261.088000000003</v>
      </c>
      <c r="R9" s="75">
        <f t="shared" ref="R9:R12" si="6">_xlfn.ISOWEEKNUM(P9)</f>
        <v>8</v>
      </c>
      <c r="S9" s="76">
        <f t="shared" ref="S9:S12" si="7">_xlfn.ISOWEEKNUM(Q9)</f>
        <v>9</v>
      </c>
      <c r="T9" s="77">
        <f t="shared" ref="T9:T12" si="8">+Q9+$G$1</f>
        <v>44278.088000000003</v>
      </c>
      <c r="U9" s="71"/>
      <c r="V9" s="34"/>
      <c r="W9" s="91">
        <f t="shared" ref="W9:W32" si="9">+W8+N9</f>
        <v>170880</v>
      </c>
      <c r="X9" s="78"/>
      <c r="Y9" s="80" t="s">
        <v>44</v>
      </c>
      <c r="Z9" s="45"/>
    </row>
    <row r="10" spans="1:26" s="17" customFormat="1" ht="14.1" customHeight="1" x14ac:dyDescent="0.25">
      <c r="A10" s="40"/>
      <c r="B10" s="66" t="s">
        <v>35</v>
      </c>
      <c r="C10" s="54" t="s">
        <v>36</v>
      </c>
      <c r="D10" s="137" t="s">
        <v>37</v>
      </c>
      <c r="E10" s="81">
        <v>2020</v>
      </c>
      <c r="F10" s="54"/>
      <c r="G10" s="67" t="s">
        <v>51</v>
      </c>
      <c r="H10" s="55" t="s">
        <v>52</v>
      </c>
      <c r="I10" s="55" t="s">
        <v>40</v>
      </c>
      <c r="J10" s="55" t="s">
        <v>41</v>
      </c>
      <c r="K10" s="68" t="s">
        <v>42</v>
      </c>
      <c r="L10" s="69" t="s">
        <v>47</v>
      </c>
      <c r="M10" s="18">
        <f>+N10/$D$3+0.5</f>
        <v>2.5825</v>
      </c>
      <c r="N10" s="71">
        <v>20825</v>
      </c>
      <c r="O10" s="72">
        <v>20825</v>
      </c>
      <c r="P10" s="73">
        <f t="shared" si="4"/>
        <v>44261.088000000003</v>
      </c>
      <c r="Q10" s="74">
        <f t="shared" si="5"/>
        <v>44263.6705</v>
      </c>
      <c r="R10" s="75">
        <f t="shared" si="6"/>
        <v>9</v>
      </c>
      <c r="S10" s="76">
        <f t="shared" si="7"/>
        <v>10</v>
      </c>
      <c r="T10" s="77">
        <f t="shared" si="8"/>
        <v>44280.6705</v>
      </c>
      <c r="U10" s="71"/>
      <c r="V10" s="34"/>
      <c r="W10" s="91">
        <f t="shared" si="9"/>
        <v>191705</v>
      </c>
      <c r="X10" s="78"/>
      <c r="Y10" s="80" t="s">
        <v>44</v>
      </c>
      <c r="Z10" s="45"/>
    </row>
    <row r="11" spans="1:26" s="17" customFormat="1" ht="14.1" customHeight="1" x14ac:dyDescent="0.25">
      <c r="A11" s="40"/>
      <c r="B11" s="66"/>
      <c r="C11" s="54"/>
      <c r="D11" s="137"/>
      <c r="E11" s="81"/>
      <c r="F11" s="54"/>
      <c r="G11" s="67" t="s">
        <v>53</v>
      </c>
      <c r="H11" s="55"/>
      <c r="I11" s="55"/>
      <c r="J11" s="55"/>
      <c r="K11" s="68"/>
      <c r="L11" s="98"/>
      <c r="M11" s="18"/>
      <c r="N11" s="71">
        <v>20000</v>
      </c>
      <c r="O11" s="72">
        <v>20000</v>
      </c>
      <c r="P11" s="73"/>
      <c r="Q11" s="74"/>
      <c r="R11" s="75"/>
      <c r="S11" s="76"/>
      <c r="T11" s="77"/>
      <c r="U11" s="71"/>
      <c r="V11" s="34"/>
      <c r="W11" s="91"/>
      <c r="X11" s="78"/>
      <c r="Y11" s="80"/>
      <c r="Z11" s="45"/>
    </row>
    <row r="12" spans="1:26" s="17" customFormat="1" ht="14.1" customHeight="1" x14ac:dyDescent="0.25">
      <c r="A12" s="40"/>
      <c r="B12" s="25" t="s">
        <v>54</v>
      </c>
      <c r="C12" s="35" t="s">
        <v>36</v>
      </c>
      <c r="D12" s="136" t="s">
        <v>37</v>
      </c>
      <c r="E12" s="35">
        <v>2021</v>
      </c>
      <c r="F12" s="35"/>
      <c r="G12" s="43" t="s">
        <v>55</v>
      </c>
      <c r="H12" s="35" t="s">
        <v>39</v>
      </c>
      <c r="I12" s="12" t="s">
        <v>40</v>
      </c>
      <c r="J12" s="12" t="s">
        <v>56</v>
      </c>
      <c r="K12" s="12" t="s">
        <v>57</v>
      </c>
      <c r="L12" s="20" t="s">
        <v>43</v>
      </c>
      <c r="M12" s="18">
        <f>+N12/$D$3+0.5</f>
        <v>7.8440000000000003</v>
      </c>
      <c r="N12" s="71">
        <v>73440</v>
      </c>
      <c r="O12" s="72">
        <f>+N12*0.75</f>
        <v>55080</v>
      </c>
      <c r="P12" s="73">
        <f>+Q10</f>
        <v>44263.6705</v>
      </c>
      <c r="Q12" s="74">
        <f t="shared" si="5"/>
        <v>44271.514499999997</v>
      </c>
      <c r="R12" s="75">
        <f t="shared" si="6"/>
        <v>10</v>
      </c>
      <c r="S12" s="76">
        <f t="shared" si="7"/>
        <v>11</v>
      </c>
      <c r="T12" s="77">
        <f t="shared" si="8"/>
        <v>44288.514499999997</v>
      </c>
      <c r="U12" s="71"/>
      <c r="V12" s="34"/>
      <c r="W12" s="91">
        <f>+W10+N12</f>
        <v>265145</v>
      </c>
      <c r="X12" s="78"/>
      <c r="Y12" s="80"/>
      <c r="Z12" s="45"/>
    </row>
    <row r="13" spans="1:26" s="17" customFormat="1" ht="14.1" customHeight="1" x14ac:dyDescent="0.25">
      <c r="A13" s="40"/>
      <c r="B13" s="11" t="s">
        <v>35</v>
      </c>
      <c r="C13" s="35" t="s">
        <v>36</v>
      </c>
      <c r="D13" s="138" t="s">
        <v>37</v>
      </c>
      <c r="E13" s="35">
        <v>2021</v>
      </c>
      <c r="F13" s="35"/>
      <c r="G13" s="44" t="s">
        <v>58</v>
      </c>
      <c r="H13" s="12" t="s">
        <v>39</v>
      </c>
      <c r="I13" s="12" t="s">
        <v>59</v>
      </c>
      <c r="J13" s="12" t="s">
        <v>41</v>
      </c>
      <c r="K13" s="12" t="s">
        <v>42</v>
      </c>
      <c r="L13" s="13" t="s">
        <v>43</v>
      </c>
      <c r="M13" s="18">
        <f>+N13/$D$5+0.5</f>
        <v>12.566444444444445</v>
      </c>
      <c r="N13" s="71">
        <v>108598</v>
      </c>
      <c r="O13" s="72">
        <f t="shared" ref="O13:O22" si="10">+N13</f>
        <v>108598</v>
      </c>
      <c r="P13" s="73">
        <f t="shared" ref="P13:P15" si="11">+Q12</f>
        <v>44271.514499999997</v>
      </c>
      <c r="Q13" s="74">
        <f t="shared" ref="Q13:Q15" si="12">+P13+M13</f>
        <v>44284.080944444439</v>
      </c>
      <c r="R13" s="75">
        <f t="shared" ref="R13:R15" si="13">_xlfn.ISOWEEKNUM(P13)</f>
        <v>11</v>
      </c>
      <c r="S13" s="76">
        <f t="shared" ref="S13:S15" si="14">_xlfn.ISOWEEKNUM(Q13)</f>
        <v>13</v>
      </c>
      <c r="T13" s="77">
        <f t="shared" ref="T13:T15" si="15">+Q13+$G$1</f>
        <v>44301.080944444439</v>
      </c>
      <c r="U13" s="71"/>
      <c r="V13" s="34"/>
      <c r="W13" s="91">
        <f t="shared" si="9"/>
        <v>373743</v>
      </c>
      <c r="X13" s="78"/>
      <c r="Y13" s="80"/>
      <c r="Z13" s="45"/>
    </row>
    <row r="14" spans="1:26" s="17" customFormat="1" ht="14.1" customHeight="1" x14ac:dyDescent="0.25">
      <c r="A14" s="40"/>
      <c r="B14" s="11" t="s">
        <v>35</v>
      </c>
      <c r="C14" s="35" t="s">
        <v>36</v>
      </c>
      <c r="D14" s="138" t="s">
        <v>37</v>
      </c>
      <c r="E14" s="35">
        <v>2021</v>
      </c>
      <c r="F14" s="35"/>
      <c r="G14" s="44" t="s">
        <v>60</v>
      </c>
      <c r="H14" s="12" t="s">
        <v>39</v>
      </c>
      <c r="I14" s="12" t="s">
        <v>61</v>
      </c>
      <c r="J14" s="12" t="s">
        <v>41</v>
      </c>
      <c r="K14" s="12" t="s">
        <v>42</v>
      </c>
      <c r="L14" s="13" t="s">
        <v>43</v>
      </c>
      <c r="M14" s="18">
        <f>+N14/$D$5+0.5</f>
        <v>22.452222222222222</v>
      </c>
      <c r="N14" s="71">
        <f>306168-N13</f>
        <v>197570</v>
      </c>
      <c r="O14" s="72">
        <f t="shared" si="10"/>
        <v>197570</v>
      </c>
      <c r="P14" s="73">
        <f t="shared" si="11"/>
        <v>44284.080944444439</v>
      </c>
      <c r="Q14" s="74">
        <f t="shared" si="12"/>
        <v>44306.533166666661</v>
      </c>
      <c r="R14" s="75">
        <f t="shared" si="13"/>
        <v>13</v>
      </c>
      <c r="S14" s="76">
        <f t="shared" si="14"/>
        <v>16</v>
      </c>
      <c r="T14" s="77">
        <f t="shared" si="15"/>
        <v>44323.533166666661</v>
      </c>
      <c r="U14" s="71"/>
      <c r="V14" s="34"/>
      <c r="W14" s="91">
        <f t="shared" si="9"/>
        <v>571313</v>
      </c>
      <c r="X14" s="78"/>
      <c r="Y14" s="80"/>
      <c r="Z14" s="45"/>
    </row>
    <row r="15" spans="1:26" ht="14.1" customHeight="1" x14ac:dyDescent="0.25">
      <c r="A15" s="40"/>
      <c r="B15" s="19" t="s">
        <v>35</v>
      </c>
      <c r="C15" s="35" t="s">
        <v>36</v>
      </c>
      <c r="D15" s="136" t="s">
        <v>37</v>
      </c>
      <c r="E15" s="35">
        <v>2021</v>
      </c>
      <c r="F15" s="35"/>
      <c r="G15" s="43" t="s">
        <v>62</v>
      </c>
      <c r="H15" s="35" t="s">
        <v>39</v>
      </c>
      <c r="I15" s="12" t="s">
        <v>63</v>
      </c>
      <c r="J15" s="12" t="s">
        <v>41</v>
      </c>
      <c r="K15" s="12" t="s">
        <v>42</v>
      </c>
      <c r="L15" s="21" t="s">
        <v>43</v>
      </c>
      <c r="M15" s="18">
        <f t="shared" ref="M15:M33" si="16">+N15/$D$4+0.5</f>
        <v>2.4385333333333334</v>
      </c>
      <c r="N15" s="36">
        <v>29078</v>
      </c>
      <c r="O15" s="37">
        <f t="shared" ref="O15" si="17">+N15</f>
        <v>29078</v>
      </c>
      <c r="P15" s="73">
        <f t="shared" si="11"/>
        <v>44306.533166666661</v>
      </c>
      <c r="Q15" s="74">
        <f t="shared" si="12"/>
        <v>44308.971699999995</v>
      </c>
      <c r="R15" s="75">
        <f t="shared" si="13"/>
        <v>16</v>
      </c>
      <c r="S15" s="76">
        <f t="shared" si="14"/>
        <v>16</v>
      </c>
      <c r="T15" s="77">
        <f t="shared" si="15"/>
        <v>44325.971699999995</v>
      </c>
      <c r="U15" s="36"/>
      <c r="V15" s="39"/>
      <c r="W15" s="91">
        <f t="shared" si="9"/>
        <v>600391</v>
      </c>
      <c r="X15" s="51"/>
      <c r="Y15" s="50"/>
      <c r="Z15" s="45"/>
    </row>
    <row r="16" spans="1:26" ht="14.1" customHeight="1" x14ac:dyDescent="0.25">
      <c r="A16" s="40"/>
      <c r="B16" s="19" t="s">
        <v>35</v>
      </c>
      <c r="C16" s="35" t="s">
        <v>36</v>
      </c>
      <c r="D16" s="136" t="s">
        <v>37</v>
      </c>
      <c r="E16" s="35">
        <v>2021</v>
      </c>
      <c r="F16" s="35"/>
      <c r="G16" s="44" t="s">
        <v>64</v>
      </c>
      <c r="H16" s="35" t="s">
        <v>39</v>
      </c>
      <c r="I16" s="12" t="s">
        <v>40</v>
      </c>
      <c r="J16" s="12" t="s">
        <v>41</v>
      </c>
      <c r="K16" s="12" t="s">
        <v>42</v>
      </c>
      <c r="L16" s="21" t="s">
        <v>43</v>
      </c>
      <c r="M16" s="18">
        <f t="shared" si="16"/>
        <v>2.7739333333333334</v>
      </c>
      <c r="N16" s="36">
        <f>78187-N44-N15</f>
        <v>34109</v>
      </c>
      <c r="O16" s="37">
        <f t="shared" si="10"/>
        <v>34109</v>
      </c>
      <c r="P16" s="73">
        <f t="shared" ref="P16:P33" si="18">+Q15</f>
        <v>44308.971699999995</v>
      </c>
      <c r="Q16" s="74">
        <f t="shared" ref="Q16:Q33" si="19">+P16+M16</f>
        <v>44311.745633333325</v>
      </c>
      <c r="R16" s="75">
        <f t="shared" ref="R16:R33" si="20">_xlfn.ISOWEEKNUM(P16)</f>
        <v>16</v>
      </c>
      <c r="S16" s="76">
        <f t="shared" ref="S16:S33" si="21">_xlfn.ISOWEEKNUM(Q16)</f>
        <v>16</v>
      </c>
      <c r="T16" s="77">
        <f t="shared" ref="T16:T33" si="22">+Q16+$G$1</f>
        <v>44328.745633333325</v>
      </c>
      <c r="U16" s="36"/>
      <c r="V16" s="39"/>
      <c r="W16" s="91">
        <f t="shared" si="9"/>
        <v>634500</v>
      </c>
      <c r="X16" s="51"/>
      <c r="Y16" s="50"/>
      <c r="Z16" s="45"/>
    </row>
    <row r="17" spans="1:26" s="17" customFormat="1" ht="14.1" customHeight="1" x14ac:dyDescent="0.25">
      <c r="A17" s="40"/>
      <c r="B17" s="11" t="s">
        <v>35</v>
      </c>
      <c r="C17" s="35" t="s">
        <v>36</v>
      </c>
      <c r="D17" s="136" t="s">
        <v>37</v>
      </c>
      <c r="E17" s="35">
        <v>2021</v>
      </c>
      <c r="F17" s="35"/>
      <c r="G17" s="47" t="s">
        <v>65</v>
      </c>
      <c r="H17" s="12" t="s">
        <v>39</v>
      </c>
      <c r="I17" s="12" t="s">
        <v>66</v>
      </c>
      <c r="J17" s="12" t="s">
        <v>41</v>
      </c>
      <c r="K17" s="12" t="s">
        <v>42</v>
      </c>
      <c r="L17" s="13" t="s">
        <v>67</v>
      </c>
      <c r="M17" s="18">
        <f t="shared" si="16"/>
        <v>8.8504000000000005</v>
      </c>
      <c r="N17" s="71">
        <f>129256-N36</f>
        <v>125256</v>
      </c>
      <c r="O17" s="72">
        <f>+N17</f>
        <v>125256</v>
      </c>
      <c r="P17" s="73">
        <f t="shared" si="18"/>
        <v>44311.745633333325</v>
      </c>
      <c r="Q17" s="74">
        <f t="shared" si="19"/>
        <v>44320.596033333328</v>
      </c>
      <c r="R17" s="75">
        <f t="shared" si="20"/>
        <v>16</v>
      </c>
      <c r="S17" s="76">
        <f t="shared" si="21"/>
        <v>18</v>
      </c>
      <c r="T17" s="77">
        <f t="shared" si="22"/>
        <v>44337.596033333328</v>
      </c>
      <c r="U17" s="71"/>
      <c r="V17" s="34"/>
      <c r="W17" s="91">
        <f t="shared" si="9"/>
        <v>759756</v>
      </c>
      <c r="X17" s="78"/>
      <c r="Y17" s="80"/>
      <c r="Z17" s="45"/>
    </row>
    <row r="18" spans="1:26" s="17" customFormat="1" ht="14.1" customHeight="1" x14ac:dyDescent="0.25">
      <c r="A18" s="40"/>
      <c r="B18" s="11" t="s">
        <v>35</v>
      </c>
      <c r="C18" s="35" t="s">
        <v>36</v>
      </c>
      <c r="D18" s="136" t="s">
        <v>37</v>
      </c>
      <c r="E18" s="35">
        <v>2021</v>
      </c>
      <c r="F18" s="35"/>
      <c r="G18" s="43" t="s">
        <v>68</v>
      </c>
      <c r="H18" s="35" t="s">
        <v>39</v>
      </c>
      <c r="I18" s="12" t="s">
        <v>66</v>
      </c>
      <c r="J18" s="12" t="s">
        <v>41</v>
      </c>
      <c r="K18" s="64" t="s">
        <v>42</v>
      </c>
      <c r="L18" s="13" t="s">
        <v>67</v>
      </c>
      <c r="M18" s="18">
        <f t="shared" si="16"/>
        <v>1.9746666666666666</v>
      </c>
      <c r="N18" s="71">
        <v>22120</v>
      </c>
      <c r="O18" s="72">
        <f t="shared" si="10"/>
        <v>22120</v>
      </c>
      <c r="P18" s="73">
        <f t="shared" si="18"/>
        <v>44320.596033333328</v>
      </c>
      <c r="Q18" s="74">
        <f t="shared" si="19"/>
        <v>44322.570699999997</v>
      </c>
      <c r="R18" s="75">
        <f t="shared" si="20"/>
        <v>18</v>
      </c>
      <c r="S18" s="76">
        <f t="shared" si="21"/>
        <v>18</v>
      </c>
      <c r="T18" s="77">
        <f t="shared" si="22"/>
        <v>44339.570699999997</v>
      </c>
      <c r="U18" s="71"/>
      <c r="V18" s="34"/>
      <c r="W18" s="91">
        <f t="shared" si="9"/>
        <v>781876</v>
      </c>
      <c r="X18" s="78"/>
      <c r="Y18" s="80"/>
      <c r="Z18" s="45"/>
    </row>
    <row r="19" spans="1:26" s="17" customFormat="1" ht="14.1" customHeight="1" x14ac:dyDescent="0.25">
      <c r="A19" s="40"/>
      <c r="B19" s="11" t="s">
        <v>35</v>
      </c>
      <c r="C19" s="35" t="s">
        <v>36</v>
      </c>
      <c r="D19" s="136" t="s">
        <v>37</v>
      </c>
      <c r="E19" s="35">
        <v>2021</v>
      </c>
      <c r="F19" s="54"/>
      <c r="G19" s="67" t="s">
        <v>69</v>
      </c>
      <c r="H19" s="12" t="s">
        <v>39</v>
      </c>
      <c r="I19" s="12" t="s">
        <v>66</v>
      </c>
      <c r="J19" s="12" t="s">
        <v>41</v>
      </c>
      <c r="K19" s="64" t="s">
        <v>42</v>
      </c>
      <c r="L19" s="13" t="s">
        <v>67</v>
      </c>
      <c r="M19" s="18">
        <f t="shared" si="16"/>
        <v>2.6126666666666667</v>
      </c>
      <c r="N19" s="71">
        <v>31690</v>
      </c>
      <c r="O19" s="72">
        <f t="shared" si="10"/>
        <v>31690</v>
      </c>
      <c r="P19" s="73">
        <f t="shared" si="18"/>
        <v>44322.570699999997</v>
      </c>
      <c r="Q19" s="74">
        <f t="shared" si="19"/>
        <v>44325.183366666664</v>
      </c>
      <c r="R19" s="75">
        <f t="shared" si="20"/>
        <v>18</v>
      </c>
      <c r="S19" s="76">
        <f t="shared" si="21"/>
        <v>18</v>
      </c>
      <c r="T19" s="77">
        <f t="shared" si="22"/>
        <v>44342.183366666664</v>
      </c>
      <c r="U19" s="71"/>
      <c r="V19" s="34"/>
      <c r="W19" s="91">
        <f t="shared" si="9"/>
        <v>813566</v>
      </c>
      <c r="X19" s="78"/>
      <c r="Y19" s="80"/>
      <c r="Z19" s="45"/>
    </row>
    <row r="20" spans="1:26" s="17" customFormat="1" ht="14.1" customHeight="1" x14ac:dyDescent="0.25">
      <c r="A20" s="40"/>
      <c r="B20" s="11" t="s">
        <v>45</v>
      </c>
      <c r="C20" s="54" t="s">
        <v>36</v>
      </c>
      <c r="D20" s="136" t="s">
        <v>37</v>
      </c>
      <c r="E20" s="54">
        <v>2021</v>
      </c>
      <c r="F20" s="35"/>
      <c r="G20" s="43" t="s">
        <v>70</v>
      </c>
      <c r="H20" s="55" t="s">
        <v>39</v>
      </c>
      <c r="I20" s="55" t="s">
        <v>66</v>
      </c>
      <c r="J20" s="55" t="s">
        <v>41</v>
      </c>
      <c r="K20" s="68" t="s">
        <v>42</v>
      </c>
      <c r="L20" s="69" t="s">
        <v>71</v>
      </c>
      <c r="M20" s="70">
        <f t="shared" si="16"/>
        <v>2.2709999999999999</v>
      </c>
      <c r="N20" s="71">
        <v>26565</v>
      </c>
      <c r="O20" s="72">
        <f>+N20</f>
        <v>26565</v>
      </c>
      <c r="P20" s="73">
        <f t="shared" si="18"/>
        <v>44325.183366666664</v>
      </c>
      <c r="Q20" s="74">
        <f t="shared" si="19"/>
        <v>44327.454366666665</v>
      </c>
      <c r="R20" s="75">
        <f t="shared" si="20"/>
        <v>18</v>
      </c>
      <c r="S20" s="76">
        <f t="shared" si="21"/>
        <v>19</v>
      </c>
      <c r="T20" s="77">
        <f t="shared" si="22"/>
        <v>44344.454366666665</v>
      </c>
      <c r="U20" s="71"/>
      <c r="V20" s="34"/>
      <c r="W20" s="91">
        <f t="shared" si="9"/>
        <v>840131</v>
      </c>
      <c r="X20" s="78"/>
      <c r="Y20" s="80"/>
      <c r="Z20" s="45"/>
    </row>
    <row r="21" spans="1:26" ht="14.1" customHeight="1" x14ac:dyDescent="0.25">
      <c r="A21" s="40"/>
      <c r="B21" s="11" t="s">
        <v>35</v>
      </c>
      <c r="C21" s="35" t="s">
        <v>36</v>
      </c>
      <c r="D21" s="136" t="s">
        <v>37</v>
      </c>
      <c r="E21" s="35">
        <v>2021</v>
      </c>
      <c r="F21" s="35"/>
      <c r="G21" s="47" t="s">
        <v>72</v>
      </c>
      <c r="H21" s="12" t="s">
        <v>39</v>
      </c>
      <c r="I21" s="12" t="s">
        <v>63</v>
      </c>
      <c r="J21" s="12" t="s">
        <v>41</v>
      </c>
      <c r="K21" s="64" t="s">
        <v>42</v>
      </c>
      <c r="L21" s="13" t="s">
        <v>43</v>
      </c>
      <c r="M21" s="18">
        <f t="shared" si="16"/>
        <v>7.2561333333333335</v>
      </c>
      <c r="N21" s="36">
        <v>101342</v>
      </c>
      <c r="O21" s="15">
        <f t="shared" si="10"/>
        <v>101342</v>
      </c>
      <c r="P21" s="73">
        <f t="shared" si="18"/>
        <v>44327.454366666665</v>
      </c>
      <c r="Q21" s="74">
        <f t="shared" si="19"/>
        <v>44334.710500000001</v>
      </c>
      <c r="R21" s="75">
        <f t="shared" si="20"/>
        <v>19</v>
      </c>
      <c r="S21" s="76">
        <f t="shared" si="21"/>
        <v>20</v>
      </c>
      <c r="T21" s="77">
        <f t="shared" si="22"/>
        <v>44351.710500000001</v>
      </c>
      <c r="U21" s="36"/>
      <c r="V21" s="37"/>
      <c r="W21" s="91">
        <f t="shared" si="9"/>
        <v>941473</v>
      </c>
      <c r="X21" s="51"/>
      <c r="Y21" s="49"/>
      <c r="Z21" s="45"/>
    </row>
    <row r="22" spans="1:26" ht="14.1" customHeight="1" x14ac:dyDescent="0.25">
      <c r="A22" s="40"/>
      <c r="B22" s="11" t="s">
        <v>35</v>
      </c>
      <c r="C22" s="35" t="s">
        <v>36</v>
      </c>
      <c r="D22" s="136" t="s">
        <v>37</v>
      </c>
      <c r="E22" s="35">
        <v>2021</v>
      </c>
      <c r="F22" s="35"/>
      <c r="G22" s="47" t="s">
        <v>73</v>
      </c>
      <c r="H22" s="12" t="s">
        <v>39</v>
      </c>
      <c r="I22" s="12" t="s">
        <v>40</v>
      </c>
      <c r="J22" s="12" t="s">
        <v>41</v>
      </c>
      <c r="K22" s="64" t="s">
        <v>42</v>
      </c>
      <c r="L22" s="13" t="s">
        <v>43</v>
      </c>
      <c r="M22" s="18">
        <f t="shared" si="16"/>
        <v>15.782066666666667</v>
      </c>
      <c r="N22" s="36">
        <f>330573-N21</f>
        <v>229231</v>
      </c>
      <c r="O22" s="15">
        <f t="shared" si="10"/>
        <v>229231</v>
      </c>
      <c r="P22" s="73">
        <f t="shared" si="18"/>
        <v>44334.710500000001</v>
      </c>
      <c r="Q22" s="74">
        <f t="shared" si="19"/>
        <v>44350.492566666668</v>
      </c>
      <c r="R22" s="75">
        <f t="shared" si="20"/>
        <v>20</v>
      </c>
      <c r="S22" s="76">
        <f t="shared" si="21"/>
        <v>22</v>
      </c>
      <c r="T22" s="77">
        <f t="shared" si="22"/>
        <v>44367.492566666668</v>
      </c>
      <c r="U22" s="36"/>
      <c r="V22" s="37"/>
      <c r="W22" s="91">
        <f t="shared" si="9"/>
        <v>1170704</v>
      </c>
      <c r="X22" s="51"/>
      <c r="Y22" s="49"/>
      <c r="Z22" s="45"/>
    </row>
    <row r="23" spans="1:26" s="17" customFormat="1" ht="14.1" customHeight="1" x14ac:dyDescent="0.25">
      <c r="A23" s="40"/>
      <c r="B23" s="19" t="s">
        <v>35</v>
      </c>
      <c r="C23" s="35" t="s">
        <v>36</v>
      </c>
      <c r="D23" s="136" t="s">
        <v>37</v>
      </c>
      <c r="E23" s="35">
        <v>2021</v>
      </c>
      <c r="F23" s="35"/>
      <c r="G23" s="43" t="s">
        <v>74</v>
      </c>
      <c r="H23" s="35" t="s">
        <v>52</v>
      </c>
      <c r="I23" s="12" t="s">
        <v>40</v>
      </c>
      <c r="J23" s="12" t="s">
        <v>41</v>
      </c>
      <c r="K23" s="12" t="s">
        <v>42</v>
      </c>
      <c r="L23" s="69" t="s">
        <v>47</v>
      </c>
      <c r="M23" s="70">
        <f t="shared" si="16"/>
        <v>1.8433333333333333</v>
      </c>
      <c r="N23" s="71">
        <v>20150</v>
      </c>
      <c r="O23" s="72">
        <f t="shared" ref="O23" si="23">+N23</f>
        <v>20150</v>
      </c>
      <c r="P23" s="73">
        <f t="shared" ref="P23:P32" si="24">+Q22</f>
        <v>44350.492566666668</v>
      </c>
      <c r="Q23" s="74">
        <f t="shared" ref="Q23:Q32" si="25">+P23+M23</f>
        <v>44352.335899999998</v>
      </c>
      <c r="R23" s="75">
        <f t="shared" ref="R23:R32" si="26">_xlfn.ISOWEEKNUM(P23)</f>
        <v>22</v>
      </c>
      <c r="S23" s="76">
        <f t="shared" ref="S23:S32" si="27">_xlfn.ISOWEEKNUM(Q23)</f>
        <v>22</v>
      </c>
      <c r="T23" s="77">
        <f t="shared" ref="T23:T32" si="28">+Q23+$G$1</f>
        <v>44369.335899999998</v>
      </c>
      <c r="U23" s="71"/>
      <c r="V23" s="34"/>
      <c r="W23" s="91">
        <f t="shared" si="9"/>
        <v>1190854</v>
      </c>
      <c r="X23" s="78"/>
      <c r="Y23" s="80"/>
      <c r="Z23" s="45"/>
    </row>
    <row r="24" spans="1:26" s="17" customFormat="1" ht="14.1" customHeight="1" x14ac:dyDescent="0.25">
      <c r="A24" s="40"/>
      <c r="B24" s="11" t="s">
        <v>35</v>
      </c>
      <c r="C24" s="35" t="s">
        <v>36</v>
      </c>
      <c r="D24" s="136" t="s">
        <v>37</v>
      </c>
      <c r="E24" s="35">
        <v>2021</v>
      </c>
      <c r="F24" s="35"/>
      <c r="G24" s="43" t="s">
        <v>75</v>
      </c>
      <c r="H24" s="12" t="s">
        <v>39</v>
      </c>
      <c r="I24" s="12" t="s">
        <v>40</v>
      </c>
      <c r="J24" s="12" t="s">
        <v>41</v>
      </c>
      <c r="K24" s="64" t="s">
        <v>42</v>
      </c>
      <c r="L24" s="13" t="s">
        <v>43</v>
      </c>
      <c r="M24" s="70">
        <f t="shared" si="16"/>
        <v>7.1988666666666665</v>
      </c>
      <c r="N24" s="71">
        <v>100483</v>
      </c>
      <c r="O24" s="72">
        <f t="shared" ref="O24:O34" si="29">+N24</f>
        <v>100483</v>
      </c>
      <c r="P24" s="73">
        <f t="shared" si="24"/>
        <v>44352.335899999998</v>
      </c>
      <c r="Q24" s="74">
        <f t="shared" si="25"/>
        <v>44359.534766666664</v>
      </c>
      <c r="R24" s="75">
        <f t="shared" si="26"/>
        <v>22</v>
      </c>
      <c r="S24" s="76">
        <f t="shared" si="27"/>
        <v>23</v>
      </c>
      <c r="T24" s="77">
        <f t="shared" si="28"/>
        <v>44376.534766666664</v>
      </c>
      <c r="U24" s="71"/>
      <c r="V24" s="34"/>
      <c r="W24" s="91">
        <f t="shared" si="9"/>
        <v>1291337</v>
      </c>
      <c r="X24" s="78"/>
      <c r="Y24" s="80"/>
      <c r="Z24" s="45"/>
    </row>
    <row r="25" spans="1:26" s="17" customFormat="1" ht="14.1" customHeight="1" x14ac:dyDescent="0.25">
      <c r="A25" s="40"/>
      <c r="B25" s="66" t="s">
        <v>35</v>
      </c>
      <c r="C25" s="54" t="s">
        <v>36</v>
      </c>
      <c r="D25" s="136" t="s">
        <v>37</v>
      </c>
      <c r="E25" s="54">
        <v>2021</v>
      </c>
      <c r="F25" s="54"/>
      <c r="G25" s="67" t="s">
        <v>76</v>
      </c>
      <c r="H25" s="55" t="s">
        <v>39</v>
      </c>
      <c r="I25" s="55" t="s">
        <v>40</v>
      </c>
      <c r="J25" s="55" t="s">
        <v>41</v>
      </c>
      <c r="K25" s="68" t="s">
        <v>42</v>
      </c>
      <c r="L25" s="69" t="s">
        <v>43</v>
      </c>
      <c r="M25" s="70">
        <f t="shared" si="16"/>
        <v>6.6985333333333337</v>
      </c>
      <c r="N25" s="71">
        <v>92978</v>
      </c>
      <c r="O25" s="72">
        <f t="shared" si="29"/>
        <v>92978</v>
      </c>
      <c r="P25" s="73">
        <f t="shared" si="24"/>
        <v>44359.534766666664</v>
      </c>
      <c r="Q25" s="74">
        <f t="shared" si="25"/>
        <v>44366.2333</v>
      </c>
      <c r="R25" s="75">
        <f t="shared" si="26"/>
        <v>23</v>
      </c>
      <c r="S25" s="76">
        <f t="shared" si="27"/>
        <v>24</v>
      </c>
      <c r="T25" s="77">
        <f t="shared" si="28"/>
        <v>44383.2333</v>
      </c>
      <c r="U25" s="71"/>
      <c r="V25" s="34"/>
      <c r="W25" s="91">
        <f t="shared" si="9"/>
        <v>1384315</v>
      </c>
      <c r="X25" s="78"/>
      <c r="Y25" s="80"/>
      <c r="Z25" s="45"/>
    </row>
    <row r="26" spans="1:26" s="17" customFormat="1" ht="14.1" customHeight="1" x14ac:dyDescent="0.25">
      <c r="A26" s="40"/>
      <c r="B26" s="19" t="s">
        <v>35</v>
      </c>
      <c r="C26" s="35" t="s">
        <v>36</v>
      </c>
      <c r="D26" s="136" t="s">
        <v>37</v>
      </c>
      <c r="E26" s="54">
        <v>2021</v>
      </c>
      <c r="F26" s="35"/>
      <c r="G26" s="43" t="s">
        <v>77</v>
      </c>
      <c r="H26" s="35" t="s">
        <v>39</v>
      </c>
      <c r="I26" s="12" t="s">
        <v>78</v>
      </c>
      <c r="J26" s="12" t="s">
        <v>41</v>
      </c>
      <c r="K26" s="12" t="s">
        <v>42</v>
      </c>
      <c r="L26" s="22" t="s">
        <v>79</v>
      </c>
      <c r="M26" s="70">
        <f t="shared" si="16"/>
        <v>7.7931333333333335</v>
      </c>
      <c r="N26" s="71">
        <v>109397</v>
      </c>
      <c r="O26" s="72">
        <f t="shared" si="29"/>
        <v>109397</v>
      </c>
      <c r="P26" s="73">
        <f t="shared" si="24"/>
        <v>44366.2333</v>
      </c>
      <c r="Q26" s="74">
        <f t="shared" si="25"/>
        <v>44374.026433333333</v>
      </c>
      <c r="R26" s="75">
        <f t="shared" si="26"/>
        <v>24</v>
      </c>
      <c r="S26" s="76">
        <f t="shared" si="27"/>
        <v>25</v>
      </c>
      <c r="T26" s="77">
        <f t="shared" si="28"/>
        <v>44391.026433333333</v>
      </c>
      <c r="U26" s="71"/>
      <c r="V26" s="34"/>
      <c r="W26" s="91">
        <f t="shared" si="9"/>
        <v>1493712</v>
      </c>
      <c r="X26" s="78"/>
      <c r="Y26" s="80"/>
      <c r="Z26" s="45"/>
    </row>
    <row r="27" spans="1:26" s="17" customFormat="1" ht="14.1" customHeight="1" x14ac:dyDescent="0.25">
      <c r="A27" s="40"/>
      <c r="B27" s="19" t="s">
        <v>35</v>
      </c>
      <c r="C27" s="35" t="s">
        <v>36</v>
      </c>
      <c r="D27" s="136" t="s">
        <v>37</v>
      </c>
      <c r="E27" s="35">
        <v>2021</v>
      </c>
      <c r="F27" s="35"/>
      <c r="G27" s="44" t="s">
        <v>53</v>
      </c>
      <c r="H27" s="35" t="s">
        <v>39</v>
      </c>
      <c r="I27" s="12" t="s">
        <v>78</v>
      </c>
      <c r="J27" s="12" t="s">
        <v>41</v>
      </c>
      <c r="K27" s="12" t="s">
        <v>42</v>
      </c>
      <c r="L27" s="22" t="s">
        <v>79</v>
      </c>
      <c r="M27" s="70">
        <f t="shared" si="16"/>
        <v>14.709933333333334</v>
      </c>
      <c r="N27" s="71">
        <v>213149</v>
      </c>
      <c r="O27" s="72">
        <f t="shared" si="29"/>
        <v>213149</v>
      </c>
      <c r="P27" s="73">
        <f t="shared" si="24"/>
        <v>44374.026433333333</v>
      </c>
      <c r="Q27" s="74">
        <f t="shared" si="25"/>
        <v>44388.736366666664</v>
      </c>
      <c r="R27" s="75">
        <f t="shared" si="26"/>
        <v>25</v>
      </c>
      <c r="S27" s="76">
        <f t="shared" si="27"/>
        <v>27</v>
      </c>
      <c r="T27" s="77">
        <f t="shared" si="28"/>
        <v>44405.736366666664</v>
      </c>
      <c r="U27" s="71"/>
      <c r="V27" s="34"/>
      <c r="W27" s="91">
        <f t="shared" si="9"/>
        <v>1706861</v>
      </c>
      <c r="X27" s="78"/>
      <c r="Y27" s="80"/>
      <c r="Z27" s="45"/>
    </row>
    <row r="28" spans="1:26" s="17" customFormat="1" ht="14.1" customHeight="1" x14ac:dyDescent="0.25">
      <c r="A28" s="40"/>
      <c r="B28" s="19" t="s">
        <v>35</v>
      </c>
      <c r="C28" s="35" t="s">
        <v>36</v>
      </c>
      <c r="D28" s="136" t="s">
        <v>37</v>
      </c>
      <c r="E28" s="35">
        <v>2021</v>
      </c>
      <c r="F28" s="35"/>
      <c r="G28" s="43" t="s">
        <v>80</v>
      </c>
      <c r="H28" s="35" t="s">
        <v>39</v>
      </c>
      <c r="I28" s="12" t="s">
        <v>78</v>
      </c>
      <c r="J28" s="12" t="s">
        <v>41</v>
      </c>
      <c r="K28" s="12" t="s">
        <v>42</v>
      </c>
      <c r="L28" s="22" t="s">
        <v>79</v>
      </c>
      <c r="M28" s="70">
        <f t="shared" si="16"/>
        <v>11.059466666666667</v>
      </c>
      <c r="N28" s="71">
        <v>158392</v>
      </c>
      <c r="O28" s="72">
        <f t="shared" si="29"/>
        <v>158392</v>
      </c>
      <c r="P28" s="73">
        <f t="shared" si="24"/>
        <v>44388.736366666664</v>
      </c>
      <c r="Q28" s="74">
        <f t="shared" si="25"/>
        <v>44399.79583333333</v>
      </c>
      <c r="R28" s="75">
        <f t="shared" si="26"/>
        <v>27</v>
      </c>
      <c r="S28" s="76">
        <f t="shared" si="27"/>
        <v>29</v>
      </c>
      <c r="T28" s="77">
        <f t="shared" si="28"/>
        <v>44416.79583333333</v>
      </c>
      <c r="U28" s="71"/>
      <c r="V28" s="34"/>
      <c r="W28" s="91">
        <f t="shared" si="9"/>
        <v>1865253</v>
      </c>
      <c r="X28" s="78"/>
      <c r="Y28" s="80"/>
      <c r="Z28" s="45"/>
    </row>
    <row r="29" spans="1:26" s="17" customFormat="1" ht="14.1" customHeight="1" x14ac:dyDescent="0.25">
      <c r="A29" s="40"/>
      <c r="B29" s="11" t="s">
        <v>35</v>
      </c>
      <c r="C29" s="35" t="s">
        <v>36</v>
      </c>
      <c r="D29" s="136" t="s">
        <v>37</v>
      </c>
      <c r="E29" s="35">
        <v>2021</v>
      </c>
      <c r="F29" s="35"/>
      <c r="G29" s="43" t="s">
        <v>81</v>
      </c>
      <c r="H29" s="12" t="s">
        <v>39</v>
      </c>
      <c r="I29" s="12" t="s">
        <v>78</v>
      </c>
      <c r="J29" s="12" t="s">
        <v>41</v>
      </c>
      <c r="K29" s="64" t="s">
        <v>42</v>
      </c>
      <c r="L29" s="22" t="s">
        <v>79</v>
      </c>
      <c r="M29" s="70">
        <f t="shared" si="16"/>
        <v>1.716</v>
      </c>
      <c r="N29" s="71">
        <v>18240</v>
      </c>
      <c r="O29" s="72">
        <f t="shared" si="29"/>
        <v>18240</v>
      </c>
      <c r="P29" s="73">
        <f t="shared" si="24"/>
        <v>44399.79583333333</v>
      </c>
      <c r="Q29" s="74">
        <f t="shared" si="25"/>
        <v>44401.51183333333</v>
      </c>
      <c r="R29" s="75">
        <f t="shared" si="26"/>
        <v>29</v>
      </c>
      <c r="S29" s="76">
        <f t="shared" si="27"/>
        <v>29</v>
      </c>
      <c r="T29" s="77">
        <f t="shared" si="28"/>
        <v>44418.51183333333</v>
      </c>
      <c r="U29" s="71"/>
      <c r="V29" s="34"/>
      <c r="W29" s="91">
        <f t="shared" si="9"/>
        <v>1883493</v>
      </c>
      <c r="X29" s="78"/>
      <c r="Y29" s="80"/>
      <c r="Z29" s="45"/>
    </row>
    <row r="30" spans="1:26" s="17" customFormat="1" ht="14.1" customHeight="1" x14ac:dyDescent="0.25">
      <c r="A30" s="40"/>
      <c r="B30" s="19" t="s">
        <v>82</v>
      </c>
      <c r="C30" s="35" t="s">
        <v>36</v>
      </c>
      <c r="D30" s="136" t="s">
        <v>37</v>
      </c>
      <c r="E30" s="35">
        <v>2021</v>
      </c>
      <c r="F30" s="35"/>
      <c r="G30" s="44" t="s">
        <v>83</v>
      </c>
      <c r="H30" s="35" t="s">
        <v>39</v>
      </c>
      <c r="I30" s="12" t="s">
        <v>40</v>
      </c>
      <c r="J30" s="12" t="s">
        <v>41</v>
      </c>
      <c r="K30" s="12" t="s">
        <v>42</v>
      </c>
      <c r="L30" s="53" t="s">
        <v>47</v>
      </c>
      <c r="M30" s="70">
        <f>+N30/$D$4+0.5</f>
        <v>1.8906000000000001</v>
      </c>
      <c r="N30" s="71">
        <v>20859</v>
      </c>
      <c r="O30" s="34">
        <f>+N30</f>
        <v>20859</v>
      </c>
      <c r="P30" s="73">
        <f t="shared" si="24"/>
        <v>44401.51183333333</v>
      </c>
      <c r="Q30" s="74">
        <f t="shared" si="25"/>
        <v>44403.402433333329</v>
      </c>
      <c r="R30" s="75">
        <f t="shared" si="26"/>
        <v>29</v>
      </c>
      <c r="S30" s="76">
        <f t="shared" si="27"/>
        <v>30</v>
      </c>
      <c r="T30" s="77">
        <f t="shared" si="28"/>
        <v>44420.402433333329</v>
      </c>
      <c r="U30" s="71"/>
      <c r="V30" s="34"/>
      <c r="W30" s="91">
        <f t="shared" si="9"/>
        <v>1904352</v>
      </c>
      <c r="X30" s="78"/>
      <c r="Y30" s="80"/>
      <c r="Z30" s="45"/>
    </row>
    <row r="31" spans="1:26" s="17" customFormat="1" ht="14.1" customHeight="1" x14ac:dyDescent="0.25">
      <c r="A31" s="40"/>
      <c r="B31" s="11" t="s">
        <v>84</v>
      </c>
      <c r="C31" s="54" t="s">
        <v>36</v>
      </c>
      <c r="D31" s="136" t="s">
        <v>37</v>
      </c>
      <c r="E31" s="54">
        <v>2021</v>
      </c>
      <c r="F31" s="35"/>
      <c r="G31" s="43" t="s">
        <v>85</v>
      </c>
      <c r="H31" s="55" t="s">
        <v>39</v>
      </c>
      <c r="I31" s="55" t="s">
        <v>40</v>
      </c>
      <c r="J31" s="55" t="s">
        <v>41</v>
      </c>
      <c r="K31" s="68" t="s">
        <v>42</v>
      </c>
      <c r="L31" s="69" t="s">
        <v>47</v>
      </c>
      <c r="M31" s="70">
        <f t="shared" si="16"/>
        <v>2.7462</v>
      </c>
      <c r="N31" s="71">
        <v>33693</v>
      </c>
      <c r="O31" s="72">
        <f>+N31</f>
        <v>33693</v>
      </c>
      <c r="P31" s="73">
        <f t="shared" si="24"/>
        <v>44403.402433333329</v>
      </c>
      <c r="Q31" s="74">
        <f t="shared" si="25"/>
        <v>44406.148633333331</v>
      </c>
      <c r="R31" s="75">
        <f t="shared" si="26"/>
        <v>30</v>
      </c>
      <c r="S31" s="76">
        <f t="shared" si="27"/>
        <v>30</v>
      </c>
      <c r="T31" s="77">
        <f t="shared" si="28"/>
        <v>44423.148633333331</v>
      </c>
      <c r="U31" s="71"/>
      <c r="V31" s="34"/>
      <c r="W31" s="91">
        <f t="shared" si="9"/>
        <v>1938045</v>
      </c>
      <c r="X31" s="78"/>
      <c r="Y31" s="80"/>
      <c r="Z31" s="45"/>
    </row>
    <row r="32" spans="1:26" s="17" customFormat="1" ht="14.1" customHeight="1" x14ac:dyDescent="0.25">
      <c r="A32" s="40"/>
      <c r="B32" s="11" t="s">
        <v>45</v>
      </c>
      <c r="C32" s="35" t="s">
        <v>36</v>
      </c>
      <c r="D32" s="136" t="s">
        <v>37</v>
      </c>
      <c r="E32" s="35">
        <v>2021</v>
      </c>
      <c r="F32" s="35"/>
      <c r="G32" s="43" t="s">
        <v>86</v>
      </c>
      <c r="H32" s="12" t="s">
        <v>39</v>
      </c>
      <c r="I32" s="12" t="s">
        <v>40</v>
      </c>
      <c r="J32" s="12" t="s">
        <v>41</v>
      </c>
      <c r="K32" s="64" t="s">
        <v>42</v>
      </c>
      <c r="L32" s="13" t="s">
        <v>47</v>
      </c>
      <c r="M32" s="14">
        <f t="shared" si="16"/>
        <v>1.8520000000000001</v>
      </c>
      <c r="N32" s="36">
        <v>20280</v>
      </c>
      <c r="O32" s="15">
        <f t="shared" si="29"/>
        <v>20280</v>
      </c>
      <c r="P32" s="73">
        <f t="shared" si="24"/>
        <v>44406.148633333331</v>
      </c>
      <c r="Q32" s="74">
        <f t="shared" si="25"/>
        <v>44408.000633333329</v>
      </c>
      <c r="R32" s="75">
        <f t="shared" si="26"/>
        <v>30</v>
      </c>
      <c r="S32" s="76">
        <f t="shared" si="27"/>
        <v>30</v>
      </c>
      <c r="T32" s="77">
        <f t="shared" si="28"/>
        <v>44425.000633333329</v>
      </c>
      <c r="U32" s="36"/>
      <c r="V32" s="37"/>
      <c r="W32" s="91">
        <f t="shared" si="9"/>
        <v>1958325</v>
      </c>
      <c r="X32" s="51"/>
      <c r="Y32" s="50"/>
      <c r="Z32" s="45"/>
    </row>
    <row r="33" spans="1:26" s="17" customFormat="1" ht="14.1" customHeight="1" x14ac:dyDescent="0.25">
      <c r="A33" s="40"/>
      <c r="B33" s="11" t="s">
        <v>45</v>
      </c>
      <c r="C33" s="54" t="s">
        <v>36</v>
      </c>
      <c r="D33" s="139" t="s">
        <v>37</v>
      </c>
      <c r="E33" s="54">
        <v>2021</v>
      </c>
      <c r="F33" s="35"/>
      <c r="G33" s="43" t="s">
        <v>87</v>
      </c>
      <c r="H33" s="55" t="s">
        <v>39</v>
      </c>
      <c r="I33" s="55" t="s">
        <v>40</v>
      </c>
      <c r="J33" s="55" t="s">
        <v>41</v>
      </c>
      <c r="K33" s="68" t="s">
        <v>42</v>
      </c>
      <c r="L33" s="69" t="s">
        <v>47</v>
      </c>
      <c r="M33" s="70">
        <f t="shared" si="16"/>
        <v>3.8466666666666667</v>
      </c>
      <c r="N33" s="71">
        <v>50200</v>
      </c>
      <c r="O33" s="72">
        <f t="shared" si="29"/>
        <v>50200</v>
      </c>
      <c r="P33" s="73">
        <f t="shared" si="18"/>
        <v>44408.000633333329</v>
      </c>
      <c r="Q33" s="74">
        <f t="shared" si="19"/>
        <v>44411.847299999994</v>
      </c>
      <c r="R33" s="75">
        <f t="shared" si="20"/>
        <v>30</v>
      </c>
      <c r="S33" s="76">
        <f t="shared" si="21"/>
        <v>31</v>
      </c>
      <c r="T33" s="77">
        <f t="shared" si="22"/>
        <v>44428.847299999994</v>
      </c>
      <c r="U33" s="71"/>
      <c r="V33" s="34"/>
      <c r="W33" s="91">
        <f>+W32+N33</f>
        <v>2008525</v>
      </c>
      <c r="X33" s="78"/>
      <c r="Y33" s="80"/>
      <c r="Z33" s="45"/>
    </row>
    <row r="34" spans="1:26" s="17" customFormat="1" ht="14.1" customHeight="1" thickBot="1" x14ac:dyDescent="0.3">
      <c r="A34" s="40"/>
      <c r="B34" s="83" t="s">
        <v>45</v>
      </c>
      <c r="C34" s="104" t="s">
        <v>36</v>
      </c>
      <c r="D34" s="140" t="s">
        <v>37</v>
      </c>
      <c r="E34" s="104">
        <v>2021</v>
      </c>
      <c r="F34" s="23"/>
      <c r="G34" s="84" t="s">
        <v>88</v>
      </c>
      <c r="H34" s="105" t="s">
        <v>39</v>
      </c>
      <c r="I34" s="105" t="s">
        <v>40</v>
      </c>
      <c r="J34" s="105" t="s">
        <v>41</v>
      </c>
      <c r="K34" s="106" t="s">
        <v>42</v>
      </c>
      <c r="L34" s="107" t="s">
        <v>47</v>
      </c>
      <c r="M34" s="108">
        <f>+N34/$D$4+0.5</f>
        <v>3.4723333333333333</v>
      </c>
      <c r="N34" s="109">
        <v>44585</v>
      </c>
      <c r="O34" s="110">
        <f t="shared" si="29"/>
        <v>44585</v>
      </c>
      <c r="P34" s="111">
        <f t="shared" si="4"/>
        <v>44411.847299999994</v>
      </c>
      <c r="Q34" s="112">
        <f t="shared" ref="Q34" si="30">+P34+M34</f>
        <v>44415.319633333325</v>
      </c>
      <c r="R34" s="113">
        <f t="shared" ref="R34" si="31">_xlfn.ISOWEEKNUM(P34)</f>
        <v>31</v>
      </c>
      <c r="S34" s="114">
        <f t="shared" ref="S34" si="32">_xlfn.ISOWEEKNUM(Q34)</f>
        <v>31</v>
      </c>
      <c r="T34" s="115">
        <f t="shared" ref="T34" si="33">+Q34+$G$1</f>
        <v>44432.319633333325</v>
      </c>
      <c r="U34" s="109"/>
      <c r="V34" s="116"/>
      <c r="W34" s="126">
        <f>+W33+N34</f>
        <v>2053110</v>
      </c>
      <c r="X34" s="117"/>
      <c r="Y34" s="118"/>
      <c r="Z34" s="45"/>
    </row>
    <row r="35" spans="1:26" s="17" customFormat="1" ht="14.1" customHeight="1" x14ac:dyDescent="0.25">
      <c r="A35" s="40"/>
      <c r="B35" s="66" t="s">
        <v>54</v>
      </c>
      <c r="C35" s="54" t="s">
        <v>36</v>
      </c>
      <c r="D35" s="99" t="s">
        <v>89</v>
      </c>
      <c r="E35" s="54">
        <v>2021</v>
      </c>
      <c r="F35" s="54"/>
      <c r="G35" s="67" t="s">
        <v>90</v>
      </c>
      <c r="H35" s="55" t="s">
        <v>91</v>
      </c>
      <c r="I35" s="55" t="s">
        <v>66</v>
      </c>
      <c r="J35" s="55" t="s">
        <v>56</v>
      </c>
      <c r="K35" s="68" t="s">
        <v>57</v>
      </c>
      <c r="L35" s="69" t="s">
        <v>67</v>
      </c>
      <c r="M35" s="70">
        <f>+N35/$D$2+0.5</f>
        <v>5.633</v>
      </c>
      <c r="N35" s="71">
        <v>5133</v>
      </c>
      <c r="O35" s="72">
        <f>+N35*0.75</f>
        <v>3849.75</v>
      </c>
      <c r="P35" s="73">
        <v>44256</v>
      </c>
      <c r="Q35" s="74">
        <f>+P35+M35</f>
        <v>44261.633000000002</v>
      </c>
      <c r="R35" s="75">
        <f t="shared" si="1"/>
        <v>9</v>
      </c>
      <c r="S35" s="76">
        <f t="shared" si="2"/>
        <v>9</v>
      </c>
      <c r="T35" s="77">
        <f t="shared" si="3"/>
        <v>44278.633000000002</v>
      </c>
      <c r="U35" s="71"/>
      <c r="V35" s="34"/>
      <c r="W35" s="91">
        <f>+N35</f>
        <v>5133</v>
      </c>
      <c r="X35" s="78"/>
      <c r="Y35" s="80"/>
      <c r="Z35" s="45"/>
    </row>
    <row r="36" spans="1:26" s="17" customFormat="1" ht="14.1" customHeight="1" x14ac:dyDescent="0.25">
      <c r="A36" s="40"/>
      <c r="B36" s="11" t="s">
        <v>35</v>
      </c>
      <c r="C36" s="35" t="s">
        <v>36</v>
      </c>
      <c r="D36" s="100" t="s">
        <v>89</v>
      </c>
      <c r="E36" s="35">
        <v>2021</v>
      </c>
      <c r="F36" s="35"/>
      <c r="G36" s="47" t="s">
        <v>65</v>
      </c>
      <c r="H36" s="12" t="s">
        <v>52</v>
      </c>
      <c r="I36" s="12" t="s">
        <v>66</v>
      </c>
      <c r="J36" s="12" t="s">
        <v>41</v>
      </c>
      <c r="K36" s="12" t="s">
        <v>42</v>
      </c>
      <c r="L36" s="94" t="s">
        <v>71</v>
      </c>
      <c r="M36" s="18">
        <f>+N36/$D$2+0.5</f>
        <v>4.5</v>
      </c>
      <c r="N36" s="71">
        <v>4000</v>
      </c>
      <c r="O36" s="72">
        <f>+N36</f>
        <v>4000</v>
      </c>
      <c r="P36" s="73">
        <f>+Q35</f>
        <v>44261.633000000002</v>
      </c>
      <c r="Q36" s="74">
        <f>+P36+M36</f>
        <v>44266.133000000002</v>
      </c>
      <c r="R36" s="75">
        <f t="shared" ref="R36" si="34">_xlfn.ISOWEEKNUM(P36)</f>
        <v>9</v>
      </c>
      <c r="S36" s="76">
        <f t="shared" ref="S36" si="35">_xlfn.ISOWEEKNUM(Q36)</f>
        <v>10</v>
      </c>
      <c r="T36" s="77">
        <f t="shared" ref="T36" si="36">+Q36+$G$1</f>
        <v>44283.133000000002</v>
      </c>
      <c r="U36" s="71"/>
      <c r="V36" s="34"/>
      <c r="W36" s="91">
        <f>+W35+N36</f>
        <v>9133</v>
      </c>
      <c r="X36" s="78"/>
      <c r="Y36" s="80"/>
      <c r="Z36" s="45"/>
    </row>
    <row r="37" spans="1:26" s="17" customFormat="1" ht="14.1" customHeight="1" x14ac:dyDescent="0.25">
      <c r="A37" s="40"/>
      <c r="B37" s="11" t="s">
        <v>54</v>
      </c>
      <c r="C37" s="35" t="s">
        <v>36</v>
      </c>
      <c r="D37" s="100" t="s">
        <v>89</v>
      </c>
      <c r="E37" s="35">
        <v>2021</v>
      </c>
      <c r="F37" s="35"/>
      <c r="G37" s="43" t="s">
        <v>92</v>
      </c>
      <c r="H37" s="12" t="s">
        <v>91</v>
      </c>
      <c r="I37" s="12" t="s">
        <v>40</v>
      </c>
      <c r="J37" s="12" t="s">
        <v>56</v>
      </c>
      <c r="K37" s="64" t="s">
        <v>57</v>
      </c>
      <c r="L37" s="13" t="s">
        <v>43</v>
      </c>
      <c r="M37" s="18">
        <f t="shared" ref="M37:M46" si="37">+N37/$D$2+0.5</f>
        <v>9.86</v>
      </c>
      <c r="N37" s="71">
        <v>9360</v>
      </c>
      <c r="O37" s="72">
        <f>+N37*0.75</f>
        <v>7020</v>
      </c>
      <c r="P37" s="73">
        <f t="shared" ref="P37:P46" si="38">+Q36</f>
        <v>44266.133000000002</v>
      </c>
      <c r="Q37" s="74">
        <f t="shared" ref="Q37:Q46" si="39">+P37+M37</f>
        <v>44275.993000000002</v>
      </c>
      <c r="R37" s="75">
        <f t="shared" ref="R37:R46" si="40">_xlfn.ISOWEEKNUM(P37)</f>
        <v>10</v>
      </c>
      <c r="S37" s="76">
        <f t="shared" ref="S37:S46" si="41">_xlfn.ISOWEEKNUM(Q37)</f>
        <v>11</v>
      </c>
      <c r="T37" s="77">
        <f t="shared" ref="T37:T46" si="42">+Q37+$G$1</f>
        <v>44292.993000000002</v>
      </c>
      <c r="U37" s="71"/>
      <c r="V37" s="34"/>
      <c r="W37" s="91">
        <f t="shared" ref="W37:W45" si="43">+W36+N37</f>
        <v>18493</v>
      </c>
      <c r="X37" s="78"/>
      <c r="Y37" s="80"/>
      <c r="Z37" s="45"/>
    </row>
    <row r="38" spans="1:26" s="17" customFormat="1" ht="14.1" customHeight="1" x14ac:dyDescent="0.25">
      <c r="A38" s="40"/>
      <c r="B38" s="11" t="s">
        <v>93</v>
      </c>
      <c r="C38" s="54" t="s">
        <v>36</v>
      </c>
      <c r="D38" s="100" t="s">
        <v>89</v>
      </c>
      <c r="E38" s="54">
        <v>2021</v>
      </c>
      <c r="F38" s="35"/>
      <c r="G38" s="43" t="s">
        <v>94</v>
      </c>
      <c r="H38" s="55" t="s">
        <v>39</v>
      </c>
      <c r="I38" s="55" t="s">
        <v>40</v>
      </c>
      <c r="J38" s="55" t="s">
        <v>56</v>
      </c>
      <c r="K38" s="68" t="s">
        <v>57</v>
      </c>
      <c r="L38" s="69" t="s">
        <v>47</v>
      </c>
      <c r="M38" s="70">
        <f t="shared" si="37"/>
        <v>10.507999999999999</v>
      </c>
      <c r="N38" s="71">
        <v>10008</v>
      </c>
      <c r="O38" s="72">
        <f>+N38*0.75</f>
        <v>7506</v>
      </c>
      <c r="P38" s="73">
        <f t="shared" si="38"/>
        <v>44275.993000000002</v>
      </c>
      <c r="Q38" s="74">
        <f t="shared" si="39"/>
        <v>44286.501000000004</v>
      </c>
      <c r="R38" s="75">
        <f t="shared" si="40"/>
        <v>11</v>
      </c>
      <c r="S38" s="76">
        <f t="shared" si="41"/>
        <v>13</v>
      </c>
      <c r="T38" s="77">
        <f t="shared" si="42"/>
        <v>44303.501000000004</v>
      </c>
      <c r="U38" s="71"/>
      <c r="V38" s="34"/>
      <c r="W38" s="91">
        <f t="shared" si="43"/>
        <v>28501</v>
      </c>
      <c r="X38" s="78"/>
      <c r="Y38" s="80"/>
      <c r="Z38" s="45"/>
    </row>
    <row r="39" spans="1:26" s="17" customFormat="1" ht="14.1" customHeight="1" x14ac:dyDescent="0.25">
      <c r="A39" s="40"/>
      <c r="B39" s="66" t="s">
        <v>95</v>
      </c>
      <c r="C39" s="54" t="s">
        <v>36</v>
      </c>
      <c r="D39" s="100" t="s">
        <v>89</v>
      </c>
      <c r="E39" s="54">
        <v>2021</v>
      </c>
      <c r="F39" s="54"/>
      <c r="G39" s="67" t="s">
        <v>96</v>
      </c>
      <c r="H39" s="55" t="s">
        <v>39</v>
      </c>
      <c r="I39" s="55" t="s">
        <v>40</v>
      </c>
      <c r="J39" s="55" t="s">
        <v>41</v>
      </c>
      <c r="K39" s="68" t="s">
        <v>42</v>
      </c>
      <c r="L39" s="98" t="s">
        <v>47</v>
      </c>
      <c r="M39" s="70">
        <f t="shared" si="37"/>
        <v>10.65</v>
      </c>
      <c r="N39" s="71">
        <v>10150</v>
      </c>
      <c r="O39" s="72">
        <f>+N39</f>
        <v>10150</v>
      </c>
      <c r="P39" s="73">
        <f t="shared" ref="P39:P45" si="44">+Q38</f>
        <v>44286.501000000004</v>
      </c>
      <c r="Q39" s="74">
        <f t="shared" ref="Q39:Q45" si="45">+P39+M39</f>
        <v>44297.151000000005</v>
      </c>
      <c r="R39" s="75">
        <f t="shared" ref="R39:R45" si="46">_xlfn.ISOWEEKNUM(P39)</f>
        <v>13</v>
      </c>
      <c r="S39" s="76">
        <f t="shared" ref="S39:S45" si="47">_xlfn.ISOWEEKNUM(Q39)</f>
        <v>14</v>
      </c>
      <c r="T39" s="77">
        <f t="shared" ref="T39:T45" si="48">+Q39+$G$1</f>
        <v>44314.151000000005</v>
      </c>
      <c r="U39" s="71"/>
      <c r="V39" s="34"/>
      <c r="W39" s="91">
        <f t="shared" si="43"/>
        <v>38651</v>
      </c>
      <c r="X39" s="78"/>
      <c r="Y39" s="80"/>
      <c r="Z39" s="45"/>
    </row>
    <row r="40" spans="1:26" s="17" customFormat="1" ht="14.1" customHeight="1" x14ac:dyDescent="0.25">
      <c r="A40" s="40"/>
      <c r="B40" s="11" t="s">
        <v>35</v>
      </c>
      <c r="C40" s="35" t="s">
        <v>36</v>
      </c>
      <c r="D40" s="136" t="s">
        <v>37</v>
      </c>
      <c r="E40" s="35">
        <v>2021</v>
      </c>
      <c r="F40" s="35"/>
      <c r="G40" s="43" t="s">
        <v>97</v>
      </c>
      <c r="H40" s="12" t="s">
        <v>39</v>
      </c>
      <c r="I40" s="12" t="s">
        <v>40</v>
      </c>
      <c r="J40" s="12" t="s">
        <v>41</v>
      </c>
      <c r="K40" s="64" t="s">
        <v>42</v>
      </c>
      <c r="L40" s="13" t="s">
        <v>43</v>
      </c>
      <c r="M40" s="70">
        <f t="shared" si="37"/>
        <v>12.785</v>
      </c>
      <c r="N40" s="71">
        <v>12285</v>
      </c>
      <c r="O40" s="72">
        <f>+N40</f>
        <v>12285</v>
      </c>
      <c r="P40" s="73">
        <f t="shared" si="44"/>
        <v>44297.151000000005</v>
      </c>
      <c r="Q40" s="74">
        <f t="shared" si="45"/>
        <v>44309.936000000009</v>
      </c>
      <c r="R40" s="75">
        <f t="shared" si="46"/>
        <v>14</v>
      </c>
      <c r="S40" s="76">
        <f t="shared" si="47"/>
        <v>16</v>
      </c>
      <c r="T40" s="77">
        <f t="shared" si="48"/>
        <v>44326.936000000009</v>
      </c>
      <c r="U40" s="71"/>
      <c r="V40" s="34"/>
      <c r="W40" s="91">
        <f t="shared" si="43"/>
        <v>50936</v>
      </c>
      <c r="X40" s="78"/>
      <c r="Y40" s="80"/>
      <c r="Z40" s="45"/>
    </row>
    <row r="41" spans="1:26" s="17" customFormat="1" ht="14.1" customHeight="1" x14ac:dyDescent="0.25">
      <c r="A41" s="40"/>
      <c r="B41" s="11" t="s">
        <v>35</v>
      </c>
      <c r="C41" s="54" t="s">
        <v>36</v>
      </c>
      <c r="D41" s="100" t="s">
        <v>89</v>
      </c>
      <c r="E41" s="54">
        <v>2021</v>
      </c>
      <c r="F41" s="35"/>
      <c r="G41" s="43" t="s">
        <v>98</v>
      </c>
      <c r="H41" s="55" t="s">
        <v>39</v>
      </c>
      <c r="I41" s="55" t="s">
        <v>40</v>
      </c>
      <c r="J41" s="55" t="s">
        <v>41</v>
      </c>
      <c r="K41" s="68" t="s">
        <v>42</v>
      </c>
      <c r="L41" s="69" t="s">
        <v>43</v>
      </c>
      <c r="M41" s="70">
        <f t="shared" si="37"/>
        <v>12.4</v>
      </c>
      <c r="N41" s="71">
        <v>11900</v>
      </c>
      <c r="O41" s="72">
        <f>+N41</f>
        <v>11900</v>
      </c>
      <c r="P41" s="73">
        <f t="shared" si="44"/>
        <v>44309.936000000009</v>
      </c>
      <c r="Q41" s="74">
        <f t="shared" si="45"/>
        <v>44322.33600000001</v>
      </c>
      <c r="R41" s="75">
        <f t="shared" si="46"/>
        <v>16</v>
      </c>
      <c r="S41" s="76">
        <f t="shared" si="47"/>
        <v>18</v>
      </c>
      <c r="T41" s="77">
        <f t="shared" si="48"/>
        <v>44339.33600000001</v>
      </c>
      <c r="U41" s="71"/>
      <c r="V41" s="34"/>
      <c r="W41" s="91">
        <f t="shared" si="43"/>
        <v>62836</v>
      </c>
      <c r="X41" s="78"/>
      <c r="Y41" s="80"/>
      <c r="Z41" s="45"/>
    </row>
    <row r="42" spans="1:26" s="17" customFormat="1" ht="14.1" customHeight="1" x14ac:dyDescent="0.25">
      <c r="A42" s="40"/>
      <c r="B42" s="11" t="s">
        <v>48</v>
      </c>
      <c r="C42" s="54" t="s">
        <v>36</v>
      </c>
      <c r="D42" s="100" t="s">
        <v>89</v>
      </c>
      <c r="E42" s="54">
        <v>2021</v>
      </c>
      <c r="F42" s="35"/>
      <c r="G42" s="43" t="s">
        <v>99</v>
      </c>
      <c r="H42" s="55" t="s">
        <v>39</v>
      </c>
      <c r="I42" s="55" t="s">
        <v>40</v>
      </c>
      <c r="J42" s="55" t="s">
        <v>41</v>
      </c>
      <c r="K42" s="68" t="s">
        <v>42</v>
      </c>
      <c r="L42" s="69" t="s">
        <v>47</v>
      </c>
      <c r="M42" s="70">
        <f t="shared" si="37"/>
        <v>15.58</v>
      </c>
      <c r="N42" s="71">
        <v>15080</v>
      </c>
      <c r="O42" s="72">
        <v>10000</v>
      </c>
      <c r="P42" s="73">
        <f t="shared" si="44"/>
        <v>44322.33600000001</v>
      </c>
      <c r="Q42" s="74">
        <f t="shared" si="45"/>
        <v>44337.916000000012</v>
      </c>
      <c r="R42" s="75">
        <f t="shared" si="46"/>
        <v>18</v>
      </c>
      <c r="S42" s="76">
        <f t="shared" si="47"/>
        <v>20</v>
      </c>
      <c r="T42" s="77">
        <f t="shared" si="48"/>
        <v>44354.916000000012</v>
      </c>
      <c r="U42" s="71"/>
      <c r="V42" s="34"/>
      <c r="W42" s="91">
        <f t="shared" si="43"/>
        <v>77916</v>
      </c>
      <c r="X42" s="78"/>
      <c r="Y42" s="80"/>
      <c r="Z42" s="45"/>
    </row>
    <row r="43" spans="1:26" s="17" customFormat="1" ht="14.1" customHeight="1" x14ac:dyDescent="0.25">
      <c r="A43" s="40"/>
      <c r="B43" s="66" t="s">
        <v>45</v>
      </c>
      <c r="C43" s="54" t="s">
        <v>36</v>
      </c>
      <c r="D43" s="100" t="s">
        <v>89</v>
      </c>
      <c r="E43" s="35">
        <v>2021</v>
      </c>
      <c r="F43" s="54"/>
      <c r="G43" s="43" t="s">
        <v>100</v>
      </c>
      <c r="H43" s="35" t="s">
        <v>39</v>
      </c>
      <c r="I43" s="12" t="s">
        <v>78</v>
      </c>
      <c r="J43" s="12" t="s">
        <v>41</v>
      </c>
      <c r="K43" s="12" t="s">
        <v>42</v>
      </c>
      <c r="L43" s="22" t="s">
        <v>79</v>
      </c>
      <c r="M43" s="70">
        <f t="shared" si="37"/>
        <v>11.759</v>
      </c>
      <c r="N43" s="71">
        <v>11259</v>
      </c>
      <c r="O43" s="34">
        <f>+N43</f>
        <v>11259</v>
      </c>
      <c r="P43" s="73">
        <f t="shared" si="44"/>
        <v>44337.916000000012</v>
      </c>
      <c r="Q43" s="74">
        <f t="shared" si="45"/>
        <v>44349.67500000001</v>
      </c>
      <c r="R43" s="75">
        <f t="shared" si="46"/>
        <v>20</v>
      </c>
      <c r="S43" s="76">
        <f t="shared" si="47"/>
        <v>22</v>
      </c>
      <c r="T43" s="77">
        <f t="shared" si="48"/>
        <v>44366.67500000001</v>
      </c>
      <c r="U43" s="71"/>
      <c r="V43" s="34"/>
      <c r="W43" s="91">
        <f t="shared" si="43"/>
        <v>89175</v>
      </c>
      <c r="X43" s="78"/>
      <c r="Y43" s="79"/>
      <c r="Z43" s="45"/>
    </row>
    <row r="44" spans="1:26" ht="14.1" customHeight="1" x14ac:dyDescent="0.25">
      <c r="A44" s="40"/>
      <c r="B44" s="19" t="s">
        <v>35</v>
      </c>
      <c r="C44" s="35" t="s">
        <v>36</v>
      </c>
      <c r="D44" s="100" t="s">
        <v>89</v>
      </c>
      <c r="E44" s="35">
        <v>2021</v>
      </c>
      <c r="F44" s="35"/>
      <c r="G44" s="44" t="s">
        <v>64</v>
      </c>
      <c r="H44" s="35" t="s">
        <v>52</v>
      </c>
      <c r="I44" s="12" t="s">
        <v>40</v>
      </c>
      <c r="J44" s="12" t="s">
        <v>41</v>
      </c>
      <c r="K44" s="12" t="s">
        <v>42</v>
      </c>
      <c r="L44" s="13" t="s">
        <v>47</v>
      </c>
      <c r="M44" s="18">
        <f t="shared" si="37"/>
        <v>15.5</v>
      </c>
      <c r="N44" s="36">
        <v>15000</v>
      </c>
      <c r="O44" s="37">
        <f t="shared" ref="O44" si="49">+N44</f>
        <v>15000</v>
      </c>
      <c r="P44" s="73">
        <f t="shared" si="44"/>
        <v>44349.67500000001</v>
      </c>
      <c r="Q44" s="74">
        <f t="shared" si="45"/>
        <v>44365.17500000001</v>
      </c>
      <c r="R44" s="75">
        <f t="shared" si="46"/>
        <v>22</v>
      </c>
      <c r="S44" s="76">
        <f t="shared" si="47"/>
        <v>24</v>
      </c>
      <c r="T44" s="77">
        <f t="shared" si="48"/>
        <v>44382.17500000001</v>
      </c>
      <c r="U44" s="36"/>
      <c r="V44" s="39"/>
      <c r="W44" s="91">
        <f t="shared" si="43"/>
        <v>104175</v>
      </c>
      <c r="X44" s="51"/>
      <c r="Y44" s="50"/>
      <c r="Z44" s="45"/>
    </row>
    <row r="45" spans="1:26" s="17" customFormat="1" ht="14.1" customHeight="1" x14ac:dyDescent="0.25">
      <c r="A45" s="40"/>
      <c r="B45" s="11" t="s">
        <v>54</v>
      </c>
      <c r="C45" s="35" t="s">
        <v>36</v>
      </c>
      <c r="D45" s="101" t="s">
        <v>89</v>
      </c>
      <c r="E45" s="35">
        <v>2021</v>
      </c>
      <c r="F45" s="35"/>
      <c r="G45" s="43" t="s">
        <v>101</v>
      </c>
      <c r="H45" s="12" t="s">
        <v>39</v>
      </c>
      <c r="I45" s="12"/>
      <c r="J45" s="12" t="s">
        <v>56</v>
      </c>
      <c r="K45" s="64" t="s">
        <v>57</v>
      </c>
      <c r="L45" s="69" t="s">
        <v>47</v>
      </c>
      <c r="M45" s="70">
        <f t="shared" si="37"/>
        <v>5.5</v>
      </c>
      <c r="N45" s="71">
        <v>5000</v>
      </c>
      <c r="O45" s="34">
        <v>3750</v>
      </c>
      <c r="P45" s="73">
        <f t="shared" si="44"/>
        <v>44365.17500000001</v>
      </c>
      <c r="Q45" s="74">
        <f t="shared" si="45"/>
        <v>44370.67500000001</v>
      </c>
      <c r="R45" s="75">
        <f t="shared" si="46"/>
        <v>24</v>
      </c>
      <c r="S45" s="76">
        <f t="shared" si="47"/>
        <v>25</v>
      </c>
      <c r="T45" s="77">
        <f t="shared" si="48"/>
        <v>44387.67500000001</v>
      </c>
      <c r="U45" s="71"/>
      <c r="V45" s="34"/>
      <c r="W45" s="91">
        <f t="shared" si="43"/>
        <v>109175</v>
      </c>
      <c r="X45" s="78"/>
      <c r="Y45" s="80"/>
      <c r="Z45" s="45"/>
    </row>
    <row r="46" spans="1:26" s="17" customFormat="1" ht="14.1" customHeight="1" thickBot="1" x14ac:dyDescent="0.3">
      <c r="A46" s="40"/>
      <c r="B46" s="83"/>
      <c r="C46" s="23" t="s">
        <v>36</v>
      </c>
      <c r="D46" s="120" t="s">
        <v>89</v>
      </c>
      <c r="E46" s="23">
        <v>2021</v>
      </c>
      <c r="F46" s="23"/>
      <c r="G46" s="84" t="s">
        <v>102</v>
      </c>
      <c r="H46" s="23" t="s">
        <v>39</v>
      </c>
      <c r="I46" s="24" t="s">
        <v>40</v>
      </c>
      <c r="J46" s="24" t="s">
        <v>41</v>
      </c>
      <c r="K46" s="24" t="s">
        <v>42</v>
      </c>
      <c r="L46" s="86" t="s">
        <v>43</v>
      </c>
      <c r="M46" s="87">
        <f t="shared" si="37"/>
        <v>6.5</v>
      </c>
      <c r="N46" s="109">
        <v>6000</v>
      </c>
      <c r="O46" s="116">
        <f t="shared" ref="O46" si="50">+N46</f>
        <v>6000</v>
      </c>
      <c r="P46" s="111">
        <f t="shared" si="38"/>
        <v>44370.67500000001</v>
      </c>
      <c r="Q46" s="112">
        <f t="shared" si="39"/>
        <v>44377.17500000001</v>
      </c>
      <c r="R46" s="113">
        <f t="shared" si="40"/>
        <v>25</v>
      </c>
      <c r="S46" s="114">
        <f t="shared" si="41"/>
        <v>26</v>
      </c>
      <c r="T46" s="115">
        <f t="shared" si="42"/>
        <v>44394.17500000001</v>
      </c>
      <c r="U46" s="88"/>
      <c r="V46" s="89"/>
      <c r="W46" s="127">
        <f>+W45+N46</f>
        <v>115175</v>
      </c>
      <c r="X46" s="90"/>
      <c r="Y46" s="95"/>
      <c r="Z46" s="45"/>
    </row>
    <row r="47" spans="1:26" s="17" customFormat="1" ht="14.1" customHeight="1" x14ac:dyDescent="0.25">
      <c r="A47" s="40"/>
      <c r="B47" s="66" t="s">
        <v>82</v>
      </c>
      <c r="C47" s="54" t="s">
        <v>36</v>
      </c>
      <c r="D47" s="119" t="s">
        <v>103</v>
      </c>
      <c r="E47" s="54">
        <v>2021</v>
      </c>
      <c r="F47" s="54"/>
      <c r="G47" s="67" t="s">
        <v>104</v>
      </c>
      <c r="H47" s="54" t="s">
        <v>39</v>
      </c>
      <c r="I47" s="55" t="s">
        <v>40</v>
      </c>
      <c r="J47" s="55" t="s">
        <v>41</v>
      </c>
      <c r="K47" s="55" t="s">
        <v>42</v>
      </c>
      <c r="L47" s="69" t="s">
        <v>47</v>
      </c>
      <c r="M47" s="70">
        <f>+N47/$D$1+0.5</f>
        <v>12.5</v>
      </c>
      <c r="N47" s="71">
        <v>18000</v>
      </c>
      <c r="O47" s="34">
        <f>+N47</f>
        <v>18000</v>
      </c>
      <c r="P47" s="73">
        <v>44287</v>
      </c>
      <c r="Q47" s="74">
        <f>+P47+M47</f>
        <v>44299.5</v>
      </c>
      <c r="R47" s="75">
        <f t="shared" ref="R47:S48" si="51">_xlfn.ISOWEEKNUM(P47)</f>
        <v>13</v>
      </c>
      <c r="S47" s="76">
        <f t="shared" si="51"/>
        <v>15</v>
      </c>
      <c r="T47" s="77">
        <f>+Q47+$G$1</f>
        <v>44316.5</v>
      </c>
      <c r="U47" s="71"/>
      <c r="V47" s="34"/>
      <c r="W47" s="91">
        <f>+N47</f>
        <v>18000</v>
      </c>
      <c r="X47" s="78"/>
      <c r="Y47" s="79"/>
      <c r="Z47" s="45"/>
    </row>
    <row r="48" spans="1:26" s="17" customFormat="1" ht="14.1" customHeight="1" x14ac:dyDescent="0.25">
      <c r="A48" s="40"/>
      <c r="B48" s="11" t="s">
        <v>105</v>
      </c>
      <c r="C48" s="35" t="s">
        <v>36</v>
      </c>
      <c r="D48" s="102" t="s">
        <v>103</v>
      </c>
      <c r="E48" s="35">
        <v>2021</v>
      </c>
      <c r="F48" s="54"/>
      <c r="G48" s="43" t="s">
        <v>106</v>
      </c>
      <c r="H48" s="35" t="s">
        <v>39</v>
      </c>
      <c r="I48" s="12" t="s">
        <v>40</v>
      </c>
      <c r="J48" s="12" t="s">
        <v>41</v>
      </c>
      <c r="K48" s="12" t="s">
        <v>42</v>
      </c>
      <c r="L48" s="69" t="s">
        <v>47</v>
      </c>
      <c r="M48" s="14">
        <f t="shared" ref="M48:M54" si="52">+N48/$D$1+0.5</f>
        <v>10.968</v>
      </c>
      <c r="N48" s="71">
        <v>15702</v>
      </c>
      <c r="O48" s="34">
        <f t="shared" ref="O48:O53" si="53">+N48</f>
        <v>15702</v>
      </c>
      <c r="P48" s="73">
        <f>+Q47</f>
        <v>44299.5</v>
      </c>
      <c r="Q48" s="74">
        <f>+P48+M48</f>
        <v>44310.468000000001</v>
      </c>
      <c r="R48" s="75">
        <f t="shared" si="51"/>
        <v>15</v>
      </c>
      <c r="S48" s="76">
        <f t="shared" si="51"/>
        <v>16</v>
      </c>
      <c r="T48" s="77">
        <f>+Q48+$G$1</f>
        <v>44327.468000000001</v>
      </c>
      <c r="U48" s="71"/>
      <c r="V48" s="34"/>
      <c r="W48" s="91">
        <f>+W47+N48</f>
        <v>33702</v>
      </c>
      <c r="X48" s="78"/>
      <c r="Y48" s="80"/>
      <c r="Z48" s="45"/>
    </row>
    <row r="49" spans="1:26" s="17" customFormat="1" ht="14.1" customHeight="1" x14ac:dyDescent="0.25">
      <c r="A49" s="40"/>
      <c r="B49" s="11" t="s">
        <v>105</v>
      </c>
      <c r="C49" s="35" t="s">
        <v>36</v>
      </c>
      <c r="D49" s="102" t="s">
        <v>103</v>
      </c>
      <c r="E49" s="35">
        <v>2021</v>
      </c>
      <c r="F49" s="54"/>
      <c r="G49" s="43" t="s">
        <v>107</v>
      </c>
      <c r="H49" s="35" t="s">
        <v>39</v>
      </c>
      <c r="I49" s="12" t="s">
        <v>40</v>
      </c>
      <c r="J49" s="12" t="s">
        <v>41</v>
      </c>
      <c r="K49" s="12" t="s">
        <v>42</v>
      </c>
      <c r="L49" s="69" t="s">
        <v>47</v>
      </c>
      <c r="M49" s="14">
        <f t="shared" si="52"/>
        <v>4</v>
      </c>
      <c r="N49" s="71">
        <v>5250</v>
      </c>
      <c r="O49" s="34">
        <f t="shared" si="53"/>
        <v>5250</v>
      </c>
      <c r="P49" s="73">
        <f t="shared" ref="P49:P53" si="54">+Q48</f>
        <v>44310.468000000001</v>
      </c>
      <c r="Q49" s="74">
        <f t="shared" ref="Q49:Q53" si="55">+P49+M49</f>
        <v>44314.468000000001</v>
      </c>
      <c r="R49" s="75">
        <f t="shared" ref="R49:R53" si="56">_xlfn.ISOWEEKNUM(P49)</f>
        <v>16</v>
      </c>
      <c r="S49" s="76">
        <f t="shared" ref="S49:S53" si="57">_xlfn.ISOWEEKNUM(Q49)</f>
        <v>17</v>
      </c>
      <c r="T49" s="77">
        <f t="shared" ref="T49:T53" si="58">+Q49+$G$1</f>
        <v>44331.468000000001</v>
      </c>
      <c r="U49" s="71"/>
      <c r="V49" s="34"/>
      <c r="W49" s="91">
        <f t="shared" ref="W49:W53" si="59">+W48+N49</f>
        <v>38952</v>
      </c>
      <c r="X49" s="78"/>
      <c r="Y49" s="80"/>
      <c r="Z49" s="45"/>
    </row>
    <row r="50" spans="1:26" s="17" customFormat="1" ht="14.1" customHeight="1" x14ac:dyDescent="0.25">
      <c r="A50" s="40"/>
      <c r="B50" s="25" t="s">
        <v>108</v>
      </c>
      <c r="C50" s="35" t="s">
        <v>36</v>
      </c>
      <c r="D50" s="102" t="s">
        <v>103</v>
      </c>
      <c r="E50" s="35">
        <v>2021</v>
      </c>
      <c r="F50" s="35"/>
      <c r="G50" s="43" t="s">
        <v>109</v>
      </c>
      <c r="H50" s="12" t="s">
        <v>39</v>
      </c>
      <c r="I50" s="12" t="s">
        <v>40</v>
      </c>
      <c r="J50" s="12" t="s">
        <v>41</v>
      </c>
      <c r="K50" s="64" t="s">
        <v>42</v>
      </c>
      <c r="L50" s="13" t="s">
        <v>47</v>
      </c>
      <c r="M50" s="14">
        <f t="shared" si="52"/>
        <v>6.5546666666666669</v>
      </c>
      <c r="N50" s="36">
        <v>9082</v>
      </c>
      <c r="O50" s="37">
        <f t="shared" si="53"/>
        <v>9082</v>
      </c>
      <c r="P50" s="73">
        <f t="shared" si="54"/>
        <v>44314.468000000001</v>
      </c>
      <c r="Q50" s="74">
        <f t="shared" si="55"/>
        <v>44321.022666666664</v>
      </c>
      <c r="R50" s="75">
        <f t="shared" si="56"/>
        <v>17</v>
      </c>
      <c r="S50" s="76">
        <f t="shared" si="57"/>
        <v>18</v>
      </c>
      <c r="T50" s="77">
        <f t="shared" si="58"/>
        <v>44338.022666666664</v>
      </c>
      <c r="U50" s="36"/>
      <c r="V50" s="37"/>
      <c r="W50" s="91">
        <f t="shared" si="59"/>
        <v>48034</v>
      </c>
      <c r="X50" s="51"/>
      <c r="Y50" s="50"/>
      <c r="Z50" s="45"/>
    </row>
    <row r="51" spans="1:26" s="17" customFormat="1" ht="14.1" customHeight="1" x14ac:dyDescent="0.25">
      <c r="A51" s="40"/>
      <c r="B51" s="11" t="s">
        <v>82</v>
      </c>
      <c r="C51" s="35" t="s">
        <v>36</v>
      </c>
      <c r="D51" s="103" t="s">
        <v>103</v>
      </c>
      <c r="E51" s="35">
        <v>2021</v>
      </c>
      <c r="F51" s="35"/>
      <c r="G51" s="43" t="s">
        <v>110</v>
      </c>
      <c r="H51" s="35" t="s">
        <v>39</v>
      </c>
      <c r="I51" s="12" t="s">
        <v>66</v>
      </c>
      <c r="J51" s="12" t="s">
        <v>41</v>
      </c>
      <c r="K51" s="12" t="s">
        <v>42</v>
      </c>
      <c r="L51" s="13" t="s">
        <v>71</v>
      </c>
      <c r="M51" s="14">
        <f t="shared" si="52"/>
        <v>3.7759999999999998</v>
      </c>
      <c r="N51" s="71">
        <v>4914</v>
      </c>
      <c r="O51" s="34">
        <f t="shared" si="53"/>
        <v>4914</v>
      </c>
      <c r="P51" s="73">
        <f t="shared" si="54"/>
        <v>44321.022666666664</v>
      </c>
      <c r="Q51" s="74">
        <f t="shared" si="55"/>
        <v>44324.798666666662</v>
      </c>
      <c r="R51" s="75">
        <f t="shared" si="56"/>
        <v>18</v>
      </c>
      <c r="S51" s="76">
        <f t="shared" si="57"/>
        <v>18</v>
      </c>
      <c r="T51" s="77">
        <f t="shared" si="58"/>
        <v>44341.798666666662</v>
      </c>
      <c r="U51" s="36"/>
      <c r="V51" s="37"/>
      <c r="W51" s="91">
        <f t="shared" si="59"/>
        <v>52948</v>
      </c>
      <c r="X51" s="51"/>
      <c r="Y51" s="49"/>
      <c r="Z51" s="45"/>
    </row>
    <row r="52" spans="1:26" s="17" customFormat="1" ht="14.1" customHeight="1" x14ac:dyDescent="0.25">
      <c r="A52" s="40"/>
      <c r="B52" s="11" t="s">
        <v>45</v>
      </c>
      <c r="C52" s="35" t="s">
        <v>36</v>
      </c>
      <c r="D52" s="102" t="s">
        <v>103</v>
      </c>
      <c r="E52" s="35">
        <v>2021</v>
      </c>
      <c r="F52" s="35"/>
      <c r="G52" s="43" t="s">
        <v>111</v>
      </c>
      <c r="H52" s="12" t="s">
        <v>39</v>
      </c>
      <c r="I52" s="12" t="s">
        <v>78</v>
      </c>
      <c r="J52" s="12" t="s">
        <v>41</v>
      </c>
      <c r="K52" s="64" t="s">
        <v>42</v>
      </c>
      <c r="L52" s="22" t="s">
        <v>79</v>
      </c>
      <c r="M52" s="14">
        <f t="shared" si="52"/>
        <v>7.745333333333333</v>
      </c>
      <c r="N52" s="71">
        <v>10868</v>
      </c>
      <c r="O52" s="72">
        <f t="shared" si="53"/>
        <v>10868</v>
      </c>
      <c r="P52" s="73">
        <f t="shared" si="54"/>
        <v>44324.798666666662</v>
      </c>
      <c r="Q52" s="74">
        <f t="shared" si="55"/>
        <v>44332.543999999994</v>
      </c>
      <c r="R52" s="75">
        <f t="shared" si="56"/>
        <v>18</v>
      </c>
      <c r="S52" s="76">
        <f t="shared" si="57"/>
        <v>19</v>
      </c>
      <c r="T52" s="77">
        <f t="shared" si="58"/>
        <v>44349.543999999994</v>
      </c>
      <c r="U52" s="71"/>
      <c r="V52" s="34"/>
      <c r="W52" s="91">
        <f t="shared" si="59"/>
        <v>63816</v>
      </c>
      <c r="X52" s="78"/>
      <c r="Y52" s="80"/>
      <c r="Z52" s="45"/>
    </row>
    <row r="53" spans="1:26" s="17" customFormat="1" ht="14.1" customHeight="1" x14ac:dyDescent="0.25">
      <c r="A53" s="40"/>
      <c r="B53" s="11" t="s">
        <v>95</v>
      </c>
      <c r="C53" s="35" t="s">
        <v>36</v>
      </c>
      <c r="D53" s="102" t="s">
        <v>103</v>
      </c>
      <c r="E53" s="35">
        <v>2021</v>
      </c>
      <c r="F53" s="35"/>
      <c r="G53" s="43" t="s">
        <v>112</v>
      </c>
      <c r="H53" s="12" t="s">
        <v>39</v>
      </c>
      <c r="I53" s="12" t="s">
        <v>40</v>
      </c>
      <c r="J53" s="12" t="s">
        <v>41</v>
      </c>
      <c r="K53" s="64" t="s">
        <v>42</v>
      </c>
      <c r="L53" s="13" t="s">
        <v>47</v>
      </c>
      <c r="M53" s="14">
        <f t="shared" si="52"/>
        <v>7.87</v>
      </c>
      <c r="N53" s="36">
        <v>11055</v>
      </c>
      <c r="O53" s="15">
        <f t="shared" si="53"/>
        <v>11055</v>
      </c>
      <c r="P53" s="73">
        <f t="shared" si="54"/>
        <v>44332.543999999994</v>
      </c>
      <c r="Q53" s="74">
        <f t="shared" si="55"/>
        <v>44340.413999999997</v>
      </c>
      <c r="R53" s="75">
        <f t="shared" si="56"/>
        <v>19</v>
      </c>
      <c r="S53" s="76">
        <f t="shared" si="57"/>
        <v>21</v>
      </c>
      <c r="T53" s="77">
        <f t="shared" si="58"/>
        <v>44357.413999999997</v>
      </c>
      <c r="U53" s="36"/>
      <c r="V53" s="37"/>
      <c r="W53" s="91">
        <f t="shared" si="59"/>
        <v>74871</v>
      </c>
      <c r="X53" s="51"/>
      <c r="Y53" s="50"/>
      <c r="Z53" s="45"/>
    </row>
    <row r="54" spans="1:26" s="17" customFormat="1" ht="14.1" customHeight="1" thickBot="1" x14ac:dyDescent="0.3">
      <c r="A54" s="40"/>
      <c r="B54" s="123" t="s">
        <v>35</v>
      </c>
      <c r="C54" s="23" t="s">
        <v>36</v>
      </c>
      <c r="D54" s="124" t="s">
        <v>103</v>
      </c>
      <c r="E54" s="23">
        <v>2021</v>
      </c>
      <c r="F54" s="23"/>
      <c r="G54" s="84" t="s">
        <v>113</v>
      </c>
      <c r="H54" s="24" t="s">
        <v>39</v>
      </c>
      <c r="I54" s="24" t="s">
        <v>78</v>
      </c>
      <c r="J54" s="24" t="s">
        <v>41</v>
      </c>
      <c r="K54" s="24" t="s">
        <v>42</v>
      </c>
      <c r="L54" s="125" t="s">
        <v>79</v>
      </c>
      <c r="M54" s="87">
        <f t="shared" si="52"/>
        <v>4.0999999999999996</v>
      </c>
      <c r="N54" s="109">
        <v>5400</v>
      </c>
      <c r="O54" s="110">
        <f t="shared" ref="O54" si="60">+N54</f>
        <v>5400</v>
      </c>
      <c r="P54" s="111">
        <f>+Q40</f>
        <v>44309.936000000009</v>
      </c>
      <c r="Q54" s="112">
        <f t="shared" ref="Q54" si="61">+P54+M54</f>
        <v>44314.036000000007</v>
      </c>
      <c r="R54" s="113">
        <f t="shared" ref="R54" si="62">_xlfn.ISOWEEKNUM(P54)</f>
        <v>16</v>
      </c>
      <c r="S54" s="114">
        <f t="shared" ref="S54" si="63">_xlfn.ISOWEEKNUM(Q54)</f>
        <v>17</v>
      </c>
      <c r="T54" s="115">
        <f t="shared" ref="T54" si="64">+Q54+$G$1</f>
        <v>44331.036000000007</v>
      </c>
      <c r="U54" s="109"/>
      <c r="V54" s="116"/>
      <c r="W54" s="126">
        <f t="shared" ref="W54" si="65">+W53+N54</f>
        <v>80271</v>
      </c>
      <c r="X54" s="117"/>
      <c r="Y54" s="118"/>
      <c r="Z54" s="45"/>
    </row>
    <row r="55" spans="1:26" ht="15.75" thickBot="1" x14ac:dyDescent="0.3">
      <c r="M55" s="121" t="s">
        <v>114</v>
      </c>
      <c r="N55" s="97">
        <f>SUM(N7:N54)</f>
        <v>2268556</v>
      </c>
      <c r="O55" s="97">
        <f>SUM(O7:O54)</f>
        <v>2237740.75</v>
      </c>
      <c r="W55" s="97">
        <f>+W34+W54+W46</f>
        <v>2248556</v>
      </c>
    </row>
    <row r="56" spans="1:26" x14ac:dyDescent="0.25">
      <c r="R56" s="143"/>
    </row>
    <row r="57" spans="1:26" ht="15.75" thickBot="1" x14ac:dyDescent="0.3">
      <c r="N57" s="26"/>
      <c r="O57" s="26"/>
    </row>
    <row r="58" spans="1:26" ht="23.25" thickBot="1" x14ac:dyDescent="0.3">
      <c r="B58" s="128" t="s">
        <v>115</v>
      </c>
      <c r="N58" s="26"/>
      <c r="O58" s="26"/>
    </row>
    <row r="59" spans="1:26" ht="14.1" customHeight="1" x14ac:dyDescent="0.25">
      <c r="A59" s="40"/>
      <c r="B59" s="129" t="s">
        <v>45</v>
      </c>
      <c r="C59" s="130" t="s">
        <v>36</v>
      </c>
      <c r="D59" s="130" t="s">
        <v>37</v>
      </c>
      <c r="E59" s="130">
        <v>2021</v>
      </c>
      <c r="F59" s="130"/>
      <c r="G59" s="131" t="s">
        <v>116</v>
      </c>
      <c r="N59" s="26"/>
      <c r="O59" s="26"/>
      <c r="Z59" s="45"/>
    </row>
    <row r="60" spans="1:26" s="17" customFormat="1" ht="14.1" customHeight="1" x14ac:dyDescent="0.25">
      <c r="A60" s="40"/>
      <c r="B60" s="11" t="s">
        <v>45</v>
      </c>
      <c r="C60" s="35" t="s">
        <v>36</v>
      </c>
      <c r="D60" s="35" t="s">
        <v>37</v>
      </c>
      <c r="E60" s="35">
        <v>2021</v>
      </c>
      <c r="F60" s="35"/>
      <c r="G60" s="132" t="s">
        <v>117</v>
      </c>
      <c r="H60"/>
      <c r="I60"/>
      <c r="J60"/>
      <c r="K60"/>
      <c r="L60"/>
      <c r="M60"/>
      <c r="N60" s="26"/>
      <c r="O60" s="26"/>
      <c r="P60"/>
      <c r="Q60"/>
      <c r="R60"/>
      <c r="S60"/>
      <c r="T60"/>
      <c r="U60"/>
      <c r="V60"/>
      <c r="W60"/>
      <c r="X60"/>
      <c r="Y60"/>
      <c r="Z60" s="45"/>
    </row>
    <row r="61" spans="1:26" ht="14.1" customHeight="1" x14ac:dyDescent="0.25">
      <c r="A61" s="40"/>
      <c r="B61" s="11" t="s">
        <v>35</v>
      </c>
      <c r="C61" s="35" t="s">
        <v>36</v>
      </c>
      <c r="D61" s="35" t="s">
        <v>37</v>
      </c>
      <c r="E61" s="35">
        <v>2021</v>
      </c>
      <c r="F61" s="35"/>
      <c r="G61" s="132" t="s">
        <v>38</v>
      </c>
      <c r="N61" s="26"/>
      <c r="O61" s="26"/>
      <c r="Z61" s="45"/>
    </row>
    <row r="62" spans="1:26" s="17" customFormat="1" ht="14.1" customHeight="1" x14ac:dyDescent="0.25">
      <c r="A62" s="40"/>
      <c r="B62" s="66" t="s">
        <v>35</v>
      </c>
      <c r="C62" s="54" t="s">
        <v>36</v>
      </c>
      <c r="D62" s="54" t="s">
        <v>37</v>
      </c>
      <c r="E62" s="35">
        <v>2021</v>
      </c>
      <c r="F62" s="35"/>
      <c r="G62" s="133" t="s">
        <v>51</v>
      </c>
      <c r="H62"/>
      <c r="I62"/>
      <c r="J62"/>
      <c r="K62"/>
      <c r="L62"/>
      <c r="M62"/>
      <c r="N62" s="26"/>
      <c r="O62" s="26"/>
      <c r="P62"/>
      <c r="Q62"/>
      <c r="R62"/>
      <c r="S62"/>
      <c r="T62"/>
      <c r="U62"/>
      <c r="V62"/>
      <c r="W62"/>
      <c r="X62"/>
      <c r="Y62"/>
      <c r="Z62" s="45"/>
    </row>
    <row r="63" spans="1:26" s="17" customFormat="1" ht="14.1" customHeight="1" x14ac:dyDescent="0.25">
      <c r="A63" s="40"/>
      <c r="B63" s="19" t="s">
        <v>35</v>
      </c>
      <c r="C63" s="35" t="s">
        <v>36</v>
      </c>
      <c r="D63" s="35" t="s">
        <v>89</v>
      </c>
      <c r="E63" s="35">
        <v>2021</v>
      </c>
      <c r="F63" s="35"/>
      <c r="G63" s="134" t="s">
        <v>118</v>
      </c>
      <c r="H63"/>
      <c r="I63"/>
      <c r="J63"/>
      <c r="K63"/>
      <c r="L63"/>
      <c r="M63"/>
      <c r="N63" s="26"/>
      <c r="O63" s="26"/>
      <c r="P63"/>
      <c r="Q63"/>
      <c r="R63"/>
      <c r="S63"/>
      <c r="T63"/>
      <c r="U63"/>
      <c r="V63"/>
      <c r="W63"/>
      <c r="X63"/>
      <c r="Y63"/>
      <c r="Z63" s="45"/>
    </row>
    <row r="64" spans="1:26" s="17" customFormat="1" ht="14.1" customHeight="1" x14ac:dyDescent="0.25">
      <c r="A64" s="40"/>
      <c r="B64" s="11" t="s">
        <v>35</v>
      </c>
      <c r="C64" s="35" t="s">
        <v>36</v>
      </c>
      <c r="D64" s="35" t="s">
        <v>89</v>
      </c>
      <c r="E64" s="35">
        <v>2021</v>
      </c>
      <c r="F64" s="35"/>
      <c r="G64" s="132" t="s">
        <v>119</v>
      </c>
      <c r="H64"/>
      <c r="I64"/>
      <c r="J64"/>
      <c r="K64"/>
      <c r="L64"/>
      <c r="M64"/>
      <c r="N64" s="26"/>
      <c r="O64" s="26"/>
      <c r="P64"/>
      <c r="Q64"/>
      <c r="R64"/>
      <c r="S64"/>
      <c r="T64"/>
      <c r="U64"/>
      <c r="V64"/>
      <c r="W64"/>
      <c r="X64"/>
      <c r="Y64"/>
      <c r="Z64" s="45"/>
    </row>
    <row r="65" spans="1:26" s="17" customFormat="1" ht="14.1" customHeight="1" x14ac:dyDescent="0.25">
      <c r="A65" s="40"/>
      <c r="B65" s="11" t="s">
        <v>105</v>
      </c>
      <c r="C65" s="35" t="s">
        <v>36</v>
      </c>
      <c r="D65" s="54" t="s">
        <v>89</v>
      </c>
      <c r="E65" s="35">
        <v>2021</v>
      </c>
      <c r="F65" s="54"/>
      <c r="G65" s="134" t="s">
        <v>120</v>
      </c>
      <c r="H65"/>
      <c r="I65"/>
      <c r="J65"/>
      <c r="K65"/>
      <c r="L65"/>
      <c r="M65"/>
      <c r="N65" s="26"/>
      <c r="O65" s="26"/>
      <c r="P65"/>
      <c r="Q65"/>
      <c r="R65"/>
      <c r="S65"/>
      <c r="T65"/>
      <c r="U65"/>
      <c r="V65"/>
      <c r="W65"/>
      <c r="X65"/>
      <c r="Y65"/>
      <c r="Z65" s="45"/>
    </row>
    <row r="66" spans="1:26" s="17" customFormat="1" ht="14.1" customHeight="1" thickBot="1" x14ac:dyDescent="0.3">
      <c r="A66" s="40"/>
      <c r="B66" s="83" t="s">
        <v>105</v>
      </c>
      <c r="C66" s="23" t="s">
        <v>36</v>
      </c>
      <c r="D66" s="104" t="s">
        <v>89</v>
      </c>
      <c r="E66" s="23">
        <v>2021</v>
      </c>
      <c r="F66" s="104"/>
      <c r="G66" s="135" t="s">
        <v>121</v>
      </c>
      <c r="H66"/>
      <c r="I66"/>
      <c r="J66"/>
      <c r="K66"/>
      <c r="L66"/>
      <c r="M66"/>
      <c r="N66" s="26"/>
      <c r="O66" s="26"/>
      <c r="P66"/>
      <c r="Q66"/>
      <c r="R66"/>
      <c r="S66"/>
      <c r="T66"/>
      <c r="U66"/>
      <c r="V66"/>
      <c r="W66"/>
      <c r="X66"/>
      <c r="Y66"/>
      <c r="Z66" s="45"/>
    </row>
    <row r="67" spans="1:26" x14ac:dyDescent="0.25">
      <c r="N67" s="26"/>
      <c r="O67" s="26"/>
    </row>
    <row r="70" spans="1:26" x14ac:dyDescent="0.25">
      <c r="M70" s="26"/>
    </row>
  </sheetData>
  <autoFilter ref="B6:Y55" xr:uid="{4410091C-2170-42F3-BAD6-E1D32F7EFF69}"/>
  <conditionalFormatting sqref="M16:M23 L36:M37 M7:M14 L17:M17 L20 L47:L53 L25 L29:L45">
    <cfRule type="containsText" dxfId="853" priority="2385" operator="containsText" text="Naranja">
      <formula>NOT(ISERROR(SEARCH("Naranja",L7)))</formula>
    </cfRule>
  </conditionalFormatting>
  <conditionalFormatting sqref="M16:M23 L36:M37 M7:M14 L17:M17 L20 L47:L53 L25 L29:L45">
    <cfRule type="containsText" dxfId="852" priority="2384" operator="containsText" text="Verde">
      <formula>NOT(ISERROR(SEARCH("Verde",L7)))</formula>
    </cfRule>
  </conditionalFormatting>
  <conditionalFormatting sqref="M16:M23 L36:M37 M7:M14 L17:M17 L20 L47:L53 L25 L29:L45">
    <cfRule type="containsText" dxfId="851" priority="2383" operator="containsText" text="Rojo">
      <formula>NOT(ISERROR(SEARCH("Rojo",L7)))</formula>
    </cfRule>
  </conditionalFormatting>
  <conditionalFormatting sqref="L21:L23">
    <cfRule type="containsText" dxfId="850" priority="1212" operator="containsText" text="Naranja">
      <formula>NOT(ISERROR(SEARCH("Naranja",L21)))</formula>
    </cfRule>
  </conditionalFormatting>
  <conditionalFormatting sqref="L21:L23">
    <cfRule type="containsText" dxfId="849" priority="1211" operator="containsText" text="Verde">
      <formula>NOT(ISERROR(SEARCH("Verde",L21)))</formula>
    </cfRule>
  </conditionalFormatting>
  <conditionalFormatting sqref="L21:L23">
    <cfRule type="containsText" dxfId="848" priority="1210" operator="containsText" text="Rojo">
      <formula>NOT(ISERROR(SEARCH("Rojo",L21)))</formula>
    </cfRule>
  </conditionalFormatting>
  <conditionalFormatting sqref="L21:L23">
    <cfRule type="containsText" dxfId="847" priority="1209" operator="containsText" text="Naranja">
      <formula>NOT(ISERROR(SEARCH("Naranja",L21)))</formula>
    </cfRule>
  </conditionalFormatting>
  <conditionalFormatting sqref="L21:L23">
    <cfRule type="containsText" dxfId="846" priority="1208" operator="containsText" text="Verde">
      <formula>NOT(ISERROR(SEARCH("Verde",L21)))</formula>
    </cfRule>
  </conditionalFormatting>
  <conditionalFormatting sqref="L21:L23">
    <cfRule type="containsText" dxfId="845" priority="1207" operator="containsText" text="Rojo">
      <formula>NOT(ISERROR(SEARCH("Rojo",L21)))</formula>
    </cfRule>
  </conditionalFormatting>
  <conditionalFormatting sqref="L7:M7">
    <cfRule type="containsText" dxfId="844" priority="819" operator="containsText" text="Naranja">
      <formula>NOT(ISERROR(SEARCH("Naranja",L7)))</formula>
    </cfRule>
  </conditionalFormatting>
  <conditionalFormatting sqref="L7:M7">
    <cfRule type="containsText" dxfId="843" priority="818" operator="containsText" text="Verde">
      <formula>NOT(ISERROR(SEARCH("Verde",L7)))</formula>
    </cfRule>
  </conditionalFormatting>
  <conditionalFormatting sqref="L7:M7">
    <cfRule type="containsText" dxfId="842" priority="817" operator="containsText" text="Rojo">
      <formula>NOT(ISERROR(SEARCH("Rojo",L7)))</formula>
    </cfRule>
  </conditionalFormatting>
  <conditionalFormatting sqref="L9">
    <cfRule type="containsText" dxfId="841" priority="801" operator="containsText" text="Naranja">
      <formula>NOT(ISERROR(SEARCH("Naranja",L9)))</formula>
    </cfRule>
  </conditionalFormatting>
  <conditionalFormatting sqref="L9">
    <cfRule type="containsText" dxfId="840" priority="800" operator="containsText" text="Verde">
      <formula>NOT(ISERROR(SEARCH("Verde",L9)))</formula>
    </cfRule>
  </conditionalFormatting>
  <conditionalFormatting sqref="L9">
    <cfRule type="containsText" dxfId="839" priority="799" operator="containsText" text="Rojo">
      <formula>NOT(ISERROR(SEARCH("Rojo",L9)))</formula>
    </cfRule>
  </conditionalFormatting>
  <conditionalFormatting sqref="L9">
    <cfRule type="containsText" dxfId="838" priority="795" operator="containsText" text="Naranja">
      <formula>NOT(ISERROR(SEARCH("Naranja",L9)))</formula>
    </cfRule>
  </conditionalFormatting>
  <conditionalFormatting sqref="L9">
    <cfRule type="containsText" dxfId="837" priority="794" operator="containsText" text="Verde">
      <formula>NOT(ISERROR(SEARCH("Verde",L9)))</formula>
    </cfRule>
  </conditionalFormatting>
  <conditionalFormatting sqref="L9">
    <cfRule type="containsText" dxfId="836" priority="793" operator="containsText" text="Rojo">
      <formula>NOT(ISERROR(SEARCH("Rojo",L9)))</formula>
    </cfRule>
  </conditionalFormatting>
  <conditionalFormatting sqref="L7">
    <cfRule type="containsText" dxfId="835" priority="792" operator="containsText" text="Naranja">
      <formula>NOT(ISERROR(SEARCH("Naranja",L7)))</formula>
    </cfRule>
  </conditionalFormatting>
  <conditionalFormatting sqref="L7">
    <cfRule type="containsText" dxfId="834" priority="791" operator="containsText" text="Verde">
      <formula>NOT(ISERROR(SEARCH("Verde",L7)))</formula>
    </cfRule>
  </conditionalFormatting>
  <conditionalFormatting sqref="L7">
    <cfRule type="containsText" dxfId="833" priority="790" operator="containsText" text="Rojo">
      <formula>NOT(ISERROR(SEARCH("Rojo",L7)))</formula>
    </cfRule>
  </conditionalFormatting>
  <conditionalFormatting sqref="L8">
    <cfRule type="containsText" dxfId="832" priority="786" operator="containsText" text="Naranja">
      <formula>NOT(ISERROR(SEARCH("Naranja",L8)))</formula>
    </cfRule>
  </conditionalFormatting>
  <conditionalFormatting sqref="L8">
    <cfRule type="containsText" dxfId="831" priority="785" operator="containsText" text="Verde">
      <formula>NOT(ISERROR(SEARCH("Verde",L8)))</formula>
    </cfRule>
  </conditionalFormatting>
  <conditionalFormatting sqref="L8">
    <cfRule type="containsText" dxfId="830" priority="784" operator="containsText" text="Rojo">
      <formula>NOT(ISERROR(SEARCH("Rojo",L8)))</formula>
    </cfRule>
  </conditionalFormatting>
  <conditionalFormatting sqref="L10:L11">
    <cfRule type="containsText" dxfId="829" priority="783" operator="containsText" text="Naranja">
      <formula>NOT(ISERROR(SEARCH("Naranja",L10)))</formula>
    </cfRule>
  </conditionalFormatting>
  <conditionalFormatting sqref="L10:L11">
    <cfRule type="containsText" dxfId="828" priority="782" operator="containsText" text="Verde">
      <formula>NOT(ISERROR(SEARCH("Verde",L10)))</formula>
    </cfRule>
  </conditionalFormatting>
  <conditionalFormatting sqref="L10:L11">
    <cfRule type="containsText" dxfId="827" priority="781" operator="containsText" text="Rojo">
      <formula>NOT(ISERROR(SEARCH("Rojo",L10)))</formula>
    </cfRule>
  </conditionalFormatting>
  <conditionalFormatting sqref="L10:L11">
    <cfRule type="containsText" dxfId="826" priority="780" operator="containsText" text="Naranja">
      <formula>NOT(ISERROR(SEARCH("Naranja",L10)))</formula>
    </cfRule>
  </conditionalFormatting>
  <conditionalFormatting sqref="L10:L11">
    <cfRule type="containsText" dxfId="825" priority="779" operator="containsText" text="Verde">
      <formula>NOT(ISERROR(SEARCH("Verde",L10)))</formula>
    </cfRule>
  </conditionalFormatting>
  <conditionalFormatting sqref="L10:L11">
    <cfRule type="containsText" dxfId="824" priority="778" operator="containsText" text="Rojo">
      <formula>NOT(ISERROR(SEARCH("Rojo",L10)))</formula>
    </cfRule>
  </conditionalFormatting>
  <conditionalFormatting sqref="L10:L11">
    <cfRule type="containsText" dxfId="823" priority="777" operator="containsText" text="Naranja">
      <formula>NOT(ISERROR(SEARCH("Naranja",L10)))</formula>
    </cfRule>
  </conditionalFormatting>
  <conditionalFormatting sqref="L10:L11">
    <cfRule type="containsText" dxfId="822" priority="776" operator="containsText" text="Verde">
      <formula>NOT(ISERROR(SEARCH("Verde",L10)))</formula>
    </cfRule>
  </conditionalFormatting>
  <conditionalFormatting sqref="L10:L11">
    <cfRule type="containsText" dxfId="821" priority="775" operator="containsText" text="Rojo">
      <formula>NOT(ISERROR(SEARCH("Rojo",L10)))</formula>
    </cfRule>
  </conditionalFormatting>
  <conditionalFormatting sqref="L37">
    <cfRule type="containsText" dxfId="820" priority="774" operator="containsText" text="Naranja">
      <formula>NOT(ISERROR(SEARCH("Naranja",L37)))</formula>
    </cfRule>
  </conditionalFormatting>
  <conditionalFormatting sqref="L37">
    <cfRule type="containsText" dxfId="819" priority="773" operator="containsText" text="Verde">
      <formula>NOT(ISERROR(SEARCH("Verde",L37)))</formula>
    </cfRule>
  </conditionalFormatting>
  <conditionalFormatting sqref="L37">
    <cfRule type="containsText" dxfId="818" priority="772" operator="containsText" text="Rojo">
      <formula>NOT(ISERROR(SEARCH("Rojo",L37)))</formula>
    </cfRule>
  </conditionalFormatting>
  <conditionalFormatting sqref="L37">
    <cfRule type="containsText" dxfId="817" priority="771" operator="containsText" text="Naranja">
      <formula>NOT(ISERROR(SEARCH("Naranja",L37)))</formula>
    </cfRule>
  </conditionalFormatting>
  <conditionalFormatting sqref="L37">
    <cfRule type="containsText" dxfId="816" priority="770" operator="containsText" text="Verde">
      <formula>NOT(ISERROR(SEARCH("Verde",L37)))</formula>
    </cfRule>
  </conditionalFormatting>
  <conditionalFormatting sqref="L37">
    <cfRule type="containsText" dxfId="815" priority="769" operator="containsText" text="Rojo">
      <formula>NOT(ISERROR(SEARCH("Rojo",L37)))</formula>
    </cfRule>
  </conditionalFormatting>
  <conditionalFormatting sqref="L12">
    <cfRule type="containsText" dxfId="814" priority="762" operator="containsText" text="Naranja">
      <formula>NOT(ISERROR(SEARCH("Naranja",L12)))</formula>
    </cfRule>
  </conditionalFormatting>
  <conditionalFormatting sqref="L12">
    <cfRule type="containsText" dxfId="813" priority="761" operator="containsText" text="Verde">
      <formula>NOT(ISERROR(SEARCH("Verde",L12)))</formula>
    </cfRule>
  </conditionalFormatting>
  <conditionalFormatting sqref="L12">
    <cfRule type="containsText" dxfId="812" priority="760" operator="containsText" text="Rojo">
      <formula>NOT(ISERROR(SEARCH("Rojo",L12)))</formula>
    </cfRule>
  </conditionalFormatting>
  <conditionalFormatting sqref="L13:L14">
    <cfRule type="containsText" dxfId="811" priority="726" operator="containsText" text="Naranja">
      <formula>NOT(ISERROR(SEARCH("Naranja",L13)))</formula>
    </cfRule>
  </conditionalFormatting>
  <conditionalFormatting sqref="L13:L14">
    <cfRule type="containsText" dxfId="810" priority="725" operator="containsText" text="Verde">
      <formula>NOT(ISERROR(SEARCH("Verde",L13)))</formula>
    </cfRule>
  </conditionalFormatting>
  <conditionalFormatting sqref="L13:L14">
    <cfRule type="containsText" dxfId="809" priority="724" operator="containsText" text="Rojo">
      <formula>NOT(ISERROR(SEARCH("Rojo",L13)))</formula>
    </cfRule>
  </conditionalFormatting>
  <conditionalFormatting sqref="L13:L14">
    <cfRule type="containsText" dxfId="808" priority="723" operator="containsText" text="Naranja">
      <formula>NOT(ISERROR(SEARCH("Naranja",L13)))</formula>
    </cfRule>
  </conditionalFormatting>
  <conditionalFormatting sqref="L13:L14">
    <cfRule type="containsText" dxfId="807" priority="722" operator="containsText" text="Verde">
      <formula>NOT(ISERROR(SEARCH("Verde",L13)))</formula>
    </cfRule>
  </conditionalFormatting>
  <conditionalFormatting sqref="L13:L14">
    <cfRule type="containsText" dxfId="806" priority="721" operator="containsText" text="Rojo">
      <formula>NOT(ISERROR(SEARCH("Rojo",L13)))</formula>
    </cfRule>
  </conditionalFormatting>
  <conditionalFormatting sqref="L13:L14">
    <cfRule type="containsText" dxfId="805" priority="720" operator="containsText" text="Naranja">
      <formula>NOT(ISERROR(SEARCH("Naranja",L13)))</formula>
    </cfRule>
  </conditionalFormatting>
  <conditionalFormatting sqref="L13:L14">
    <cfRule type="containsText" dxfId="804" priority="719" operator="containsText" text="Verde">
      <formula>NOT(ISERROR(SEARCH("Verde",L13)))</formula>
    </cfRule>
  </conditionalFormatting>
  <conditionalFormatting sqref="L13:L14">
    <cfRule type="containsText" dxfId="803" priority="718" operator="containsText" text="Rojo">
      <formula>NOT(ISERROR(SEARCH("Rojo",L13)))</formula>
    </cfRule>
  </conditionalFormatting>
  <conditionalFormatting sqref="L13:L14">
    <cfRule type="containsText" dxfId="802" priority="717" operator="containsText" text="Naranja">
      <formula>NOT(ISERROR(SEARCH("Naranja",L13)))</formula>
    </cfRule>
  </conditionalFormatting>
  <conditionalFormatting sqref="L13:L14">
    <cfRule type="containsText" dxfId="801" priority="716" operator="containsText" text="Verde">
      <formula>NOT(ISERROR(SEARCH("Verde",L13)))</formula>
    </cfRule>
  </conditionalFormatting>
  <conditionalFormatting sqref="L13:L14">
    <cfRule type="containsText" dxfId="800" priority="715" operator="containsText" text="Rojo">
      <formula>NOT(ISERROR(SEARCH("Rojo",L13)))</formula>
    </cfRule>
  </conditionalFormatting>
  <conditionalFormatting sqref="L13:L14">
    <cfRule type="containsText" dxfId="799" priority="714" operator="containsText" text="Naranja">
      <formula>NOT(ISERROR(SEARCH("Naranja",L13)))</formula>
    </cfRule>
  </conditionalFormatting>
  <conditionalFormatting sqref="L13:L14">
    <cfRule type="containsText" dxfId="798" priority="713" operator="containsText" text="Verde">
      <formula>NOT(ISERROR(SEARCH("Verde",L13)))</formula>
    </cfRule>
  </conditionalFormatting>
  <conditionalFormatting sqref="L13:L14">
    <cfRule type="containsText" dxfId="797" priority="712" operator="containsText" text="Rojo">
      <formula>NOT(ISERROR(SEARCH("Rojo",L13)))</formula>
    </cfRule>
  </conditionalFormatting>
  <conditionalFormatting sqref="L13:L14">
    <cfRule type="containsText" dxfId="796" priority="711" operator="containsText" text="Naranja">
      <formula>NOT(ISERROR(SEARCH("Naranja",L13)))</formula>
    </cfRule>
  </conditionalFormatting>
  <conditionalFormatting sqref="L13:L14">
    <cfRule type="containsText" dxfId="795" priority="710" operator="containsText" text="Verde">
      <formula>NOT(ISERROR(SEARCH("Verde",L13)))</formula>
    </cfRule>
  </conditionalFormatting>
  <conditionalFormatting sqref="L13:L14">
    <cfRule type="containsText" dxfId="794" priority="709" operator="containsText" text="Rojo">
      <formula>NOT(ISERROR(SEARCH("Rojo",L13)))</formula>
    </cfRule>
  </conditionalFormatting>
  <conditionalFormatting sqref="L16:L17">
    <cfRule type="containsText" dxfId="793" priority="708" operator="containsText" text="Naranja">
      <formula>NOT(ISERROR(SEARCH("Naranja",L16)))</formula>
    </cfRule>
  </conditionalFormatting>
  <conditionalFormatting sqref="L16:L17">
    <cfRule type="containsText" dxfId="792" priority="707" operator="containsText" text="Verde">
      <formula>NOT(ISERROR(SEARCH("Verde",L16)))</formula>
    </cfRule>
  </conditionalFormatting>
  <conditionalFormatting sqref="L16:L17">
    <cfRule type="containsText" dxfId="791" priority="706" operator="containsText" text="Rojo">
      <formula>NOT(ISERROR(SEARCH("Rojo",L16)))</formula>
    </cfRule>
  </conditionalFormatting>
  <conditionalFormatting sqref="L16:L17">
    <cfRule type="containsText" dxfId="790" priority="705" operator="containsText" text="Naranja">
      <formula>NOT(ISERROR(SEARCH("Naranja",L16)))</formula>
    </cfRule>
  </conditionalFormatting>
  <conditionalFormatting sqref="L16:L17">
    <cfRule type="containsText" dxfId="789" priority="704" operator="containsText" text="Verde">
      <formula>NOT(ISERROR(SEARCH("Verde",L16)))</formula>
    </cfRule>
  </conditionalFormatting>
  <conditionalFormatting sqref="L16:L17">
    <cfRule type="containsText" dxfId="788" priority="703" operator="containsText" text="Rojo">
      <formula>NOT(ISERROR(SEARCH("Rojo",L16)))</formula>
    </cfRule>
  </conditionalFormatting>
  <conditionalFormatting sqref="L16:L17">
    <cfRule type="containsText" dxfId="787" priority="702" operator="containsText" text="Naranja">
      <formula>NOT(ISERROR(SEARCH("Naranja",L16)))</formula>
    </cfRule>
  </conditionalFormatting>
  <conditionalFormatting sqref="L16:L17">
    <cfRule type="containsText" dxfId="786" priority="701" operator="containsText" text="Verde">
      <formula>NOT(ISERROR(SEARCH("Verde",L16)))</formula>
    </cfRule>
  </conditionalFormatting>
  <conditionalFormatting sqref="L16:L17">
    <cfRule type="containsText" dxfId="785" priority="700" operator="containsText" text="Rojo">
      <formula>NOT(ISERROR(SEARCH("Rojo",L16)))</formula>
    </cfRule>
  </conditionalFormatting>
  <conditionalFormatting sqref="L18">
    <cfRule type="containsText" dxfId="784" priority="690" operator="containsText" text="Naranja">
      <formula>NOT(ISERROR(SEARCH("Naranja",L18)))</formula>
    </cfRule>
  </conditionalFormatting>
  <conditionalFormatting sqref="L18">
    <cfRule type="containsText" dxfId="783" priority="689" operator="containsText" text="Verde">
      <formula>NOT(ISERROR(SEARCH("Verde",L18)))</formula>
    </cfRule>
  </conditionalFormatting>
  <conditionalFormatting sqref="L18">
    <cfRule type="containsText" dxfId="782" priority="688" operator="containsText" text="Rojo">
      <formula>NOT(ISERROR(SEARCH("Rojo",L18)))</formula>
    </cfRule>
  </conditionalFormatting>
  <conditionalFormatting sqref="L18">
    <cfRule type="containsText" dxfId="781" priority="687" operator="containsText" text="Naranja">
      <formula>NOT(ISERROR(SEARCH("Naranja",L18)))</formula>
    </cfRule>
  </conditionalFormatting>
  <conditionalFormatting sqref="L18">
    <cfRule type="containsText" dxfId="780" priority="686" operator="containsText" text="Verde">
      <formula>NOT(ISERROR(SEARCH("Verde",L18)))</formula>
    </cfRule>
  </conditionalFormatting>
  <conditionalFormatting sqref="L18">
    <cfRule type="containsText" dxfId="779" priority="685" operator="containsText" text="Rojo">
      <formula>NOT(ISERROR(SEARCH("Rojo",L18)))</formula>
    </cfRule>
  </conditionalFormatting>
  <conditionalFormatting sqref="L19:L23">
    <cfRule type="containsText" dxfId="778" priority="663" operator="containsText" text="Naranja">
      <formula>NOT(ISERROR(SEARCH("Naranja",L19)))</formula>
    </cfRule>
  </conditionalFormatting>
  <conditionalFormatting sqref="L19:L23">
    <cfRule type="containsText" dxfId="777" priority="662" operator="containsText" text="Verde">
      <formula>NOT(ISERROR(SEARCH("Verde",L19)))</formula>
    </cfRule>
  </conditionalFormatting>
  <conditionalFormatting sqref="L19:L23">
    <cfRule type="containsText" dxfId="776" priority="661" operator="containsText" text="Rojo">
      <formula>NOT(ISERROR(SEARCH("Rojo",L19)))</formula>
    </cfRule>
  </conditionalFormatting>
  <conditionalFormatting sqref="L19:L23">
    <cfRule type="containsText" dxfId="775" priority="660" operator="containsText" text="Naranja">
      <formula>NOT(ISERROR(SEARCH("Naranja",L19)))</formula>
    </cfRule>
  </conditionalFormatting>
  <conditionalFormatting sqref="L19:L23">
    <cfRule type="containsText" dxfId="774" priority="659" operator="containsText" text="Verde">
      <formula>NOT(ISERROR(SEARCH("Verde",L19)))</formula>
    </cfRule>
  </conditionalFormatting>
  <conditionalFormatting sqref="L19:L23">
    <cfRule type="containsText" dxfId="773" priority="658" operator="containsText" text="Rojo">
      <formula>NOT(ISERROR(SEARCH("Rojo",L19)))</formula>
    </cfRule>
  </conditionalFormatting>
  <conditionalFormatting sqref="L24">
    <cfRule type="containsText" dxfId="772" priority="651" operator="containsText" text="Naranja">
      <formula>NOT(ISERROR(SEARCH("Naranja",L24)))</formula>
    </cfRule>
  </conditionalFormatting>
  <conditionalFormatting sqref="L24">
    <cfRule type="containsText" dxfId="771" priority="650" operator="containsText" text="Verde">
      <formula>NOT(ISERROR(SEARCH("Verde",L24)))</formula>
    </cfRule>
  </conditionalFormatting>
  <conditionalFormatting sqref="L24">
    <cfRule type="containsText" dxfId="770" priority="649" operator="containsText" text="Rojo">
      <formula>NOT(ISERROR(SEARCH("Rojo",L24)))</formula>
    </cfRule>
  </conditionalFormatting>
  <conditionalFormatting sqref="L24">
    <cfRule type="containsText" dxfId="769" priority="648" operator="containsText" text="Naranja">
      <formula>NOT(ISERROR(SEARCH("Naranja",L24)))</formula>
    </cfRule>
  </conditionalFormatting>
  <conditionalFormatting sqref="L24">
    <cfRule type="containsText" dxfId="768" priority="647" operator="containsText" text="Verde">
      <formula>NOT(ISERROR(SEARCH("Verde",L24)))</formula>
    </cfRule>
  </conditionalFormatting>
  <conditionalFormatting sqref="L24">
    <cfRule type="containsText" dxfId="767" priority="646" operator="containsText" text="Rojo">
      <formula>NOT(ISERROR(SEARCH("Rojo",L24)))</formula>
    </cfRule>
  </conditionalFormatting>
  <conditionalFormatting sqref="L43:L44">
    <cfRule type="containsText" dxfId="766" priority="537" operator="containsText" text="Naranja">
      <formula>NOT(ISERROR(SEARCH("Naranja",L43)))</formula>
    </cfRule>
  </conditionalFormatting>
  <conditionalFormatting sqref="L43:L44">
    <cfRule type="containsText" dxfId="765" priority="536" operator="containsText" text="Verde">
      <formula>NOT(ISERROR(SEARCH("Verde",L43)))</formula>
    </cfRule>
  </conditionalFormatting>
  <conditionalFormatting sqref="L43:L44">
    <cfRule type="containsText" dxfId="764" priority="535" operator="containsText" text="Rojo">
      <formula>NOT(ISERROR(SEARCH("Rojo",L43)))</formula>
    </cfRule>
  </conditionalFormatting>
  <conditionalFormatting sqref="L49">
    <cfRule type="containsText" dxfId="763" priority="429" operator="containsText" text="Naranja">
      <formula>NOT(ISERROR(SEARCH("Naranja",L49)))</formula>
    </cfRule>
  </conditionalFormatting>
  <conditionalFormatting sqref="L49">
    <cfRule type="containsText" dxfId="762" priority="428" operator="containsText" text="Verde">
      <formula>NOT(ISERROR(SEARCH("Verde",L49)))</formula>
    </cfRule>
  </conditionalFormatting>
  <conditionalFormatting sqref="L49">
    <cfRule type="containsText" dxfId="761" priority="427" operator="containsText" text="Rojo">
      <formula>NOT(ISERROR(SEARCH("Rojo",L49)))</formula>
    </cfRule>
  </conditionalFormatting>
  <conditionalFormatting sqref="L49">
    <cfRule type="containsText" dxfId="760" priority="447" operator="containsText" text="Naranja">
      <formula>NOT(ISERROR(SEARCH("Naranja",L49)))</formula>
    </cfRule>
  </conditionalFormatting>
  <conditionalFormatting sqref="L49">
    <cfRule type="containsText" dxfId="759" priority="446" operator="containsText" text="Verde">
      <formula>NOT(ISERROR(SEARCH("Verde",L49)))</formula>
    </cfRule>
  </conditionalFormatting>
  <conditionalFormatting sqref="L49">
    <cfRule type="containsText" dxfId="758" priority="445" operator="containsText" text="Rojo">
      <formula>NOT(ISERROR(SEARCH("Rojo",L49)))</formula>
    </cfRule>
  </conditionalFormatting>
  <conditionalFormatting sqref="L49">
    <cfRule type="containsText" dxfId="757" priority="453" operator="containsText" text="Naranja">
      <formula>NOT(ISERROR(SEARCH("Naranja",L49)))</formula>
    </cfRule>
  </conditionalFormatting>
  <conditionalFormatting sqref="L49">
    <cfRule type="containsText" dxfId="756" priority="452" operator="containsText" text="Verde">
      <formula>NOT(ISERROR(SEARCH("Verde",L49)))</formula>
    </cfRule>
  </conditionalFormatting>
  <conditionalFormatting sqref="L49">
    <cfRule type="containsText" dxfId="755" priority="451" operator="containsText" text="Rojo">
      <formula>NOT(ISERROR(SEARCH("Rojo",L49)))</formula>
    </cfRule>
  </conditionalFormatting>
  <conditionalFormatting sqref="L49">
    <cfRule type="containsText" dxfId="754" priority="450" operator="containsText" text="Naranja">
      <formula>NOT(ISERROR(SEARCH("Naranja",L49)))</formula>
    </cfRule>
  </conditionalFormatting>
  <conditionalFormatting sqref="L49">
    <cfRule type="containsText" dxfId="753" priority="449" operator="containsText" text="Verde">
      <formula>NOT(ISERROR(SEARCH("Verde",L49)))</formula>
    </cfRule>
  </conditionalFormatting>
  <conditionalFormatting sqref="L49">
    <cfRule type="containsText" dxfId="752" priority="448" operator="containsText" text="Rojo">
      <formula>NOT(ISERROR(SEARCH("Rojo",L49)))</formula>
    </cfRule>
  </conditionalFormatting>
  <conditionalFormatting sqref="L49">
    <cfRule type="containsText" dxfId="751" priority="438" operator="containsText" text="Naranja">
      <formula>NOT(ISERROR(SEARCH("Naranja",L49)))</formula>
    </cfRule>
  </conditionalFormatting>
  <conditionalFormatting sqref="L49">
    <cfRule type="containsText" dxfId="750" priority="437" operator="containsText" text="Verde">
      <formula>NOT(ISERROR(SEARCH("Verde",L49)))</formula>
    </cfRule>
  </conditionalFormatting>
  <conditionalFormatting sqref="L49">
    <cfRule type="containsText" dxfId="749" priority="436" operator="containsText" text="Rojo">
      <formula>NOT(ISERROR(SEARCH("Rojo",L49)))</formula>
    </cfRule>
  </conditionalFormatting>
  <conditionalFormatting sqref="L49">
    <cfRule type="containsText" dxfId="748" priority="444" operator="containsText" text="Naranja">
      <formula>NOT(ISERROR(SEARCH("Naranja",L49)))</formula>
    </cfRule>
  </conditionalFormatting>
  <conditionalFormatting sqref="L49">
    <cfRule type="containsText" dxfId="747" priority="443" operator="containsText" text="Verde">
      <formula>NOT(ISERROR(SEARCH("Verde",L49)))</formula>
    </cfRule>
  </conditionalFormatting>
  <conditionalFormatting sqref="L49">
    <cfRule type="containsText" dxfId="746" priority="442" operator="containsText" text="Rojo">
      <formula>NOT(ISERROR(SEARCH("Rojo",L49)))</formula>
    </cfRule>
  </conditionalFormatting>
  <conditionalFormatting sqref="L49">
    <cfRule type="containsText" dxfId="745" priority="441" operator="containsText" text="Naranja">
      <formula>NOT(ISERROR(SEARCH("Naranja",L49)))</formula>
    </cfRule>
  </conditionalFormatting>
  <conditionalFormatting sqref="L49">
    <cfRule type="containsText" dxfId="744" priority="440" operator="containsText" text="Verde">
      <formula>NOT(ISERROR(SEARCH("Verde",L49)))</formula>
    </cfRule>
  </conditionalFormatting>
  <conditionalFormatting sqref="L49">
    <cfRule type="containsText" dxfId="743" priority="439" operator="containsText" text="Rojo">
      <formula>NOT(ISERROR(SEARCH("Rojo",L49)))</formula>
    </cfRule>
  </conditionalFormatting>
  <conditionalFormatting sqref="L49">
    <cfRule type="containsText" dxfId="742" priority="435" operator="containsText" text="Naranja">
      <formula>NOT(ISERROR(SEARCH("Naranja",L49)))</formula>
    </cfRule>
  </conditionalFormatting>
  <conditionalFormatting sqref="L49">
    <cfRule type="containsText" dxfId="741" priority="434" operator="containsText" text="Verde">
      <formula>NOT(ISERROR(SEARCH("Verde",L49)))</formula>
    </cfRule>
  </conditionalFormatting>
  <conditionalFormatting sqref="L49">
    <cfRule type="containsText" dxfId="740" priority="433" operator="containsText" text="Rojo">
      <formula>NOT(ISERROR(SEARCH("Rojo",L49)))</formula>
    </cfRule>
  </conditionalFormatting>
  <conditionalFormatting sqref="L49">
    <cfRule type="containsText" dxfId="739" priority="432" operator="containsText" text="Naranja">
      <formula>NOT(ISERROR(SEARCH("Naranja",L49)))</formula>
    </cfRule>
  </conditionalFormatting>
  <conditionalFormatting sqref="L49">
    <cfRule type="containsText" dxfId="738" priority="431" operator="containsText" text="Verde">
      <formula>NOT(ISERROR(SEARCH("Verde",L49)))</formula>
    </cfRule>
  </conditionalFormatting>
  <conditionalFormatting sqref="L49">
    <cfRule type="containsText" dxfId="737" priority="430" operator="containsText" text="Rojo">
      <formula>NOT(ISERROR(SEARCH("Rojo",L49)))</formula>
    </cfRule>
  </conditionalFormatting>
  <conditionalFormatting sqref="L49">
    <cfRule type="containsText" dxfId="736" priority="426" operator="containsText" text="Naranja">
      <formula>NOT(ISERROR(SEARCH("Naranja",L49)))</formula>
    </cfRule>
  </conditionalFormatting>
  <conditionalFormatting sqref="L49">
    <cfRule type="containsText" dxfId="735" priority="425" operator="containsText" text="Verde">
      <formula>NOT(ISERROR(SEARCH("Verde",L49)))</formula>
    </cfRule>
  </conditionalFormatting>
  <conditionalFormatting sqref="L49">
    <cfRule type="containsText" dxfId="734" priority="424" operator="containsText" text="Rojo">
      <formula>NOT(ISERROR(SEARCH("Rojo",L49)))</formula>
    </cfRule>
  </conditionalFormatting>
  <conditionalFormatting sqref="L50">
    <cfRule type="containsText" dxfId="733" priority="375" operator="containsText" text="Naranja">
      <formula>NOT(ISERROR(SEARCH("Naranja",L50)))</formula>
    </cfRule>
  </conditionalFormatting>
  <conditionalFormatting sqref="L50">
    <cfRule type="containsText" dxfId="732" priority="374" operator="containsText" text="Verde">
      <formula>NOT(ISERROR(SEARCH("Verde",L50)))</formula>
    </cfRule>
  </conditionalFormatting>
  <conditionalFormatting sqref="L50">
    <cfRule type="containsText" dxfId="731" priority="373" operator="containsText" text="Rojo">
      <formula>NOT(ISERROR(SEARCH("Rojo",L50)))</formula>
    </cfRule>
  </conditionalFormatting>
  <conditionalFormatting sqref="L50">
    <cfRule type="containsText" dxfId="730" priority="372" operator="containsText" text="Naranja">
      <formula>NOT(ISERROR(SEARCH("Naranja",L50)))</formula>
    </cfRule>
  </conditionalFormatting>
  <conditionalFormatting sqref="L50">
    <cfRule type="containsText" dxfId="729" priority="371" operator="containsText" text="Verde">
      <formula>NOT(ISERROR(SEARCH("Verde",L50)))</formula>
    </cfRule>
  </conditionalFormatting>
  <conditionalFormatting sqref="L50">
    <cfRule type="containsText" dxfId="728" priority="370" operator="containsText" text="Rojo">
      <formula>NOT(ISERROR(SEARCH("Rojo",L50)))</formula>
    </cfRule>
  </conditionalFormatting>
  <conditionalFormatting sqref="L50">
    <cfRule type="containsText" dxfId="727" priority="369" operator="containsText" text="Naranja">
      <formula>NOT(ISERROR(SEARCH("Naranja",L50)))</formula>
    </cfRule>
  </conditionalFormatting>
  <conditionalFormatting sqref="L50">
    <cfRule type="containsText" dxfId="726" priority="368" operator="containsText" text="Verde">
      <formula>NOT(ISERROR(SEARCH("Verde",L50)))</formula>
    </cfRule>
  </conditionalFormatting>
  <conditionalFormatting sqref="L50">
    <cfRule type="containsText" dxfId="725" priority="367" operator="containsText" text="Rojo">
      <formula>NOT(ISERROR(SEARCH("Rojo",L50)))</formula>
    </cfRule>
  </conditionalFormatting>
  <conditionalFormatting sqref="L50">
    <cfRule type="containsText" dxfId="724" priority="366" operator="containsText" text="Naranja">
      <formula>NOT(ISERROR(SEARCH("Naranja",L50)))</formula>
    </cfRule>
  </conditionalFormatting>
  <conditionalFormatting sqref="L50">
    <cfRule type="containsText" dxfId="723" priority="365" operator="containsText" text="Verde">
      <formula>NOT(ISERROR(SEARCH("Verde",L50)))</formula>
    </cfRule>
  </conditionalFormatting>
  <conditionalFormatting sqref="L50">
    <cfRule type="containsText" dxfId="722" priority="364" operator="containsText" text="Rojo">
      <formula>NOT(ISERROR(SEARCH("Rojo",L50)))</formula>
    </cfRule>
  </conditionalFormatting>
  <conditionalFormatting sqref="L50">
    <cfRule type="containsText" dxfId="721" priority="360" operator="containsText" text="Naranja">
      <formula>NOT(ISERROR(SEARCH("Naranja",L50)))</formula>
    </cfRule>
  </conditionalFormatting>
  <conditionalFormatting sqref="L50">
    <cfRule type="containsText" dxfId="720" priority="359" operator="containsText" text="Verde">
      <formula>NOT(ISERROR(SEARCH("Verde",L50)))</formula>
    </cfRule>
  </conditionalFormatting>
  <conditionalFormatting sqref="L50">
    <cfRule type="containsText" dxfId="719" priority="358" operator="containsText" text="Rojo">
      <formula>NOT(ISERROR(SEARCH("Rojo",L50)))</formula>
    </cfRule>
  </conditionalFormatting>
  <conditionalFormatting sqref="L50">
    <cfRule type="containsText" dxfId="718" priority="363" operator="containsText" text="Naranja">
      <formula>NOT(ISERROR(SEARCH("Naranja",L50)))</formula>
    </cfRule>
  </conditionalFormatting>
  <conditionalFormatting sqref="L50">
    <cfRule type="containsText" dxfId="717" priority="362" operator="containsText" text="Verde">
      <formula>NOT(ISERROR(SEARCH("Verde",L50)))</formula>
    </cfRule>
  </conditionalFormatting>
  <conditionalFormatting sqref="L50">
    <cfRule type="containsText" dxfId="716" priority="361" operator="containsText" text="Rojo">
      <formula>NOT(ISERROR(SEARCH("Rojo",L50)))</formula>
    </cfRule>
  </conditionalFormatting>
  <conditionalFormatting sqref="L50">
    <cfRule type="containsText" dxfId="715" priority="357" operator="containsText" text="Naranja">
      <formula>NOT(ISERROR(SEARCH("Naranja",L50)))</formula>
    </cfRule>
  </conditionalFormatting>
  <conditionalFormatting sqref="L50">
    <cfRule type="containsText" dxfId="714" priority="356" operator="containsText" text="Verde">
      <formula>NOT(ISERROR(SEARCH("Verde",L50)))</formula>
    </cfRule>
  </conditionalFormatting>
  <conditionalFormatting sqref="L50">
    <cfRule type="containsText" dxfId="713" priority="355" operator="containsText" text="Rojo">
      <formula>NOT(ISERROR(SEARCH("Rojo",L50)))</formula>
    </cfRule>
  </conditionalFormatting>
  <conditionalFormatting sqref="L50">
    <cfRule type="containsText" dxfId="712" priority="354" operator="containsText" text="Naranja">
      <formula>NOT(ISERROR(SEARCH("Naranja",L50)))</formula>
    </cfRule>
  </conditionalFormatting>
  <conditionalFormatting sqref="L50">
    <cfRule type="containsText" dxfId="711" priority="353" operator="containsText" text="Verde">
      <formula>NOT(ISERROR(SEARCH("Verde",L50)))</formula>
    </cfRule>
  </conditionalFormatting>
  <conditionalFormatting sqref="L50">
    <cfRule type="containsText" dxfId="710" priority="352" operator="containsText" text="Rojo">
      <formula>NOT(ISERROR(SEARCH("Rojo",L50)))</formula>
    </cfRule>
  </conditionalFormatting>
  <conditionalFormatting sqref="L50">
    <cfRule type="containsText" dxfId="709" priority="351" operator="containsText" text="Naranja">
      <formula>NOT(ISERROR(SEARCH("Naranja",L50)))</formula>
    </cfRule>
  </conditionalFormatting>
  <conditionalFormatting sqref="L50">
    <cfRule type="containsText" dxfId="708" priority="350" operator="containsText" text="Verde">
      <formula>NOT(ISERROR(SEARCH("Verde",L50)))</formula>
    </cfRule>
  </conditionalFormatting>
  <conditionalFormatting sqref="L50">
    <cfRule type="containsText" dxfId="707" priority="349" operator="containsText" text="Rojo">
      <formula>NOT(ISERROR(SEARCH("Rojo",L50)))</formula>
    </cfRule>
  </conditionalFormatting>
  <conditionalFormatting sqref="L50">
    <cfRule type="containsText" dxfId="706" priority="348" operator="containsText" text="Naranja">
      <formula>NOT(ISERROR(SEARCH("Naranja",L50)))</formula>
    </cfRule>
  </conditionalFormatting>
  <conditionalFormatting sqref="L50">
    <cfRule type="containsText" dxfId="705" priority="347" operator="containsText" text="Verde">
      <formula>NOT(ISERROR(SEARCH("Verde",L50)))</formula>
    </cfRule>
  </conditionalFormatting>
  <conditionalFormatting sqref="L50">
    <cfRule type="containsText" dxfId="704" priority="346" operator="containsText" text="Rojo">
      <formula>NOT(ISERROR(SEARCH("Rojo",L50)))</formula>
    </cfRule>
  </conditionalFormatting>
  <conditionalFormatting sqref="L46">
    <cfRule type="containsText" dxfId="703" priority="255" operator="containsText" text="Naranja">
      <formula>NOT(ISERROR(SEARCH("Naranja",L46)))</formula>
    </cfRule>
  </conditionalFormatting>
  <conditionalFormatting sqref="L46">
    <cfRule type="containsText" dxfId="702" priority="254" operator="containsText" text="Verde">
      <formula>NOT(ISERROR(SEARCH("Verde",L46)))</formula>
    </cfRule>
  </conditionalFormatting>
  <conditionalFormatting sqref="L46">
    <cfRule type="containsText" dxfId="701" priority="253" operator="containsText" text="Rojo">
      <formula>NOT(ISERROR(SEARCH("Rojo",L46)))</formula>
    </cfRule>
  </conditionalFormatting>
  <conditionalFormatting sqref="L46">
    <cfRule type="containsText" dxfId="700" priority="246" operator="containsText" text="Naranja">
      <formula>NOT(ISERROR(SEARCH("Naranja",L46)))</formula>
    </cfRule>
  </conditionalFormatting>
  <conditionalFormatting sqref="L46">
    <cfRule type="containsText" dxfId="699" priority="245" operator="containsText" text="Verde">
      <formula>NOT(ISERROR(SEARCH("Verde",L46)))</formula>
    </cfRule>
  </conditionalFormatting>
  <conditionalFormatting sqref="L46">
    <cfRule type="containsText" dxfId="698" priority="244" operator="containsText" text="Rojo">
      <formula>NOT(ISERROR(SEARCH("Rojo",L46)))</formula>
    </cfRule>
  </conditionalFormatting>
  <conditionalFormatting sqref="L46">
    <cfRule type="containsText" dxfId="697" priority="252" operator="containsText" text="Naranja">
      <formula>NOT(ISERROR(SEARCH("Naranja",L46)))</formula>
    </cfRule>
  </conditionalFormatting>
  <conditionalFormatting sqref="L46">
    <cfRule type="containsText" dxfId="696" priority="251" operator="containsText" text="Verde">
      <formula>NOT(ISERROR(SEARCH("Verde",L46)))</formula>
    </cfRule>
  </conditionalFormatting>
  <conditionalFormatting sqref="L46">
    <cfRule type="containsText" dxfId="695" priority="250" operator="containsText" text="Rojo">
      <formula>NOT(ISERROR(SEARCH("Rojo",L46)))</formula>
    </cfRule>
  </conditionalFormatting>
  <conditionalFormatting sqref="L46">
    <cfRule type="containsText" dxfId="694" priority="249" operator="containsText" text="Naranja">
      <formula>NOT(ISERROR(SEARCH("Naranja",L46)))</formula>
    </cfRule>
  </conditionalFormatting>
  <conditionalFormatting sqref="L46">
    <cfRule type="containsText" dxfId="693" priority="248" operator="containsText" text="Verde">
      <formula>NOT(ISERROR(SEARCH("Verde",L46)))</formula>
    </cfRule>
  </conditionalFormatting>
  <conditionalFormatting sqref="L46">
    <cfRule type="containsText" dxfId="692" priority="247" operator="containsText" text="Rojo">
      <formula>NOT(ISERROR(SEARCH("Rojo",L46)))</formula>
    </cfRule>
  </conditionalFormatting>
  <conditionalFormatting sqref="L46">
    <cfRule type="containsText" dxfId="691" priority="237" operator="containsText" text="Naranja">
      <formula>NOT(ISERROR(SEARCH("Naranja",L46)))</formula>
    </cfRule>
  </conditionalFormatting>
  <conditionalFormatting sqref="L46">
    <cfRule type="containsText" dxfId="690" priority="236" operator="containsText" text="Verde">
      <formula>NOT(ISERROR(SEARCH("Verde",L46)))</formula>
    </cfRule>
  </conditionalFormatting>
  <conditionalFormatting sqref="L46">
    <cfRule type="containsText" dxfId="689" priority="235" operator="containsText" text="Rojo">
      <formula>NOT(ISERROR(SEARCH("Rojo",L46)))</formula>
    </cfRule>
  </conditionalFormatting>
  <conditionalFormatting sqref="L46">
    <cfRule type="containsText" dxfId="688" priority="243" operator="containsText" text="Naranja">
      <formula>NOT(ISERROR(SEARCH("Naranja",L46)))</formula>
    </cfRule>
  </conditionalFormatting>
  <conditionalFormatting sqref="L46">
    <cfRule type="containsText" dxfId="687" priority="242" operator="containsText" text="Verde">
      <formula>NOT(ISERROR(SEARCH("Verde",L46)))</formula>
    </cfRule>
  </conditionalFormatting>
  <conditionalFormatting sqref="L46">
    <cfRule type="containsText" dxfId="686" priority="241" operator="containsText" text="Rojo">
      <formula>NOT(ISERROR(SEARCH("Rojo",L46)))</formula>
    </cfRule>
  </conditionalFormatting>
  <conditionalFormatting sqref="L46">
    <cfRule type="containsText" dxfId="685" priority="240" operator="containsText" text="Naranja">
      <formula>NOT(ISERROR(SEARCH("Naranja",L46)))</formula>
    </cfRule>
  </conditionalFormatting>
  <conditionalFormatting sqref="L46">
    <cfRule type="containsText" dxfId="684" priority="239" operator="containsText" text="Verde">
      <formula>NOT(ISERROR(SEARCH("Verde",L46)))</formula>
    </cfRule>
  </conditionalFormatting>
  <conditionalFormatting sqref="L46">
    <cfRule type="containsText" dxfId="683" priority="238" operator="containsText" text="Rojo">
      <formula>NOT(ISERROR(SEARCH("Rojo",L46)))</formula>
    </cfRule>
  </conditionalFormatting>
  <conditionalFormatting sqref="L46">
    <cfRule type="containsText" dxfId="682" priority="234" operator="containsText" text="Naranja">
      <formula>NOT(ISERROR(SEARCH("Naranja",L46)))</formula>
    </cfRule>
  </conditionalFormatting>
  <conditionalFormatting sqref="L46">
    <cfRule type="containsText" dxfId="681" priority="233" operator="containsText" text="Verde">
      <formula>NOT(ISERROR(SEARCH("Verde",L46)))</formula>
    </cfRule>
  </conditionalFormatting>
  <conditionalFormatting sqref="L46">
    <cfRule type="containsText" dxfId="680" priority="232" operator="containsText" text="Rojo">
      <formula>NOT(ISERROR(SEARCH("Rojo",L46)))</formula>
    </cfRule>
  </conditionalFormatting>
  <conditionalFormatting sqref="L46">
    <cfRule type="containsText" dxfId="679" priority="231" operator="containsText" text="Naranja">
      <formula>NOT(ISERROR(SEARCH("Naranja",L46)))</formula>
    </cfRule>
  </conditionalFormatting>
  <conditionalFormatting sqref="L46">
    <cfRule type="containsText" dxfId="678" priority="230" operator="containsText" text="Verde">
      <formula>NOT(ISERROR(SEARCH("Verde",L46)))</formula>
    </cfRule>
  </conditionalFormatting>
  <conditionalFormatting sqref="L46">
    <cfRule type="containsText" dxfId="677" priority="229" operator="containsText" text="Rojo">
      <formula>NOT(ISERROR(SEARCH("Rojo",L46)))</formula>
    </cfRule>
  </conditionalFormatting>
  <conditionalFormatting sqref="L46">
    <cfRule type="containsText" dxfId="676" priority="228" operator="containsText" text="Naranja">
      <formula>NOT(ISERROR(SEARCH("Naranja",L46)))</formula>
    </cfRule>
  </conditionalFormatting>
  <conditionalFormatting sqref="L46">
    <cfRule type="containsText" dxfId="675" priority="227" operator="containsText" text="Verde">
      <formula>NOT(ISERROR(SEARCH("Verde",L46)))</formula>
    </cfRule>
  </conditionalFormatting>
  <conditionalFormatting sqref="L46">
    <cfRule type="containsText" dxfId="674" priority="226" operator="containsText" text="Rojo">
      <formula>NOT(ISERROR(SEARCH("Rojo",L46)))</formula>
    </cfRule>
  </conditionalFormatting>
  <conditionalFormatting sqref="L46">
    <cfRule type="containsText" dxfId="673" priority="225" operator="containsText" text="Naranja">
      <formula>NOT(ISERROR(SEARCH("Naranja",L46)))</formula>
    </cfRule>
  </conditionalFormatting>
  <conditionalFormatting sqref="L46">
    <cfRule type="containsText" dxfId="672" priority="224" operator="containsText" text="Verde">
      <formula>NOT(ISERROR(SEARCH("Verde",L46)))</formula>
    </cfRule>
  </conditionalFormatting>
  <conditionalFormatting sqref="L46">
    <cfRule type="containsText" dxfId="671" priority="223" operator="containsText" text="Rojo">
      <formula>NOT(ISERROR(SEARCH("Rojo",L46)))</formula>
    </cfRule>
  </conditionalFormatting>
  <conditionalFormatting sqref="M44">
    <cfRule type="containsText" dxfId="670" priority="177" operator="containsText" text="Naranja">
      <formula>NOT(ISERROR(SEARCH("Naranja",M44)))</formula>
    </cfRule>
  </conditionalFormatting>
  <conditionalFormatting sqref="M44">
    <cfRule type="containsText" dxfId="669" priority="176" operator="containsText" text="Verde">
      <formula>NOT(ISERROR(SEARCH("Verde",M44)))</formula>
    </cfRule>
  </conditionalFormatting>
  <conditionalFormatting sqref="M44">
    <cfRule type="containsText" dxfId="668" priority="175" operator="containsText" text="Rojo">
      <formula>NOT(ISERROR(SEARCH("Rojo",M44)))</formula>
    </cfRule>
  </conditionalFormatting>
  <conditionalFormatting sqref="M15">
    <cfRule type="containsText" dxfId="667" priority="165" operator="containsText" text="Naranja">
      <formula>NOT(ISERROR(SEARCH("Naranja",M15)))</formula>
    </cfRule>
  </conditionalFormatting>
  <conditionalFormatting sqref="M15">
    <cfRule type="containsText" dxfId="666" priority="164" operator="containsText" text="Verde">
      <formula>NOT(ISERROR(SEARCH("Verde",M15)))</formula>
    </cfRule>
  </conditionalFormatting>
  <conditionalFormatting sqref="M15">
    <cfRule type="containsText" dxfId="665" priority="163" operator="containsText" text="Rojo">
      <formula>NOT(ISERROR(SEARCH("Rojo",M15)))</formula>
    </cfRule>
  </conditionalFormatting>
  <conditionalFormatting sqref="L15">
    <cfRule type="containsText" dxfId="664" priority="162" operator="containsText" text="Naranja">
      <formula>NOT(ISERROR(SEARCH("Naranja",L15)))</formula>
    </cfRule>
  </conditionalFormatting>
  <conditionalFormatting sqref="L15">
    <cfRule type="containsText" dxfId="663" priority="161" operator="containsText" text="Verde">
      <formula>NOT(ISERROR(SEARCH("Verde",L15)))</formula>
    </cfRule>
  </conditionalFormatting>
  <conditionalFormatting sqref="L15">
    <cfRule type="containsText" dxfId="662" priority="160" operator="containsText" text="Rojo">
      <formula>NOT(ISERROR(SEARCH("Rojo",L15)))</formula>
    </cfRule>
  </conditionalFormatting>
  <conditionalFormatting sqref="L15">
    <cfRule type="containsText" dxfId="661" priority="159" operator="containsText" text="Naranja">
      <formula>NOT(ISERROR(SEARCH("Naranja",L15)))</formula>
    </cfRule>
  </conditionalFormatting>
  <conditionalFormatting sqref="L15">
    <cfRule type="containsText" dxfId="660" priority="158" operator="containsText" text="Verde">
      <formula>NOT(ISERROR(SEARCH("Verde",L15)))</formula>
    </cfRule>
  </conditionalFormatting>
  <conditionalFormatting sqref="L15">
    <cfRule type="containsText" dxfId="659" priority="157" operator="containsText" text="Rojo">
      <formula>NOT(ISERROR(SEARCH("Rojo",L15)))</formula>
    </cfRule>
  </conditionalFormatting>
  <conditionalFormatting sqref="L15">
    <cfRule type="containsText" dxfId="658" priority="156" operator="containsText" text="Naranja">
      <formula>NOT(ISERROR(SEARCH("Naranja",L15)))</formula>
    </cfRule>
  </conditionalFormatting>
  <conditionalFormatting sqref="L15">
    <cfRule type="containsText" dxfId="657" priority="155" operator="containsText" text="Verde">
      <formula>NOT(ISERROR(SEARCH("Verde",L15)))</formula>
    </cfRule>
  </conditionalFormatting>
  <conditionalFormatting sqref="L15">
    <cfRule type="containsText" dxfId="656" priority="154" operator="containsText" text="Rojo">
      <formula>NOT(ISERROR(SEARCH("Rojo",L15)))</formula>
    </cfRule>
  </conditionalFormatting>
  <conditionalFormatting sqref="L54">
    <cfRule type="containsText" dxfId="655" priority="153" operator="containsText" text="Naranja">
      <formula>NOT(ISERROR(SEARCH("Naranja",L54)))</formula>
    </cfRule>
  </conditionalFormatting>
  <conditionalFormatting sqref="L54">
    <cfRule type="containsText" dxfId="654" priority="152" operator="containsText" text="Verde">
      <formula>NOT(ISERROR(SEARCH("Verde",L54)))</formula>
    </cfRule>
  </conditionalFormatting>
  <conditionalFormatting sqref="L54">
    <cfRule type="containsText" dxfId="653" priority="151" operator="containsText" text="Rojo">
      <formula>NOT(ISERROR(SEARCH("Rojo",L54)))</formula>
    </cfRule>
  </conditionalFormatting>
  <conditionalFormatting sqref="L54">
    <cfRule type="containsText" dxfId="652" priority="150" operator="containsText" text="Naranja">
      <formula>NOT(ISERROR(SEARCH("Naranja",L54)))</formula>
    </cfRule>
  </conditionalFormatting>
  <conditionalFormatting sqref="L54">
    <cfRule type="containsText" dxfId="651" priority="149" operator="containsText" text="Verde">
      <formula>NOT(ISERROR(SEARCH("Verde",L54)))</formula>
    </cfRule>
  </conditionalFormatting>
  <conditionalFormatting sqref="L54">
    <cfRule type="containsText" dxfId="650" priority="148" operator="containsText" text="Rojo">
      <formula>NOT(ISERROR(SEARCH("Rojo",L54)))</formula>
    </cfRule>
  </conditionalFormatting>
  <conditionalFormatting sqref="L26:L28">
    <cfRule type="containsText" dxfId="649" priority="147" operator="containsText" text="Naranja">
      <formula>NOT(ISERROR(SEARCH("Naranja",L26)))</formula>
    </cfRule>
  </conditionalFormatting>
  <conditionalFormatting sqref="L26:L28">
    <cfRule type="containsText" dxfId="648" priority="146" operator="containsText" text="Verde">
      <formula>NOT(ISERROR(SEARCH("Verde",L26)))</formula>
    </cfRule>
  </conditionalFormatting>
  <conditionalFormatting sqref="L26:L28">
    <cfRule type="containsText" dxfId="647" priority="145" operator="containsText" text="Rojo">
      <formula>NOT(ISERROR(SEARCH("Rojo",L26)))</formula>
    </cfRule>
  </conditionalFormatting>
  <conditionalFormatting sqref="L26:L28">
    <cfRule type="containsText" dxfId="646" priority="144" operator="containsText" text="Naranja">
      <formula>NOT(ISERROR(SEARCH("Naranja",L26)))</formula>
    </cfRule>
  </conditionalFormatting>
  <conditionalFormatting sqref="L26:L28">
    <cfRule type="containsText" dxfId="645" priority="143" operator="containsText" text="Verde">
      <formula>NOT(ISERROR(SEARCH("Verde",L26)))</formula>
    </cfRule>
  </conditionalFormatting>
  <conditionalFormatting sqref="L26:L28">
    <cfRule type="containsText" dxfId="644" priority="142" operator="containsText" text="Rojo">
      <formula>NOT(ISERROR(SEARCH("Rojo",L26)))</formula>
    </cfRule>
  </conditionalFormatting>
  <conditionalFormatting sqref="L41">
    <cfRule type="containsText" dxfId="643" priority="129" operator="containsText" text="Naranja">
      <formula>NOT(ISERROR(SEARCH("Naranja",L41)))</formula>
    </cfRule>
  </conditionalFormatting>
  <conditionalFormatting sqref="L41">
    <cfRule type="containsText" dxfId="642" priority="128" operator="containsText" text="Verde">
      <formula>NOT(ISERROR(SEARCH("Verde",L41)))</formula>
    </cfRule>
  </conditionalFormatting>
  <conditionalFormatting sqref="L41">
    <cfRule type="containsText" dxfId="641" priority="127" operator="containsText" text="Rojo">
      <formula>NOT(ISERROR(SEARCH("Rojo",L41)))</formula>
    </cfRule>
  </conditionalFormatting>
  <conditionalFormatting sqref="L41">
    <cfRule type="containsText" dxfId="640" priority="126" operator="containsText" text="Naranja">
      <formula>NOT(ISERROR(SEARCH("Naranja",L41)))</formula>
    </cfRule>
  </conditionalFormatting>
  <conditionalFormatting sqref="L41">
    <cfRule type="containsText" dxfId="639" priority="125" operator="containsText" text="Verde">
      <formula>NOT(ISERROR(SEARCH("Verde",L41)))</formula>
    </cfRule>
  </conditionalFormatting>
  <conditionalFormatting sqref="L41">
    <cfRule type="containsText" dxfId="638" priority="124" operator="containsText" text="Rojo">
      <formula>NOT(ISERROR(SEARCH("Rojo",L41)))</formula>
    </cfRule>
  </conditionalFormatting>
  <conditionalFormatting sqref="L41">
    <cfRule type="containsText" dxfId="637" priority="123" operator="containsText" text="Naranja">
      <formula>NOT(ISERROR(SEARCH("Naranja",L41)))</formula>
    </cfRule>
  </conditionalFormatting>
  <conditionalFormatting sqref="L41">
    <cfRule type="containsText" dxfId="636" priority="122" operator="containsText" text="Verde">
      <formula>NOT(ISERROR(SEARCH("Verde",L41)))</formula>
    </cfRule>
  </conditionalFormatting>
  <conditionalFormatting sqref="L41">
    <cfRule type="containsText" dxfId="635" priority="121" operator="containsText" text="Rojo">
      <formula>NOT(ISERROR(SEARCH("Rojo",L41)))</formula>
    </cfRule>
  </conditionalFormatting>
  <conditionalFormatting sqref="L41">
    <cfRule type="containsText" dxfId="634" priority="120" operator="containsText" text="Naranja">
      <formula>NOT(ISERROR(SEARCH("Naranja",L41)))</formula>
    </cfRule>
  </conditionalFormatting>
  <conditionalFormatting sqref="L41">
    <cfRule type="containsText" dxfId="633" priority="119" operator="containsText" text="Verde">
      <formula>NOT(ISERROR(SEARCH("Verde",L41)))</formula>
    </cfRule>
  </conditionalFormatting>
  <conditionalFormatting sqref="L41">
    <cfRule type="containsText" dxfId="632" priority="118" operator="containsText" text="Rojo">
      <formula>NOT(ISERROR(SEARCH("Rojo",L41)))</formula>
    </cfRule>
  </conditionalFormatting>
  <conditionalFormatting sqref="L44">
    <cfRule type="containsText" dxfId="631" priority="117" operator="containsText" text="Naranja">
      <formula>NOT(ISERROR(SEARCH("Naranja",L44)))</formula>
    </cfRule>
  </conditionalFormatting>
  <conditionalFormatting sqref="L44">
    <cfRule type="containsText" dxfId="630" priority="116" operator="containsText" text="Verde">
      <formula>NOT(ISERROR(SEARCH("Verde",L44)))</formula>
    </cfRule>
  </conditionalFormatting>
  <conditionalFormatting sqref="L44">
    <cfRule type="containsText" dxfId="629" priority="115" operator="containsText" text="Rojo">
      <formula>NOT(ISERROR(SEARCH("Rojo",L44)))</formula>
    </cfRule>
  </conditionalFormatting>
  <conditionalFormatting sqref="L44">
    <cfRule type="containsText" dxfId="628" priority="114" operator="containsText" text="Naranja">
      <formula>NOT(ISERROR(SEARCH("Naranja",L44)))</formula>
    </cfRule>
  </conditionalFormatting>
  <conditionalFormatting sqref="L44">
    <cfRule type="containsText" dxfId="627" priority="113" operator="containsText" text="Verde">
      <formula>NOT(ISERROR(SEARCH("Verde",L44)))</formula>
    </cfRule>
  </conditionalFormatting>
  <conditionalFormatting sqref="L44">
    <cfRule type="containsText" dxfId="626" priority="112" operator="containsText" text="Rojo">
      <formula>NOT(ISERROR(SEARCH("Rojo",L44)))</formula>
    </cfRule>
  </conditionalFormatting>
  <conditionalFormatting sqref="L44">
    <cfRule type="containsText" dxfId="625" priority="111" operator="containsText" text="Naranja">
      <formula>NOT(ISERROR(SEARCH("Naranja",L44)))</formula>
    </cfRule>
  </conditionalFormatting>
  <conditionalFormatting sqref="L44">
    <cfRule type="containsText" dxfId="624" priority="110" operator="containsText" text="Verde">
      <formula>NOT(ISERROR(SEARCH("Verde",L44)))</formula>
    </cfRule>
  </conditionalFormatting>
  <conditionalFormatting sqref="L44">
    <cfRule type="containsText" dxfId="623" priority="109" operator="containsText" text="Rojo">
      <formula>NOT(ISERROR(SEARCH("Rojo",L44)))</formula>
    </cfRule>
  </conditionalFormatting>
  <conditionalFormatting sqref="L23">
    <cfRule type="containsText" dxfId="622" priority="108" operator="containsText" text="Naranja">
      <formula>NOT(ISERROR(SEARCH("Naranja",L23)))</formula>
    </cfRule>
  </conditionalFormatting>
  <conditionalFormatting sqref="L23">
    <cfRule type="containsText" dxfId="621" priority="107" operator="containsText" text="Verde">
      <formula>NOT(ISERROR(SEARCH("Verde",L23)))</formula>
    </cfRule>
  </conditionalFormatting>
  <conditionalFormatting sqref="L23">
    <cfRule type="containsText" dxfId="620" priority="106" operator="containsText" text="Rojo">
      <formula>NOT(ISERROR(SEARCH("Rojo",L23)))</formula>
    </cfRule>
  </conditionalFormatting>
  <conditionalFormatting sqref="L23">
    <cfRule type="containsText" dxfId="619" priority="105" operator="containsText" text="Naranja">
      <formula>NOT(ISERROR(SEARCH("Naranja",L23)))</formula>
    </cfRule>
  </conditionalFormatting>
  <conditionalFormatting sqref="L23">
    <cfRule type="containsText" dxfId="618" priority="104" operator="containsText" text="Verde">
      <formula>NOT(ISERROR(SEARCH("Verde",L23)))</formula>
    </cfRule>
  </conditionalFormatting>
  <conditionalFormatting sqref="L23">
    <cfRule type="containsText" dxfId="617" priority="103" operator="containsText" text="Rojo">
      <formula>NOT(ISERROR(SEARCH("Rojo",L23)))</formula>
    </cfRule>
  </conditionalFormatting>
  <conditionalFormatting sqref="L23">
    <cfRule type="containsText" dxfId="616" priority="102" operator="containsText" text="Naranja">
      <formula>NOT(ISERROR(SEARCH("Naranja",L23)))</formula>
    </cfRule>
  </conditionalFormatting>
  <conditionalFormatting sqref="L23">
    <cfRule type="containsText" dxfId="615" priority="101" operator="containsText" text="Verde">
      <formula>NOT(ISERROR(SEARCH("Verde",L23)))</formula>
    </cfRule>
  </conditionalFormatting>
  <conditionalFormatting sqref="L23">
    <cfRule type="containsText" dxfId="614" priority="100" operator="containsText" text="Rojo">
      <formula>NOT(ISERROR(SEARCH("Rojo",L23)))</formula>
    </cfRule>
  </conditionalFormatting>
  <conditionalFormatting sqref="L45">
    <cfRule type="containsText" dxfId="613" priority="87" operator="containsText" text="Naranja">
      <formula>NOT(ISERROR(SEARCH("Naranja",L45)))</formula>
    </cfRule>
  </conditionalFormatting>
  <conditionalFormatting sqref="L45">
    <cfRule type="containsText" dxfId="612" priority="86" operator="containsText" text="Verde">
      <formula>NOT(ISERROR(SEARCH("Verde",L45)))</formula>
    </cfRule>
  </conditionalFormatting>
  <conditionalFormatting sqref="L45">
    <cfRule type="containsText" dxfId="611" priority="85" operator="containsText" text="Rojo">
      <formula>NOT(ISERROR(SEARCH("Rojo",L45)))</formula>
    </cfRule>
  </conditionalFormatting>
  <conditionalFormatting sqref="L45">
    <cfRule type="containsText" dxfId="610" priority="84" operator="containsText" text="Naranja">
      <formula>NOT(ISERROR(SEARCH("Naranja",L45)))</formula>
    </cfRule>
  </conditionalFormatting>
  <conditionalFormatting sqref="L45">
    <cfRule type="containsText" dxfId="609" priority="83" operator="containsText" text="Verde">
      <formula>NOT(ISERROR(SEARCH("Verde",L45)))</formula>
    </cfRule>
  </conditionalFormatting>
  <conditionalFormatting sqref="L45">
    <cfRule type="containsText" dxfId="608" priority="82" operator="containsText" text="Rojo">
      <formula>NOT(ISERROR(SEARCH("Rojo",L45)))</formula>
    </cfRule>
  </conditionalFormatting>
  <conditionalFormatting sqref="L45">
    <cfRule type="containsText" dxfId="607" priority="81" operator="containsText" text="Naranja">
      <formula>NOT(ISERROR(SEARCH("Naranja",L45)))</formula>
    </cfRule>
  </conditionalFormatting>
  <conditionalFormatting sqref="L45">
    <cfRule type="containsText" dxfId="606" priority="80" operator="containsText" text="Verde">
      <formula>NOT(ISERROR(SEARCH("Verde",L45)))</formula>
    </cfRule>
  </conditionalFormatting>
  <conditionalFormatting sqref="L45">
    <cfRule type="containsText" dxfId="605" priority="79" operator="containsText" text="Rojo">
      <formula>NOT(ISERROR(SEARCH("Rojo",L45)))</formula>
    </cfRule>
  </conditionalFormatting>
  <conditionalFormatting sqref="L45">
    <cfRule type="containsText" dxfId="604" priority="78" operator="containsText" text="Naranja">
      <formula>NOT(ISERROR(SEARCH("Naranja",L45)))</formula>
    </cfRule>
  </conditionalFormatting>
  <conditionalFormatting sqref="L45">
    <cfRule type="containsText" dxfId="603" priority="77" operator="containsText" text="Verde">
      <formula>NOT(ISERROR(SEARCH("Verde",L45)))</formula>
    </cfRule>
  </conditionalFormatting>
  <conditionalFormatting sqref="L45">
    <cfRule type="containsText" dxfId="602" priority="76" operator="containsText" text="Rojo">
      <formula>NOT(ISERROR(SEARCH("Rojo",L45)))</formula>
    </cfRule>
  </conditionalFormatting>
  <conditionalFormatting sqref="L45">
    <cfRule type="containsText" dxfId="601" priority="75" operator="containsText" text="Naranja">
      <formula>NOT(ISERROR(SEARCH("Naranja",L45)))</formula>
    </cfRule>
  </conditionalFormatting>
  <conditionalFormatting sqref="L45">
    <cfRule type="containsText" dxfId="600" priority="74" operator="containsText" text="Verde">
      <formula>NOT(ISERROR(SEARCH("Verde",L45)))</formula>
    </cfRule>
  </conditionalFormatting>
  <conditionalFormatting sqref="L45">
    <cfRule type="containsText" dxfId="599" priority="73" operator="containsText" text="Rojo">
      <formula>NOT(ISERROR(SEARCH("Rojo",L45)))</formula>
    </cfRule>
  </conditionalFormatting>
  <conditionalFormatting sqref="L45">
    <cfRule type="containsText" dxfId="598" priority="72" operator="containsText" text="Naranja">
      <formula>NOT(ISERROR(SEARCH("Naranja",L45)))</formula>
    </cfRule>
  </conditionalFormatting>
  <conditionalFormatting sqref="L45">
    <cfRule type="containsText" dxfId="597" priority="71" operator="containsText" text="Verde">
      <formula>NOT(ISERROR(SEARCH("Verde",L45)))</formula>
    </cfRule>
  </conditionalFormatting>
  <conditionalFormatting sqref="L45">
    <cfRule type="containsText" dxfId="596" priority="70" operator="containsText" text="Rojo">
      <formula>NOT(ISERROR(SEARCH("Rojo",L45)))</formula>
    </cfRule>
  </conditionalFormatting>
  <conditionalFormatting sqref="L45">
    <cfRule type="containsText" dxfId="595" priority="69" operator="containsText" text="Naranja">
      <formula>NOT(ISERROR(SEARCH("Naranja",L45)))</formula>
    </cfRule>
  </conditionalFormatting>
  <conditionalFormatting sqref="L45">
    <cfRule type="containsText" dxfId="594" priority="68" operator="containsText" text="Verde">
      <formula>NOT(ISERROR(SEARCH("Verde",L45)))</formula>
    </cfRule>
  </conditionalFormatting>
  <conditionalFormatting sqref="L45">
    <cfRule type="containsText" dxfId="593" priority="67" operator="containsText" text="Rojo">
      <formula>NOT(ISERROR(SEARCH("Rojo",L45)))</formula>
    </cfRule>
  </conditionalFormatting>
  <conditionalFormatting sqref="L45">
    <cfRule type="containsText" dxfId="592" priority="66" operator="containsText" text="Naranja">
      <formula>NOT(ISERROR(SEARCH("Naranja",L45)))</formula>
    </cfRule>
  </conditionalFormatting>
  <conditionalFormatting sqref="L45">
    <cfRule type="containsText" dxfId="591" priority="65" operator="containsText" text="Verde">
      <formula>NOT(ISERROR(SEARCH("Verde",L45)))</formula>
    </cfRule>
  </conditionalFormatting>
  <conditionalFormatting sqref="L45">
    <cfRule type="containsText" dxfId="590" priority="64" operator="containsText" text="Rojo">
      <formula>NOT(ISERROR(SEARCH("Rojo",L45)))</formula>
    </cfRule>
  </conditionalFormatting>
  <conditionalFormatting sqref="L40">
    <cfRule type="containsText" dxfId="589" priority="63" operator="containsText" text="Naranja">
      <formula>NOT(ISERROR(SEARCH("Naranja",L40)))</formula>
    </cfRule>
  </conditionalFormatting>
  <conditionalFormatting sqref="L40">
    <cfRule type="containsText" dxfId="588" priority="62" operator="containsText" text="Verde">
      <formula>NOT(ISERROR(SEARCH("Verde",L40)))</formula>
    </cfRule>
  </conditionalFormatting>
  <conditionalFormatting sqref="L40">
    <cfRule type="containsText" dxfId="587" priority="61" operator="containsText" text="Rojo">
      <formula>NOT(ISERROR(SEARCH("Rojo",L40)))</formula>
    </cfRule>
  </conditionalFormatting>
  <conditionalFormatting sqref="L40">
    <cfRule type="containsText" dxfId="586" priority="54" operator="containsText" text="Naranja">
      <formula>NOT(ISERROR(SEARCH("Naranja",L40)))</formula>
    </cfRule>
  </conditionalFormatting>
  <conditionalFormatting sqref="L40">
    <cfRule type="containsText" dxfId="585" priority="53" operator="containsText" text="Verde">
      <formula>NOT(ISERROR(SEARCH("Verde",L40)))</formula>
    </cfRule>
  </conditionalFormatting>
  <conditionalFormatting sqref="L40">
    <cfRule type="containsText" dxfId="584" priority="52" operator="containsText" text="Rojo">
      <formula>NOT(ISERROR(SEARCH("Rojo",L40)))</formula>
    </cfRule>
  </conditionalFormatting>
  <conditionalFormatting sqref="L40">
    <cfRule type="containsText" dxfId="583" priority="60" operator="containsText" text="Naranja">
      <formula>NOT(ISERROR(SEARCH("Naranja",L40)))</formula>
    </cfRule>
  </conditionalFormatting>
  <conditionalFormatting sqref="L40">
    <cfRule type="containsText" dxfId="582" priority="59" operator="containsText" text="Verde">
      <formula>NOT(ISERROR(SEARCH("Verde",L40)))</formula>
    </cfRule>
  </conditionalFormatting>
  <conditionalFormatting sqref="L40">
    <cfRule type="containsText" dxfId="581" priority="58" operator="containsText" text="Rojo">
      <formula>NOT(ISERROR(SEARCH("Rojo",L40)))</formula>
    </cfRule>
  </conditionalFormatting>
  <conditionalFormatting sqref="L40">
    <cfRule type="containsText" dxfId="580" priority="57" operator="containsText" text="Naranja">
      <formula>NOT(ISERROR(SEARCH("Naranja",L40)))</formula>
    </cfRule>
  </conditionalFormatting>
  <conditionalFormatting sqref="L40">
    <cfRule type="containsText" dxfId="579" priority="56" operator="containsText" text="Verde">
      <formula>NOT(ISERROR(SEARCH("Verde",L40)))</formula>
    </cfRule>
  </conditionalFormatting>
  <conditionalFormatting sqref="L40">
    <cfRule type="containsText" dxfId="578" priority="55" operator="containsText" text="Rojo">
      <formula>NOT(ISERROR(SEARCH("Rojo",L40)))</formula>
    </cfRule>
  </conditionalFormatting>
  <conditionalFormatting sqref="L40">
    <cfRule type="containsText" dxfId="577" priority="45" operator="containsText" text="Naranja">
      <formula>NOT(ISERROR(SEARCH("Naranja",L40)))</formula>
    </cfRule>
  </conditionalFormatting>
  <conditionalFormatting sqref="L40">
    <cfRule type="containsText" dxfId="576" priority="44" operator="containsText" text="Verde">
      <formula>NOT(ISERROR(SEARCH("Verde",L40)))</formula>
    </cfRule>
  </conditionalFormatting>
  <conditionalFormatting sqref="L40">
    <cfRule type="containsText" dxfId="575" priority="43" operator="containsText" text="Rojo">
      <formula>NOT(ISERROR(SEARCH("Rojo",L40)))</formula>
    </cfRule>
  </conditionalFormatting>
  <conditionalFormatting sqref="L40">
    <cfRule type="containsText" dxfId="574" priority="51" operator="containsText" text="Naranja">
      <formula>NOT(ISERROR(SEARCH("Naranja",L40)))</formula>
    </cfRule>
  </conditionalFormatting>
  <conditionalFormatting sqref="L40">
    <cfRule type="containsText" dxfId="573" priority="50" operator="containsText" text="Verde">
      <formula>NOT(ISERROR(SEARCH("Verde",L40)))</formula>
    </cfRule>
  </conditionalFormatting>
  <conditionalFormatting sqref="L40">
    <cfRule type="containsText" dxfId="572" priority="49" operator="containsText" text="Rojo">
      <formula>NOT(ISERROR(SEARCH("Rojo",L40)))</formula>
    </cfRule>
  </conditionalFormatting>
  <conditionalFormatting sqref="L40">
    <cfRule type="containsText" dxfId="571" priority="48" operator="containsText" text="Naranja">
      <formula>NOT(ISERROR(SEARCH("Naranja",L40)))</formula>
    </cfRule>
  </conditionalFormatting>
  <conditionalFormatting sqref="L40">
    <cfRule type="containsText" dxfId="570" priority="47" operator="containsText" text="Verde">
      <formula>NOT(ISERROR(SEARCH("Verde",L40)))</formula>
    </cfRule>
  </conditionalFormatting>
  <conditionalFormatting sqref="L40">
    <cfRule type="containsText" dxfId="569" priority="46" operator="containsText" text="Rojo">
      <formula>NOT(ISERROR(SEARCH("Rojo",L40)))</formula>
    </cfRule>
  </conditionalFormatting>
  <conditionalFormatting sqref="L40">
    <cfRule type="containsText" dxfId="568" priority="42" operator="containsText" text="Naranja">
      <formula>NOT(ISERROR(SEARCH("Naranja",L40)))</formula>
    </cfRule>
  </conditionalFormatting>
  <conditionalFormatting sqref="L40">
    <cfRule type="containsText" dxfId="567" priority="41" operator="containsText" text="Verde">
      <formula>NOT(ISERROR(SEARCH("Verde",L40)))</formula>
    </cfRule>
  </conditionalFormatting>
  <conditionalFormatting sqref="L40">
    <cfRule type="containsText" dxfId="566" priority="40" operator="containsText" text="Rojo">
      <formula>NOT(ISERROR(SEARCH("Rojo",L40)))</formula>
    </cfRule>
  </conditionalFormatting>
  <conditionalFormatting sqref="L40">
    <cfRule type="containsText" dxfId="565" priority="39" operator="containsText" text="Naranja">
      <formula>NOT(ISERROR(SEARCH("Naranja",L40)))</formula>
    </cfRule>
  </conditionalFormatting>
  <conditionalFormatting sqref="L40">
    <cfRule type="containsText" dxfId="564" priority="38" operator="containsText" text="Verde">
      <formula>NOT(ISERROR(SEARCH("Verde",L40)))</formula>
    </cfRule>
  </conditionalFormatting>
  <conditionalFormatting sqref="L40">
    <cfRule type="containsText" dxfId="563" priority="37" operator="containsText" text="Rojo">
      <formula>NOT(ISERROR(SEARCH("Rojo",L40)))</formula>
    </cfRule>
  </conditionalFormatting>
  <conditionalFormatting sqref="L40">
    <cfRule type="containsText" dxfId="562" priority="36" operator="containsText" text="Naranja">
      <formula>NOT(ISERROR(SEARCH("Naranja",L40)))</formula>
    </cfRule>
  </conditionalFormatting>
  <conditionalFormatting sqref="L40">
    <cfRule type="containsText" dxfId="561" priority="35" operator="containsText" text="Verde">
      <formula>NOT(ISERROR(SEARCH("Verde",L40)))</formula>
    </cfRule>
  </conditionalFormatting>
  <conditionalFormatting sqref="L40">
    <cfRule type="containsText" dxfId="560" priority="34" operator="containsText" text="Rojo">
      <formula>NOT(ISERROR(SEARCH("Rojo",L40)))</formula>
    </cfRule>
  </conditionalFormatting>
  <conditionalFormatting sqref="L40">
    <cfRule type="containsText" dxfId="559" priority="33" operator="containsText" text="Naranja">
      <formula>NOT(ISERROR(SEARCH("Naranja",L40)))</formula>
    </cfRule>
  </conditionalFormatting>
  <conditionalFormatting sqref="L40">
    <cfRule type="containsText" dxfId="558" priority="32" operator="containsText" text="Verde">
      <formula>NOT(ISERROR(SEARCH("Verde",L40)))</formula>
    </cfRule>
  </conditionalFormatting>
  <conditionalFormatting sqref="L40">
    <cfRule type="containsText" dxfId="557" priority="31" operator="containsText" text="Rojo">
      <formula>NOT(ISERROR(SEARCH("Rojo",L40)))</formula>
    </cfRule>
  </conditionalFormatting>
  <conditionalFormatting sqref="L53">
    <cfRule type="containsText" dxfId="556" priority="30" operator="containsText" text="Naranja">
      <formula>NOT(ISERROR(SEARCH("Naranja",L53)))</formula>
    </cfRule>
  </conditionalFormatting>
  <conditionalFormatting sqref="L53">
    <cfRule type="containsText" dxfId="555" priority="29" operator="containsText" text="Verde">
      <formula>NOT(ISERROR(SEARCH("Verde",L53)))</formula>
    </cfRule>
  </conditionalFormatting>
  <conditionalFormatting sqref="L53">
    <cfRule type="containsText" dxfId="554" priority="28" operator="containsText" text="Rojo">
      <formula>NOT(ISERROR(SEARCH("Rojo",L53)))</formula>
    </cfRule>
  </conditionalFormatting>
  <conditionalFormatting sqref="L53">
    <cfRule type="containsText" dxfId="553" priority="27" operator="containsText" text="Naranja">
      <formula>NOT(ISERROR(SEARCH("Naranja",L53)))</formula>
    </cfRule>
  </conditionalFormatting>
  <conditionalFormatting sqref="L53">
    <cfRule type="containsText" dxfId="552" priority="26" operator="containsText" text="Verde">
      <formula>NOT(ISERROR(SEARCH("Verde",L53)))</formula>
    </cfRule>
  </conditionalFormatting>
  <conditionalFormatting sqref="L53">
    <cfRule type="containsText" dxfId="551" priority="25" operator="containsText" text="Rojo">
      <formula>NOT(ISERROR(SEARCH("Rojo",L53)))</formula>
    </cfRule>
  </conditionalFormatting>
  <conditionalFormatting sqref="L53">
    <cfRule type="containsText" dxfId="550" priority="24" operator="containsText" text="Naranja">
      <formula>NOT(ISERROR(SEARCH("Naranja",L53)))</formula>
    </cfRule>
  </conditionalFormatting>
  <conditionalFormatting sqref="L53">
    <cfRule type="containsText" dxfId="549" priority="23" operator="containsText" text="Verde">
      <formula>NOT(ISERROR(SEARCH("Verde",L53)))</formula>
    </cfRule>
  </conditionalFormatting>
  <conditionalFormatting sqref="L53">
    <cfRule type="containsText" dxfId="548" priority="22" operator="containsText" text="Rojo">
      <formula>NOT(ISERROR(SEARCH("Rojo",L53)))</formula>
    </cfRule>
  </conditionalFormatting>
  <conditionalFormatting sqref="L53">
    <cfRule type="containsText" dxfId="547" priority="21" operator="containsText" text="Naranja">
      <formula>NOT(ISERROR(SEARCH("Naranja",L53)))</formula>
    </cfRule>
  </conditionalFormatting>
  <conditionalFormatting sqref="L53">
    <cfRule type="containsText" dxfId="546" priority="20" operator="containsText" text="Verde">
      <formula>NOT(ISERROR(SEARCH("Verde",L53)))</formula>
    </cfRule>
  </conditionalFormatting>
  <conditionalFormatting sqref="L53">
    <cfRule type="containsText" dxfId="545" priority="19" operator="containsText" text="Rojo">
      <formula>NOT(ISERROR(SEARCH("Rojo",L53)))</formula>
    </cfRule>
  </conditionalFormatting>
  <conditionalFormatting sqref="L53">
    <cfRule type="containsText" dxfId="544" priority="15" operator="containsText" text="Naranja">
      <formula>NOT(ISERROR(SEARCH("Naranja",L53)))</formula>
    </cfRule>
  </conditionalFormatting>
  <conditionalFormatting sqref="L53">
    <cfRule type="containsText" dxfId="543" priority="14" operator="containsText" text="Verde">
      <formula>NOT(ISERROR(SEARCH("Verde",L53)))</formula>
    </cfRule>
  </conditionalFormatting>
  <conditionalFormatting sqref="L53">
    <cfRule type="containsText" dxfId="542" priority="13" operator="containsText" text="Rojo">
      <formula>NOT(ISERROR(SEARCH("Rojo",L53)))</formula>
    </cfRule>
  </conditionalFormatting>
  <conditionalFormatting sqref="L53">
    <cfRule type="containsText" dxfId="541" priority="18" operator="containsText" text="Naranja">
      <formula>NOT(ISERROR(SEARCH("Naranja",L53)))</formula>
    </cfRule>
  </conditionalFormatting>
  <conditionalFormatting sqref="L53">
    <cfRule type="containsText" dxfId="540" priority="17" operator="containsText" text="Verde">
      <formula>NOT(ISERROR(SEARCH("Verde",L53)))</formula>
    </cfRule>
  </conditionalFormatting>
  <conditionalFormatting sqref="L53">
    <cfRule type="containsText" dxfId="539" priority="16" operator="containsText" text="Rojo">
      <formula>NOT(ISERROR(SEARCH("Rojo",L53)))</formula>
    </cfRule>
  </conditionalFormatting>
  <conditionalFormatting sqref="L53">
    <cfRule type="containsText" dxfId="538" priority="12" operator="containsText" text="Naranja">
      <formula>NOT(ISERROR(SEARCH("Naranja",L53)))</formula>
    </cfRule>
  </conditionalFormatting>
  <conditionalFormatting sqref="L53">
    <cfRule type="containsText" dxfId="537" priority="11" operator="containsText" text="Verde">
      <formula>NOT(ISERROR(SEARCH("Verde",L53)))</formula>
    </cfRule>
  </conditionalFormatting>
  <conditionalFormatting sqref="L53">
    <cfRule type="containsText" dxfId="536" priority="10" operator="containsText" text="Rojo">
      <formula>NOT(ISERROR(SEARCH("Rojo",L53)))</formula>
    </cfRule>
  </conditionalFormatting>
  <conditionalFormatting sqref="L53">
    <cfRule type="containsText" dxfId="535" priority="9" operator="containsText" text="Naranja">
      <formula>NOT(ISERROR(SEARCH("Naranja",L53)))</formula>
    </cfRule>
  </conditionalFormatting>
  <conditionalFormatting sqref="L53">
    <cfRule type="containsText" dxfId="534" priority="8" operator="containsText" text="Verde">
      <formula>NOT(ISERROR(SEARCH("Verde",L53)))</formula>
    </cfRule>
  </conditionalFormatting>
  <conditionalFormatting sqref="L53">
    <cfRule type="containsText" dxfId="533" priority="7" operator="containsText" text="Rojo">
      <formula>NOT(ISERROR(SEARCH("Rojo",L53)))</formula>
    </cfRule>
  </conditionalFormatting>
  <conditionalFormatting sqref="L53">
    <cfRule type="containsText" dxfId="532" priority="6" operator="containsText" text="Naranja">
      <formula>NOT(ISERROR(SEARCH("Naranja",L53)))</formula>
    </cfRule>
  </conditionalFormatting>
  <conditionalFormatting sqref="L53">
    <cfRule type="containsText" dxfId="531" priority="5" operator="containsText" text="Verde">
      <formula>NOT(ISERROR(SEARCH("Verde",L53)))</formula>
    </cfRule>
  </conditionalFormatting>
  <conditionalFormatting sqref="L53">
    <cfRule type="containsText" dxfId="530" priority="4" operator="containsText" text="Rojo">
      <formula>NOT(ISERROR(SEARCH("Rojo",L53)))</formula>
    </cfRule>
  </conditionalFormatting>
  <conditionalFormatting sqref="L53">
    <cfRule type="containsText" dxfId="529" priority="3" operator="containsText" text="Naranja">
      <formula>NOT(ISERROR(SEARCH("Naranja",L53)))</formula>
    </cfRule>
  </conditionalFormatting>
  <conditionalFormatting sqref="L53">
    <cfRule type="containsText" dxfId="528" priority="2" operator="containsText" text="Verde">
      <formula>NOT(ISERROR(SEARCH("Verde",L53)))</formula>
    </cfRule>
  </conditionalFormatting>
  <conditionalFormatting sqref="L53">
    <cfRule type="containsText" dxfId="527" priority="1" operator="containsText" text="Rojo">
      <formula>NOT(ISERROR(SEARCH("Rojo",L53)))</formula>
    </cfRule>
  </conditionalFormatting>
  <pageMargins left="0.7" right="0.7" top="0.75" bottom="0.75" header="0.3" footer="0.3"/>
  <pageSetup orientation="portrait" r:id="rId1"/>
  <headerFooter>
    <oddFooter>&amp;R&amp;1#&amp;"Calibri"&amp;22&amp;KFF8939RESTRICTED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ECAB3-6D66-4FA3-91C6-670CB2D4E8D3}">
  <dimension ref="A1:Z81"/>
  <sheetViews>
    <sheetView showGridLines="0" zoomScale="85" zoomScaleNormal="85" workbookViewId="0">
      <pane xSplit="7" ySplit="5" topLeftCell="L6" activePane="bottomRight" state="frozen"/>
      <selection pane="topRight" activeCell="G1" sqref="G1"/>
      <selection pane="bottomLeft" activeCell="A6" sqref="A6"/>
      <selection pane="bottomRight" activeCell="Q14" sqref="Q14"/>
    </sheetView>
  </sheetViews>
  <sheetFormatPr baseColWidth="10" defaultColWidth="8.5703125" defaultRowHeight="15" x14ac:dyDescent="0.25"/>
  <cols>
    <col min="1" max="1" width="1.5703125" customWidth="1"/>
    <col min="2" max="2" width="11.42578125" customWidth="1"/>
    <col min="3" max="3" width="9.5703125" customWidth="1"/>
    <col min="4" max="4" width="10.5703125" customWidth="1"/>
    <col min="5" max="5" width="7.5703125" customWidth="1"/>
    <col min="6" max="6" width="6.5703125" customWidth="1"/>
    <col min="7" max="7" width="13.5703125" customWidth="1"/>
    <col min="8" max="8" width="16.42578125" customWidth="1"/>
    <col min="9" max="9" width="8" customWidth="1"/>
    <col min="10" max="12" width="9.42578125" customWidth="1"/>
    <col min="13" max="13" width="11.5703125" customWidth="1"/>
    <col min="14" max="14" width="9.42578125" customWidth="1"/>
    <col min="15" max="15" width="12.42578125" customWidth="1"/>
    <col min="16" max="16" width="16.42578125" bestFit="1" customWidth="1"/>
    <col min="17" max="17" width="11.42578125" customWidth="1"/>
    <col min="18" max="18" width="11.5703125" customWidth="1"/>
    <col min="19" max="20" width="8.5703125" customWidth="1"/>
    <col min="21" max="21" width="14" customWidth="1"/>
    <col min="22" max="22" width="11.5703125" bestFit="1" customWidth="1"/>
    <col min="23" max="23" width="8.42578125" customWidth="1"/>
    <col min="24" max="24" width="11.42578125" customWidth="1"/>
    <col min="25" max="25" width="13.5703125" customWidth="1"/>
    <col min="26" max="26" width="18.5703125" bestFit="1" customWidth="1"/>
  </cols>
  <sheetData>
    <row r="1" spans="1:26" x14ac:dyDescent="0.25">
      <c r="B1" s="1" t="s">
        <v>0</v>
      </c>
      <c r="C1" s="1" t="s">
        <v>1</v>
      </c>
      <c r="D1" s="1">
        <v>1500</v>
      </c>
      <c r="E1" s="1" t="s">
        <v>2</v>
      </c>
      <c r="F1" s="141" t="s">
        <v>122</v>
      </c>
      <c r="G1" s="154">
        <v>30</v>
      </c>
      <c r="H1" s="154"/>
      <c r="L1" s="2" t="s">
        <v>123</v>
      </c>
    </row>
    <row r="2" spans="1:26" x14ac:dyDescent="0.25">
      <c r="B2" s="1"/>
      <c r="C2" s="1" t="s">
        <v>4</v>
      </c>
      <c r="D2" s="1">
        <v>1500</v>
      </c>
      <c r="E2" s="1" t="s">
        <v>2</v>
      </c>
      <c r="F2" s="141" t="s">
        <v>124</v>
      </c>
      <c r="G2" s="155">
        <v>20</v>
      </c>
      <c r="H2" s="155"/>
      <c r="L2" s="2" t="s">
        <v>6</v>
      </c>
      <c r="P2" s="26"/>
    </row>
    <row r="3" spans="1:26" x14ac:dyDescent="0.25">
      <c r="B3" s="1"/>
      <c r="C3" s="4" t="s">
        <v>7</v>
      </c>
      <c r="D3" s="1">
        <v>10000</v>
      </c>
      <c r="E3" s="1" t="s">
        <v>2</v>
      </c>
      <c r="F3" s="1"/>
      <c r="G3" s="3"/>
      <c r="H3" s="3"/>
      <c r="L3" s="2" t="s">
        <v>8</v>
      </c>
      <c r="P3" s="26"/>
    </row>
    <row r="4" spans="1:26" ht="15.75" thickBot="1" x14ac:dyDescent="0.3">
      <c r="B4" s="1"/>
      <c r="C4" s="1" t="s">
        <v>9</v>
      </c>
      <c r="D4" s="1">
        <v>15000</v>
      </c>
      <c r="E4" s="1" t="s">
        <v>2</v>
      </c>
      <c r="F4" s="1"/>
      <c r="G4" s="3"/>
      <c r="H4" s="3"/>
      <c r="L4" s="2"/>
      <c r="P4" s="46"/>
    </row>
    <row r="5" spans="1:26" ht="36" customHeight="1" thickBot="1" x14ac:dyDescent="0.3">
      <c r="B5" s="5" t="s">
        <v>11</v>
      </c>
      <c r="C5" s="6" t="s">
        <v>12</v>
      </c>
      <c r="D5" s="6" t="s">
        <v>125</v>
      </c>
      <c r="E5" s="6" t="s">
        <v>14</v>
      </c>
      <c r="F5" s="6" t="s">
        <v>15</v>
      </c>
      <c r="G5" s="7" t="s">
        <v>16</v>
      </c>
      <c r="H5" s="7" t="s">
        <v>126</v>
      </c>
      <c r="I5" s="7" t="s">
        <v>17</v>
      </c>
      <c r="J5" s="7" t="s">
        <v>18</v>
      </c>
      <c r="K5" s="7" t="s">
        <v>19</v>
      </c>
      <c r="L5" s="7" t="s">
        <v>20</v>
      </c>
      <c r="M5" s="8" t="s">
        <v>21</v>
      </c>
      <c r="N5" s="27" t="s">
        <v>22</v>
      </c>
      <c r="O5" s="30" t="s">
        <v>23</v>
      </c>
      <c r="P5" s="27" t="s">
        <v>24</v>
      </c>
      <c r="Q5" s="28" t="s">
        <v>25</v>
      </c>
      <c r="R5" s="9" t="s">
        <v>26</v>
      </c>
      <c r="S5" s="10" t="s">
        <v>27</v>
      </c>
      <c r="T5" s="10" t="s">
        <v>28</v>
      </c>
      <c r="U5" s="29" t="s">
        <v>29</v>
      </c>
      <c r="V5" s="31" t="s">
        <v>30</v>
      </c>
      <c r="W5" s="32" t="s">
        <v>31</v>
      </c>
      <c r="X5" s="48" t="s">
        <v>32</v>
      </c>
      <c r="Y5" s="29" t="s">
        <v>33</v>
      </c>
      <c r="Z5" s="52" t="s">
        <v>34</v>
      </c>
    </row>
    <row r="6" spans="1:26" s="17" customFormat="1" ht="14.1" customHeight="1" x14ac:dyDescent="0.25">
      <c r="A6" s="40"/>
      <c r="B6" s="19"/>
      <c r="C6" s="35"/>
      <c r="D6" s="35"/>
      <c r="E6" s="35"/>
      <c r="F6" s="35"/>
      <c r="G6" s="43"/>
      <c r="H6" s="43"/>
      <c r="I6" s="35"/>
      <c r="J6" s="12"/>
      <c r="K6" s="12"/>
      <c r="L6" s="12"/>
      <c r="M6" s="20"/>
      <c r="N6" s="18"/>
      <c r="O6" s="36"/>
      <c r="P6" s="37"/>
      <c r="Q6" s="57"/>
      <c r="R6" s="58"/>
      <c r="S6" s="59"/>
      <c r="T6" s="59"/>
      <c r="U6" s="60"/>
      <c r="V6" s="56"/>
      <c r="W6" s="61"/>
      <c r="X6" s="93"/>
      <c r="Y6" s="62"/>
      <c r="Z6" s="63"/>
    </row>
    <row r="7" spans="1:26" ht="13.5" customHeight="1" x14ac:dyDescent="0.25">
      <c r="A7" s="40"/>
      <c r="B7" s="11" t="s">
        <v>54</v>
      </c>
      <c r="C7" s="35" t="s">
        <v>36</v>
      </c>
      <c r="D7" s="35" t="s">
        <v>127</v>
      </c>
      <c r="E7" s="35">
        <v>2022</v>
      </c>
      <c r="F7" s="35"/>
      <c r="G7" s="47" t="s">
        <v>55</v>
      </c>
      <c r="H7" s="47"/>
      <c r="I7" s="12" t="s">
        <v>39</v>
      </c>
      <c r="J7" s="12" t="s">
        <v>40</v>
      </c>
      <c r="K7" s="12" t="s">
        <v>56</v>
      </c>
      <c r="L7" s="64" t="s">
        <v>57</v>
      </c>
      <c r="M7" s="13" t="s">
        <v>43</v>
      </c>
      <c r="N7" s="18">
        <f>+O7/$D$3+0.5</f>
        <v>3.8332999999999999</v>
      </c>
      <c r="O7" s="36">
        <v>33333</v>
      </c>
      <c r="P7" s="15">
        <v>25000</v>
      </c>
      <c r="Q7" s="73">
        <v>44607</v>
      </c>
      <c r="R7" s="74">
        <f>+Q7+N7</f>
        <v>44610.833299999998</v>
      </c>
      <c r="S7" s="75">
        <v>10</v>
      </c>
      <c r="T7" s="76">
        <v>11</v>
      </c>
      <c r="U7" s="77">
        <f>+R7+$G$1</f>
        <v>44640.833299999998</v>
      </c>
      <c r="V7" s="36"/>
      <c r="W7" s="37"/>
      <c r="X7" s="91">
        <v>286021</v>
      </c>
      <c r="Y7" s="51"/>
      <c r="Z7" s="49"/>
    </row>
    <row r="8" spans="1:26" ht="13.5" customHeight="1" x14ac:dyDescent="0.25">
      <c r="A8" s="40"/>
      <c r="B8" s="11" t="s">
        <v>35</v>
      </c>
      <c r="C8" s="35" t="s">
        <v>36</v>
      </c>
      <c r="D8" s="35" t="s">
        <v>127</v>
      </c>
      <c r="E8" s="35">
        <v>2022</v>
      </c>
      <c r="F8" s="35"/>
      <c r="G8" s="47" t="s">
        <v>65</v>
      </c>
      <c r="H8" s="47"/>
      <c r="I8" s="12" t="s">
        <v>128</v>
      </c>
      <c r="J8" s="12" t="s">
        <v>66</v>
      </c>
      <c r="K8" s="12" t="s">
        <v>41</v>
      </c>
      <c r="L8" s="64" t="s">
        <v>42</v>
      </c>
      <c r="M8" s="13" t="s">
        <v>129</v>
      </c>
      <c r="N8" s="18">
        <f t="shared" ref="N8" si="0">+O8/$D$3+0.5</f>
        <v>14.5</v>
      </c>
      <c r="O8" s="36">
        <v>140000</v>
      </c>
      <c r="P8" s="15">
        <v>140000</v>
      </c>
      <c r="Q8" s="73">
        <f>+R7</f>
        <v>44610.833299999998</v>
      </c>
      <c r="R8" s="74">
        <f>+Q8+N8</f>
        <v>44625.333299999998</v>
      </c>
      <c r="S8" s="75">
        <v>10</v>
      </c>
      <c r="T8" s="76">
        <v>11</v>
      </c>
      <c r="U8" s="77">
        <f>+R8+$G$1</f>
        <v>44655.333299999998</v>
      </c>
      <c r="V8" s="36"/>
      <c r="W8" s="37"/>
      <c r="X8" s="91"/>
      <c r="Y8" s="51"/>
      <c r="Z8" s="49"/>
    </row>
    <row r="9" spans="1:26" ht="13.5" customHeight="1" x14ac:dyDescent="0.25">
      <c r="A9" s="40"/>
      <c r="B9" s="11" t="s">
        <v>35</v>
      </c>
      <c r="C9" s="35" t="s">
        <v>36</v>
      </c>
      <c r="D9" s="35" t="s">
        <v>127</v>
      </c>
      <c r="E9" s="35">
        <v>2022</v>
      </c>
      <c r="F9" s="35"/>
      <c r="G9" s="47" t="s">
        <v>60</v>
      </c>
      <c r="H9" s="47"/>
      <c r="I9" s="12" t="s">
        <v>39</v>
      </c>
      <c r="J9" s="12" t="s">
        <v>61</v>
      </c>
      <c r="K9" s="12" t="s">
        <v>41</v>
      </c>
      <c r="L9" s="64" t="s">
        <v>42</v>
      </c>
      <c r="M9" s="13" t="s">
        <v>43</v>
      </c>
      <c r="N9" s="18">
        <f>+O9/$D$4+0.5</f>
        <v>8.5</v>
      </c>
      <c r="O9" s="36">
        <v>120000</v>
      </c>
      <c r="P9" s="15">
        <v>120000</v>
      </c>
      <c r="Q9" s="73">
        <f t="shared" ref="Q9:Q30" si="1">+R8</f>
        <v>44625.333299999998</v>
      </c>
      <c r="R9" s="74">
        <f t="shared" ref="R9:R19" si="2">+Q9+N9</f>
        <v>44633.833299999998</v>
      </c>
      <c r="S9" s="75">
        <v>10</v>
      </c>
      <c r="T9" s="76">
        <v>11</v>
      </c>
      <c r="U9" s="77">
        <f t="shared" ref="U9:U18" si="3">+R9+$G$1</f>
        <v>44663.833299999998</v>
      </c>
      <c r="V9" s="36"/>
      <c r="W9" s="37"/>
      <c r="X9" s="91"/>
      <c r="Y9" s="51"/>
      <c r="Z9" s="49"/>
    </row>
    <row r="10" spans="1:26" s="17" customFormat="1" ht="14.1" customHeight="1" x14ac:dyDescent="0.25">
      <c r="A10" s="40"/>
      <c r="B10" s="11" t="s">
        <v>35</v>
      </c>
      <c r="C10" s="35" t="s">
        <v>36</v>
      </c>
      <c r="D10" s="35" t="s">
        <v>127</v>
      </c>
      <c r="E10" s="35">
        <v>2022</v>
      </c>
      <c r="F10" s="35"/>
      <c r="G10" s="44" t="s">
        <v>68</v>
      </c>
      <c r="H10" s="44"/>
      <c r="I10" s="12" t="s">
        <v>39</v>
      </c>
      <c r="J10" s="12" t="s">
        <v>66</v>
      </c>
      <c r="K10" s="12" t="s">
        <v>41</v>
      </c>
      <c r="L10" s="64" t="s">
        <v>42</v>
      </c>
      <c r="M10" s="13" t="s">
        <v>129</v>
      </c>
      <c r="N10" s="18">
        <f t="shared" ref="N10:N30" si="4">+O10/$D$4+0.5</f>
        <v>2.5</v>
      </c>
      <c r="O10" s="71">
        <v>30000</v>
      </c>
      <c r="P10" s="72">
        <v>30000</v>
      </c>
      <c r="Q10" s="73">
        <f t="shared" si="1"/>
        <v>44633.833299999998</v>
      </c>
      <c r="R10" s="74">
        <f t="shared" si="2"/>
        <v>44636.333299999998</v>
      </c>
      <c r="S10" s="75">
        <v>10</v>
      </c>
      <c r="T10" s="76">
        <v>11</v>
      </c>
      <c r="U10" s="77">
        <f t="shared" si="3"/>
        <v>44666.333299999998</v>
      </c>
      <c r="V10" s="71"/>
      <c r="W10" s="34"/>
      <c r="X10" s="91"/>
      <c r="Y10" s="78"/>
      <c r="Z10" s="80"/>
    </row>
    <row r="11" spans="1:26" ht="13.5" customHeight="1" x14ac:dyDescent="0.25">
      <c r="A11" s="40"/>
      <c r="B11" s="11" t="s">
        <v>35</v>
      </c>
      <c r="C11" s="35" t="s">
        <v>36</v>
      </c>
      <c r="D11" s="35" t="s">
        <v>127</v>
      </c>
      <c r="E11" s="35">
        <v>2022</v>
      </c>
      <c r="F11" s="35"/>
      <c r="G11" s="47" t="s">
        <v>130</v>
      </c>
      <c r="H11" s="47"/>
      <c r="I11" s="12" t="s">
        <v>39</v>
      </c>
      <c r="J11" s="12" t="s">
        <v>66</v>
      </c>
      <c r="K11" s="12" t="s">
        <v>41</v>
      </c>
      <c r="L11" s="64" t="s">
        <v>42</v>
      </c>
      <c r="M11" s="13" t="s">
        <v>129</v>
      </c>
      <c r="N11" s="18">
        <f t="shared" si="4"/>
        <v>3.8333333333333335</v>
      </c>
      <c r="O11" s="36">
        <v>50000</v>
      </c>
      <c r="P11" s="15">
        <v>50000</v>
      </c>
      <c r="Q11" s="73">
        <f t="shared" si="1"/>
        <v>44636.333299999998</v>
      </c>
      <c r="R11" s="74">
        <f t="shared" si="2"/>
        <v>44640.166633333334</v>
      </c>
      <c r="S11" s="75">
        <v>10</v>
      </c>
      <c r="T11" s="76">
        <v>11</v>
      </c>
      <c r="U11" s="77">
        <f t="shared" si="3"/>
        <v>44670.166633333334</v>
      </c>
      <c r="V11" s="36"/>
      <c r="W11" s="37"/>
      <c r="X11" s="91"/>
      <c r="Y11" s="51"/>
      <c r="Z11" s="49"/>
    </row>
    <row r="12" spans="1:26" s="17" customFormat="1" ht="14.1" customHeight="1" x14ac:dyDescent="0.25">
      <c r="A12" s="40"/>
      <c r="B12" s="11" t="s">
        <v>35</v>
      </c>
      <c r="C12" s="35" t="s">
        <v>36</v>
      </c>
      <c r="D12" s="35" t="s">
        <v>127</v>
      </c>
      <c r="E12" s="35">
        <v>2022</v>
      </c>
      <c r="F12" s="35"/>
      <c r="G12" s="44" t="s">
        <v>73</v>
      </c>
      <c r="H12" s="44" t="s">
        <v>131</v>
      </c>
      <c r="I12" s="12" t="s">
        <v>39</v>
      </c>
      <c r="J12" s="12" t="s">
        <v>40</v>
      </c>
      <c r="K12" s="12" t="s">
        <v>41</v>
      </c>
      <c r="L12" s="64" t="s">
        <v>42</v>
      </c>
      <c r="M12" s="13" t="s">
        <v>43</v>
      </c>
      <c r="N12" s="18">
        <f t="shared" si="4"/>
        <v>23.833333333333332</v>
      </c>
      <c r="O12" s="71">
        <v>350000</v>
      </c>
      <c r="P12" s="72">
        <v>350000</v>
      </c>
      <c r="Q12" s="73">
        <f t="shared" si="1"/>
        <v>44640.166633333334</v>
      </c>
      <c r="R12" s="74">
        <f t="shared" si="2"/>
        <v>44663.99996666667</v>
      </c>
      <c r="S12" s="75">
        <v>10</v>
      </c>
      <c r="T12" s="76">
        <v>11</v>
      </c>
      <c r="U12" s="77">
        <f t="shared" si="3"/>
        <v>44693.99996666667</v>
      </c>
      <c r="V12" s="71"/>
      <c r="W12" s="34"/>
      <c r="X12" s="91"/>
      <c r="Y12" s="78"/>
      <c r="Z12" s="80"/>
    </row>
    <row r="13" spans="1:26" s="17" customFormat="1" ht="14.1" customHeight="1" x14ac:dyDescent="0.25">
      <c r="A13" s="40"/>
      <c r="B13" s="11" t="s">
        <v>35</v>
      </c>
      <c r="C13" s="35" t="s">
        <v>36</v>
      </c>
      <c r="D13" s="35" t="s">
        <v>127</v>
      </c>
      <c r="E13" s="35">
        <v>2022</v>
      </c>
      <c r="F13" s="35"/>
      <c r="G13" s="44" t="s">
        <v>75</v>
      </c>
      <c r="H13" s="44"/>
      <c r="I13" s="12" t="s">
        <v>39</v>
      </c>
      <c r="J13" s="12" t="s">
        <v>40</v>
      </c>
      <c r="K13" s="12" t="s">
        <v>41</v>
      </c>
      <c r="L13" s="64" t="s">
        <v>42</v>
      </c>
      <c r="M13" s="13" t="s">
        <v>43</v>
      </c>
      <c r="N13" s="18">
        <f t="shared" si="4"/>
        <v>7.166666666666667</v>
      </c>
      <c r="O13" s="71">
        <v>100000</v>
      </c>
      <c r="P13" s="72">
        <v>100000</v>
      </c>
      <c r="Q13" s="73">
        <f t="shared" si="1"/>
        <v>44663.99996666667</v>
      </c>
      <c r="R13" s="74">
        <f t="shared" si="2"/>
        <v>44671.166633333334</v>
      </c>
      <c r="S13" s="75">
        <v>10</v>
      </c>
      <c r="T13" s="76">
        <v>11</v>
      </c>
      <c r="U13" s="77">
        <f t="shared" si="3"/>
        <v>44701.166633333334</v>
      </c>
      <c r="V13" s="71"/>
      <c r="W13" s="34"/>
      <c r="X13" s="91"/>
      <c r="Y13" s="78"/>
      <c r="Z13" s="80"/>
    </row>
    <row r="14" spans="1:26" ht="13.5" customHeight="1" x14ac:dyDescent="0.25">
      <c r="A14" s="40"/>
      <c r="B14" s="11" t="s">
        <v>35</v>
      </c>
      <c r="C14" s="35" t="s">
        <v>36</v>
      </c>
      <c r="D14" s="35" t="s">
        <v>127</v>
      </c>
      <c r="E14" s="35">
        <v>2022</v>
      </c>
      <c r="F14" s="35"/>
      <c r="G14" s="47" t="s">
        <v>76</v>
      </c>
      <c r="H14" s="47"/>
      <c r="I14" s="12" t="s">
        <v>39</v>
      </c>
      <c r="J14" s="12" t="s">
        <v>40</v>
      </c>
      <c r="K14" s="12" t="s">
        <v>41</v>
      </c>
      <c r="L14" s="64" t="s">
        <v>42</v>
      </c>
      <c r="M14" s="13" t="s">
        <v>43</v>
      </c>
      <c r="N14" s="18">
        <f t="shared" si="4"/>
        <v>12.5</v>
      </c>
      <c r="O14" s="36">
        <v>180000</v>
      </c>
      <c r="P14" s="15">
        <v>180000</v>
      </c>
      <c r="Q14" s="73">
        <f t="shared" si="1"/>
        <v>44671.166633333334</v>
      </c>
      <c r="R14" s="74">
        <f t="shared" si="2"/>
        <v>44683.666633333334</v>
      </c>
      <c r="S14" s="75">
        <v>10</v>
      </c>
      <c r="T14" s="76">
        <v>11</v>
      </c>
      <c r="U14" s="77">
        <f t="shared" si="3"/>
        <v>44713.666633333334</v>
      </c>
      <c r="V14" s="36"/>
      <c r="W14" s="37"/>
      <c r="X14" s="91"/>
      <c r="Y14" s="51"/>
      <c r="Z14" s="49" t="s">
        <v>132</v>
      </c>
    </row>
    <row r="15" spans="1:26" ht="13.5" customHeight="1" x14ac:dyDescent="0.25">
      <c r="A15" s="40"/>
      <c r="B15" s="11" t="s">
        <v>35</v>
      </c>
      <c r="C15" s="35" t="s">
        <v>36</v>
      </c>
      <c r="D15" s="35" t="s">
        <v>127</v>
      </c>
      <c r="E15" s="35">
        <v>2022</v>
      </c>
      <c r="F15" s="35"/>
      <c r="G15" s="47" t="s">
        <v>133</v>
      </c>
      <c r="H15" s="47"/>
      <c r="I15" s="12" t="s">
        <v>39</v>
      </c>
      <c r="J15" s="12" t="s">
        <v>40</v>
      </c>
      <c r="K15" s="12" t="s">
        <v>41</v>
      </c>
      <c r="L15" s="64" t="s">
        <v>42</v>
      </c>
      <c r="M15" s="13" t="s">
        <v>43</v>
      </c>
      <c r="N15" s="18">
        <f t="shared" si="4"/>
        <v>6.5</v>
      </c>
      <c r="O15" s="36">
        <v>90000</v>
      </c>
      <c r="P15" s="15">
        <v>90000</v>
      </c>
      <c r="Q15" s="73">
        <f t="shared" si="1"/>
        <v>44683.666633333334</v>
      </c>
      <c r="R15" s="74">
        <f t="shared" si="2"/>
        <v>44690.166633333334</v>
      </c>
      <c r="S15" s="75">
        <v>10</v>
      </c>
      <c r="T15" s="76">
        <v>11</v>
      </c>
      <c r="U15" s="77">
        <f t="shared" si="3"/>
        <v>44720.166633333334</v>
      </c>
      <c r="V15" s="36"/>
      <c r="W15" s="37"/>
      <c r="X15" s="91"/>
      <c r="Y15" s="51"/>
      <c r="Z15" s="49"/>
    </row>
    <row r="16" spans="1:26" s="17" customFormat="1" ht="14.1" customHeight="1" x14ac:dyDescent="0.25">
      <c r="A16" s="40"/>
      <c r="B16" s="11" t="s">
        <v>35</v>
      </c>
      <c r="C16" s="35" t="s">
        <v>36</v>
      </c>
      <c r="D16" s="65" t="s">
        <v>127</v>
      </c>
      <c r="E16" s="35">
        <v>2022</v>
      </c>
      <c r="F16" s="35"/>
      <c r="G16" s="44" t="s">
        <v>134</v>
      </c>
      <c r="H16" s="44"/>
      <c r="I16" s="12" t="s">
        <v>39</v>
      </c>
      <c r="J16" s="12" t="s">
        <v>40</v>
      </c>
      <c r="K16" s="12" t="s">
        <v>41</v>
      </c>
      <c r="L16" s="64" t="s">
        <v>42</v>
      </c>
      <c r="M16" s="13" t="s">
        <v>43</v>
      </c>
      <c r="N16" s="18">
        <f t="shared" si="4"/>
        <v>6.5</v>
      </c>
      <c r="O16" s="71">
        <v>90000</v>
      </c>
      <c r="P16" s="72">
        <v>90000</v>
      </c>
      <c r="Q16" s="73">
        <f t="shared" si="1"/>
        <v>44690.166633333334</v>
      </c>
      <c r="R16" s="74">
        <f t="shared" si="2"/>
        <v>44696.666633333334</v>
      </c>
      <c r="S16" s="75">
        <v>10</v>
      </c>
      <c r="T16" s="76">
        <v>11</v>
      </c>
      <c r="U16" s="77">
        <f t="shared" si="3"/>
        <v>44726.666633333334</v>
      </c>
      <c r="V16" s="71"/>
      <c r="W16" s="34"/>
      <c r="X16" s="91"/>
      <c r="Y16" s="78"/>
      <c r="Z16" s="80"/>
    </row>
    <row r="17" spans="1:26" ht="13.5" customHeight="1" x14ac:dyDescent="0.25">
      <c r="A17" s="40"/>
      <c r="B17" s="11" t="s">
        <v>35</v>
      </c>
      <c r="C17" s="35" t="s">
        <v>36</v>
      </c>
      <c r="D17" s="35" t="s">
        <v>127</v>
      </c>
      <c r="E17" s="35">
        <v>2022</v>
      </c>
      <c r="F17" s="35"/>
      <c r="G17" s="47" t="s">
        <v>135</v>
      </c>
      <c r="H17" s="47"/>
      <c r="I17" s="12" t="s">
        <v>39</v>
      </c>
      <c r="J17" s="12" t="s">
        <v>40</v>
      </c>
      <c r="K17" s="12" t="s">
        <v>41</v>
      </c>
      <c r="L17" s="64" t="s">
        <v>42</v>
      </c>
      <c r="M17" s="13" t="s">
        <v>43</v>
      </c>
      <c r="N17" s="18">
        <f t="shared" si="4"/>
        <v>1.1666666666666665</v>
      </c>
      <c r="O17" s="36">
        <v>10000</v>
      </c>
      <c r="P17" s="15">
        <v>10000</v>
      </c>
      <c r="Q17" s="73">
        <f t="shared" si="1"/>
        <v>44696.666633333334</v>
      </c>
      <c r="R17" s="74">
        <f t="shared" si="2"/>
        <v>44697.833299999998</v>
      </c>
      <c r="S17" s="75">
        <v>10</v>
      </c>
      <c r="T17" s="76">
        <v>11</v>
      </c>
      <c r="U17" s="77">
        <f t="shared" si="3"/>
        <v>44727.833299999998</v>
      </c>
      <c r="V17" s="36"/>
      <c r="W17" s="37"/>
      <c r="X17" s="91"/>
      <c r="Y17" s="51"/>
      <c r="Z17" s="49"/>
    </row>
    <row r="18" spans="1:26" s="17" customFormat="1" ht="14.1" customHeight="1" x14ac:dyDescent="0.25">
      <c r="A18" s="40"/>
      <c r="B18" s="11" t="s">
        <v>35</v>
      </c>
      <c r="C18" s="35" t="s">
        <v>36</v>
      </c>
      <c r="D18" s="65" t="s">
        <v>127</v>
      </c>
      <c r="E18" s="35">
        <v>2022</v>
      </c>
      <c r="F18" s="35"/>
      <c r="G18" s="44" t="s">
        <v>113</v>
      </c>
      <c r="H18" s="44"/>
      <c r="I18" s="12" t="s">
        <v>39</v>
      </c>
      <c r="J18" s="12" t="s">
        <v>136</v>
      </c>
      <c r="K18" s="12" t="s">
        <v>41</v>
      </c>
      <c r="L18" s="64" t="s">
        <v>42</v>
      </c>
      <c r="M18" s="211" t="s">
        <v>137</v>
      </c>
      <c r="N18" s="18">
        <f t="shared" si="4"/>
        <v>7.833333333333333</v>
      </c>
      <c r="O18" s="71">
        <v>110000</v>
      </c>
      <c r="P18" s="72">
        <v>110000</v>
      </c>
      <c r="Q18" s="73">
        <f t="shared" si="1"/>
        <v>44697.833299999998</v>
      </c>
      <c r="R18" s="74">
        <f t="shared" si="2"/>
        <v>44705.666633333334</v>
      </c>
      <c r="S18" s="75">
        <v>10</v>
      </c>
      <c r="T18" s="76">
        <v>11</v>
      </c>
      <c r="U18" s="77">
        <f t="shared" si="3"/>
        <v>44735.666633333334</v>
      </c>
      <c r="V18" s="71"/>
      <c r="W18" s="34"/>
      <c r="X18" s="91"/>
      <c r="Y18" s="78"/>
      <c r="Z18" s="80"/>
    </row>
    <row r="19" spans="1:26" ht="13.5" customHeight="1" x14ac:dyDescent="0.25">
      <c r="A19" s="40"/>
      <c r="B19" s="11" t="s">
        <v>35</v>
      </c>
      <c r="C19" s="35" t="s">
        <v>36</v>
      </c>
      <c r="D19" s="65" t="s">
        <v>127</v>
      </c>
      <c r="E19" s="35">
        <v>2022</v>
      </c>
      <c r="F19" s="35"/>
      <c r="G19" s="47" t="s">
        <v>77</v>
      </c>
      <c r="H19" s="47"/>
      <c r="I19" s="12" t="s">
        <v>39</v>
      </c>
      <c r="J19" s="12" t="s">
        <v>136</v>
      </c>
      <c r="K19" s="12" t="s">
        <v>41</v>
      </c>
      <c r="L19" s="64" t="s">
        <v>42</v>
      </c>
      <c r="M19" s="211" t="s">
        <v>137</v>
      </c>
      <c r="N19" s="18">
        <f t="shared" si="4"/>
        <v>4.5</v>
      </c>
      <c r="O19" s="36">
        <v>60000</v>
      </c>
      <c r="P19" s="15">
        <v>60000</v>
      </c>
      <c r="Q19" s="73">
        <f t="shared" si="1"/>
        <v>44705.666633333334</v>
      </c>
      <c r="R19" s="74">
        <f t="shared" si="2"/>
        <v>44710.166633333334</v>
      </c>
      <c r="S19" s="75">
        <v>10</v>
      </c>
      <c r="T19" s="76">
        <v>11</v>
      </c>
      <c r="U19" s="77">
        <f>+R19+$G$2</f>
        <v>44730.166633333334</v>
      </c>
      <c r="V19" s="36"/>
      <c r="W19" s="37"/>
      <c r="X19" s="91"/>
      <c r="Y19" s="51"/>
      <c r="Z19" s="49"/>
    </row>
    <row r="20" spans="1:26" s="17" customFormat="1" ht="14.1" customHeight="1" x14ac:dyDescent="0.25">
      <c r="A20" s="40"/>
      <c r="B20" s="11" t="s">
        <v>35</v>
      </c>
      <c r="C20" s="35" t="s">
        <v>36</v>
      </c>
      <c r="D20" s="65" t="s">
        <v>127</v>
      </c>
      <c r="E20" s="35">
        <v>2022</v>
      </c>
      <c r="F20" s="35"/>
      <c r="G20" s="44" t="s">
        <v>53</v>
      </c>
      <c r="H20" s="44"/>
      <c r="I20" s="12" t="s">
        <v>39</v>
      </c>
      <c r="J20" s="12" t="s">
        <v>136</v>
      </c>
      <c r="K20" s="12" t="s">
        <v>41</v>
      </c>
      <c r="L20" s="64" t="s">
        <v>42</v>
      </c>
      <c r="M20" s="211" t="s">
        <v>137</v>
      </c>
      <c r="N20" s="18">
        <f t="shared" si="4"/>
        <v>15.833333333333334</v>
      </c>
      <c r="O20" s="71">
        <v>230000</v>
      </c>
      <c r="P20" s="72">
        <v>230000</v>
      </c>
      <c r="Q20" s="73">
        <f t="shared" si="1"/>
        <v>44710.166633333334</v>
      </c>
      <c r="R20" s="74">
        <f t="shared" ref="R20:R30" si="5">+Q20+N20</f>
        <v>44725.99996666667</v>
      </c>
      <c r="S20" s="75">
        <v>10</v>
      </c>
      <c r="T20" s="76">
        <v>11</v>
      </c>
      <c r="U20" s="77">
        <f t="shared" ref="U20:U30" si="6">+R20+$G$2</f>
        <v>44745.99996666667</v>
      </c>
      <c r="V20" s="71"/>
      <c r="W20" s="34"/>
      <c r="X20" s="91"/>
      <c r="Y20" s="78"/>
      <c r="Z20" s="80"/>
    </row>
    <row r="21" spans="1:26" ht="13.5" customHeight="1" x14ac:dyDescent="0.25">
      <c r="A21" s="40"/>
      <c r="B21" s="11" t="s">
        <v>35</v>
      </c>
      <c r="C21" s="35" t="s">
        <v>36</v>
      </c>
      <c r="D21" s="65" t="s">
        <v>127</v>
      </c>
      <c r="E21" s="35">
        <v>2022</v>
      </c>
      <c r="F21" s="35"/>
      <c r="G21" s="47" t="s">
        <v>138</v>
      </c>
      <c r="H21" s="47"/>
      <c r="I21" s="12" t="s">
        <v>39</v>
      </c>
      <c r="J21" s="12" t="s">
        <v>136</v>
      </c>
      <c r="K21" s="12" t="s">
        <v>41</v>
      </c>
      <c r="L21" s="64" t="s">
        <v>42</v>
      </c>
      <c r="M21" s="211" t="s">
        <v>137</v>
      </c>
      <c r="N21" s="18">
        <f t="shared" si="4"/>
        <v>11.166666666666666</v>
      </c>
      <c r="O21" s="36">
        <v>160000</v>
      </c>
      <c r="P21" s="15">
        <v>160000</v>
      </c>
      <c r="Q21" s="73">
        <f t="shared" si="1"/>
        <v>44725.99996666667</v>
      </c>
      <c r="R21" s="74">
        <f t="shared" si="5"/>
        <v>44737.166633333334</v>
      </c>
      <c r="S21" s="75">
        <v>10</v>
      </c>
      <c r="T21" s="76">
        <v>11</v>
      </c>
      <c r="U21" s="77">
        <f t="shared" si="6"/>
        <v>44757.166633333334</v>
      </c>
      <c r="V21" s="36"/>
      <c r="W21" s="37"/>
      <c r="X21" s="91"/>
      <c r="Y21" s="51"/>
      <c r="Z21" s="49"/>
    </row>
    <row r="22" spans="1:26" s="17" customFormat="1" ht="14.1" customHeight="1" x14ac:dyDescent="0.25">
      <c r="A22" s="40"/>
      <c r="B22" s="11" t="s">
        <v>35</v>
      </c>
      <c r="C22" s="35" t="s">
        <v>36</v>
      </c>
      <c r="D22" s="65" t="s">
        <v>127</v>
      </c>
      <c r="E22" s="35">
        <v>2022</v>
      </c>
      <c r="F22" s="35"/>
      <c r="G22" s="44" t="s">
        <v>139</v>
      </c>
      <c r="H22" s="44"/>
      <c r="I22" s="12" t="s">
        <v>39</v>
      </c>
      <c r="J22" s="12" t="s">
        <v>136</v>
      </c>
      <c r="K22" s="12" t="s">
        <v>41</v>
      </c>
      <c r="L22" s="64" t="s">
        <v>42</v>
      </c>
      <c r="M22" s="211" t="s">
        <v>137</v>
      </c>
      <c r="N22" s="18">
        <f t="shared" si="4"/>
        <v>9.8333333333333339</v>
      </c>
      <c r="O22" s="71">
        <v>140000</v>
      </c>
      <c r="P22" s="72">
        <v>140000</v>
      </c>
      <c r="Q22" s="73">
        <f t="shared" si="1"/>
        <v>44737.166633333334</v>
      </c>
      <c r="R22" s="74">
        <f t="shared" si="5"/>
        <v>44746.99996666667</v>
      </c>
      <c r="S22" s="75">
        <v>10</v>
      </c>
      <c r="T22" s="76">
        <v>11</v>
      </c>
      <c r="U22" s="77">
        <f t="shared" si="6"/>
        <v>44766.99996666667</v>
      </c>
      <c r="V22" s="71"/>
      <c r="W22" s="34"/>
      <c r="X22" s="91"/>
      <c r="Y22" s="78"/>
      <c r="Z22" s="80"/>
    </row>
    <row r="23" spans="1:26" ht="13.5" customHeight="1" x14ac:dyDescent="0.25">
      <c r="A23" s="40"/>
      <c r="B23" s="11" t="s">
        <v>45</v>
      </c>
      <c r="C23" s="35" t="s">
        <v>36</v>
      </c>
      <c r="D23" s="35" t="s">
        <v>127</v>
      </c>
      <c r="E23" s="35">
        <v>2022</v>
      </c>
      <c r="F23" s="35"/>
      <c r="G23" s="47" t="s">
        <v>116</v>
      </c>
      <c r="H23" s="47"/>
      <c r="I23" s="12" t="s">
        <v>39</v>
      </c>
      <c r="J23" s="12" t="s">
        <v>40</v>
      </c>
      <c r="K23" s="12" t="s">
        <v>41</v>
      </c>
      <c r="L23" s="64" t="s">
        <v>42</v>
      </c>
      <c r="M23" s="13" t="s">
        <v>47</v>
      </c>
      <c r="N23" s="18">
        <f t="shared" si="4"/>
        <v>7.833333333333333</v>
      </c>
      <c r="O23" s="36">
        <v>110000</v>
      </c>
      <c r="P23" s="15">
        <v>110000</v>
      </c>
      <c r="Q23" s="73">
        <f t="shared" si="1"/>
        <v>44746.99996666667</v>
      </c>
      <c r="R23" s="74">
        <f t="shared" si="5"/>
        <v>44754.833300000006</v>
      </c>
      <c r="S23" s="75">
        <v>10</v>
      </c>
      <c r="T23" s="76">
        <v>11</v>
      </c>
      <c r="U23" s="77">
        <f t="shared" si="6"/>
        <v>44774.833300000006</v>
      </c>
      <c r="V23" s="36"/>
      <c r="W23" s="37"/>
      <c r="X23" s="91"/>
      <c r="Y23" s="51"/>
      <c r="Z23" s="49"/>
    </row>
    <row r="24" spans="1:26" ht="13.5" customHeight="1" x14ac:dyDescent="0.25">
      <c r="A24" s="40"/>
      <c r="B24" s="11" t="s">
        <v>45</v>
      </c>
      <c r="C24" s="35" t="s">
        <v>36</v>
      </c>
      <c r="D24" s="35" t="s">
        <v>127</v>
      </c>
      <c r="E24" s="35">
        <v>2022</v>
      </c>
      <c r="F24" s="35"/>
      <c r="G24" s="47" t="s">
        <v>117</v>
      </c>
      <c r="H24" s="47"/>
      <c r="I24" s="12" t="s">
        <v>39</v>
      </c>
      <c r="J24" s="12" t="s">
        <v>66</v>
      </c>
      <c r="K24" s="12" t="s">
        <v>41</v>
      </c>
      <c r="L24" s="64" t="s">
        <v>42</v>
      </c>
      <c r="M24" s="13" t="s">
        <v>71</v>
      </c>
      <c r="N24" s="18">
        <f t="shared" si="4"/>
        <v>2.5</v>
      </c>
      <c r="O24" s="36">
        <v>30000</v>
      </c>
      <c r="P24" s="15">
        <v>30000</v>
      </c>
      <c r="Q24" s="73">
        <f t="shared" si="1"/>
        <v>44754.833300000006</v>
      </c>
      <c r="R24" s="74">
        <f t="shared" si="5"/>
        <v>44757.333300000006</v>
      </c>
      <c r="S24" s="75">
        <v>10</v>
      </c>
      <c r="T24" s="76">
        <v>11</v>
      </c>
      <c r="U24" s="77">
        <f t="shared" si="6"/>
        <v>44777.333300000006</v>
      </c>
      <c r="V24" s="36"/>
      <c r="W24" s="37"/>
      <c r="X24" s="91"/>
      <c r="Y24" s="51"/>
      <c r="Z24" s="49"/>
    </row>
    <row r="25" spans="1:26" ht="13.5" customHeight="1" x14ac:dyDescent="0.25">
      <c r="A25" s="40"/>
      <c r="B25" s="11" t="s">
        <v>45</v>
      </c>
      <c r="C25" s="35" t="s">
        <v>36</v>
      </c>
      <c r="D25" s="35" t="s">
        <v>127</v>
      </c>
      <c r="E25" s="35">
        <v>2022</v>
      </c>
      <c r="F25" s="35"/>
      <c r="G25" s="47" t="s">
        <v>87</v>
      </c>
      <c r="H25" s="47"/>
      <c r="I25" s="12" t="s">
        <v>39</v>
      </c>
      <c r="J25" s="12" t="s">
        <v>40</v>
      </c>
      <c r="K25" s="12" t="s">
        <v>41</v>
      </c>
      <c r="L25" s="64" t="s">
        <v>42</v>
      </c>
      <c r="M25" s="13" t="s">
        <v>47</v>
      </c>
      <c r="N25" s="18">
        <f t="shared" si="4"/>
        <v>7.833333333333333</v>
      </c>
      <c r="O25" s="36">
        <v>110000</v>
      </c>
      <c r="P25" s="15">
        <v>110000</v>
      </c>
      <c r="Q25" s="73">
        <f t="shared" si="1"/>
        <v>44757.333300000006</v>
      </c>
      <c r="R25" s="74">
        <f t="shared" si="5"/>
        <v>44765.166633333341</v>
      </c>
      <c r="S25" s="75">
        <v>10</v>
      </c>
      <c r="T25" s="76">
        <v>11</v>
      </c>
      <c r="U25" s="77">
        <f t="shared" si="6"/>
        <v>44785.166633333341</v>
      </c>
      <c r="V25" s="36"/>
      <c r="W25" s="37"/>
      <c r="X25" s="91"/>
      <c r="Y25" s="51"/>
      <c r="Z25" s="49"/>
    </row>
    <row r="26" spans="1:26" ht="13.5" customHeight="1" x14ac:dyDescent="0.25">
      <c r="A26" s="40"/>
      <c r="B26" s="11" t="s">
        <v>45</v>
      </c>
      <c r="C26" s="35" t="s">
        <v>36</v>
      </c>
      <c r="D26" s="35" t="s">
        <v>127</v>
      </c>
      <c r="E26" s="35">
        <v>2022</v>
      </c>
      <c r="F26" s="35"/>
      <c r="G26" s="47" t="s">
        <v>135</v>
      </c>
      <c r="H26" s="47"/>
      <c r="I26" s="12" t="s">
        <v>39</v>
      </c>
      <c r="J26" s="12" t="s">
        <v>40</v>
      </c>
      <c r="K26" s="12" t="s">
        <v>41</v>
      </c>
      <c r="L26" s="64" t="s">
        <v>42</v>
      </c>
      <c r="M26" s="13" t="s">
        <v>47</v>
      </c>
      <c r="N26" s="18">
        <f t="shared" si="4"/>
        <v>1.1666666666666665</v>
      </c>
      <c r="O26" s="36">
        <v>10000</v>
      </c>
      <c r="P26" s="15">
        <v>10000</v>
      </c>
      <c r="Q26" s="73">
        <f t="shared" si="1"/>
        <v>44765.166633333341</v>
      </c>
      <c r="R26" s="74">
        <f t="shared" si="5"/>
        <v>44766.333300000006</v>
      </c>
      <c r="S26" s="75">
        <v>10</v>
      </c>
      <c r="T26" s="76">
        <v>11</v>
      </c>
      <c r="U26" s="77">
        <f t="shared" si="6"/>
        <v>44786.333300000006</v>
      </c>
      <c r="V26" s="36"/>
      <c r="W26" s="37"/>
      <c r="X26" s="91"/>
      <c r="Y26" s="51"/>
      <c r="Z26" s="49"/>
    </row>
    <row r="27" spans="1:26" ht="13.5" customHeight="1" x14ac:dyDescent="0.25">
      <c r="A27" s="40"/>
      <c r="B27" s="11" t="s">
        <v>45</v>
      </c>
      <c r="C27" s="35" t="s">
        <v>36</v>
      </c>
      <c r="D27" s="35" t="s">
        <v>127</v>
      </c>
      <c r="E27" s="35">
        <v>2022</v>
      </c>
      <c r="F27" s="35"/>
      <c r="G27" s="47" t="s">
        <v>140</v>
      </c>
      <c r="H27" s="47"/>
      <c r="I27" s="12" t="s">
        <v>39</v>
      </c>
      <c r="J27" s="12" t="s">
        <v>136</v>
      </c>
      <c r="K27" s="12" t="s">
        <v>41</v>
      </c>
      <c r="L27" s="64" t="s">
        <v>42</v>
      </c>
      <c r="M27" s="211" t="s">
        <v>141</v>
      </c>
      <c r="N27" s="18">
        <f t="shared" si="4"/>
        <v>9.1666666666666661</v>
      </c>
      <c r="O27" s="36">
        <v>130000</v>
      </c>
      <c r="P27" s="15">
        <v>130000</v>
      </c>
      <c r="Q27" s="73">
        <f t="shared" si="1"/>
        <v>44766.333300000006</v>
      </c>
      <c r="R27" s="74">
        <f t="shared" si="5"/>
        <v>44775.49996666667</v>
      </c>
      <c r="S27" s="75">
        <v>10</v>
      </c>
      <c r="T27" s="76">
        <v>11</v>
      </c>
      <c r="U27" s="77">
        <f t="shared" si="6"/>
        <v>44795.49996666667</v>
      </c>
      <c r="V27" s="36"/>
      <c r="W27" s="37"/>
      <c r="X27" s="91"/>
      <c r="Y27" s="51"/>
      <c r="Z27" s="49"/>
    </row>
    <row r="28" spans="1:26" ht="13.5" customHeight="1" x14ac:dyDescent="0.25">
      <c r="A28" s="40"/>
      <c r="B28" s="11" t="s">
        <v>45</v>
      </c>
      <c r="C28" s="35" t="s">
        <v>36</v>
      </c>
      <c r="D28" s="35" t="s">
        <v>127</v>
      </c>
      <c r="E28" s="35">
        <v>2022</v>
      </c>
      <c r="F28" s="35"/>
      <c r="G28" s="47" t="s">
        <v>142</v>
      </c>
      <c r="H28" s="47"/>
      <c r="I28" s="12" t="s">
        <v>39</v>
      </c>
      <c r="J28" s="12" t="s">
        <v>136</v>
      </c>
      <c r="K28" s="12" t="s">
        <v>41</v>
      </c>
      <c r="L28" s="64" t="s">
        <v>42</v>
      </c>
      <c r="M28" s="211" t="s">
        <v>141</v>
      </c>
      <c r="N28" s="18">
        <f t="shared" si="4"/>
        <v>9.1666666666666661</v>
      </c>
      <c r="O28" s="36">
        <v>130000</v>
      </c>
      <c r="P28" s="15">
        <v>130000</v>
      </c>
      <c r="Q28" s="73">
        <f t="shared" si="1"/>
        <v>44775.49996666667</v>
      </c>
      <c r="R28" s="74">
        <f t="shared" si="5"/>
        <v>44784.666633333334</v>
      </c>
      <c r="S28" s="75">
        <v>10</v>
      </c>
      <c r="T28" s="76">
        <v>11</v>
      </c>
      <c r="U28" s="77">
        <f t="shared" si="6"/>
        <v>44804.666633333334</v>
      </c>
      <c r="V28" s="36"/>
      <c r="W28" s="37"/>
      <c r="X28" s="91"/>
      <c r="Y28" s="51"/>
      <c r="Z28" s="49"/>
    </row>
    <row r="29" spans="1:26" ht="13.5" customHeight="1" x14ac:dyDescent="0.25">
      <c r="A29" s="40"/>
      <c r="B29" s="11" t="s">
        <v>48</v>
      </c>
      <c r="C29" s="35" t="s">
        <v>36</v>
      </c>
      <c r="D29" s="35" t="s">
        <v>127</v>
      </c>
      <c r="E29" s="35">
        <v>2022</v>
      </c>
      <c r="F29" s="35"/>
      <c r="G29" s="47" t="s">
        <v>49</v>
      </c>
      <c r="H29" s="47"/>
      <c r="I29" s="12" t="s">
        <v>39</v>
      </c>
      <c r="J29" s="12" t="s">
        <v>50</v>
      </c>
      <c r="K29" s="12" t="s">
        <v>41</v>
      </c>
      <c r="L29" s="64" t="s">
        <v>42</v>
      </c>
      <c r="M29" s="13" t="s">
        <v>47</v>
      </c>
      <c r="N29" s="18">
        <f t="shared" si="4"/>
        <v>4.3677999999999999</v>
      </c>
      <c r="O29" s="36">
        <v>58017</v>
      </c>
      <c r="P29" s="15">
        <v>58017</v>
      </c>
      <c r="Q29" s="73">
        <f t="shared" si="1"/>
        <v>44784.666633333334</v>
      </c>
      <c r="R29" s="74">
        <f t="shared" si="5"/>
        <v>44789.034433333334</v>
      </c>
      <c r="S29" s="75">
        <v>10</v>
      </c>
      <c r="T29" s="76">
        <v>11</v>
      </c>
      <c r="U29" s="77">
        <f t="shared" si="6"/>
        <v>44809.034433333334</v>
      </c>
      <c r="V29" s="36"/>
      <c r="W29" s="37"/>
      <c r="X29" s="91"/>
      <c r="Y29" s="51"/>
      <c r="Z29" s="49"/>
    </row>
    <row r="30" spans="1:26" ht="13.5" customHeight="1" x14ac:dyDescent="0.25">
      <c r="A30" s="40"/>
      <c r="B30" s="11" t="s">
        <v>45</v>
      </c>
      <c r="C30" s="35" t="s">
        <v>36</v>
      </c>
      <c r="D30" s="35" t="s">
        <v>127</v>
      </c>
      <c r="E30" s="35">
        <v>2022</v>
      </c>
      <c r="F30" s="35"/>
      <c r="G30" s="47" t="s">
        <v>88</v>
      </c>
      <c r="H30" s="47"/>
      <c r="I30" s="12" t="s">
        <v>39</v>
      </c>
      <c r="J30" s="12" t="s">
        <v>40</v>
      </c>
      <c r="K30" s="12" t="s">
        <v>41</v>
      </c>
      <c r="L30" s="64" t="s">
        <v>42</v>
      </c>
      <c r="M30" s="13" t="s">
        <v>47</v>
      </c>
      <c r="N30" s="18">
        <f t="shared" si="4"/>
        <v>8.5</v>
      </c>
      <c r="O30" s="36">
        <v>120000</v>
      </c>
      <c r="P30" s="15">
        <v>120000</v>
      </c>
      <c r="Q30" s="73">
        <f t="shared" si="1"/>
        <v>44789.034433333334</v>
      </c>
      <c r="R30" s="74">
        <f t="shared" si="5"/>
        <v>44797.534433333334</v>
      </c>
      <c r="S30" s="75">
        <v>10</v>
      </c>
      <c r="T30" s="76">
        <v>11</v>
      </c>
      <c r="U30" s="77">
        <f t="shared" si="6"/>
        <v>44817.534433333334</v>
      </c>
      <c r="V30" s="213">
        <f>SUM(O7:O30)</f>
        <v>2591350</v>
      </c>
      <c r="W30" s="37"/>
      <c r="X30" s="91"/>
      <c r="Y30" s="51"/>
      <c r="Z30" s="49"/>
    </row>
    <row r="31" spans="1:26" ht="13.5" customHeight="1" x14ac:dyDescent="0.25">
      <c r="A31" s="40"/>
      <c r="B31" s="11"/>
      <c r="C31" s="35"/>
      <c r="D31" s="35"/>
      <c r="E31" s="35"/>
      <c r="F31" s="35"/>
      <c r="G31" s="47"/>
      <c r="H31" s="47"/>
      <c r="I31" s="12"/>
      <c r="J31" s="12"/>
      <c r="K31" s="12"/>
      <c r="L31" s="64"/>
      <c r="M31" s="13"/>
      <c r="N31" s="18"/>
      <c r="O31" s="71"/>
      <c r="P31" s="72"/>
      <c r="Q31" s="73"/>
      <c r="R31" s="74"/>
      <c r="S31" s="75"/>
      <c r="T31" s="76"/>
      <c r="U31" s="77"/>
      <c r="V31" s="71"/>
      <c r="W31" s="34"/>
      <c r="X31" s="91"/>
      <c r="Y31" s="78"/>
      <c r="Z31" s="79"/>
    </row>
    <row r="32" spans="1:26" ht="13.5" customHeight="1" x14ac:dyDescent="0.25">
      <c r="A32" s="40"/>
      <c r="B32" s="11" t="s">
        <v>54</v>
      </c>
      <c r="C32" s="35" t="s">
        <v>36</v>
      </c>
      <c r="D32" s="35" t="s">
        <v>89</v>
      </c>
      <c r="E32" s="35">
        <v>2022</v>
      </c>
      <c r="F32" s="35"/>
      <c r="G32" s="47" t="s">
        <v>102</v>
      </c>
      <c r="H32" s="47"/>
      <c r="I32" s="12" t="s">
        <v>39</v>
      </c>
      <c r="J32" s="12" t="s">
        <v>40</v>
      </c>
      <c r="K32" s="12" t="s">
        <v>56</v>
      </c>
      <c r="L32" s="64" t="s">
        <v>57</v>
      </c>
      <c r="M32" s="13" t="s">
        <v>43</v>
      </c>
      <c r="N32" s="18">
        <f>+O32/$D$2+0.5</f>
        <v>0.85533333333333328</v>
      </c>
      <c r="O32" s="36">
        <v>533</v>
      </c>
      <c r="P32" s="15">
        <v>400</v>
      </c>
      <c r="Q32" s="73">
        <v>44256</v>
      </c>
      <c r="R32" s="74">
        <f>+Q32+N32</f>
        <v>44256.855333333333</v>
      </c>
      <c r="S32" s="75">
        <v>10</v>
      </c>
      <c r="T32" s="76">
        <v>11</v>
      </c>
      <c r="U32" s="77">
        <f>+R32+$G$1</f>
        <v>44286.855333333333</v>
      </c>
      <c r="V32" s="36"/>
      <c r="W32" s="37"/>
      <c r="X32" s="91"/>
      <c r="Y32" s="51"/>
      <c r="Z32" s="49"/>
    </row>
    <row r="33" spans="1:26" ht="13.5" customHeight="1" x14ac:dyDescent="0.25">
      <c r="A33" s="40"/>
      <c r="B33" s="11" t="s">
        <v>35</v>
      </c>
      <c r="C33" s="35" t="s">
        <v>36</v>
      </c>
      <c r="D33" s="35" t="s">
        <v>89</v>
      </c>
      <c r="E33" s="35">
        <v>2022</v>
      </c>
      <c r="F33" s="35"/>
      <c r="G33" s="47" t="s">
        <v>102</v>
      </c>
      <c r="H33" s="47"/>
      <c r="I33" s="12" t="s">
        <v>39</v>
      </c>
      <c r="J33" s="12" t="s">
        <v>40</v>
      </c>
      <c r="K33" s="12" t="s">
        <v>41</v>
      </c>
      <c r="L33" s="64" t="s">
        <v>42</v>
      </c>
      <c r="M33" s="13" t="s">
        <v>43</v>
      </c>
      <c r="N33" s="18">
        <f t="shared" ref="N33:N48" si="7">+O33/$D$2+0.5</f>
        <v>4.5</v>
      </c>
      <c r="O33" s="36">
        <v>6000</v>
      </c>
      <c r="P33" s="15">
        <f>+O33</f>
        <v>6000</v>
      </c>
      <c r="Q33" s="73">
        <f>+R32</f>
        <v>44256.855333333333</v>
      </c>
      <c r="R33" s="74">
        <f>+Q33+N33</f>
        <v>44261.355333333333</v>
      </c>
      <c r="S33" s="75">
        <v>10</v>
      </c>
      <c r="T33" s="76">
        <v>11</v>
      </c>
      <c r="U33" s="77">
        <f>+R33+$G$1</f>
        <v>44291.355333333333</v>
      </c>
      <c r="V33" s="36"/>
      <c r="W33" s="37"/>
      <c r="X33" s="91"/>
      <c r="Y33" s="51"/>
      <c r="Z33" s="49"/>
    </row>
    <row r="34" spans="1:26" s="17" customFormat="1" ht="14.1" customHeight="1" x14ac:dyDescent="0.25">
      <c r="A34" s="40"/>
      <c r="B34" s="11" t="s">
        <v>54</v>
      </c>
      <c r="C34" s="35" t="s">
        <v>36</v>
      </c>
      <c r="D34" s="35" t="s">
        <v>143</v>
      </c>
      <c r="E34" s="35">
        <v>2022</v>
      </c>
      <c r="F34" s="35"/>
      <c r="G34" s="44" t="s">
        <v>90</v>
      </c>
      <c r="H34" s="44"/>
      <c r="I34" s="12" t="s">
        <v>39</v>
      </c>
      <c r="J34" s="12" t="s">
        <v>66</v>
      </c>
      <c r="K34" s="12" t="s">
        <v>56</v>
      </c>
      <c r="L34" s="64" t="s">
        <v>57</v>
      </c>
      <c r="M34" s="13" t="s">
        <v>129</v>
      </c>
      <c r="N34" s="18">
        <f t="shared" si="7"/>
        <v>7.166666666666667</v>
      </c>
      <c r="O34" s="71">
        <v>10000</v>
      </c>
      <c r="P34" s="72">
        <v>7500</v>
      </c>
      <c r="Q34" s="73">
        <f t="shared" ref="Q34:Q48" si="8">+R33</f>
        <v>44261.355333333333</v>
      </c>
      <c r="R34" s="74">
        <f t="shared" ref="R34:R46" si="9">+Q34+N34</f>
        <v>44268.521999999997</v>
      </c>
      <c r="S34" s="75">
        <v>10</v>
      </c>
      <c r="T34" s="76">
        <v>11</v>
      </c>
      <c r="U34" s="77">
        <f t="shared" ref="U34:U42" si="10">+R34+$G$1</f>
        <v>44298.521999999997</v>
      </c>
      <c r="V34" s="71"/>
      <c r="W34" s="34"/>
      <c r="X34" s="91"/>
      <c r="Y34" s="78"/>
      <c r="Z34" s="80"/>
    </row>
    <row r="35" spans="1:26" ht="13.5" customHeight="1" x14ac:dyDescent="0.25">
      <c r="A35" s="40"/>
      <c r="B35" s="11" t="s">
        <v>54</v>
      </c>
      <c r="C35" s="35" t="s">
        <v>36</v>
      </c>
      <c r="D35" s="35" t="s">
        <v>143</v>
      </c>
      <c r="E35" s="35">
        <v>2022</v>
      </c>
      <c r="F35" s="35"/>
      <c r="G35" s="47" t="s">
        <v>144</v>
      </c>
      <c r="H35" s="47" t="s">
        <v>145</v>
      </c>
      <c r="I35" s="12" t="s">
        <v>39</v>
      </c>
      <c r="J35" s="12" t="s">
        <v>136</v>
      </c>
      <c r="K35" s="12" t="s">
        <v>56</v>
      </c>
      <c r="L35" s="64" t="s">
        <v>57</v>
      </c>
      <c r="M35" s="211" t="s">
        <v>137</v>
      </c>
      <c r="N35" s="18">
        <f t="shared" si="7"/>
        <v>7.6113333333333335</v>
      </c>
      <c r="O35" s="36">
        <v>10667</v>
      </c>
      <c r="P35" s="15">
        <v>8000</v>
      </c>
      <c r="Q35" s="73">
        <f t="shared" si="8"/>
        <v>44268.521999999997</v>
      </c>
      <c r="R35" s="74">
        <f t="shared" si="9"/>
        <v>44276.133333333331</v>
      </c>
      <c r="S35" s="75">
        <v>10</v>
      </c>
      <c r="T35" s="76">
        <v>11</v>
      </c>
      <c r="U35" s="77">
        <f t="shared" si="10"/>
        <v>44306.133333333331</v>
      </c>
      <c r="V35" s="36"/>
      <c r="W35" s="37"/>
      <c r="X35" s="91"/>
      <c r="Y35" s="51"/>
      <c r="Z35" s="49"/>
    </row>
    <row r="36" spans="1:26" s="17" customFormat="1" ht="14.1" customHeight="1" x14ac:dyDescent="0.25">
      <c r="A36" s="40"/>
      <c r="B36" s="11" t="s">
        <v>54</v>
      </c>
      <c r="C36" s="35" t="s">
        <v>36</v>
      </c>
      <c r="D36" s="35" t="s">
        <v>143</v>
      </c>
      <c r="E36" s="35">
        <v>2022</v>
      </c>
      <c r="F36" s="35"/>
      <c r="G36" s="44" t="s">
        <v>146</v>
      </c>
      <c r="H36" s="44" t="s">
        <v>147</v>
      </c>
      <c r="I36" s="12" t="s">
        <v>39</v>
      </c>
      <c r="J36" s="12" t="s">
        <v>148</v>
      </c>
      <c r="K36" s="12" t="s">
        <v>56</v>
      </c>
      <c r="L36" s="64" t="s">
        <v>57</v>
      </c>
      <c r="M36" s="13" t="s">
        <v>149</v>
      </c>
      <c r="N36" s="18">
        <f t="shared" si="7"/>
        <v>7.166666666666667</v>
      </c>
      <c r="O36" s="71">
        <v>10000</v>
      </c>
      <c r="P36" s="72">
        <v>7500</v>
      </c>
      <c r="Q36" s="73">
        <f t="shared" si="8"/>
        <v>44276.133333333331</v>
      </c>
      <c r="R36" s="74">
        <f t="shared" si="9"/>
        <v>44283.299999999996</v>
      </c>
      <c r="S36" s="75">
        <v>10</v>
      </c>
      <c r="T36" s="76">
        <v>11</v>
      </c>
      <c r="U36" s="77">
        <f t="shared" si="10"/>
        <v>44313.299999999996</v>
      </c>
      <c r="V36" s="71"/>
      <c r="W36" s="34"/>
      <c r="X36" s="91"/>
      <c r="Y36" s="78"/>
      <c r="Z36" s="80"/>
    </row>
    <row r="37" spans="1:26" s="17" customFormat="1" ht="14.1" customHeight="1" x14ac:dyDescent="0.25">
      <c r="A37" s="40"/>
      <c r="B37" s="11" t="s">
        <v>93</v>
      </c>
      <c r="C37" s="35" t="s">
        <v>36</v>
      </c>
      <c r="D37" s="35" t="s">
        <v>143</v>
      </c>
      <c r="E37" s="35">
        <v>2022</v>
      </c>
      <c r="F37" s="35"/>
      <c r="G37" s="44" t="s">
        <v>150</v>
      </c>
      <c r="H37" s="44"/>
      <c r="I37" s="12" t="s">
        <v>39</v>
      </c>
      <c r="J37" s="12" t="s">
        <v>66</v>
      </c>
      <c r="K37" s="12" t="s">
        <v>56</v>
      </c>
      <c r="L37" s="64" t="s">
        <v>57</v>
      </c>
      <c r="M37" s="13" t="s">
        <v>71</v>
      </c>
      <c r="N37" s="18">
        <f t="shared" si="7"/>
        <v>3.8333333333333335</v>
      </c>
      <c r="O37" s="71">
        <v>5000</v>
      </c>
      <c r="P37" s="72">
        <v>3750</v>
      </c>
      <c r="Q37" s="73">
        <f t="shared" si="8"/>
        <v>44283.299999999996</v>
      </c>
      <c r="R37" s="74">
        <f t="shared" si="9"/>
        <v>44287.133333333331</v>
      </c>
      <c r="S37" s="75">
        <v>10</v>
      </c>
      <c r="T37" s="76">
        <v>11</v>
      </c>
      <c r="U37" s="77">
        <f t="shared" si="10"/>
        <v>44317.133333333331</v>
      </c>
      <c r="V37" s="71"/>
      <c r="W37" s="34"/>
      <c r="X37" s="91"/>
      <c r="Y37" s="78"/>
      <c r="Z37" s="80"/>
    </row>
    <row r="38" spans="1:26" ht="13.5" customHeight="1" x14ac:dyDescent="0.25">
      <c r="A38" s="40"/>
      <c r="B38" s="11" t="s">
        <v>93</v>
      </c>
      <c r="C38" s="35" t="s">
        <v>36</v>
      </c>
      <c r="D38" s="35" t="s">
        <v>143</v>
      </c>
      <c r="E38" s="35">
        <v>2022</v>
      </c>
      <c r="F38" s="35"/>
      <c r="G38" s="47" t="s">
        <v>151</v>
      </c>
      <c r="H38" s="47" t="s">
        <v>152</v>
      </c>
      <c r="I38" s="12" t="s">
        <v>39</v>
      </c>
      <c r="J38" s="12" t="s">
        <v>40</v>
      </c>
      <c r="K38" s="12" t="s">
        <v>56</v>
      </c>
      <c r="L38" s="64" t="s">
        <v>57</v>
      </c>
      <c r="M38" s="13" t="s">
        <v>47</v>
      </c>
      <c r="N38" s="18">
        <f t="shared" si="7"/>
        <v>13.833333333333334</v>
      </c>
      <c r="O38" s="36">
        <v>20000</v>
      </c>
      <c r="P38" s="15">
        <v>15000</v>
      </c>
      <c r="Q38" s="73">
        <f t="shared" si="8"/>
        <v>44287.133333333331</v>
      </c>
      <c r="R38" s="74">
        <f t="shared" si="9"/>
        <v>44300.966666666667</v>
      </c>
      <c r="S38" s="75">
        <v>10</v>
      </c>
      <c r="T38" s="76">
        <v>11</v>
      </c>
      <c r="U38" s="77">
        <f t="shared" si="10"/>
        <v>44330.966666666667</v>
      </c>
      <c r="V38" s="36"/>
      <c r="W38" s="37"/>
      <c r="X38" s="91"/>
      <c r="Y38" s="51"/>
      <c r="Z38" s="49"/>
    </row>
    <row r="39" spans="1:26" s="17" customFormat="1" ht="14.1" customHeight="1" x14ac:dyDescent="0.25">
      <c r="A39" s="40"/>
      <c r="B39" s="11" t="s">
        <v>35</v>
      </c>
      <c r="C39" s="35" t="s">
        <v>36</v>
      </c>
      <c r="D39" s="35" t="s">
        <v>143</v>
      </c>
      <c r="E39" s="35">
        <v>2022</v>
      </c>
      <c r="F39" s="35"/>
      <c r="G39" s="44" t="s">
        <v>51</v>
      </c>
      <c r="H39" s="44"/>
      <c r="I39" s="12" t="s">
        <v>39</v>
      </c>
      <c r="J39" s="12" t="s">
        <v>40</v>
      </c>
      <c r="K39" s="12" t="s">
        <v>41</v>
      </c>
      <c r="L39" s="64" t="s">
        <v>42</v>
      </c>
      <c r="M39" s="13" t="s">
        <v>43</v>
      </c>
      <c r="N39" s="18">
        <f t="shared" si="7"/>
        <v>7.166666666666667</v>
      </c>
      <c r="O39" s="71">
        <v>10000</v>
      </c>
      <c r="P39" s="72">
        <v>10000</v>
      </c>
      <c r="Q39" s="73">
        <f t="shared" si="8"/>
        <v>44300.966666666667</v>
      </c>
      <c r="R39" s="74">
        <f t="shared" si="9"/>
        <v>44308.133333333331</v>
      </c>
      <c r="S39" s="75">
        <v>10</v>
      </c>
      <c r="T39" s="76">
        <v>11</v>
      </c>
      <c r="U39" s="77">
        <f t="shared" si="10"/>
        <v>44338.133333333331</v>
      </c>
      <c r="V39" s="71"/>
      <c r="W39" s="34"/>
      <c r="X39" s="91"/>
      <c r="Y39" s="78"/>
      <c r="Z39" s="80"/>
    </row>
    <row r="40" spans="1:26" ht="13.5" customHeight="1" x14ac:dyDescent="0.25">
      <c r="A40" s="40"/>
      <c r="B40" s="11" t="s">
        <v>35</v>
      </c>
      <c r="C40" s="35" t="s">
        <v>36</v>
      </c>
      <c r="D40" s="35" t="s">
        <v>143</v>
      </c>
      <c r="E40" s="35">
        <v>2022</v>
      </c>
      <c r="F40" s="35"/>
      <c r="G40" s="47" t="s">
        <v>38</v>
      </c>
      <c r="H40" s="47" t="s">
        <v>153</v>
      </c>
      <c r="I40" s="12" t="s">
        <v>39</v>
      </c>
      <c r="J40" s="12" t="s">
        <v>40</v>
      </c>
      <c r="K40" s="12" t="s">
        <v>41</v>
      </c>
      <c r="L40" s="64" t="s">
        <v>42</v>
      </c>
      <c r="M40" s="13" t="s">
        <v>43</v>
      </c>
      <c r="N40" s="18">
        <f t="shared" si="7"/>
        <v>13.833333333333334</v>
      </c>
      <c r="O40" s="36">
        <v>20000</v>
      </c>
      <c r="P40" s="15">
        <v>20000</v>
      </c>
      <c r="Q40" s="73">
        <f t="shared" si="8"/>
        <v>44308.133333333331</v>
      </c>
      <c r="R40" s="74">
        <f t="shared" si="9"/>
        <v>44321.966666666667</v>
      </c>
      <c r="S40" s="75">
        <v>10</v>
      </c>
      <c r="T40" s="76">
        <v>11</v>
      </c>
      <c r="U40" s="77">
        <f t="shared" si="10"/>
        <v>44351.966666666667</v>
      </c>
      <c r="V40" s="36"/>
      <c r="W40" s="37"/>
      <c r="X40" s="91"/>
      <c r="Y40" s="51"/>
      <c r="Z40" s="49"/>
    </row>
    <row r="41" spans="1:26" s="17" customFormat="1" ht="14.1" customHeight="1" x14ac:dyDescent="0.25">
      <c r="A41" s="40"/>
      <c r="B41" s="11" t="s">
        <v>35</v>
      </c>
      <c r="C41" s="35" t="s">
        <v>36</v>
      </c>
      <c r="D41" s="35" t="s">
        <v>143</v>
      </c>
      <c r="E41" s="35">
        <v>2022</v>
      </c>
      <c r="F41" s="35"/>
      <c r="G41" s="44" t="s">
        <v>154</v>
      </c>
      <c r="H41" s="44" t="s">
        <v>155</v>
      </c>
      <c r="I41" s="12" t="s">
        <v>39</v>
      </c>
      <c r="J41" s="12" t="s">
        <v>66</v>
      </c>
      <c r="K41" s="12" t="s">
        <v>41</v>
      </c>
      <c r="L41" s="64" t="s">
        <v>42</v>
      </c>
      <c r="M41" s="13" t="s">
        <v>129</v>
      </c>
      <c r="N41" s="18">
        <f t="shared" si="7"/>
        <v>13.833333333333334</v>
      </c>
      <c r="O41" s="71">
        <v>20000</v>
      </c>
      <c r="P41" s="72">
        <v>20000</v>
      </c>
      <c r="Q41" s="73">
        <f t="shared" si="8"/>
        <v>44321.966666666667</v>
      </c>
      <c r="R41" s="74">
        <f t="shared" si="9"/>
        <v>44335.8</v>
      </c>
      <c r="S41" s="75">
        <v>10</v>
      </c>
      <c r="T41" s="76">
        <v>11</v>
      </c>
      <c r="U41" s="77">
        <f t="shared" si="10"/>
        <v>44365.8</v>
      </c>
      <c r="V41" s="71"/>
      <c r="W41" s="34"/>
      <c r="X41" s="91"/>
      <c r="Y41" s="78"/>
      <c r="Z41" s="80"/>
    </row>
    <row r="42" spans="1:26" ht="13.5" customHeight="1" x14ac:dyDescent="0.25">
      <c r="A42" s="40"/>
      <c r="B42" s="11" t="s">
        <v>35</v>
      </c>
      <c r="C42" s="35" t="s">
        <v>36</v>
      </c>
      <c r="D42" s="35" t="s">
        <v>143</v>
      </c>
      <c r="E42" s="35">
        <v>2022</v>
      </c>
      <c r="F42" s="35"/>
      <c r="G42" s="47" t="s">
        <v>156</v>
      </c>
      <c r="H42" s="47" t="s">
        <v>157</v>
      </c>
      <c r="I42" s="12" t="s">
        <v>39</v>
      </c>
      <c r="J42" s="12" t="s">
        <v>158</v>
      </c>
      <c r="K42" s="12" t="s">
        <v>41</v>
      </c>
      <c r="L42" s="64" t="s">
        <v>42</v>
      </c>
      <c r="M42" s="13" t="s">
        <v>149</v>
      </c>
      <c r="N42" s="18">
        <f t="shared" si="7"/>
        <v>7.166666666666667</v>
      </c>
      <c r="O42" s="36">
        <v>10000</v>
      </c>
      <c r="P42" s="15">
        <v>10000</v>
      </c>
      <c r="Q42" s="73">
        <f t="shared" si="8"/>
        <v>44335.8</v>
      </c>
      <c r="R42" s="74">
        <f t="shared" si="9"/>
        <v>44342.966666666667</v>
      </c>
      <c r="S42" s="75">
        <v>10</v>
      </c>
      <c r="T42" s="76">
        <v>11</v>
      </c>
      <c r="U42" s="77">
        <f t="shared" si="10"/>
        <v>44372.966666666667</v>
      </c>
      <c r="V42" s="36"/>
      <c r="W42" s="37"/>
      <c r="X42" s="91"/>
      <c r="Y42" s="51"/>
      <c r="Z42" s="49"/>
    </row>
    <row r="43" spans="1:26" s="17" customFormat="1" ht="14.1" customHeight="1" x14ac:dyDescent="0.25">
      <c r="A43" s="40"/>
      <c r="B43" s="11" t="s">
        <v>35</v>
      </c>
      <c r="C43" s="35" t="s">
        <v>36</v>
      </c>
      <c r="D43" s="35" t="s">
        <v>143</v>
      </c>
      <c r="E43" s="35">
        <v>2022</v>
      </c>
      <c r="F43" s="35"/>
      <c r="G43" s="44" t="s">
        <v>159</v>
      </c>
      <c r="H43" s="44" t="s">
        <v>160</v>
      </c>
      <c r="I43" s="12" t="s">
        <v>39</v>
      </c>
      <c r="J43" s="12" t="s">
        <v>158</v>
      </c>
      <c r="K43" s="12" t="s">
        <v>41</v>
      </c>
      <c r="L43" s="64" t="s">
        <v>42</v>
      </c>
      <c r="M43" s="13" t="s">
        <v>149</v>
      </c>
      <c r="N43" s="18">
        <f t="shared" si="7"/>
        <v>5.5</v>
      </c>
      <c r="O43" s="71">
        <v>7500</v>
      </c>
      <c r="P43" s="72">
        <v>7500</v>
      </c>
      <c r="Q43" s="73">
        <f t="shared" si="8"/>
        <v>44342.966666666667</v>
      </c>
      <c r="R43" s="74">
        <f t="shared" si="9"/>
        <v>44348.466666666667</v>
      </c>
      <c r="S43" s="75">
        <v>10</v>
      </c>
      <c r="T43" s="76">
        <v>11</v>
      </c>
      <c r="U43" s="77">
        <f>+R43+$G$2</f>
        <v>44368.466666666667</v>
      </c>
      <c r="V43" s="71"/>
      <c r="W43" s="34"/>
      <c r="X43" s="91"/>
      <c r="Y43" s="78"/>
      <c r="Z43" s="80"/>
    </row>
    <row r="44" spans="1:26" ht="13.5" customHeight="1" x14ac:dyDescent="0.25">
      <c r="A44" s="40"/>
      <c r="B44" s="11" t="s">
        <v>35</v>
      </c>
      <c r="C44" s="35" t="s">
        <v>36</v>
      </c>
      <c r="D44" s="35" t="s">
        <v>143</v>
      </c>
      <c r="E44" s="35">
        <v>2022</v>
      </c>
      <c r="F44" s="35"/>
      <c r="G44" s="47" t="s">
        <v>161</v>
      </c>
      <c r="H44" s="47" t="s">
        <v>162</v>
      </c>
      <c r="I44" s="12" t="s">
        <v>39</v>
      </c>
      <c r="J44" s="12" t="s">
        <v>158</v>
      </c>
      <c r="K44" s="12" t="s">
        <v>41</v>
      </c>
      <c r="L44" s="64" t="s">
        <v>42</v>
      </c>
      <c r="M44" s="13" t="s">
        <v>149</v>
      </c>
      <c r="N44" s="18">
        <f t="shared" si="7"/>
        <v>7.166666666666667</v>
      </c>
      <c r="O44" s="36">
        <v>10000</v>
      </c>
      <c r="P44" s="15">
        <v>10000</v>
      </c>
      <c r="Q44" s="73">
        <f t="shared" si="8"/>
        <v>44348.466666666667</v>
      </c>
      <c r="R44" s="74">
        <f t="shared" si="9"/>
        <v>44355.633333333331</v>
      </c>
      <c r="S44" s="75">
        <v>10</v>
      </c>
      <c r="T44" s="76">
        <v>11</v>
      </c>
      <c r="U44" s="77">
        <f t="shared" ref="U44:U46" si="11">+R44+$G$2</f>
        <v>44375.633333333331</v>
      </c>
      <c r="V44" s="36"/>
      <c r="W44" s="37"/>
      <c r="X44" s="91"/>
      <c r="Y44" s="51"/>
      <c r="Z44" s="49"/>
    </row>
    <row r="45" spans="1:26" s="17" customFormat="1" ht="14.1" customHeight="1" x14ac:dyDescent="0.25">
      <c r="A45" s="40"/>
      <c r="B45" s="11" t="s">
        <v>35</v>
      </c>
      <c r="C45" s="35" t="s">
        <v>36</v>
      </c>
      <c r="D45" s="35" t="s">
        <v>143</v>
      </c>
      <c r="E45" s="35">
        <v>2022</v>
      </c>
      <c r="F45" s="35"/>
      <c r="G45" s="44" t="s">
        <v>163</v>
      </c>
      <c r="H45" s="44" t="s">
        <v>164</v>
      </c>
      <c r="I45" s="12" t="s">
        <v>39</v>
      </c>
      <c r="J45" s="12" t="s">
        <v>158</v>
      </c>
      <c r="K45" s="12" t="s">
        <v>41</v>
      </c>
      <c r="L45" s="64" t="s">
        <v>42</v>
      </c>
      <c r="M45" s="13" t="s">
        <v>149</v>
      </c>
      <c r="N45" s="18">
        <f t="shared" si="7"/>
        <v>3.8333333333333335</v>
      </c>
      <c r="O45" s="71">
        <v>5000</v>
      </c>
      <c r="P45" s="72">
        <v>5000</v>
      </c>
      <c r="Q45" s="73">
        <f t="shared" si="8"/>
        <v>44355.633333333331</v>
      </c>
      <c r="R45" s="74">
        <f t="shared" si="9"/>
        <v>44359.466666666667</v>
      </c>
      <c r="S45" s="75">
        <v>10</v>
      </c>
      <c r="T45" s="76">
        <v>11</v>
      </c>
      <c r="U45" s="77">
        <f t="shared" si="11"/>
        <v>44379.466666666667</v>
      </c>
      <c r="V45" s="71"/>
      <c r="W45" s="34"/>
      <c r="X45" s="91"/>
      <c r="Y45" s="78"/>
      <c r="Z45" s="80"/>
    </row>
    <row r="46" spans="1:26" ht="13.5" customHeight="1" x14ac:dyDescent="0.25">
      <c r="A46" s="40"/>
      <c r="B46" s="11" t="s">
        <v>35</v>
      </c>
      <c r="C46" s="35" t="s">
        <v>36</v>
      </c>
      <c r="D46" s="35" t="s">
        <v>143</v>
      </c>
      <c r="E46" s="35">
        <v>2022</v>
      </c>
      <c r="F46" s="35"/>
      <c r="G46" s="47" t="s">
        <v>165</v>
      </c>
      <c r="H46" s="47" t="s">
        <v>166</v>
      </c>
      <c r="I46" s="12" t="s">
        <v>39</v>
      </c>
      <c r="J46" s="12" t="s">
        <v>158</v>
      </c>
      <c r="K46" s="12" t="s">
        <v>41</v>
      </c>
      <c r="L46" s="64" t="s">
        <v>42</v>
      </c>
      <c r="M46" s="13" t="s">
        <v>149</v>
      </c>
      <c r="N46" s="18">
        <f t="shared" si="7"/>
        <v>5.5</v>
      </c>
      <c r="O46" s="36">
        <v>7500</v>
      </c>
      <c r="P46" s="15">
        <v>7500</v>
      </c>
      <c r="Q46" s="73">
        <f t="shared" si="8"/>
        <v>44359.466666666667</v>
      </c>
      <c r="R46" s="74">
        <f t="shared" si="9"/>
        <v>44364.966666666667</v>
      </c>
      <c r="S46" s="75">
        <v>10</v>
      </c>
      <c r="T46" s="76">
        <v>11</v>
      </c>
      <c r="U46" s="77">
        <f t="shared" si="11"/>
        <v>44384.966666666667</v>
      </c>
      <c r="V46" s="36"/>
      <c r="W46" s="37"/>
      <c r="X46" s="91"/>
      <c r="Y46" s="51"/>
      <c r="Z46" s="49"/>
    </row>
    <row r="47" spans="1:26" ht="13.5" customHeight="1" x14ac:dyDescent="0.25">
      <c r="A47" s="40"/>
      <c r="B47" s="11" t="s">
        <v>45</v>
      </c>
      <c r="C47" s="35" t="s">
        <v>36</v>
      </c>
      <c r="D47" s="35" t="s">
        <v>143</v>
      </c>
      <c r="E47" s="35">
        <v>2022</v>
      </c>
      <c r="F47" s="35"/>
      <c r="G47" s="47" t="s">
        <v>70</v>
      </c>
      <c r="H47" s="47"/>
      <c r="I47" s="12" t="s">
        <v>39</v>
      </c>
      <c r="J47" s="12" t="s">
        <v>40</v>
      </c>
      <c r="K47" s="12" t="s">
        <v>41</v>
      </c>
      <c r="L47" s="64" t="s">
        <v>42</v>
      </c>
      <c r="M47" s="13" t="s">
        <v>47</v>
      </c>
      <c r="N47" s="18">
        <f t="shared" si="7"/>
        <v>13.833333333333334</v>
      </c>
      <c r="O47" s="36">
        <v>20000</v>
      </c>
      <c r="P47" s="15">
        <v>20000</v>
      </c>
      <c r="Q47" s="73">
        <f t="shared" si="8"/>
        <v>44364.966666666667</v>
      </c>
      <c r="R47" s="74">
        <f t="shared" ref="R47:R48" si="12">+Q47+N47</f>
        <v>44378.8</v>
      </c>
      <c r="S47" s="75">
        <v>10</v>
      </c>
      <c r="T47" s="76">
        <v>11</v>
      </c>
      <c r="U47" s="77">
        <f t="shared" ref="U47:U48" si="13">+R47+$G$2</f>
        <v>44398.8</v>
      </c>
      <c r="V47" s="36"/>
      <c r="W47" s="37"/>
      <c r="X47" s="91"/>
      <c r="Y47" s="51"/>
      <c r="Z47" s="49"/>
    </row>
    <row r="48" spans="1:26" ht="13.5" customHeight="1" x14ac:dyDescent="0.25">
      <c r="A48" s="40"/>
      <c r="B48" s="11" t="s">
        <v>45</v>
      </c>
      <c r="C48" s="35" t="s">
        <v>36</v>
      </c>
      <c r="D48" s="35" t="s">
        <v>143</v>
      </c>
      <c r="E48" s="35">
        <v>2022</v>
      </c>
      <c r="F48" s="35"/>
      <c r="G48" s="47" t="s">
        <v>167</v>
      </c>
      <c r="H48" s="47" t="s">
        <v>168</v>
      </c>
      <c r="I48" s="12" t="s">
        <v>39</v>
      </c>
      <c r="J48" s="12" t="s">
        <v>66</v>
      </c>
      <c r="K48" s="12" t="s">
        <v>41</v>
      </c>
      <c r="L48" s="64" t="s">
        <v>42</v>
      </c>
      <c r="M48" s="13" t="s">
        <v>71</v>
      </c>
      <c r="N48" s="18">
        <f t="shared" si="7"/>
        <v>13.833333333333334</v>
      </c>
      <c r="O48" s="36">
        <v>20000</v>
      </c>
      <c r="P48" s="15">
        <v>20000</v>
      </c>
      <c r="Q48" s="73">
        <f t="shared" si="8"/>
        <v>44378.8</v>
      </c>
      <c r="R48" s="74">
        <f t="shared" si="12"/>
        <v>44392.633333333339</v>
      </c>
      <c r="S48" s="75">
        <v>10</v>
      </c>
      <c r="T48" s="76">
        <v>11</v>
      </c>
      <c r="U48" s="77">
        <f t="shared" si="13"/>
        <v>44412.633333333339</v>
      </c>
      <c r="V48" s="213">
        <f>SUM(O32:O48)</f>
        <v>192200</v>
      </c>
      <c r="W48" s="37"/>
      <c r="X48" s="91"/>
      <c r="Y48" s="51"/>
      <c r="Z48" s="49"/>
    </row>
    <row r="49" spans="1:26" ht="13.5" customHeight="1" x14ac:dyDescent="0.25">
      <c r="A49" s="40"/>
      <c r="B49" s="11"/>
      <c r="C49" s="35"/>
      <c r="D49" s="35"/>
      <c r="E49" s="35"/>
      <c r="F49" s="35"/>
      <c r="G49" s="47"/>
      <c r="H49" s="47"/>
      <c r="I49" s="12"/>
      <c r="J49" s="12"/>
      <c r="K49" s="12"/>
      <c r="L49" s="64"/>
      <c r="M49" s="13"/>
      <c r="N49" s="18"/>
      <c r="O49" s="36"/>
      <c r="P49" s="15"/>
      <c r="Q49" s="73"/>
      <c r="R49" s="74"/>
      <c r="S49" s="75"/>
      <c r="T49" s="76"/>
      <c r="U49" s="77"/>
      <c r="V49" s="213"/>
      <c r="W49" s="37"/>
      <c r="X49" s="91"/>
      <c r="Y49" s="51"/>
      <c r="Z49" s="49"/>
    </row>
    <row r="50" spans="1:26" ht="13.5" customHeight="1" x14ac:dyDescent="0.25">
      <c r="A50" s="40"/>
      <c r="B50" s="11" t="s">
        <v>48</v>
      </c>
      <c r="C50" s="35" t="s">
        <v>36</v>
      </c>
      <c r="D50" s="35" t="s">
        <v>143</v>
      </c>
      <c r="E50" s="35">
        <v>2022</v>
      </c>
      <c r="F50" s="35"/>
      <c r="G50" s="47" t="s">
        <v>169</v>
      </c>
      <c r="H50" s="47"/>
      <c r="I50" s="12" t="s">
        <v>39</v>
      </c>
      <c r="J50" s="12" t="s">
        <v>66</v>
      </c>
      <c r="K50" s="12" t="s">
        <v>41</v>
      </c>
      <c r="L50" s="64" t="s">
        <v>42</v>
      </c>
      <c r="M50" s="13" t="s">
        <v>71</v>
      </c>
      <c r="N50" s="18"/>
      <c r="O50" s="36">
        <v>9669</v>
      </c>
      <c r="P50" s="15">
        <v>9669</v>
      </c>
      <c r="Q50" s="73"/>
      <c r="R50" s="74"/>
      <c r="S50" s="75"/>
      <c r="T50" s="76"/>
      <c r="U50" s="77"/>
      <c r="V50" s="36"/>
      <c r="W50" s="37"/>
      <c r="X50" s="91"/>
      <c r="Y50" s="51"/>
      <c r="Z50" s="49"/>
    </row>
    <row r="51" spans="1:26" ht="13.5" customHeight="1" x14ac:dyDescent="0.25">
      <c r="A51" s="40"/>
      <c r="B51" s="11" t="s">
        <v>48</v>
      </c>
      <c r="C51" s="35" t="s">
        <v>36</v>
      </c>
      <c r="D51" s="35" t="s">
        <v>143</v>
      </c>
      <c r="E51" s="35">
        <v>2022</v>
      </c>
      <c r="F51" s="35"/>
      <c r="G51" s="47" t="s">
        <v>170</v>
      </c>
      <c r="H51" s="47" t="s">
        <v>171</v>
      </c>
      <c r="I51" s="12" t="s">
        <v>39</v>
      </c>
      <c r="J51" s="12" t="s">
        <v>66</v>
      </c>
      <c r="K51" s="12" t="s">
        <v>41</v>
      </c>
      <c r="L51" s="64" t="s">
        <v>42</v>
      </c>
      <c r="M51" s="13" t="s">
        <v>71</v>
      </c>
      <c r="N51" s="18"/>
      <c r="O51" s="36">
        <v>3223</v>
      </c>
      <c r="P51" s="15">
        <v>3223</v>
      </c>
      <c r="Q51" s="73"/>
      <c r="R51" s="74"/>
      <c r="S51" s="75"/>
      <c r="T51" s="76"/>
      <c r="U51" s="77"/>
      <c r="V51" s="36"/>
      <c r="W51" s="37"/>
      <c r="X51" s="91"/>
      <c r="Y51" s="51"/>
      <c r="Z51" s="49"/>
    </row>
    <row r="52" spans="1:26" ht="13.5" customHeight="1" x14ac:dyDescent="0.25">
      <c r="A52" s="40"/>
      <c r="B52" s="11" t="s">
        <v>48</v>
      </c>
      <c r="C52" s="35" t="s">
        <v>36</v>
      </c>
      <c r="D52" s="35" t="s">
        <v>143</v>
      </c>
      <c r="E52" s="35">
        <v>2022</v>
      </c>
      <c r="F52" s="35"/>
      <c r="G52" s="47" t="s">
        <v>172</v>
      </c>
      <c r="H52" s="47"/>
      <c r="I52" s="12" t="s">
        <v>39</v>
      </c>
      <c r="J52" s="12" t="s">
        <v>40</v>
      </c>
      <c r="K52" s="12" t="s">
        <v>41</v>
      </c>
      <c r="L52" s="64" t="s">
        <v>42</v>
      </c>
      <c r="M52" s="13" t="s">
        <v>47</v>
      </c>
      <c r="N52" s="18"/>
      <c r="O52" s="36">
        <v>12893</v>
      </c>
      <c r="P52" s="15">
        <v>12893</v>
      </c>
      <c r="Q52" s="73"/>
      <c r="R52" s="74"/>
      <c r="S52" s="75"/>
      <c r="T52" s="76"/>
      <c r="U52" s="77"/>
      <c r="V52" s="36"/>
      <c r="W52" s="37"/>
      <c r="X52" s="91"/>
      <c r="Y52" s="51"/>
      <c r="Z52" s="49"/>
    </row>
    <row r="53" spans="1:26" ht="13.5" customHeight="1" x14ac:dyDescent="0.25">
      <c r="A53" s="40"/>
      <c r="B53" s="11" t="s">
        <v>48</v>
      </c>
      <c r="C53" s="35" t="s">
        <v>36</v>
      </c>
      <c r="D53" s="35" t="s">
        <v>143</v>
      </c>
      <c r="E53" s="35">
        <v>2022</v>
      </c>
      <c r="F53" s="35"/>
      <c r="G53" s="47" t="s">
        <v>173</v>
      </c>
      <c r="H53" s="47" t="s">
        <v>99</v>
      </c>
      <c r="I53" s="12" t="s">
        <v>39</v>
      </c>
      <c r="J53" s="12" t="s">
        <v>40</v>
      </c>
      <c r="K53" s="12" t="s">
        <v>41</v>
      </c>
      <c r="L53" s="64" t="s">
        <v>42</v>
      </c>
      <c r="M53" s="13" t="s">
        <v>47</v>
      </c>
      <c r="N53" s="18"/>
      <c r="O53" s="36">
        <v>19339</v>
      </c>
      <c r="P53" s="15">
        <v>19339</v>
      </c>
      <c r="Q53" s="73"/>
      <c r="R53" s="74"/>
      <c r="S53" s="75"/>
      <c r="T53" s="76"/>
      <c r="U53" s="77"/>
      <c r="V53" s="36"/>
      <c r="W53" s="37"/>
      <c r="X53" s="91"/>
      <c r="Y53" s="51"/>
      <c r="Z53" s="49"/>
    </row>
    <row r="54" spans="1:26" ht="13.5" customHeight="1" x14ac:dyDescent="0.25">
      <c r="A54" s="40"/>
      <c r="B54" s="11" t="s">
        <v>48</v>
      </c>
      <c r="C54" s="35" t="s">
        <v>36</v>
      </c>
      <c r="D54" s="35" t="s">
        <v>143</v>
      </c>
      <c r="E54" s="35">
        <v>2022</v>
      </c>
      <c r="F54" s="35"/>
      <c r="G54" s="47" t="s">
        <v>174</v>
      </c>
      <c r="H54" s="47" t="s">
        <v>175</v>
      </c>
      <c r="I54" s="12" t="s">
        <v>39</v>
      </c>
      <c r="J54" s="12" t="s">
        <v>158</v>
      </c>
      <c r="K54" s="12" t="s">
        <v>41</v>
      </c>
      <c r="L54" s="64" t="s">
        <v>42</v>
      </c>
      <c r="M54" s="13" t="s">
        <v>149</v>
      </c>
      <c r="N54" s="18"/>
      <c r="O54" s="36">
        <v>10000</v>
      </c>
      <c r="P54" s="15">
        <v>10000</v>
      </c>
      <c r="Q54" s="73"/>
      <c r="R54" s="74"/>
      <c r="S54" s="75"/>
      <c r="T54" s="76"/>
      <c r="U54" s="77"/>
      <c r="V54" s="36"/>
      <c r="W54" s="37"/>
      <c r="X54" s="91"/>
      <c r="Y54" s="51"/>
      <c r="Z54" s="49"/>
    </row>
    <row r="55" spans="1:26" ht="13.5" customHeight="1" x14ac:dyDescent="0.25">
      <c r="A55" s="40"/>
      <c r="B55" s="19" t="s">
        <v>82</v>
      </c>
      <c r="C55" s="35" t="s">
        <v>36</v>
      </c>
      <c r="D55" s="35" t="s">
        <v>143</v>
      </c>
      <c r="E55" s="35">
        <v>2022</v>
      </c>
      <c r="F55" s="35"/>
      <c r="G55" s="47" t="s">
        <v>104</v>
      </c>
      <c r="H55" s="47"/>
      <c r="I55" s="12" t="s">
        <v>39</v>
      </c>
      <c r="J55" s="12" t="s">
        <v>40</v>
      </c>
      <c r="K55" s="12" t="s">
        <v>41</v>
      </c>
      <c r="L55" s="64" t="s">
        <v>42</v>
      </c>
      <c r="M55" s="13" t="s">
        <v>47</v>
      </c>
      <c r="N55" s="18"/>
      <c r="O55" s="36">
        <v>12893</v>
      </c>
      <c r="P55" s="15">
        <v>12893</v>
      </c>
      <c r="Q55" s="73"/>
      <c r="R55" s="74"/>
      <c r="S55" s="75"/>
      <c r="T55" s="76"/>
      <c r="U55" s="77"/>
      <c r="V55" s="36"/>
      <c r="W55" s="37"/>
      <c r="X55" s="91"/>
      <c r="Y55" s="51"/>
      <c r="Z55" s="49"/>
    </row>
    <row r="56" spans="1:26" ht="13.5" customHeight="1" x14ac:dyDescent="0.25">
      <c r="A56" s="40"/>
      <c r="B56" s="19" t="s">
        <v>82</v>
      </c>
      <c r="C56" s="35" t="s">
        <v>36</v>
      </c>
      <c r="D56" s="35" t="s">
        <v>143</v>
      </c>
      <c r="E56" s="35">
        <v>2022</v>
      </c>
      <c r="F56" s="35"/>
      <c r="G56" s="47" t="s">
        <v>110</v>
      </c>
      <c r="H56" s="47"/>
      <c r="I56" s="12" t="s">
        <v>39</v>
      </c>
      <c r="J56" s="12" t="s">
        <v>66</v>
      </c>
      <c r="K56" s="12" t="s">
        <v>41</v>
      </c>
      <c r="L56" s="64" t="s">
        <v>42</v>
      </c>
      <c r="M56" s="13" t="s">
        <v>71</v>
      </c>
      <c r="N56" s="18"/>
      <c r="O56" s="36">
        <v>3223</v>
      </c>
      <c r="P56" s="15">
        <v>3223</v>
      </c>
      <c r="Q56" s="73"/>
      <c r="R56" s="74"/>
      <c r="S56" s="75"/>
      <c r="T56" s="76"/>
      <c r="U56" s="77"/>
      <c r="V56" s="36"/>
      <c r="W56" s="37"/>
      <c r="X56" s="91"/>
      <c r="Y56" s="51"/>
      <c r="Z56" s="49"/>
    </row>
    <row r="57" spans="1:26" ht="13.5" customHeight="1" x14ac:dyDescent="0.25">
      <c r="A57" s="40"/>
      <c r="B57" s="19" t="s">
        <v>82</v>
      </c>
      <c r="C57" s="35" t="s">
        <v>36</v>
      </c>
      <c r="D57" s="35" t="s">
        <v>143</v>
      </c>
      <c r="E57" s="35">
        <v>2022</v>
      </c>
      <c r="F57" s="35"/>
      <c r="G57" s="47" t="s">
        <v>83</v>
      </c>
      <c r="H57" s="47"/>
      <c r="I57" s="12" t="s">
        <v>39</v>
      </c>
      <c r="J57" s="12" t="s">
        <v>40</v>
      </c>
      <c r="K57" s="12" t="s">
        <v>41</v>
      </c>
      <c r="L57" s="64" t="s">
        <v>42</v>
      </c>
      <c r="M57" s="13" t="s">
        <v>47</v>
      </c>
      <c r="N57" s="18"/>
      <c r="O57" s="36">
        <v>19339</v>
      </c>
      <c r="P57" s="15">
        <v>19339</v>
      </c>
      <c r="Q57" s="73"/>
      <c r="R57" s="74"/>
      <c r="S57" s="75"/>
      <c r="T57" s="76"/>
      <c r="U57" s="77"/>
      <c r="V57" s="36"/>
      <c r="W57" s="37"/>
      <c r="X57" s="91"/>
      <c r="Y57" s="51"/>
      <c r="Z57" s="49"/>
    </row>
    <row r="58" spans="1:26" ht="13.5" customHeight="1" x14ac:dyDescent="0.25">
      <c r="A58" s="40"/>
      <c r="B58" s="19" t="s">
        <v>82</v>
      </c>
      <c r="C58" s="35" t="s">
        <v>36</v>
      </c>
      <c r="D58" s="35" t="s">
        <v>143</v>
      </c>
      <c r="E58" s="35">
        <v>2022</v>
      </c>
      <c r="F58" s="35"/>
      <c r="G58" s="47" t="s">
        <v>176</v>
      </c>
      <c r="H58" s="47" t="s">
        <v>177</v>
      </c>
      <c r="I58" s="12" t="s">
        <v>39</v>
      </c>
      <c r="J58" s="12" t="s">
        <v>158</v>
      </c>
      <c r="K58" s="12" t="s">
        <v>41</v>
      </c>
      <c r="L58" s="64" t="s">
        <v>42</v>
      </c>
      <c r="M58" s="13" t="s">
        <v>149</v>
      </c>
      <c r="N58" s="18"/>
      <c r="O58" s="36">
        <v>7500</v>
      </c>
      <c r="P58" s="15">
        <v>7500</v>
      </c>
      <c r="Q58" s="73"/>
      <c r="R58" s="74"/>
      <c r="S58" s="75"/>
      <c r="T58" s="76"/>
      <c r="U58" s="77"/>
      <c r="V58" s="36"/>
      <c r="W58" s="37"/>
      <c r="X58" s="91"/>
      <c r="Y58" s="51"/>
      <c r="Z58" s="49"/>
    </row>
    <row r="59" spans="1:26" ht="13.5" customHeight="1" x14ac:dyDescent="0.25">
      <c r="A59" s="40"/>
      <c r="B59" s="11" t="s">
        <v>105</v>
      </c>
      <c r="C59" s="35" t="s">
        <v>36</v>
      </c>
      <c r="D59" s="35" t="s">
        <v>143</v>
      </c>
      <c r="E59" s="35">
        <v>2022</v>
      </c>
      <c r="F59" s="35"/>
      <c r="G59" s="47" t="s">
        <v>106</v>
      </c>
      <c r="H59" s="47"/>
      <c r="I59" s="12" t="s">
        <v>39</v>
      </c>
      <c r="J59" s="12" t="s">
        <v>40</v>
      </c>
      <c r="K59" s="12" t="s">
        <v>41</v>
      </c>
      <c r="L59" s="64" t="s">
        <v>42</v>
      </c>
      <c r="M59" s="13" t="s">
        <v>47</v>
      </c>
      <c r="N59" s="18"/>
      <c r="O59" s="36">
        <v>12893</v>
      </c>
      <c r="P59" s="15">
        <v>12893</v>
      </c>
      <c r="Q59" s="73"/>
      <c r="R59" s="74"/>
      <c r="S59" s="75"/>
      <c r="T59" s="76"/>
      <c r="U59" s="77"/>
      <c r="V59" s="36"/>
      <c r="W59" s="37"/>
      <c r="X59" s="91"/>
      <c r="Y59" s="51"/>
      <c r="Z59" s="49"/>
    </row>
    <row r="60" spans="1:26" ht="13.5" customHeight="1" x14ac:dyDescent="0.25">
      <c r="A60" s="40"/>
      <c r="B60" s="11" t="s">
        <v>105</v>
      </c>
      <c r="C60" s="35" t="s">
        <v>36</v>
      </c>
      <c r="D60" s="35" t="s">
        <v>143</v>
      </c>
      <c r="E60" s="35">
        <v>2022</v>
      </c>
      <c r="F60" s="35"/>
      <c r="G60" s="47" t="s">
        <v>178</v>
      </c>
      <c r="H60" s="47" t="s">
        <v>107</v>
      </c>
      <c r="I60" s="12" t="s">
        <v>39</v>
      </c>
      <c r="J60" s="12" t="s">
        <v>40</v>
      </c>
      <c r="K60" s="12" t="s">
        <v>41</v>
      </c>
      <c r="L60" s="64" t="s">
        <v>42</v>
      </c>
      <c r="M60" s="13" t="s">
        <v>47</v>
      </c>
      <c r="N60" s="18"/>
      <c r="O60" s="36">
        <v>10000</v>
      </c>
      <c r="P60" s="15">
        <v>10000</v>
      </c>
      <c r="Q60" s="42"/>
      <c r="R60" s="41"/>
      <c r="S60" s="16"/>
      <c r="T60" s="38"/>
      <c r="U60" s="39"/>
      <c r="V60" s="36"/>
      <c r="W60" s="37"/>
      <c r="X60" s="92"/>
      <c r="Y60" s="51"/>
      <c r="Z60" s="49"/>
    </row>
    <row r="61" spans="1:26" ht="13.5" customHeight="1" x14ac:dyDescent="0.25">
      <c r="A61" s="40"/>
      <c r="B61" s="19" t="s">
        <v>84</v>
      </c>
      <c r="C61" s="35" t="s">
        <v>36</v>
      </c>
      <c r="D61" s="35" t="s">
        <v>143</v>
      </c>
      <c r="E61" s="35">
        <v>2022</v>
      </c>
      <c r="F61" s="35"/>
      <c r="G61" s="47" t="s">
        <v>85</v>
      </c>
      <c r="H61" s="47" t="s">
        <v>179</v>
      </c>
      <c r="I61" s="12" t="s">
        <v>39</v>
      </c>
      <c r="J61" s="12" t="s">
        <v>40</v>
      </c>
      <c r="K61" s="12" t="s">
        <v>41</v>
      </c>
      <c r="L61" s="64" t="s">
        <v>42</v>
      </c>
      <c r="M61" s="13" t="s">
        <v>47</v>
      </c>
      <c r="N61" s="18"/>
      <c r="O61" s="36">
        <v>22562</v>
      </c>
      <c r="P61" s="15">
        <v>22562</v>
      </c>
      <c r="Q61" s="73"/>
      <c r="R61" s="74"/>
      <c r="S61" s="75"/>
      <c r="T61" s="76"/>
      <c r="U61" s="77"/>
      <c r="V61" s="36"/>
      <c r="W61" s="37"/>
      <c r="X61" s="91"/>
      <c r="Y61" s="51"/>
      <c r="Z61" s="49"/>
    </row>
    <row r="62" spans="1:26" ht="13.5" customHeight="1" x14ac:dyDescent="0.25">
      <c r="A62" s="40"/>
      <c r="B62" s="66" t="s">
        <v>95</v>
      </c>
      <c r="C62" s="35" t="s">
        <v>36</v>
      </c>
      <c r="D62" s="35" t="s">
        <v>143</v>
      </c>
      <c r="E62" s="35">
        <v>2022</v>
      </c>
      <c r="F62" s="35"/>
      <c r="G62" s="47" t="s">
        <v>112</v>
      </c>
      <c r="H62" s="47" t="s">
        <v>180</v>
      </c>
      <c r="I62" s="12" t="s">
        <v>39</v>
      </c>
      <c r="J62" s="12" t="s">
        <v>40</v>
      </c>
      <c r="K62" s="12" t="s">
        <v>41</v>
      </c>
      <c r="L62" s="64" t="s">
        <v>42</v>
      </c>
      <c r="M62" s="13" t="s">
        <v>47</v>
      </c>
      <c r="N62" s="18"/>
      <c r="O62" s="36">
        <v>19339</v>
      </c>
      <c r="P62" s="15">
        <v>19339</v>
      </c>
      <c r="Q62" s="73"/>
      <c r="R62" s="74"/>
      <c r="S62" s="75"/>
      <c r="T62" s="76"/>
      <c r="U62" s="77"/>
      <c r="V62" s="36"/>
      <c r="W62" s="37"/>
      <c r="X62" s="91"/>
      <c r="Y62" s="51"/>
      <c r="Z62" s="49"/>
    </row>
    <row r="63" spans="1:26" ht="13.5" customHeight="1" x14ac:dyDescent="0.25">
      <c r="A63" s="40"/>
      <c r="B63" s="66" t="s">
        <v>95</v>
      </c>
      <c r="C63" s="35" t="s">
        <v>36</v>
      </c>
      <c r="D63" s="35" t="s">
        <v>143</v>
      </c>
      <c r="E63" s="35">
        <v>2022</v>
      </c>
      <c r="F63" s="35"/>
      <c r="G63" s="47" t="s">
        <v>96</v>
      </c>
      <c r="H63" s="47" t="s">
        <v>181</v>
      </c>
      <c r="I63" s="12" t="s">
        <v>39</v>
      </c>
      <c r="J63" s="12" t="s">
        <v>40</v>
      </c>
      <c r="K63" s="12" t="s">
        <v>41</v>
      </c>
      <c r="L63" s="64" t="s">
        <v>42</v>
      </c>
      <c r="M63" s="13" t="s">
        <v>47</v>
      </c>
      <c r="N63" s="18"/>
      <c r="O63" s="36">
        <v>19339</v>
      </c>
      <c r="P63" s="15">
        <v>19339</v>
      </c>
      <c r="Q63" s="73"/>
      <c r="R63" s="74"/>
      <c r="S63" s="75"/>
      <c r="T63" s="76"/>
      <c r="U63" s="77"/>
      <c r="V63" s="36"/>
      <c r="W63" s="37"/>
      <c r="X63" s="91"/>
      <c r="Y63" s="51"/>
      <c r="Z63" s="49"/>
    </row>
    <row r="64" spans="1:26" ht="13.5" customHeight="1" thickBot="1" x14ac:dyDescent="0.3">
      <c r="A64" s="40"/>
      <c r="B64" s="83" t="s">
        <v>182</v>
      </c>
      <c r="C64" s="23" t="s">
        <v>36</v>
      </c>
      <c r="D64" s="23" t="s">
        <v>143</v>
      </c>
      <c r="E64" s="23">
        <v>2022</v>
      </c>
      <c r="F64" s="23"/>
      <c r="G64" s="212" t="s">
        <v>109</v>
      </c>
      <c r="H64" s="212" t="s">
        <v>183</v>
      </c>
      <c r="I64" s="24" t="s">
        <v>39</v>
      </c>
      <c r="J64" s="24" t="s">
        <v>40</v>
      </c>
      <c r="K64" s="24" t="s">
        <v>41</v>
      </c>
      <c r="L64" s="85" t="s">
        <v>42</v>
      </c>
      <c r="M64" s="86" t="s">
        <v>47</v>
      </c>
      <c r="N64" s="82"/>
      <c r="O64" s="88">
        <v>10000</v>
      </c>
      <c r="P64" s="96">
        <v>10000</v>
      </c>
      <c r="Q64" s="111"/>
      <c r="R64" s="112"/>
      <c r="S64" s="113"/>
      <c r="T64" s="114"/>
      <c r="U64" s="115"/>
      <c r="V64" s="214">
        <f>SUM(O50:O64)</f>
        <v>192212</v>
      </c>
      <c r="W64" s="89"/>
      <c r="X64" s="153"/>
      <c r="Y64" s="90"/>
      <c r="Z64" s="95"/>
    </row>
    <row r="65" spans="2:23" ht="15.75" thickBot="1" x14ac:dyDescent="0.3">
      <c r="M65" s="121" t="s">
        <v>184</v>
      </c>
      <c r="N65" s="122"/>
      <c r="O65" s="122">
        <f>SUM(O7:O64)</f>
        <v>2975762</v>
      </c>
      <c r="P65" s="122">
        <f>SUM(P7:P64)</f>
        <v>2953379</v>
      </c>
      <c r="W65" s="122"/>
    </row>
    <row r="75" spans="2:23" x14ac:dyDescent="0.25">
      <c r="B75" t="s">
        <v>185</v>
      </c>
    </row>
    <row r="76" spans="2:23" x14ac:dyDescent="0.25">
      <c r="B76" s="19" t="s">
        <v>186</v>
      </c>
      <c r="C76" s="44" t="s">
        <v>187</v>
      </c>
      <c r="D76" s="44"/>
      <c r="E76" s="210">
        <v>9669</v>
      </c>
    </row>
    <row r="77" spans="2:23" x14ac:dyDescent="0.25">
      <c r="B77" s="11" t="s">
        <v>186</v>
      </c>
      <c r="C77" s="44" t="s">
        <v>188</v>
      </c>
      <c r="D77" s="44"/>
      <c r="E77" s="210">
        <v>38678</v>
      </c>
    </row>
    <row r="78" spans="2:23" x14ac:dyDescent="0.25">
      <c r="B78" s="11" t="s">
        <v>186</v>
      </c>
      <c r="C78" s="44" t="s">
        <v>189</v>
      </c>
      <c r="D78" s="44"/>
      <c r="E78" s="210">
        <v>51570</v>
      </c>
    </row>
    <row r="79" spans="2:23" x14ac:dyDescent="0.25">
      <c r="B79" s="19" t="s">
        <v>186</v>
      </c>
      <c r="C79" s="44" t="s">
        <v>190</v>
      </c>
      <c r="D79" s="44" t="s">
        <v>191</v>
      </c>
      <c r="E79" s="210">
        <v>38678</v>
      </c>
    </row>
    <row r="80" spans="2:23" x14ac:dyDescent="0.25">
      <c r="B80" s="66" t="s">
        <v>186</v>
      </c>
      <c r="C80" s="44" t="s">
        <v>192</v>
      </c>
      <c r="D80" s="44" t="s">
        <v>193</v>
      </c>
      <c r="E80" s="210">
        <v>10000</v>
      </c>
    </row>
    <row r="81" spans="2:5" x14ac:dyDescent="0.25">
      <c r="B81" s="66" t="s">
        <v>186</v>
      </c>
      <c r="C81" s="44" t="s">
        <v>194</v>
      </c>
      <c r="D81" s="44" t="s">
        <v>195</v>
      </c>
      <c r="E81" s="210">
        <v>7500</v>
      </c>
    </row>
  </sheetData>
  <autoFilter ref="B5:Z65" xr:uid="{4410091C-2170-42F3-BAD6-E1D32F7EFF69}"/>
  <conditionalFormatting sqref="M6:N64">
    <cfRule type="containsText" dxfId="526" priority="467" operator="containsText" text="Naranja">
      <formula>NOT(ISERROR(SEARCH("Naranja",M6)))</formula>
    </cfRule>
  </conditionalFormatting>
  <conditionalFormatting sqref="M6:N64">
    <cfRule type="containsText" dxfId="525" priority="466" operator="containsText" text="Verde">
      <formula>NOT(ISERROR(SEARCH("Verde",M6)))</formula>
    </cfRule>
  </conditionalFormatting>
  <conditionalFormatting sqref="M6:N64">
    <cfRule type="containsText" dxfId="524" priority="465" operator="containsText" text="Rojo">
      <formula>NOT(ISERROR(SEARCH("Rojo",M6)))</formula>
    </cfRule>
  </conditionalFormatting>
  <conditionalFormatting sqref="M6">
    <cfRule type="containsText" dxfId="523" priority="458" operator="containsText" text="Naranja">
      <formula>NOT(ISERROR(SEARCH("Naranja",M6)))</formula>
    </cfRule>
  </conditionalFormatting>
  <conditionalFormatting sqref="M6">
    <cfRule type="containsText" dxfId="522" priority="457" operator="containsText" text="Verde">
      <formula>NOT(ISERROR(SEARCH("Verde",M6)))</formula>
    </cfRule>
  </conditionalFormatting>
  <conditionalFormatting sqref="M6">
    <cfRule type="containsText" dxfId="521" priority="456" operator="containsText" text="Rojo">
      <formula>NOT(ISERROR(SEARCH("Rojo",M6)))</formula>
    </cfRule>
  </conditionalFormatting>
  <conditionalFormatting sqref="N6">
    <cfRule type="containsText" dxfId="520" priority="455" operator="containsText" text="Naranja">
      <formula>NOT(ISERROR(SEARCH("Naranja",N6)))</formula>
    </cfRule>
  </conditionalFormatting>
  <conditionalFormatting sqref="N6">
    <cfRule type="containsText" dxfId="519" priority="454" operator="containsText" text="Verde">
      <formula>NOT(ISERROR(SEARCH("Verde",N6)))</formula>
    </cfRule>
  </conditionalFormatting>
  <conditionalFormatting sqref="N6">
    <cfRule type="containsText" dxfId="518" priority="453" operator="containsText" text="Rojo">
      <formula>NOT(ISERROR(SEARCH("Rojo",N6)))</formula>
    </cfRule>
  </conditionalFormatting>
  <conditionalFormatting sqref="M33:N33">
    <cfRule type="containsText" dxfId="517" priority="18" operator="containsText" text="Naranja">
      <formula>NOT(ISERROR(SEARCH("Naranja",M33)))</formula>
    </cfRule>
  </conditionalFormatting>
  <conditionalFormatting sqref="M33:N33">
    <cfRule type="containsText" dxfId="516" priority="17" operator="containsText" text="Verde">
      <formula>NOT(ISERROR(SEARCH("Verde",M33)))</formula>
    </cfRule>
  </conditionalFormatting>
  <conditionalFormatting sqref="M33:N33">
    <cfRule type="containsText" dxfId="515" priority="16" operator="containsText" text="Rojo">
      <formula>NOT(ISERROR(SEARCH("Rojo",M33)))</formula>
    </cfRule>
  </conditionalFormatting>
  <conditionalFormatting sqref="N27:N28">
    <cfRule type="containsText" dxfId="514" priority="12" operator="containsText" text="Naranja">
      <formula>NOT(ISERROR(SEARCH("Naranja",N27)))</formula>
    </cfRule>
  </conditionalFormatting>
  <conditionalFormatting sqref="N27:N28">
    <cfRule type="containsText" dxfId="513" priority="11" operator="containsText" text="Verde">
      <formula>NOT(ISERROR(SEARCH("Verde",N27)))</formula>
    </cfRule>
  </conditionalFormatting>
  <conditionalFormatting sqref="N27:N28">
    <cfRule type="containsText" dxfId="512" priority="10" operator="containsText" text="Rojo">
      <formula>NOT(ISERROR(SEARCH("Rojo",N27)))</formula>
    </cfRule>
  </conditionalFormatting>
  <conditionalFormatting sqref="M27">
    <cfRule type="containsText" dxfId="511" priority="6" operator="containsText" text="Naranja">
      <formula>NOT(ISERROR(SEARCH("Naranja",M27)))</formula>
    </cfRule>
  </conditionalFormatting>
  <conditionalFormatting sqref="M27">
    <cfRule type="containsText" dxfId="510" priority="5" operator="containsText" text="Verde">
      <formula>NOT(ISERROR(SEARCH("Verde",M27)))</formula>
    </cfRule>
  </conditionalFormatting>
  <conditionalFormatting sqref="M27">
    <cfRule type="containsText" dxfId="509" priority="4" operator="containsText" text="Rojo">
      <formula>NOT(ISERROR(SEARCH("Rojo",M27)))</formula>
    </cfRule>
  </conditionalFormatting>
  <conditionalFormatting sqref="M28">
    <cfRule type="containsText" dxfId="508" priority="3" operator="containsText" text="Naranja">
      <formula>NOT(ISERROR(SEARCH("Naranja",M28)))</formula>
    </cfRule>
  </conditionalFormatting>
  <conditionalFormatting sqref="M28">
    <cfRule type="containsText" dxfId="507" priority="2" operator="containsText" text="Verde">
      <formula>NOT(ISERROR(SEARCH("Verde",M28)))</formula>
    </cfRule>
  </conditionalFormatting>
  <conditionalFormatting sqref="M28">
    <cfRule type="containsText" dxfId="506" priority="1" operator="containsText" text="Rojo">
      <formula>NOT(ISERROR(SEARCH("Rojo",M28)))</formula>
    </cfRule>
  </conditionalFormatting>
  <pageMargins left="0.7" right="0.7" top="0.75" bottom="0.75" header="0.3" footer="0.3"/>
  <pageSetup orientation="portrait" r:id="rId1"/>
  <headerFooter>
    <oddFooter>&amp;R&amp;1#&amp;"Calibri"&amp;22&amp;KFF8939RESTRICTED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5BE23-B398-462D-A9B5-E416AAF226AE}">
  <sheetPr>
    <tabColor theme="9"/>
  </sheetPr>
  <dimension ref="A1:AD109"/>
  <sheetViews>
    <sheetView showGridLines="0" zoomScale="85" zoomScaleNormal="85" workbookViewId="0">
      <pane xSplit="8" ySplit="5" topLeftCell="I75" activePane="bottomRight" state="frozen"/>
      <selection pane="topRight" activeCell="Z2" sqref="Z2"/>
      <selection pane="bottomLeft" activeCell="Z2" sqref="Z2"/>
      <selection pane="bottomRight" activeCell="R103" sqref="R103"/>
    </sheetView>
  </sheetViews>
  <sheetFormatPr baseColWidth="10" defaultColWidth="8.5703125" defaultRowHeight="15" x14ac:dyDescent="0.25"/>
  <cols>
    <col min="1" max="1" width="1.5703125" customWidth="1"/>
    <col min="2" max="2" width="11.42578125" customWidth="1"/>
    <col min="3" max="3" width="11.5703125" bestFit="1" customWidth="1"/>
    <col min="4" max="4" width="14.42578125" bestFit="1" customWidth="1"/>
    <col min="5" max="5" width="11.42578125" hidden="1" customWidth="1"/>
    <col min="6" max="6" width="12.42578125" hidden="1" customWidth="1"/>
    <col min="7" max="7" width="11.5703125" hidden="1" customWidth="1"/>
    <col min="8" max="8" width="15.5703125" customWidth="1"/>
    <col min="9" max="9" width="15.42578125" customWidth="1"/>
    <col min="10" max="10" width="11.5703125" hidden="1" customWidth="1"/>
    <col min="11" max="11" width="9.85546875" hidden="1" customWidth="1"/>
    <col min="12" max="13" width="9.42578125" hidden="1" customWidth="1"/>
    <col min="14" max="14" width="11.5703125" customWidth="1"/>
    <col min="15" max="15" width="9.42578125" customWidth="1"/>
    <col min="16" max="16" width="13" customWidth="1"/>
    <col min="17" max="17" width="11.85546875" customWidth="1"/>
    <col min="18" max="18" width="11.42578125" customWidth="1"/>
    <col min="19" max="19" width="11.5703125" customWidth="1"/>
    <col min="20" max="20" width="12.5703125" customWidth="1"/>
    <col min="21" max="21" width="8.5703125" customWidth="1"/>
    <col min="22" max="22" width="14" customWidth="1"/>
    <col min="23" max="23" width="11.5703125" customWidth="1"/>
    <col min="24" max="24" width="8.42578125" customWidth="1"/>
    <col min="25" max="25" width="11.42578125" customWidth="1"/>
    <col min="26" max="26" width="13.5703125" customWidth="1"/>
    <col min="27" max="27" width="27.140625" bestFit="1" customWidth="1"/>
    <col min="28" max="30" width="5.5703125" customWidth="1"/>
  </cols>
  <sheetData>
    <row r="1" spans="1:30" x14ac:dyDescent="0.25">
      <c r="B1" s="1" t="s">
        <v>0</v>
      </c>
      <c r="C1" s="1" t="s">
        <v>1</v>
      </c>
      <c r="D1" s="1">
        <v>3000</v>
      </c>
      <c r="E1" s="1" t="s">
        <v>2</v>
      </c>
      <c r="F1" s="141" t="s">
        <v>196</v>
      </c>
      <c r="G1" s="141"/>
      <c r="H1" s="154">
        <v>30</v>
      </c>
      <c r="I1" t="s">
        <v>197</v>
      </c>
      <c r="J1" s="26">
        <f>SUM(P6:P99)</f>
        <v>3857317.5727272728</v>
      </c>
      <c r="M1" s="2" t="s">
        <v>123</v>
      </c>
      <c r="Z1" s="299" t="s">
        <v>198</v>
      </c>
    </row>
    <row r="2" spans="1:30" x14ac:dyDescent="0.25">
      <c r="B2" s="1"/>
      <c r="C2" s="1" t="s">
        <v>4</v>
      </c>
      <c r="D2" s="1">
        <v>1500</v>
      </c>
      <c r="E2" s="1" t="s">
        <v>2</v>
      </c>
      <c r="F2" s="141" t="s">
        <v>124</v>
      </c>
      <c r="G2" s="141"/>
      <c r="H2" s="155">
        <v>20</v>
      </c>
      <c r="I2" s="254">
        <f>+J2/$J$1</f>
        <v>5.3812266189231413E-2</v>
      </c>
      <c r="J2" s="26">
        <f>SUM(P83:P99)</f>
        <v>207571</v>
      </c>
      <c r="K2" t="s">
        <v>103</v>
      </c>
      <c r="M2" s="2" t="s">
        <v>6</v>
      </c>
      <c r="T2">
        <f>+S2*4</f>
        <v>0</v>
      </c>
      <c r="Z2" s="299" t="s">
        <v>199</v>
      </c>
    </row>
    <row r="3" spans="1:30" x14ac:dyDescent="0.25">
      <c r="B3" s="1"/>
      <c r="C3" s="4" t="s">
        <v>7</v>
      </c>
      <c r="D3" s="1">
        <v>10000</v>
      </c>
      <c r="E3" s="1" t="s">
        <v>2</v>
      </c>
      <c r="F3" s="1"/>
      <c r="G3" s="1"/>
      <c r="H3" s="3"/>
      <c r="I3" s="254">
        <f>+J3/$J$1</f>
        <v>0.89328667079154611</v>
      </c>
      <c r="J3" s="26">
        <f>SUM(P6:P60)</f>
        <v>3445690.372727273</v>
      </c>
      <c r="K3" t="s">
        <v>37</v>
      </c>
      <c r="M3" s="2" t="s">
        <v>8</v>
      </c>
      <c r="T3">
        <f>+S3*4</f>
        <v>0</v>
      </c>
    </row>
    <row r="4" spans="1:30" ht="15.75" thickBot="1" x14ac:dyDescent="0.3">
      <c r="B4" s="1"/>
      <c r="C4" s="1" t="s">
        <v>9</v>
      </c>
      <c r="D4" s="1">
        <v>13500</v>
      </c>
      <c r="E4" s="1" t="s">
        <v>2</v>
      </c>
      <c r="F4" s="1"/>
      <c r="G4" s="1"/>
      <c r="H4" s="3"/>
      <c r="I4" s="254">
        <f>+J4/$J$1</f>
        <v>3.3600085436668724E-2</v>
      </c>
      <c r="J4" s="297">
        <f>SUM(P61:P73)</f>
        <v>129606.2</v>
      </c>
      <c r="K4" t="s">
        <v>200</v>
      </c>
      <c r="M4" s="2"/>
      <c r="P4" s="26">
        <f>SUM(P6:P60)</f>
        <v>3445690.372727273</v>
      </c>
      <c r="Z4" s="297">
        <f>SUM(Z6:Z60)</f>
        <v>3445690.372727273</v>
      </c>
    </row>
    <row r="5" spans="1:30" ht="36" customHeight="1" x14ac:dyDescent="0.25">
      <c r="B5" s="5" t="s">
        <v>11</v>
      </c>
      <c r="C5" s="6" t="s">
        <v>12</v>
      </c>
      <c r="D5" s="6" t="s">
        <v>125</v>
      </c>
      <c r="E5" s="6" t="s">
        <v>14</v>
      </c>
      <c r="F5" s="6" t="s">
        <v>15</v>
      </c>
      <c r="G5" s="6" t="s">
        <v>201</v>
      </c>
      <c r="H5" s="7" t="s">
        <v>16</v>
      </c>
      <c r="I5" s="7" t="s">
        <v>126</v>
      </c>
      <c r="J5" s="7" t="s">
        <v>17</v>
      </c>
      <c r="K5" s="7" t="s">
        <v>18</v>
      </c>
      <c r="L5" s="7" t="s">
        <v>19</v>
      </c>
      <c r="M5" s="7" t="s">
        <v>20</v>
      </c>
      <c r="N5" s="8" t="s">
        <v>21</v>
      </c>
      <c r="O5" s="27" t="s">
        <v>22</v>
      </c>
      <c r="P5" s="30" t="s">
        <v>23</v>
      </c>
      <c r="Q5" s="27" t="s">
        <v>24</v>
      </c>
      <c r="R5" s="28" t="s">
        <v>25</v>
      </c>
      <c r="S5" s="9" t="s">
        <v>26</v>
      </c>
      <c r="T5" s="10" t="s">
        <v>27</v>
      </c>
      <c r="U5" s="10" t="s">
        <v>28</v>
      </c>
      <c r="V5" s="29" t="s">
        <v>29</v>
      </c>
      <c r="W5" s="31" t="s">
        <v>30</v>
      </c>
      <c r="X5" s="32" t="s">
        <v>31</v>
      </c>
      <c r="Y5" s="48" t="s">
        <v>32</v>
      </c>
      <c r="Z5" s="29" t="s">
        <v>33</v>
      </c>
      <c r="AA5" s="279" t="s">
        <v>34</v>
      </c>
      <c r="AB5" s="279" t="s">
        <v>202</v>
      </c>
      <c r="AC5" s="279" t="s">
        <v>203</v>
      </c>
      <c r="AD5" s="279"/>
    </row>
    <row r="6" spans="1:30" s="17" customFormat="1" ht="14.1" customHeight="1" x14ac:dyDescent="0.25">
      <c r="A6" s="40"/>
      <c r="B6" s="11" t="s">
        <v>204</v>
      </c>
      <c r="C6" s="35" t="s">
        <v>205</v>
      </c>
      <c r="D6" s="136" t="s">
        <v>127</v>
      </c>
      <c r="E6" s="35">
        <v>2022</v>
      </c>
      <c r="F6" s="35"/>
      <c r="G6" s="35"/>
      <c r="H6" s="289" t="s">
        <v>206</v>
      </c>
      <c r="I6" s="44"/>
      <c r="J6" s="12" t="s">
        <v>207</v>
      </c>
      <c r="K6" s="12" t="s">
        <v>40</v>
      </c>
      <c r="L6" s="12" t="s">
        <v>56</v>
      </c>
      <c r="M6" s="64" t="s">
        <v>57</v>
      </c>
      <c r="N6" s="211" t="s">
        <v>149</v>
      </c>
      <c r="O6" s="18">
        <f>+P6/$D$3+0.5</f>
        <v>2.0082200000000001</v>
      </c>
      <c r="P6" s="36">
        <f>+Q6*1.33</f>
        <v>15082.2</v>
      </c>
      <c r="Q6" s="72">
        <v>11340</v>
      </c>
      <c r="R6" s="73">
        <v>44593</v>
      </c>
      <c r="S6" s="74">
        <f>+R6+O6</f>
        <v>44595.008220000003</v>
      </c>
      <c r="T6" s="75">
        <f>_xlfn.ISOWEEKNUM(R6)</f>
        <v>5</v>
      </c>
      <c r="U6" s="75">
        <f>_xlfn.ISOWEEKNUM(S6)</f>
        <v>5</v>
      </c>
      <c r="V6" s="77">
        <f>+S6+$H$1</f>
        <v>44625.008220000003</v>
      </c>
      <c r="W6" s="71"/>
      <c r="X6" s="34"/>
      <c r="Y6" s="91">
        <f>MONTH(S6)</f>
        <v>2</v>
      </c>
      <c r="Z6" s="78"/>
      <c r="AA6" s="80"/>
      <c r="AB6" s="80"/>
      <c r="AC6" s="80"/>
      <c r="AD6" s="80"/>
    </row>
    <row r="7" spans="1:30" ht="13.5" customHeight="1" x14ac:dyDescent="0.25">
      <c r="A7" s="40"/>
      <c r="B7" s="19" t="s">
        <v>208</v>
      </c>
      <c r="C7" s="288" t="s">
        <v>209</v>
      </c>
      <c r="D7" s="136" t="s">
        <v>127</v>
      </c>
      <c r="E7" s="35">
        <v>2022</v>
      </c>
      <c r="F7" s="35"/>
      <c r="G7" s="35"/>
      <c r="H7" s="290" t="s">
        <v>210</v>
      </c>
      <c r="I7" s="47"/>
      <c r="J7" s="12" t="s">
        <v>211</v>
      </c>
      <c r="K7" s="12" t="s">
        <v>40</v>
      </c>
      <c r="L7" s="12" t="s">
        <v>56</v>
      </c>
      <c r="M7" s="64" t="s">
        <v>57</v>
      </c>
      <c r="N7" s="13" t="s">
        <v>47</v>
      </c>
      <c r="O7" s="18">
        <f t="shared" ref="O7" si="0">+P7/$D$3+0.5</f>
        <v>3.9293</v>
      </c>
      <c r="P7" s="71">
        <v>34293</v>
      </c>
      <c r="Q7" s="72">
        <f>+P7*0.75</f>
        <v>25719.75</v>
      </c>
      <c r="R7" s="73">
        <f>+S6</f>
        <v>44595.008220000003</v>
      </c>
      <c r="S7" s="74">
        <f>+R7+O7</f>
        <v>44598.937520000007</v>
      </c>
      <c r="T7" s="75">
        <f t="shared" ref="T7:T8" si="1">_xlfn.ISOWEEKNUM(R7)</f>
        <v>5</v>
      </c>
      <c r="U7" s="75">
        <f t="shared" ref="U7:U8" si="2">_xlfn.ISOWEEKNUM(S7)</f>
        <v>5</v>
      </c>
      <c r="V7" s="77">
        <f>+S7+$H$1</f>
        <v>44628.937520000007</v>
      </c>
      <c r="W7" s="71"/>
      <c r="X7" s="34"/>
      <c r="Y7" s="91">
        <f t="shared" ref="Y7:Y60" si="3">MONTH(S7)</f>
        <v>2</v>
      </c>
      <c r="Z7" s="78"/>
      <c r="AA7" s="79"/>
      <c r="AB7" s="79"/>
      <c r="AC7" s="79"/>
      <c r="AD7" s="79"/>
    </row>
    <row r="8" spans="1:30" ht="13.5" customHeight="1" x14ac:dyDescent="0.25">
      <c r="A8" s="40"/>
      <c r="B8" s="11" t="s">
        <v>93</v>
      </c>
      <c r="C8" s="35" t="s">
        <v>36</v>
      </c>
      <c r="D8" s="136" t="s">
        <v>127</v>
      </c>
      <c r="E8" s="35">
        <v>2022</v>
      </c>
      <c r="F8" s="35"/>
      <c r="G8" s="35"/>
      <c r="H8" s="290" t="s">
        <v>212</v>
      </c>
      <c r="I8" s="47"/>
      <c r="J8" s="12" t="s">
        <v>39</v>
      </c>
      <c r="K8" s="12" t="s">
        <v>40</v>
      </c>
      <c r="L8" s="12" t="s">
        <v>56</v>
      </c>
      <c r="M8" s="64" t="s">
        <v>57</v>
      </c>
      <c r="N8" s="13" t="s">
        <v>47</v>
      </c>
      <c r="O8" s="18">
        <f>+P8/$D$3+0.5</f>
        <v>3.2132000000000001</v>
      </c>
      <c r="P8" s="36">
        <f>+Q8*1.33</f>
        <v>27132</v>
      </c>
      <c r="Q8" s="15">
        <v>20400</v>
      </c>
      <c r="R8" s="73">
        <f t="shared" ref="R8" si="4">+S7</f>
        <v>44598.937520000007</v>
      </c>
      <c r="S8" s="74">
        <f t="shared" ref="S8" si="5">+R8+O8</f>
        <v>44602.150720000005</v>
      </c>
      <c r="T8" s="75">
        <f t="shared" si="1"/>
        <v>5</v>
      </c>
      <c r="U8" s="75">
        <f t="shared" si="2"/>
        <v>6</v>
      </c>
      <c r="V8" s="77">
        <f t="shared" ref="V8" si="6">+S8+$H$1</f>
        <v>44632.150720000005</v>
      </c>
      <c r="W8" s="36"/>
      <c r="X8" s="37"/>
      <c r="Y8" s="91">
        <f t="shared" si="3"/>
        <v>2</v>
      </c>
      <c r="Z8" s="51"/>
      <c r="AA8" s="49"/>
      <c r="AB8" s="49"/>
      <c r="AC8" s="49"/>
      <c r="AD8" s="49"/>
    </row>
    <row r="9" spans="1:30" ht="13.5" customHeight="1" x14ac:dyDescent="0.25">
      <c r="A9" s="40"/>
      <c r="B9" s="11" t="s">
        <v>54</v>
      </c>
      <c r="C9" s="35" t="s">
        <v>36</v>
      </c>
      <c r="D9" s="136" t="s">
        <v>127</v>
      </c>
      <c r="E9" s="35">
        <v>2022</v>
      </c>
      <c r="F9" s="35"/>
      <c r="G9" s="35"/>
      <c r="H9" s="47" t="s">
        <v>55</v>
      </c>
      <c r="I9" s="47"/>
      <c r="J9" s="12" t="s">
        <v>39</v>
      </c>
      <c r="K9" s="12" t="s">
        <v>40</v>
      </c>
      <c r="L9" s="12" t="s">
        <v>56</v>
      </c>
      <c r="M9" s="64" t="s">
        <v>57</v>
      </c>
      <c r="N9" s="13" t="s">
        <v>43</v>
      </c>
      <c r="O9" s="18">
        <f>+P9/$D$3+0.5</f>
        <v>5.4515900000000004</v>
      </c>
      <c r="P9" s="36">
        <f>+Q9*1.33</f>
        <v>49515.9</v>
      </c>
      <c r="Q9" s="15">
        <v>37230</v>
      </c>
      <c r="R9" s="73">
        <f t="shared" ref="R9:R43" si="7">+S8</f>
        <v>44602.150720000005</v>
      </c>
      <c r="S9" s="74">
        <f t="shared" ref="S9:S43" si="8">+R9+O9</f>
        <v>44607.602310000002</v>
      </c>
      <c r="T9" s="75">
        <f t="shared" ref="T9:T43" si="9">_xlfn.ISOWEEKNUM(R9)</f>
        <v>6</v>
      </c>
      <c r="U9" s="75">
        <f t="shared" ref="U9:U43" si="10">_xlfn.ISOWEEKNUM(S9)</f>
        <v>7</v>
      </c>
      <c r="V9" s="77">
        <f t="shared" ref="V9:V43" si="11">+S9+$H$1</f>
        <v>44637.602310000002</v>
      </c>
      <c r="W9" s="36"/>
      <c r="X9" s="37"/>
      <c r="Y9" s="91">
        <f t="shared" si="3"/>
        <v>2</v>
      </c>
      <c r="Z9" s="51"/>
      <c r="AA9" s="49"/>
      <c r="AB9" s="49">
        <v>0.95</v>
      </c>
      <c r="AC9" s="49"/>
      <c r="AD9" s="49"/>
    </row>
    <row r="10" spans="1:30" s="17" customFormat="1" ht="14.1" customHeight="1" x14ac:dyDescent="0.25">
      <c r="A10" s="40"/>
      <c r="B10" s="11" t="s">
        <v>45</v>
      </c>
      <c r="C10" s="35" t="s">
        <v>36</v>
      </c>
      <c r="D10" s="138" t="s">
        <v>127</v>
      </c>
      <c r="E10" s="35">
        <v>2022</v>
      </c>
      <c r="F10" s="35"/>
      <c r="G10" s="35"/>
      <c r="H10" s="44" t="s">
        <v>140</v>
      </c>
      <c r="I10" s="44"/>
      <c r="J10" s="12" t="s">
        <v>39</v>
      </c>
      <c r="K10" s="12" t="s">
        <v>136</v>
      </c>
      <c r="L10" s="12" t="s">
        <v>41</v>
      </c>
      <c r="M10" s="64" t="s">
        <v>42</v>
      </c>
      <c r="N10" s="13" t="s">
        <v>47</v>
      </c>
      <c r="O10" s="18">
        <f>+P10/$D$3+0.5</f>
        <v>6.1</v>
      </c>
      <c r="P10" s="71">
        <v>56000</v>
      </c>
      <c r="Q10" s="15">
        <f>+P10</f>
        <v>56000</v>
      </c>
      <c r="R10" s="73">
        <f t="shared" si="7"/>
        <v>44607.602310000002</v>
      </c>
      <c r="S10" s="74">
        <f t="shared" si="8"/>
        <v>44613.702310000001</v>
      </c>
      <c r="T10" s="75">
        <f t="shared" si="9"/>
        <v>7</v>
      </c>
      <c r="U10" s="75">
        <f t="shared" si="10"/>
        <v>8</v>
      </c>
      <c r="V10" s="77">
        <f t="shared" si="11"/>
        <v>44643.702310000001</v>
      </c>
      <c r="W10" s="71"/>
      <c r="X10" s="34"/>
      <c r="Y10" s="91">
        <f t="shared" si="3"/>
        <v>2</v>
      </c>
      <c r="Z10" s="78"/>
      <c r="AA10" s="80" t="s">
        <v>213</v>
      </c>
      <c r="AB10" s="80">
        <v>0.8</v>
      </c>
      <c r="AC10" s="80"/>
      <c r="AD10" s="80"/>
    </row>
    <row r="11" spans="1:30" ht="13.5" customHeight="1" x14ac:dyDescent="0.25">
      <c r="A11" s="40"/>
      <c r="B11" s="11" t="s">
        <v>35</v>
      </c>
      <c r="C11" s="35" t="s">
        <v>36</v>
      </c>
      <c r="D11" s="136" t="s">
        <v>127</v>
      </c>
      <c r="E11" s="35">
        <v>2022</v>
      </c>
      <c r="F11" s="35"/>
      <c r="G11" s="35"/>
      <c r="H11" s="47" t="s">
        <v>76</v>
      </c>
      <c r="I11" s="47"/>
      <c r="J11" s="12" t="s">
        <v>39</v>
      </c>
      <c r="K11" s="12" t="s">
        <v>40</v>
      </c>
      <c r="L11" s="12" t="s">
        <v>41</v>
      </c>
      <c r="M11" s="64" t="s">
        <v>42</v>
      </c>
      <c r="N11" s="13" t="s">
        <v>43</v>
      </c>
      <c r="O11" s="18">
        <f>+P11/$D$3</f>
        <v>2.8</v>
      </c>
      <c r="P11" s="36">
        <v>28000</v>
      </c>
      <c r="Q11" s="15">
        <f t="shared" ref="Q11:Q12" si="12">+P11</f>
        <v>28000</v>
      </c>
      <c r="R11" s="73">
        <f t="shared" si="7"/>
        <v>44613.702310000001</v>
      </c>
      <c r="S11" s="74">
        <f t="shared" si="8"/>
        <v>44616.502310000003</v>
      </c>
      <c r="T11" s="75">
        <f t="shared" si="9"/>
        <v>8</v>
      </c>
      <c r="U11" s="75">
        <f t="shared" si="10"/>
        <v>8</v>
      </c>
      <c r="V11" s="77">
        <f t="shared" si="11"/>
        <v>44646.502310000003</v>
      </c>
      <c r="W11" s="36"/>
      <c r="X11" s="37"/>
      <c r="Y11" s="91">
        <f t="shared" si="3"/>
        <v>2</v>
      </c>
      <c r="Z11" s="51"/>
      <c r="AA11" s="49" t="s">
        <v>214</v>
      </c>
      <c r="AB11" s="49">
        <v>0.95</v>
      </c>
      <c r="AC11" s="49"/>
      <c r="AD11" s="49"/>
    </row>
    <row r="12" spans="1:30" ht="13.5" customHeight="1" x14ac:dyDescent="0.25">
      <c r="A12" s="40"/>
      <c r="B12" s="11" t="s">
        <v>35</v>
      </c>
      <c r="C12" s="35" t="s">
        <v>36</v>
      </c>
      <c r="D12" s="138" t="s">
        <v>215</v>
      </c>
      <c r="E12" s="35">
        <v>2022</v>
      </c>
      <c r="F12" s="35"/>
      <c r="G12" s="35"/>
      <c r="H12" s="47" t="s">
        <v>76</v>
      </c>
      <c r="I12" s="47"/>
      <c r="J12" s="12" t="s">
        <v>52</v>
      </c>
      <c r="K12" s="12" t="s">
        <v>40</v>
      </c>
      <c r="L12" s="12" t="s">
        <v>41</v>
      </c>
      <c r="M12" s="64" t="s">
        <v>42</v>
      </c>
      <c r="N12" s="13" t="s">
        <v>43</v>
      </c>
      <c r="O12" s="18">
        <f>+P12/$D$3</f>
        <v>0.05</v>
      </c>
      <c r="P12" s="36">
        <v>500</v>
      </c>
      <c r="Q12" s="15">
        <f t="shared" si="12"/>
        <v>500</v>
      </c>
      <c r="R12" s="73">
        <f t="shared" si="7"/>
        <v>44616.502310000003</v>
      </c>
      <c r="S12" s="74">
        <f t="shared" si="8"/>
        <v>44616.552310000006</v>
      </c>
      <c r="T12" s="75">
        <f t="shared" si="9"/>
        <v>8</v>
      </c>
      <c r="U12" s="75">
        <f t="shared" si="10"/>
        <v>8</v>
      </c>
      <c r="V12" s="77">
        <f t="shared" si="11"/>
        <v>44646.552310000006</v>
      </c>
      <c r="W12" s="36"/>
      <c r="X12" s="37"/>
      <c r="Y12" s="91">
        <f t="shared" si="3"/>
        <v>2</v>
      </c>
      <c r="Z12" s="51"/>
      <c r="AA12" s="49"/>
      <c r="AB12" s="49"/>
      <c r="AC12" s="49"/>
      <c r="AD12" s="49"/>
    </row>
    <row r="13" spans="1:30" s="17" customFormat="1" ht="14.1" customHeight="1" x14ac:dyDescent="0.25">
      <c r="A13" s="40"/>
      <c r="B13" s="11" t="s">
        <v>35</v>
      </c>
      <c r="C13" s="35" t="s">
        <v>36</v>
      </c>
      <c r="D13" s="136" t="s">
        <v>127</v>
      </c>
      <c r="E13" s="35">
        <v>2022</v>
      </c>
      <c r="F13" s="35"/>
      <c r="G13" s="35"/>
      <c r="H13" s="44" t="s">
        <v>216</v>
      </c>
      <c r="I13" s="44" t="s">
        <v>217</v>
      </c>
      <c r="J13" s="12" t="s">
        <v>39</v>
      </c>
      <c r="K13" s="12" t="s">
        <v>40</v>
      </c>
      <c r="L13" s="12" t="s">
        <v>41</v>
      </c>
      <c r="M13" s="64" t="s">
        <v>42</v>
      </c>
      <c r="N13" s="13" t="s">
        <v>43</v>
      </c>
      <c r="O13" s="18">
        <f>+P13/$D$3</f>
        <v>0.1</v>
      </c>
      <c r="P13" s="71">
        <v>1000</v>
      </c>
      <c r="Q13" s="72">
        <f>+P13</f>
        <v>1000</v>
      </c>
      <c r="R13" s="73">
        <f t="shared" si="7"/>
        <v>44616.552310000006</v>
      </c>
      <c r="S13" s="74">
        <f t="shared" si="8"/>
        <v>44616.652310000005</v>
      </c>
      <c r="T13" s="75">
        <f t="shared" si="9"/>
        <v>8</v>
      </c>
      <c r="U13" s="75">
        <f t="shared" si="10"/>
        <v>8</v>
      </c>
      <c r="V13" s="77">
        <f t="shared" si="11"/>
        <v>44646.652310000005</v>
      </c>
      <c r="W13" s="71"/>
      <c r="X13" s="34"/>
      <c r="Y13" s="91">
        <f t="shared" si="3"/>
        <v>2</v>
      </c>
      <c r="Z13" s="78"/>
      <c r="AA13" s="79"/>
      <c r="AB13" s="80"/>
      <c r="AC13" s="80"/>
      <c r="AD13" s="80"/>
    </row>
    <row r="14" spans="1:30" s="17" customFormat="1" ht="14.1" customHeight="1" x14ac:dyDescent="0.25">
      <c r="A14" s="40"/>
      <c r="B14" s="11" t="s">
        <v>35</v>
      </c>
      <c r="C14" s="35" t="s">
        <v>36</v>
      </c>
      <c r="D14" s="138" t="s">
        <v>127</v>
      </c>
      <c r="E14" s="35">
        <v>2022</v>
      </c>
      <c r="F14" s="35"/>
      <c r="G14" s="35"/>
      <c r="H14" s="44" t="s">
        <v>138</v>
      </c>
      <c r="I14" s="44"/>
      <c r="J14" s="12" t="s">
        <v>39</v>
      </c>
      <c r="K14" s="12" t="s">
        <v>136</v>
      </c>
      <c r="L14" s="12" t="s">
        <v>41</v>
      </c>
      <c r="M14" s="64" t="s">
        <v>42</v>
      </c>
      <c r="N14" s="13" t="s">
        <v>43</v>
      </c>
      <c r="O14" s="18">
        <f>+P14/$D$4</f>
        <v>4.4444444444444446</v>
      </c>
      <c r="P14" s="71">
        <v>60000</v>
      </c>
      <c r="Q14" s="15">
        <f>+P14</f>
        <v>60000</v>
      </c>
      <c r="R14" s="73">
        <f t="shared" si="7"/>
        <v>44616.652310000005</v>
      </c>
      <c r="S14" s="74">
        <f t="shared" si="8"/>
        <v>44621.09675444445</v>
      </c>
      <c r="T14" s="75">
        <f t="shared" si="9"/>
        <v>8</v>
      </c>
      <c r="U14" s="75">
        <f t="shared" si="10"/>
        <v>9</v>
      </c>
      <c r="V14" s="77">
        <f t="shared" si="11"/>
        <v>44651.09675444445</v>
      </c>
      <c r="W14" s="71"/>
      <c r="X14" s="34"/>
      <c r="Y14" s="91">
        <f t="shared" si="3"/>
        <v>3</v>
      </c>
      <c r="Z14" s="298">
        <f>SUM(P6:P14)</f>
        <v>271523.09999999998</v>
      </c>
      <c r="AA14" s="49"/>
      <c r="AB14" s="80"/>
      <c r="AC14" s="80"/>
      <c r="AD14" s="80"/>
    </row>
    <row r="15" spans="1:30" s="17" customFormat="1" ht="14.1" customHeight="1" x14ac:dyDescent="0.25">
      <c r="A15" s="40"/>
      <c r="B15" s="11" t="s">
        <v>35</v>
      </c>
      <c r="C15" s="35" t="s">
        <v>36</v>
      </c>
      <c r="D15" s="138" t="s">
        <v>127</v>
      </c>
      <c r="E15" s="35">
        <v>2022</v>
      </c>
      <c r="F15" s="35"/>
      <c r="G15" s="35"/>
      <c r="H15" s="44" t="s">
        <v>77</v>
      </c>
      <c r="I15" s="44"/>
      <c r="J15" s="12" t="s">
        <v>39</v>
      </c>
      <c r="K15" s="12" t="s">
        <v>136</v>
      </c>
      <c r="L15" s="12" t="s">
        <v>41</v>
      </c>
      <c r="M15" s="64" t="s">
        <v>42</v>
      </c>
      <c r="N15" s="13" t="s">
        <v>43</v>
      </c>
      <c r="O15" s="18">
        <f t="shared" ref="O15:O58" si="13">+P15/$D$4</f>
        <v>6.2962962962962967</v>
      </c>
      <c r="P15" s="71">
        <v>85000</v>
      </c>
      <c r="Q15" s="15">
        <f>+P15</f>
        <v>85000</v>
      </c>
      <c r="R15" s="73">
        <f t="shared" si="7"/>
        <v>44621.09675444445</v>
      </c>
      <c r="S15" s="74">
        <f t="shared" si="8"/>
        <v>44627.393050740749</v>
      </c>
      <c r="T15" s="75">
        <f t="shared" si="9"/>
        <v>9</v>
      </c>
      <c r="U15" s="75">
        <f t="shared" si="10"/>
        <v>10</v>
      </c>
      <c r="V15" s="77">
        <f t="shared" si="11"/>
        <v>44657.393050740749</v>
      </c>
      <c r="W15" s="71"/>
      <c r="X15" s="34"/>
      <c r="Y15" s="91">
        <f t="shared" si="3"/>
        <v>3</v>
      </c>
      <c r="Z15" s="298"/>
      <c r="AA15" s="49" t="s">
        <v>213</v>
      </c>
      <c r="AB15" s="80">
        <v>0.9</v>
      </c>
      <c r="AC15" s="80"/>
      <c r="AD15" s="80"/>
    </row>
    <row r="16" spans="1:30" s="17" customFormat="1" ht="14.1" customHeight="1" x14ac:dyDescent="0.25">
      <c r="A16" s="40"/>
      <c r="B16" s="11" t="s">
        <v>82</v>
      </c>
      <c r="C16" s="35" t="s">
        <v>36</v>
      </c>
      <c r="D16" s="138" t="s">
        <v>127</v>
      </c>
      <c r="E16" s="35">
        <v>2022</v>
      </c>
      <c r="F16" s="35"/>
      <c r="G16" s="35"/>
      <c r="H16" s="44" t="s">
        <v>83</v>
      </c>
      <c r="I16" s="44"/>
      <c r="J16" s="12" t="s">
        <v>39</v>
      </c>
      <c r="K16" s="12" t="s">
        <v>40</v>
      </c>
      <c r="L16" s="12" t="s">
        <v>41</v>
      </c>
      <c r="M16" s="64" t="s">
        <v>42</v>
      </c>
      <c r="N16" s="211" t="s">
        <v>47</v>
      </c>
      <c r="O16" s="18">
        <f t="shared" si="13"/>
        <v>3.8691111111111112</v>
      </c>
      <c r="P16" s="71">
        <v>52233</v>
      </c>
      <c r="Q16" s="15">
        <f>+P16</f>
        <v>52233</v>
      </c>
      <c r="R16" s="73">
        <f t="shared" si="7"/>
        <v>44627.393050740749</v>
      </c>
      <c r="S16" s="74">
        <f t="shared" si="8"/>
        <v>44631.262161851861</v>
      </c>
      <c r="T16" s="75">
        <f t="shared" si="9"/>
        <v>10</v>
      </c>
      <c r="U16" s="75">
        <f t="shared" si="10"/>
        <v>10</v>
      </c>
      <c r="V16" s="77">
        <f t="shared" si="11"/>
        <v>44661.262161851861</v>
      </c>
      <c r="W16" s="71"/>
      <c r="X16" s="34"/>
      <c r="Y16" s="91">
        <f t="shared" si="3"/>
        <v>3</v>
      </c>
      <c r="Z16" s="78"/>
      <c r="AA16" s="80" t="s">
        <v>218</v>
      </c>
      <c r="AB16" s="80"/>
      <c r="AC16" s="80"/>
      <c r="AD16" s="80"/>
    </row>
    <row r="17" spans="1:30" ht="13.5" customHeight="1" x14ac:dyDescent="0.25">
      <c r="A17" s="40"/>
      <c r="B17" s="11" t="s">
        <v>35</v>
      </c>
      <c r="C17" s="35" t="s">
        <v>36</v>
      </c>
      <c r="D17" s="136" t="s">
        <v>127</v>
      </c>
      <c r="E17" s="35">
        <v>2022</v>
      </c>
      <c r="F17" s="35"/>
      <c r="G17" s="35"/>
      <c r="H17" s="47" t="s">
        <v>65</v>
      </c>
      <c r="I17" s="47"/>
      <c r="J17" s="12" t="s">
        <v>39</v>
      </c>
      <c r="K17" s="12" t="s">
        <v>66</v>
      </c>
      <c r="L17" s="12" t="s">
        <v>41</v>
      </c>
      <c r="M17" s="64" t="s">
        <v>219</v>
      </c>
      <c r="N17" s="13" t="s">
        <v>129</v>
      </c>
      <c r="O17" s="18">
        <f t="shared" si="13"/>
        <v>2.9629629629629628</v>
      </c>
      <c r="P17" s="36">
        <v>40000</v>
      </c>
      <c r="Q17" s="15">
        <f>+P17</f>
        <v>40000</v>
      </c>
      <c r="R17" s="73">
        <f t="shared" si="7"/>
        <v>44631.262161851861</v>
      </c>
      <c r="S17" s="74">
        <f t="shared" si="8"/>
        <v>44634.225124814824</v>
      </c>
      <c r="T17" s="75">
        <f t="shared" si="9"/>
        <v>10</v>
      </c>
      <c r="U17" s="75">
        <f t="shared" si="10"/>
        <v>11</v>
      </c>
      <c r="V17" s="77">
        <f t="shared" si="11"/>
        <v>44664.225124814824</v>
      </c>
      <c r="W17" s="36"/>
      <c r="X17" s="37"/>
      <c r="Y17" s="91">
        <f t="shared" si="3"/>
        <v>3</v>
      </c>
      <c r="Z17" s="51"/>
      <c r="AA17" s="49" t="s">
        <v>213</v>
      </c>
      <c r="AB17" s="49">
        <v>0.7</v>
      </c>
      <c r="AC17" s="49"/>
      <c r="AD17" s="49"/>
    </row>
    <row r="18" spans="1:30" ht="13.5" customHeight="1" x14ac:dyDescent="0.25">
      <c r="A18" s="40"/>
      <c r="B18" s="11" t="s">
        <v>35</v>
      </c>
      <c r="C18" s="35" t="s">
        <v>36</v>
      </c>
      <c r="D18" s="136" t="s">
        <v>127</v>
      </c>
      <c r="E18" s="35">
        <v>2022</v>
      </c>
      <c r="F18" s="35"/>
      <c r="G18" s="35"/>
      <c r="H18" s="47" t="s">
        <v>65</v>
      </c>
      <c r="I18" s="47"/>
      <c r="J18" s="12" t="s">
        <v>39</v>
      </c>
      <c r="K18" s="12" t="s">
        <v>66</v>
      </c>
      <c r="L18" s="12" t="s">
        <v>41</v>
      </c>
      <c r="M18" s="64" t="s">
        <v>42</v>
      </c>
      <c r="N18" s="13" t="s">
        <v>129</v>
      </c>
      <c r="O18" s="18">
        <f t="shared" si="13"/>
        <v>4.4444444444444446</v>
      </c>
      <c r="P18" s="36">
        <v>60000</v>
      </c>
      <c r="Q18" s="15">
        <f t="shared" ref="Q18:Q60" si="14">+P18</f>
        <v>60000</v>
      </c>
      <c r="R18" s="73">
        <f t="shared" si="7"/>
        <v>44634.225124814824</v>
      </c>
      <c r="S18" s="74">
        <f t="shared" si="8"/>
        <v>44638.669569259269</v>
      </c>
      <c r="T18" s="75">
        <f t="shared" si="9"/>
        <v>11</v>
      </c>
      <c r="U18" s="75">
        <f t="shared" si="10"/>
        <v>11</v>
      </c>
      <c r="V18" s="77">
        <f t="shared" si="11"/>
        <v>44668.669569259269</v>
      </c>
      <c r="W18" s="36"/>
      <c r="X18" s="37"/>
      <c r="Y18" s="91">
        <f t="shared" si="3"/>
        <v>3</v>
      </c>
      <c r="Z18" s="51"/>
      <c r="AA18" s="49" t="s">
        <v>213</v>
      </c>
      <c r="AB18" s="49">
        <v>0.7</v>
      </c>
      <c r="AC18" s="49"/>
      <c r="AD18" s="49"/>
    </row>
    <row r="19" spans="1:30" ht="13.5" customHeight="1" x14ac:dyDescent="0.25">
      <c r="A19" s="40"/>
      <c r="B19" s="11" t="s">
        <v>35</v>
      </c>
      <c r="C19" s="35" t="s">
        <v>36</v>
      </c>
      <c r="D19" s="136" t="s">
        <v>127</v>
      </c>
      <c r="E19" s="35">
        <v>2022</v>
      </c>
      <c r="F19" s="35"/>
      <c r="G19" s="35"/>
      <c r="H19" s="47" t="s">
        <v>65</v>
      </c>
      <c r="I19" s="47"/>
      <c r="J19" s="12" t="s">
        <v>52</v>
      </c>
      <c r="K19" s="12" t="s">
        <v>66</v>
      </c>
      <c r="L19" s="12" t="s">
        <v>41</v>
      </c>
      <c r="M19" s="64" t="s">
        <v>42</v>
      </c>
      <c r="N19" s="13" t="s">
        <v>129</v>
      </c>
      <c r="O19" s="18">
        <f t="shared" si="13"/>
        <v>0.22222222222222221</v>
      </c>
      <c r="P19" s="36">
        <v>3000</v>
      </c>
      <c r="Q19" s="15">
        <f t="shared" si="14"/>
        <v>3000</v>
      </c>
      <c r="R19" s="73">
        <f t="shared" si="7"/>
        <v>44638.669569259269</v>
      </c>
      <c r="S19" s="74">
        <f t="shared" si="8"/>
        <v>44638.891791481488</v>
      </c>
      <c r="T19" s="75">
        <f t="shared" si="9"/>
        <v>11</v>
      </c>
      <c r="U19" s="75">
        <f t="shared" si="10"/>
        <v>11</v>
      </c>
      <c r="V19" s="77">
        <f t="shared" si="11"/>
        <v>44668.891791481488</v>
      </c>
      <c r="W19" s="36"/>
      <c r="X19" s="37"/>
      <c r="Y19" s="91">
        <f t="shared" si="3"/>
        <v>3</v>
      </c>
      <c r="Z19" s="51"/>
      <c r="AA19" s="49" t="s">
        <v>213</v>
      </c>
      <c r="AB19" s="49">
        <v>0.7</v>
      </c>
      <c r="AC19" s="49"/>
      <c r="AD19" s="49"/>
    </row>
    <row r="20" spans="1:30" s="17" customFormat="1" ht="14.1" customHeight="1" x14ac:dyDescent="0.25">
      <c r="A20" s="40"/>
      <c r="B20" s="11" t="s">
        <v>35</v>
      </c>
      <c r="C20" s="35" t="s">
        <v>36</v>
      </c>
      <c r="D20" s="136" t="s">
        <v>127</v>
      </c>
      <c r="E20" s="35">
        <v>2022</v>
      </c>
      <c r="F20" s="35"/>
      <c r="G20" s="35"/>
      <c r="H20" s="44" t="s">
        <v>130</v>
      </c>
      <c r="I20" s="44"/>
      <c r="J20" s="12" t="s">
        <v>39</v>
      </c>
      <c r="K20" s="12" t="s">
        <v>66</v>
      </c>
      <c r="L20" s="12" t="s">
        <v>41</v>
      </c>
      <c r="M20" s="64" t="s">
        <v>42</v>
      </c>
      <c r="N20" s="13" t="s">
        <v>129</v>
      </c>
      <c r="O20" s="18">
        <f t="shared" si="13"/>
        <v>6.2962962962962967</v>
      </c>
      <c r="P20" s="71">
        <v>85000</v>
      </c>
      <c r="Q20" s="15">
        <f t="shared" ref="Q20:Q29" si="15">+P20</f>
        <v>85000</v>
      </c>
      <c r="R20" s="73">
        <f t="shared" si="7"/>
        <v>44638.891791481488</v>
      </c>
      <c r="S20" s="74">
        <f t="shared" si="8"/>
        <v>44645.188087777788</v>
      </c>
      <c r="T20" s="75">
        <f t="shared" si="9"/>
        <v>11</v>
      </c>
      <c r="U20" s="75">
        <f t="shared" si="10"/>
        <v>12</v>
      </c>
      <c r="V20" s="77">
        <f t="shared" si="11"/>
        <v>44675.188087777788</v>
      </c>
      <c r="W20" s="71"/>
      <c r="X20" s="34"/>
      <c r="Y20" s="91">
        <f t="shared" si="3"/>
        <v>3</v>
      </c>
      <c r="Z20" s="78"/>
      <c r="AA20" s="80" t="s">
        <v>213</v>
      </c>
      <c r="AB20" s="80">
        <v>0.75</v>
      </c>
      <c r="AC20" s="80"/>
      <c r="AD20" s="80"/>
    </row>
    <row r="21" spans="1:30" s="17" customFormat="1" ht="14.1" customHeight="1" x14ac:dyDescent="0.25">
      <c r="A21" s="40"/>
      <c r="B21" s="11" t="s">
        <v>35</v>
      </c>
      <c r="C21" s="35" t="s">
        <v>36</v>
      </c>
      <c r="D21" s="138" t="s">
        <v>127</v>
      </c>
      <c r="E21" s="35">
        <v>2022</v>
      </c>
      <c r="F21" s="35"/>
      <c r="G21" s="35"/>
      <c r="H21" s="44" t="s">
        <v>53</v>
      </c>
      <c r="I21" s="44"/>
      <c r="J21" s="12" t="s">
        <v>39</v>
      </c>
      <c r="K21" s="12" t="s">
        <v>136</v>
      </c>
      <c r="L21" s="12" t="s">
        <v>41</v>
      </c>
      <c r="M21" s="64" t="s">
        <v>42</v>
      </c>
      <c r="N21" s="13" t="s">
        <v>43</v>
      </c>
      <c r="O21" s="18">
        <f t="shared" si="13"/>
        <v>20.74074074074074</v>
      </c>
      <c r="P21" s="71">
        <v>280000</v>
      </c>
      <c r="Q21" s="15">
        <f t="shared" ref="Q21:Q26" si="16">+P21</f>
        <v>280000</v>
      </c>
      <c r="R21" s="73">
        <f t="shared" si="7"/>
        <v>44645.188087777788</v>
      </c>
      <c r="S21" s="74">
        <f t="shared" si="8"/>
        <v>44665.928828518525</v>
      </c>
      <c r="T21" s="75">
        <f t="shared" si="9"/>
        <v>12</v>
      </c>
      <c r="U21" s="75">
        <f t="shared" si="10"/>
        <v>15</v>
      </c>
      <c r="V21" s="77">
        <f t="shared" si="11"/>
        <v>44695.928828518525</v>
      </c>
      <c r="W21" s="71"/>
      <c r="X21" s="34"/>
      <c r="Y21" s="91">
        <f t="shared" si="3"/>
        <v>4</v>
      </c>
      <c r="Z21" s="298">
        <f>SUM(P15:P20)</f>
        <v>325233</v>
      </c>
      <c r="AA21" s="80" t="s">
        <v>213</v>
      </c>
      <c r="AB21" s="80">
        <v>0.82</v>
      </c>
      <c r="AC21" s="80"/>
      <c r="AD21" s="80"/>
    </row>
    <row r="22" spans="1:30" s="17" customFormat="1" ht="14.1" customHeight="1" x14ac:dyDescent="0.25">
      <c r="A22" s="40"/>
      <c r="B22" s="11" t="s">
        <v>45</v>
      </c>
      <c r="C22" s="35" t="s">
        <v>36</v>
      </c>
      <c r="D22" s="138" t="s">
        <v>127</v>
      </c>
      <c r="E22" s="35">
        <v>2022</v>
      </c>
      <c r="F22" s="35"/>
      <c r="G22" s="35"/>
      <c r="H22" s="44" t="s">
        <v>142</v>
      </c>
      <c r="I22" s="44"/>
      <c r="J22" s="12" t="s">
        <v>39</v>
      </c>
      <c r="K22" s="12" t="s">
        <v>136</v>
      </c>
      <c r="L22" s="12" t="s">
        <v>41</v>
      </c>
      <c r="M22" s="64" t="s">
        <v>42</v>
      </c>
      <c r="N22" s="13" t="s">
        <v>47</v>
      </c>
      <c r="O22" s="18">
        <f t="shared" si="13"/>
        <v>6.666666666666667</v>
      </c>
      <c r="P22" s="71">
        <v>90000</v>
      </c>
      <c r="Q22" s="15">
        <f t="shared" si="16"/>
        <v>90000</v>
      </c>
      <c r="R22" s="73">
        <f t="shared" si="7"/>
        <v>44665.928828518525</v>
      </c>
      <c r="S22" s="74">
        <f t="shared" si="8"/>
        <v>44672.595495185189</v>
      </c>
      <c r="T22" s="75">
        <f t="shared" si="9"/>
        <v>15</v>
      </c>
      <c r="U22" s="75">
        <f t="shared" si="10"/>
        <v>16</v>
      </c>
      <c r="V22" s="77">
        <f t="shared" si="11"/>
        <v>44702.595495185189</v>
      </c>
      <c r="W22" s="71"/>
      <c r="X22" s="34"/>
      <c r="Y22" s="91">
        <f t="shared" si="3"/>
        <v>4</v>
      </c>
      <c r="Z22" s="78"/>
      <c r="AA22" s="80" t="s">
        <v>213</v>
      </c>
      <c r="AB22" s="80">
        <v>0.8</v>
      </c>
      <c r="AC22" s="80"/>
      <c r="AD22" s="80"/>
    </row>
    <row r="23" spans="1:30" s="17" customFormat="1" ht="14.1" customHeight="1" x14ac:dyDescent="0.25">
      <c r="A23" s="40"/>
      <c r="B23" s="11" t="s">
        <v>45</v>
      </c>
      <c r="C23" s="35" t="s">
        <v>36</v>
      </c>
      <c r="D23" s="138" t="s">
        <v>127</v>
      </c>
      <c r="E23" s="35">
        <v>2022</v>
      </c>
      <c r="F23" s="35"/>
      <c r="G23" s="35"/>
      <c r="H23" s="44" t="s">
        <v>87</v>
      </c>
      <c r="I23" s="44"/>
      <c r="J23" s="12" t="s">
        <v>39</v>
      </c>
      <c r="K23" s="12" t="s">
        <v>40</v>
      </c>
      <c r="L23" s="12" t="s">
        <v>41</v>
      </c>
      <c r="M23" s="64" t="s">
        <v>42</v>
      </c>
      <c r="N23" s="13" t="s">
        <v>47</v>
      </c>
      <c r="O23" s="18">
        <f t="shared" si="13"/>
        <v>5.4074074074074074</v>
      </c>
      <c r="P23" s="71">
        <v>73000</v>
      </c>
      <c r="Q23" s="15">
        <f t="shared" si="16"/>
        <v>73000</v>
      </c>
      <c r="R23" s="73">
        <f t="shared" si="7"/>
        <v>44672.595495185189</v>
      </c>
      <c r="S23" s="74">
        <f t="shared" si="8"/>
        <v>44678.002902592598</v>
      </c>
      <c r="T23" s="75">
        <f t="shared" si="9"/>
        <v>16</v>
      </c>
      <c r="U23" s="75">
        <f t="shared" si="10"/>
        <v>17</v>
      </c>
      <c r="V23" s="77">
        <f t="shared" si="11"/>
        <v>44708.002902592598</v>
      </c>
      <c r="W23" s="71"/>
      <c r="X23" s="34"/>
      <c r="Y23" s="91">
        <f t="shared" si="3"/>
        <v>4</v>
      </c>
      <c r="Z23" s="78"/>
      <c r="AA23" s="80" t="s">
        <v>213</v>
      </c>
      <c r="AB23" s="80">
        <v>0.7</v>
      </c>
      <c r="AC23" s="80"/>
      <c r="AD23" s="80"/>
    </row>
    <row r="24" spans="1:30" s="17" customFormat="1" ht="14.1" customHeight="1" x14ac:dyDescent="0.25">
      <c r="A24" s="40"/>
      <c r="B24" s="11" t="s">
        <v>45</v>
      </c>
      <c r="C24" s="35" t="s">
        <v>36</v>
      </c>
      <c r="D24" s="138" t="s">
        <v>127</v>
      </c>
      <c r="E24" s="35">
        <v>2022</v>
      </c>
      <c r="F24" s="35"/>
      <c r="G24" s="35"/>
      <c r="H24" s="44" t="s">
        <v>88</v>
      </c>
      <c r="I24" s="44"/>
      <c r="J24" s="12" t="s">
        <v>39</v>
      </c>
      <c r="K24" s="12" t="s">
        <v>40</v>
      </c>
      <c r="L24" s="12" t="s">
        <v>41</v>
      </c>
      <c r="M24" s="64" t="s">
        <v>42</v>
      </c>
      <c r="N24" s="13" t="s">
        <v>47</v>
      </c>
      <c r="O24" s="18">
        <f t="shared" si="13"/>
        <v>5.1851851851851851</v>
      </c>
      <c r="P24" s="71">
        <v>70000</v>
      </c>
      <c r="Q24" s="15">
        <f t="shared" si="16"/>
        <v>70000</v>
      </c>
      <c r="R24" s="73">
        <f t="shared" si="7"/>
        <v>44678.002902592598</v>
      </c>
      <c r="S24" s="74">
        <f t="shared" si="8"/>
        <v>44683.18808777778</v>
      </c>
      <c r="T24" s="75">
        <f t="shared" si="9"/>
        <v>17</v>
      </c>
      <c r="U24" s="75">
        <f t="shared" si="10"/>
        <v>18</v>
      </c>
      <c r="V24" s="77">
        <f t="shared" si="11"/>
        <v>44713.18808777778</v>
      </c>
      <c r="W24" s="71"/>
      <c r="X24" s="34"/>
      <c r="Y24" s="91">
        <f t="shared" si="3"/>
        <v>5</v>
      </c>
      <c r="Z24" s="78"/>
      <c r="AA24" s="80" t="s">
        <v>213</v>
      </c>
      <c r="AB24" s="80">
        <v>0.7</v>
      </c>
      <c r="AC24" s="80"/>
      <c r="AD24" s="80"/>
    </row>
    <row r="25" spans="1:30" s="17" customFormat="1" ht="14.1" customHeight="1" x14ac:dyDescent="0.25">
      <c r="A25" s="40"/>
      <c r="B25" s="11" t="s">
        <v>35</v>
      </c>
      <c r="C25" s="35" t="s">
        <v>36</v>
      </c>
      <c r="D25" s="138" t="s">
        <v>127</v>
      </c>
      <c r="E25" s="35">
        <v>2022</v>
      </c>
      <c r="F25" s="35"/>
      <c r="G25" s="35"/>
      <c r="H25" s="292" t="s">
        <v>139</v>
      </c>
      <c r="I25" s="44"/>
      <c r="J25" s="12" t="s">
        <v>39</v>
      </c>
      <c r="K25" s="12" t="s">
        <v>136</v>
      </c>
      <c r="L25" s="12" t="s">
        <v>41</v>
      </c>
      <c r="M25" s="64" t="s">
        <v>42</v>
      </c>
      <c r="N25" s="13" t="s">
        <v>43</v>
      </c>
      <c r="O25" s="18">
        <f t="shared" si="13"/>
        <v>3.0981481481481481</v>
      </c>
      <c r="P25" s="71">
        <v>41825</v>
      </c>
      <c r="Q25" s="15">
        <f t="shared" si="16"/>
        <v>41825</v>
      </c>
      <c r="R25" s="73">
        <f t="shared" si="7"/>
        <v>44683.18808777778</v>
      </c>
      <c r="S25" s="74">
        <f t="shared" si="8"/>
        <v>44686.286235925931</v>
      </c>
      <c r="T25" s="75">
        <f t="shared" si="9"/>
        <v>18</v>
      </c>
      <c r="U25" s="75">
        <f t="shared" si="10"/>
        <v>18</v>
      </c>
      <c r="V25" s="77">
        <f t="shared" si="11"/>
        <v>44716.286235925931</v>
      </c>
      <c r="W25" s="71"/>
      <c r="X25" s="34"/>
      <c r="Y25" s="91">
        <f t="shared" si="3"/>
        <v>5</v>
      </c>
      <c r="Z25" s="298"/>
      <c r="AA25" s="80" t="s">
        <v>214</v>
      </c>
      <c r="AB25" s="80">
        <v>0.95</v>
      </c>
      <c r="AC25" s="80"/>
      <c r="AD25" s="80"/>
    </row>
    <row r="26" spans="1:30" ht="13.5" customHeight="1" x14ac:dyDescent="0.25">
      <c r="A26" s="40"/>
      <c r="B26" s="11" t="s">
        <v>35</v>
      </c>
      <c r="C26" s="35" t="s">
        <v>36</v>
      </c>
      <c r="D26" s="136" t="s">
        <v>127</v>
      </c>
      <c r="E26" s="35">
        <v>2022</v>
      </c>
      <c r="F26" s="35"/>
      <c r="G26" s="35"/>
      <c r="H26" s="292" t="s">
        <v>75</v>
      </c>
      <c r="I26" s="47"/>
      <c r="J26" s="12" t="s">
        <v>39</v>
      </c>
      <c r="K26" s="12" t="s">
        <v>40</v>
      </c>
      <c r="L26" s="12" t="s">
        <v>41</v>
      </c>
      <c r="M26" s="64" t="s">
        <v>42</v>
      </c>
      <c r="N26" s="13" t="s">
        <v>43</v>
      </c>
      <c r="O26" s="18">
        <f t="shared" si="13"/>
        <v>7.1111111111111107</v>
      </c>
      <c r="P26" s="71">
        <v>96000</v>
      </c>
      <c r="Q26" s="15">
        <f t="shared" si="16"/>
        <v>96000</v>
      </c>
      <c r="R26" s="73">
        <f t="shared" si="7"/>
        <v>44686.286235925931</v>
      </c>
      <c r="S26" s="74">
        <f t="shared" si="8"/>
        <v>44693.39734703704</v>
      </c>
      <c r="T26" s="75">
        <f t="shared" si="9"/>
        <v>18</v>
      </c>
      <c r="U26" s="75">
        <f t="shared" si="10"/>
        <v>19</v>
      </c>
      <c r="V26" s="77">
        <f t="shared" si="11"/>
        <v>44723.39734703704</v>
      </c>
      <c r="W26" s="36"/>
      <c r="X26" s="37"/>
      <c r="Y26" s="91">
        <f t="shared" si="3"/>
        <v>5</v>
      </c>
      <c r="Z26" s="298"/>
      <c r="AA26" s="49" t="s">
        <v>213</v>
      </c>
      <c r="AB26" s="49">
        <v>0.95</v>
      </c>
      <c r="AC26" s="49"/>
      <c r="AD26" s="49"/>
    </row>
    <row r="27" spans="1:30" s="17" customFormat="1" ht="14.1" customHeight="1" x14ac:dyDescent="0.25">
      <c r="A27" s="40"/>
      <c r="B27" s="11" t="s">
        <v>45</v>
      </c>
      <c r="C27" s="35" t="s">
        <v>36</v>
      </c>
      <c r="D27" s="138" t="s">
        <v>127</v>
      </c>
      <c r="E27" s="35">
        <v>2022</v>
      </c>
      <c r="F27" s="35"/>
      <c r="G27" s="291" t="s">
        <v>220</v>
      </c>
      <c r="H27" s="280" t="s">
        <v>117</v>
      </c>
      <c r="I27" s="44"/>
      <c r="J27" s="12" t="s">
        <v>39</v>
      </c>
      <c r="K27" s="12" t="s">
        <v>66</v>
      </c>
      <c r="L27" s="12" t="s">
        <v>41</v>
      </c>
      <c r="M27" s="64" t="s">
        <v>219</v>
      </c>
      <c r="N27" s="13" t="s">
        <v>71</v>
      </c>
      <c r="O27" s="18">
        <f t="shared" si="13"/>
        <v>0.51851851851851849</v>
      </c>
      <c r="P27" s="71">
        <v>7000</v>
      </c>
      <c r="Q27" s="15">
        <f t="shared" ref="Q27" si="17">+P27</f>
        <v>7000</v>
      </c>
      <c r="R27" s="73">
        <f t="shared" si="7"/>
        <v>44693.39734703704</v>
      </c>
      <c r="S27" s="74">
        <f t="shared" si="8"/>
        <v>44693.915865555558</v>
      </c>
      <c r="T27" s="75">
        <f t="shared" si="9"/>
        <v>19</v>
      </c>
      <c r="U27" s="75">
        <f t="shared" si="10"/>
        <v>19</v>
      </c>
      <c r="V27" s="77">
        <f t="shared" si="11"/>
        <v>44723.915865555558</v>
      </c>
      <c r="W27" s="71"/>
      <c r="X27" s="34"/>
      <c r="Y27" s="91">
        <f t="shared" si="3"/>
        <v>5</v>
      </c>
      <c r="Z27" s="298">
        <f>SUM(P21:P25)</f>
        <v>554825</v>
      </c>
      <c r="AA27" s="49"/>
      <c r="AB27" s="80"/>
      <c r="AC27" s="80"/>
      <c r="AD27" s="80"/>
    </row>
    <row r="28" spans="1:30" s="17" customFormat="1" ht="14.1" customHeight="1" x14ac:dyDescent="0.25">
      <c r="A28" s="40"/>
      <c r="B28" s="11" t="s">
        <v>45</v>
      </c>
      <c r="C28" s="35" t="s">
        <v>36</v>
      </c>
      <c r="D28" s="138" t="s">
        <v>127</v>
      </c>
      <c r="E28" s="35">
        <v>2022</v>
      </c>
      <c r="F28" s="35"/>
      <c r="G28" s="291" t="s">
        <v>220</v>
      </c>
      <c r="H28" s="280" t="s">
        <v>117</v>
      </c>
      <c r="I28" s="44"/>
      <c r="J28" s="12" t="s">
        <v>39</v>
      </c>
      <c r="K28" s="12" t="s">
        <v>66</v>
      </c>
      <c r="L28" s="12" t="s">
        <v>41</v>
      </c>
      <c r="M28" s="64" t="s">
        <v>42</v>
      </c>
      <c r="N28" s="13" t="s">
        <v>71</v>
      </c>
      <c r="O28" s="18">
        <f t="shared" si="13"/>
        <v>2.0533333333333332</v>
      </c>
      <c r="P28" s="71">
        <f>34720-P27</f>
        <v>27720</v>
      </c>
      <c r="Q28" s="15">
        <f t="shared" ref="Q28" si="18">+P28</f>
        <v>27720</v>
      </c>
      <c r="R28" s="73">
        <f t="shared" si="7"/>
        <v>44693.915865555558</v>
      </c>
      <c r="S28" s="74">
        <f t="shared" si="8"/>
        <v>44695.969198888895</v>
      </c>
      <c r="T28" s="75">
        <f t="shared" si="9"/>
        <v>19</v>
      </c>
      <c r="U28" s="75">
        <f t="shared" si="10"/>
        <v>19</v>
      </c>
      <c r="V28" s="77">
        <f t="shared" si="11"/>
        <v>44725.969198888895</v>
      </c>
      <c r="W28" s="71"/>
      <c r="X28" s="34"/>
      <c r="Y28" s="91">
        <f t="shared" si="3"/>
        <v>5</v>
      </c>
      <c r="Z28" s="78"/>
      <c r="AA28" s="80" t="s">
        <v>214</v>
      </c>
      <c r="AB28" s="80">
        <v>0.75</v>
      </c>
      <c r="AC28" s="80"/>
      <c r="AD28" s="80"/>
    </row>
    <row r="29" spans="1:30" s="17" customFormat="1" ht="14.1" customHeight="1" x14ac:dyDescent="0.25">
      <c r="A29" s="40"/>
      <c r="B29" s="11" t="s">
        <v>35</v>
      </c>
      <c r="C29" s="35" t="s">
        <v>36</v>
      </c>
      <c r="D29" s="138" t="s">
        <v>127</v>
      </c>
      <c r="E29" s="35">
        <v>2022</v>
      </c>
      <c r="F29" s="35"/>
      <c r="G29" s="35"/>
      <c r="H29" s="292" t="s">
        <v>134</v>
      </c>
      <c r="I29" s="44"/>
      <c r="J29" s="12" t="s">
        <v>39</v>
      </c>
      <c r="K29" s="12" t="s">
        <v>40</v>
      </c>
      <c r="L29" s="12" t="s">
        <v>41</v>
      </c>
      <c r="M29" s="64" t="s">
        <v>42</v>
      </c>
      <c r="N29" s="13" t="s">
        <v>43</v>
      </c>
      <c r="O29" s="18">
        <f t="shared" si="13"/>
        <v>8.1481481481481488</v>
      </c>
      <c r="P29" s="71">
        <v>110000</v>
      </c>
      <c r="Q29" s="15">
        <f t="shared" si="15"/>
        <v>110000</v>
      </c>
      <c r="R29" s="73">
        <f t="shared" si="7"/>
        <v>44695.969198888895</v>
      </c>
      <c r="S29" s="74">
        <f t="shared" si="8"/>
        <v>44704.117347037041</v>
      </c>
      <c r="T29" s="75">
        <f t="shared" si="9"/>
        <v>19</v>
      </c>
      <c r="U29" s="75">
        <f t="shared" si="10"/>
        <v>21</v>
      </c>
      <c r="V29" s="77">
        <f t="shared" si="11"/>
        <v>44734.117347037041</v>
      </c>
      <c r="W29" s="71"/>
      <c r="X29" s="34"/>
      <c r="Y29" s="91">
        <f t="shared" si="3"/>
        <v>5</v>
      </c>
      <c r="Z29" s="78"/>
      <c r="AA29" s="49" t="s">
        <v>213</v>
      </c>
      <c r="AB29" s="80">
        <v>0.65</v>
      </c>
      <c r="AC29" s="80"/>
      <c r="AD29" s="80"/>
    </row>
    <row r="30" spans="1:30" s="17" customFormat="1" ht="14.1" customHeight="1" x14ac:dyDescent="0.25">
      <c r="A30" s="40"/>
      <c r="B30" s="11" t="s">
        <v>35</v>
      </c>
      <c r="C30" s="35" t="s">
        <v>36</v>
      </c>
      <c r="D30" s="138" t="s">
        <v>215</v>
      </c>
      <c r="E30" s="35">
        <v>2022</v>
      </c>
      <c r="F30" s="35"/>
      <c r="G30" s="35"/>
      <c r="H30" s="292" t="s">
        <v>134</v>
      </c>
      <c r="I30" s="44"/>
      <c r="J30" s="12" t="s">
        <v>52</v>
      </c>
      <c r="K30" s="12" t="s">
        <v>40</v>
      </c>
      <c r="L30" s="12" t="s">
        <v>41</v>
      </c>
      <c r="M30" s="64" t="s">
        <v>42</v>
      </c>
      <c r="N30" s="13" t="s">
        <v>47</v>
      </c>
      <c r="O30" s="18">
        <f t="shared" si="13"/>
        <v>3.7037037037037035E-2</v>
      </c>
      <c r="P30" s="71">
        <v>500</v>
      </c>
      <c r="Q30" s="15">
        <f t="shared" ref="Q30:Q35" si="19">+P30</f>
        <v>500</v>
      </c>
      <c r="R30" s="73">
        <f t="shared" si="7"/>
        <v>44704.117347037041</v>
      </c>
      <c r="S30" s="74">
        <f t="shared" si="8"/>
        <v>44704.154384074078</v>
      </c>
      <c r="T30" s="75">
        <f t="shared" si="9"/>
        <v>21</v>
      </c>
      <c r="U30" s="75">
        <f t="shared" si="10"/>
        <v>21</v>
      </c>
      <c r="V30" s="77">
        <f t="shared" si="11"/>
        <v>44734.154384074078</v>
      </c>
      <c r="W30" s="71"/>
      <c r="X30" s="34"/>
      <c r="Y30" s="91">
        <f t="shared" si="3"/>
        <v>5</v>
      </c>
      <c r="Z30" s="78"/>
      <c r="AA30" s="49" t="s">
        <v>213</v>
      </c>
      <c r="AB30" s="80">
        <v>0.65</v>
      </c>
      <c r="AC30" s="80"/>
      <c r="AD30" s="80"/>
    </row>
    <row r="31" spans="1:30" s="17" customFormat="1" ht="14.1" customHeight="1" x14ac:dyDescent="0.25">
      <c r="A31" s="40"/>
      <c r="B31" s="11" t="s">
        <v>35</v>
      </c>
      <c r="C31" s="35" t="s">
        <v>36</v>
      </c>
      <c r="D31" s="138" t="s">
        <v>127</v>
      </c>
      <c r="E31" s="35">
        <v>2022</v>
      </c>
      <c r="F31" s="35"/>
      <c r="G31" s="291" t="s">
        <v>220</v>
      </c>
      <c r="H31" s="280" t="s">
        <v>113</v>
      </c>
      <c r="I31" s="44"/>
      <c r="J31" s="12" t="s">
        <v>39</v>
      </c>
      <c r="K31" s="12" t="s">
        <v>136</v>
      </c>
      <c r="L31" s="12" t="s">
        <v>41</v>
      </c>
      <c r="M31" s="64" t="s">
        <v>42</v>
      </c>
      <c r="N31" s="13" t="s">
        <v>43</v>
      </c>
      <c r="O31" s="18">
        <f t="shared" si="13"/>
        <v>4.4367407407407411</v>
      </c>
      <c r="P31" s="71">
        <v>59896</v>
      </c>
      <c r="Q31" s="15">
        <f>+P31</f>
        <v>59896</v>
      </c>
      <c r="R31" s="73">
        <f t="shared" si="7"/>
        <v>44704.154384074078</v>
      </c>
      <c r="S31" s="74">
        <f t="shared" si="8"/>
        <v>44708.591124814819</v>
      </c>
      <c r="T31" s="75">
        <f t="shared" si="9"/>
        <v>21</v>
      </c>
      <c r="U31" s="75">
        <f t="shared" si="10"/>
        <v>21</v>
      </c>
      <c r="V31" s="77">
        <f t="shared" si="11"/>
        <v>44738.591124814819</v>
      </c>
      <c r="W31" s="71"/>
      <c r="X31" s="34"/>
      <c r="Y31" s="91">
        <f t="shared" si="3"/>
        <v>5</v>
      </c>
      <c r="Z31" s="78"/>
      <c r="AA31" s="80" t="s">
        <v>214</v>
      </c>
      <c r="AB31" s="80">
        <v>1</v>
      </c>
      <c r="AC31" s="80" t="s">
        <v>103</v>
      </c>
      <c r="AD31" s="80">
        <v>59000</v>
      </c>
    </row>
    <row r="32" spans="1:30" s="17" customFormat="1" ht="14.1" customHeight="1" x14ac:dyDescent="0.25">
      <c r="A32" s="40"/>
      <c r="B32" s="11" t="s">
        <v>35</v>
      </c>
      <c r="C32" s="35" t="s">
        <v>36</v>
      </c>
      <c r="D32" s="136" t="s">
        <v>127</v>
      </c>
      <c r="E32" s="35">
        <v>2022</v>
      </c>
      <c r="F32" s="35"/>
      <c r="G32" s="35"/>
      <c r="H32" s="44" t="s">
        <v>133</v>
      </c>
      <c r="I32" s="44"/>
      <c r="J32" s="12" t="s">
        <v>39</v>
      </c>
      <c r="K32" s="12" t="s">
        <v>40</v>
      </c>
      <c r="L32" s="12" t="s">
        <v>41</v>
      </c>
      <c r="M32" s="64" t="s">
        <v>42</v>
      </c>
      <c r="N32" s="13" t="s">
        <v>43</v>
      </c>
      <c r="O32" s="18">
        <f t="shared" si="13"/>
        <v>6.7873333333333337</v>
      </c>
      <c r="P32" s="71">
        <v>91629</v>
      </c>
      <c r="Q32" s="15">
        <f>+P32</f>
        <v>91629</v>
      </c>
      <c r="R32" s="73">
        <f t="shared" si="7"/>
        <v>44708.591124814819</v>
      </c>
      <c r="S32" s="74">
        <f t="shared" si="8"/>
        <v>44715.378458148152</v>
      </c>
      <c r="T32" s="75">
        <f t="shared" si="9"/>
        <v>21</v>
      </c>
      <c r="U32" s="75">
        <f t="shared" si="10"/>
        <v>22</v>
      </c>
      <c r="V32" s="77">
        <f t="shared" si="11"/>
        <v>44745.378458148152</v>
      </c>
      <c r="W32" s="71"/>
      <c r="X32" s="34"/>
      <c r="Y32" s="91">
        <f t="shared" si="3"/>
        <v>6</v>
      </c>
      <c r="Z32" s="78"/>
      <c r="AA32" s="49" t="s">
        <v>213</v>
      </c>
      <c r="AB32" s="80">
        <v>0.65</v>
      </c>
      <c r="AC32" s="80" t="s">
        <v>103</v>
      </c>
      <c r="AD32" s="80">
        <v>29000</v>
      </c>
    </row>
    <row r="33" spans="1:30" s="17" customFormat="1" ht="14.1" customHeight="1" x14ac:dyDescent="0.25">
      <c r="A33" s="40"/>
      <c r="B33" s="11" t="s">
        <v>35</v>
      </c>
      <c r="C33" s="35" t="s">
        <v>36</v>
      </c>
      <c r="D33" s="136" t="s">
        <v>127</v>
      </c>
      <c r="E33" s="35">
        <v>2022</v>
      </c>
      <c r="F33" s="35"/>
      <c r="G33" s="35"/>
      <c r="H33" s="280" t="s">
        <v>72</v>
      </c>
      <c r="I33" s="44" t="s">
        <v>131</v>
      </c>
      <c r="J33" s="12" t="s">
        <v>39</v>
      </c>
      <c r="K33" s="12" t="s">
        <v>40</v>
      </c>
      <c r="L33" s="12" t="s">
        <v>41</v>
      </c>
      <c r="M33" s="64" t="s">
        <v>42</v>
      </c>
      <c r="N33" s="13" t="s">
        <v>43</v>
      </c>
      <c r="O33" s="18">
        <f t="shared" si="13"/>
        <v>9.2922222222222217</v>
      </c>
      <c r="P33" s="71">
        <v>125445</v>
      </c>
      <c r="Q33" s="15">
        <f t="shared" si="19"/>
        <v>125445</v>
      </c>
      <c r="R33" s="73">
        <f t="shared" si="7"/>
        <v>44715.378458148152</v>
      </c>
      <c r="S33" s="74">
        <f t="shared" si="8"/>
        <v>44724.670680370371</v>
      </c>
      <c r="T33" s="75">
        <f t="shared" si="9"/>
        <v>22</v>
      </c>
      <c r="U33" s="75">
        <f t="shared" si="10"/>
        <v>23</v>
      </c>
      <c r="V33" s="77">
        <f t="shared" si="11"/>
        <v>44754.670680370371</v>
      </c>
      <c r="W33" s="71"/>
      <c r="X33" s="34"/>
      <c r="Y33" s="91">
        <f t="shared" si="3"/>
        <v>6</v>
      </c>
      <c r="Z33" s="298">
        <f>SUM(P26:P32)</f>
        <v>392745</v>
      </c>
      <c r="AA33" s="80" t="s">
        <v>221</v>
      </c>
      <c r="AB33" s="80">
        <v>0.75</v>
      </c>
      <c r="AC33" s="80"/>
      <c r="AD33" s="80"/>
    </row>
    <row r="34" spans="1:30" s="17" customFormat="1" ht="14.1" customHeight="1" x14ac:dyDescent="0.25">
      <c r="A34" s="40"/>
      <c r="B34" s="11" t="s">
        <v>35</v>
      </c>
      <c r="C34" s="35" t="s">
        <v>36</v>
      </c>
      <c r="D34" s="136" t="s">
        <v>127</v>
      </c>
      <c r="E34" s="35">
        <v>2022</v>
      </c>
      <c r="F34" s="35"/>
      <c r="G34" s="35"/>
      <c r="H34" s="280" t="s">
        <v>73</v>
      </c>
      <c r="I34" s="44" t="s">
        <v>131</v>
      </c>
      <c r="J34" s="12" t="s">
        <v>39</v>
      </c>
      <c r="K34" s="12" t="s">
        <v>40</v>
      </c>
      <c r="L34" s="12" t="s">
        <v>41</v>
      </c>
      <c r="M34" s="64" t="s">
        <v>42</v>
      </c>
      <c r="N34" s="13" t="s">
        <v>43</v>
      </c>
      <c r="O34" s="18">
        <f t="shared" si="13"/>
        <v>2.9629629629629628</v>
      </c>
      <c r="P34" s="71">
        <v>40000</v>
      </c>
      <c r="Q34" s="15">
        <f t="shared" si="19"/>
        <v>40000</v>
      </c>
      <c r="R34" s="73">
        <f t="shared" si="7"/>
        <v>44724.670680370371</v>
      </c>
      <c r="S34" s="74">
        <f t="shared" si="8"/>
        <v>44727.633643333334</v>
      </c>
      <c r="T34" s="75">
        <f t="shared" si="9"/>
        <v>23</v>
      </c>
      <c r="U34" s="75">
        <f t="shared" si="10"/>
        <v>24</v>
      </c>
      <c r="V34" s="77">
        <f t="shared" si="11"/>
        <v>44757.633643333334</v>
      </c>
      <c r="W34" s="71"/>
      <c r="X34" s="34"/>
      <c r="Y34" s="91">
        <f t="shared" si="3"/>
        <v>6</v>
      </c>
      <c r="Z34" s="78"/>
      <c r="AA34" s="80" t="s">
        <v>222</v>
      </c>
      <c r="AB34" s="80">
        <v>0.65</v>
      </c>
      <c r="AC34" s="80"/>
      <c r="AD34" s="80"/>
    </row>
    <row r="35" spans="1:30" s="17" customFormat="1" ht="14.1" customHeight="1" x14ac:dyDescent="0.25">
      <c r="A35" s="40"/>
      <c r="B35" s="11" t="s">
        <v>35</v>
      </c>
      <c r="C35" s="35" t="s">
        <v>36</v>
      </c>
      <c r="D35" s="136" t="s">
        <v>127</v>
      </c>
      <c r="E35" s="35">
        <v>2022</v>
      </c>
      <c r="F35" s="35"/>
      <c r="G35" s="35"/>
      <c r="H35" s="280" t="s">
        <v>73</v>
      </c>
      <c r="I35" s="44" t="s">
        <v>131</v>
      </c>
      <c r="J35" s="12" t="s">
        <v>52</v>
      </c>
      <c r="K35" s="12" t="s">
        <v>40</v>
      </c>
      <c r="L35" s="12" t="s">
        <v>41</v>
      </c>
      <c r="M35" s="64" t="s">
        <v>42</v>
      </c>
      <c r="N35" s="13" t="s">
        <v>47</v>
      </c>
      <c r="O35" s="18">
        <f t="shared" si="13"/>
        <v>0.51851851851851849</v>
      </c>
      <c r="P35" s="71">
        <v>7000</v>
      </c>
      <c r="Q35" s="15">
        <f t="shared" si="19"/>
        <v>7000</v>
      </c>
      <c r="R35" s="73">
        <f t="shared" si="7"/>
        <v>44727.633643333334</v>
      </c>
      <c r="S35" s="74">
        <f t="shared" si="8"/>
        <v>44728.152161851853</v>
      </c>
      <c r="T35" s="75">
        <f t="shared" si="9"/>
        <v>24</v>
      </c>
      <c r="U35" s="75">
        <f t="shared" si="10"/>
        <v>24</v>
      </c>
      <c r="V35" s="77">
        <f t="shared" si="11"/>
        <v>44758.152161851853</v>
      </c>
      <c r="W35" s="71"/>
      <c r="X35" s="34"/>
      <c r="Y35" s="91">
        <f t="shared" si="3"/>
        <v>6</v>
      </c>
      <c r="Z35" s="78"/>
      <c r="AA35" s="80"/>
      <c r="AB35" s="80"/>
      <c r="AC35" s="80"/>
      <c r="AD35" s="80"/>
    </row>
    <row r="36" spans="1:30" s="17" customFormat="1" ht="14.1" customHeight="1" x14ac:dyDescent="0.25">
      <c r="A36" s="40"/>
      <c r="B36" s="11" t="s">
        <v>45</v>
      </c>
      <c r="C36" s="35" t="s">
        <v>36</v>
      </c>
      <c r="D36" s="138" t="s">
        <v>127</v>
      </c>
      <c r="E36" s="35">
        <v>2022</v>
      </c>
      <c r="F36" s="35"/>
      <c r="G36" s="35"/>
      <c r="H36" s="44" t="s">
        <v>116</v>
      </c>
      <c r="I36" s="44"/>
      <c r="J36" s="12" t="s">
        <v>39</v>
      </c>
      <c r="K36" s="12" t="s">
        <v>40</v>
      </c>
      <c r="L36" s="12" t="s">
        <v>41</v>
      </c>
      <c r="M36" s="64" t="s">
        <v>42</v>
      </c>
      <c r="N36" s="13" t="s">
        <v>47</v>
      </c>
      <c r="O36" s="18">
        <f t="shared" si="13"/>
        <v>3.7037037037037037</v>
      </c>
      <c r="P36" s="71">
        <v>50000</v>
      </c>
      <c r="Q36" s="15">
        <f>+P36</f>
        <v>50000</v>
      </c>
      <c r="R36" s="73">
        <f t="shared" si="7"/>
        <v>44728.152161851853</v>
      </c>
      <c r="S36" s="74">
        <f t="shared" si="8"/>
        <v>44731.855865555553</v>
      </c>
      <c r="T36" s="75">
        <f t="shared" si="9"/>
        <v>24</v>
      </c>
      <c r="U36" s="75">
        <f t="shared" si="10"/>
        <v>24</v>
      </c>
      <c r="V36" s="77">
        <f t="shared" si="11"/>
        <v>44761.855865555553</v>
      </c>
      <c r="W36" s="71"/>
      <c r="X36" s="34"/>
      <c r="Y36" s="91">
        <f t="shared" si="3"/>
        <v>6</v>
      </c>
      <c r="Z36" s="78"/>
      <c r="AA36" s="80" t="s">
        <v>222</v>
      </c>
      <c r="AB36" s="80">
        <v>0.7</v>
      </c>
      <c r="AC36" s="80"/>
      <c r="AD36" s="80"/>
    </row>
    <row r="37" spans="1:30" s="17" customFormat="1" ht="14.1" customHeight="1" x14ac:dyDescent="0.25">
      <c r="A37" s="40"/>
      <c r="B37" s="11" t="s">
        <v>45</v>
      </c>
      <c r="C37" s="35" t="s">
        <v>36</v>
      </c>
      <c r="D37" s="138" t="s">
        <v>127</v>
      </c>
      <c r="E37" s="35">
        <v>2022</v>
      </c>
      <c r="F37" s="35"/>
      <c r="G37" s="35"/>
      <c r="H37" s="44" t="s">
        <v>223</v>
      </c>
      <c r="I37" s="44"/>
      <c r="J37" s="12" t="s">
        <v>39</v>
      </c>
      <c r="K37" s="12" t="s">
        <v>40</v>
      </c>
      <c r="L37" s="12" t="s">
        <v>41</v>
      </c>
      <c r="M37" s="64" t="s">
        <v>42</v>
      </c>
      <c r="N37" s="13" t="s">
        <v>47</v>
      </c>
      <c r="O37" s="18">
        <f t="shared" si="13"/>
        <v>3.3333333333333335</v>
      </c>
      <c r="P37" s="71">
        <v>45000</v>
      </c>
      <c r="Q37" s="15">
        <f t="shared" ref="Q37" si="20">+P37</f>
        <v>45000</v>
      </c>
      <c r="R37" s="73">
        <f t="shared" si="7"/>
        <v>44731.855865555553</v>
      </c>
      <c r="S37" s="74">
        <f t="shared" si="8"/>
        <v>44735.189198888889</v>
      </c>
      <c r="T37" s="75">
        <f t="shared" si="9"/>
        <v>24</v>
      </c>
      <c r="U37" s="75">
        <f t="shared" si="10"/>
        <v>25</v>
      </c>
      <c r="V37" s="77">
        <f t="shared" si="11"/>
        <v>44765.189198888889</v>
      </c>
      <c r="W37" s="71"/>
      <c r="X37" s="34"/>
      <c r="Y37" s="91">
        <f t="shared" si="3"/>
        <v>6</v>
      </c>
      <c r="Z37" s="78"/>
      <c r="AA37" s="80" t="s">
        <v>221</v>
      </c>
      <c r="AB37" s="80">
        <v>0.7</v>
      </c>
      <c r="AC37" s="80"/>
      <c r="AD37" s="80"/>
    </row>
    <row r="38" spans="1:30" s="17" customFormat="1" ht="14.1" customHeight="1" x14ac:dyDescent="0.25">
      <c r="A38" s="40"/>
      <c r="B38" s="11" t="s">
        <v>35</v>
      </c>
      <c r="C38" s="35" t="s">
        <v>36</v>
      </c>
      <c r="D38" s="138" t="s">
        <v>127</v>
      </c>
      <c r="E38" s="35">
        <v>2022</v>
      </c>
      <c r="F38" s="35"/>
      <c r="G38" s="35"/>
      <c r="H38" s="44" t="s">
        <v>138</v>
      </c>
      <c r="I38" s="44"/>
      <c r="J38" s="12" t="s">
        <v>39</v>
      </c>
      <c r="K38" s="12" t="s">
        <v>136</v>
      </c>
      <c r="L38" s="12" t="s">
        <v>41</v>
      </c>
      <c r="M38" s="64" t="s">
        <v>42</v>
      </c>
      <c r="N38" s="13" t="s">
        <v>43</v>
      </c>
      <c r="O38" s="18">
        <f t="shared" si="13"/>
        <v>7.4074074074074074</v>
      </c>
      <c r="P38" s="71">
        <v>100000</v>
      </c>
      <c r="Q38" s="15">
        <f>+P38</f>
        <v>100000</v>
      </c>
      <c r="R38" s="73">
        <f t="shared" si="7"/>
        <v>44735.189198888889</v>
      </c>
      <c r="S38" s="74">
        <f t="shared" si="8"/>
        <v>44742.596606296298</v>
      </c>
      <c r="T38" s="75">
        <f t="shared" si="9"/>
        <v>25</v>
      </c>
      <c r="U38" s="75">
        <f t="shared" si="10"/>
        <v>26</v>
      </c>
      <c r="V38" s="77">
        <f t="shared" si="11"/>
        <v>44772.596606296298</v>
      </c>
      <c r="W38" s="71"/>
      <c r="X38" s="34"/>
      <c r="Y38" s="91">
        <f t="shared" si="3"/>
        <v>6</v>
      </c>
      <c r="Z38" s="78"/>
      <c r="AA38" s="49"/>
      <c r="AB38" s="80"/>
      <c r="AC38" s="80"/>
      <c r="AD38" s="80"/>
    </row>
    <row r="39" spans="1:30" ht="13.5" customHeight="1" x14ac:dyDescent="0.25">
      <c r="A39" s="40"/>
      <c r="B39" s="11" t="s">
        <v>35</v>
      </c>
      <c r="C39" s="35" t="s">
        <v>36</v>
      </c>
      <c r="D39" s="136" t="s">
        <v>127</v>
      </c>
      <c r="E39" s="35">
        <v>2022</v>
      </c>
      <c r="F39" s="35"/>
      <c r="G39" s="35"/>
      <c r="H39" s="47" t="s">
        <v>76</v>
      </c>
      <c r="I39" s="47"/>
      <c r="J39" s="12" t="s">
        <v>39</v>
      </c>
      <c r="K39" s="12" t="s">
        <v>40</v>
      </c>
      <c r="L39" s="12" t="s">
        <v>41</v>
      </c>
      <c r="M39" s="64" t="s">
        <v>42</v>
      </c>
      <c r="N39" s="13" t="s">
        <v>43</v>
      </c>
      <c r="O39" s="18">
        <f t="shared" si="13"/>
        <v>2.3782962962962961</v>
      </c>
      <c r="P39" s="36">
        <f>60607-P12-P11</f>
        <v>32107</v>
      </c>
      <c r="Q39" s="15">
        <f>+P39</f>
        <v>32107</v>
      </c>
      <c r="R39" s="73">
        <f t="shared" si="7"/>
        <v>44742.596606296298</v>
      </c>
      <c r="S39" s="74">
        <f t="shared" si="8"/>
        <v>44744.974902592592</v>
      </c>
      <c r="T39" s="75">
        <f t="shared" si="9"/>
        <v>26</v>
      </c>
      <c r="U39" s="75">
        <f t="shared" si="10"/>
        <v>26</v>
      </c>
      <c r="V39" s="77">
        <f t="shared" si="11"/>
        <v>44774.974902592592</v>
      </c>
      <c r="W39" s="36"/>
      <c r="X39" s="37"/>
      <c r="Y39" s="91">
        <f t="shared" si="3"/>
        <v>7</v>
      </c>
      <c r="Z39" s="51"/>
      <c r="AA39" s="49" t="s">
        <v>214</v>
      </c>
      <c r="AB39" s="49">
        <v>0.95</v>
      </c>
      <c r="AC39" s="49"/>
      <c r="AD39" s="49"/>
    </row>
    <row r="40" spans="1:30" ht="13.5" customHeight="1" x14ac:dyDescent="0.25">
      <c r="A40" s="40"/>
      <c r="B40" s="11" t="s">
        <v>35</v>
      </c>
      <c r="C40" s="35" t="s">
        <v>36</v>
      </c>
      <c r="D40" s="136" t="s">
        <v>127</v>
      </c>
      <c r="E40" s="35">
        <v>2022</v>
      </c>
      <c r="F40" s="35"/>
      <c r="G40" s="35"/>
      <c r="H40" s="293" t="s">
        <v>75</v>
      </c>
      <c r="I40" s="47"/>
      <c r="J40" s="12" t="s">
        <v>39</v>
      </c>
      <c r="K40" s="12" t="s">
        <v>40</v>
      </c>
      <c r="L40" s="12" t="s">
        <v>41</v>
      </c>
      <c r="M40" s="64" t="s">
        <v>42</v>
      </c>
      <c r="N40" s="13" t="s">
        <v>43</v>
      </c>
      <c r="O40" s="18">
        <f t="shared" si="13"/>
        <v>4.6162222222222224</v>
      </c>
      <c r="P40" s="36">
        <f>158319-P26</f>
        <v>62319</v>
      </c>
      <c r="Q40" s="15">
        <f>+P40</f>
        <v>62319</v>
      </c>
      <c r="R40" s="73">
        <f t="shared" si="7"/>
        <v>44744.974902592592</v>
      </c>
      <c r="S40" s="74">
        <f t="shared" si="8"/>
        <v>44749.591124814811</v>
      </c>
      <c r="T40" s="75">
        <f t="shared" si="9"/>
        <v>26</v>
      </c>
      <c r="U40" s="75">
        <f t="shared" si="10"/>
        <v>27</v>
      </c>
      <c r="V40" s="77">
        <f t="shared" si="11"/>
        <v>44779.591124814811</v>
      </c>
      <c r="W40" s="213">
        <f>SUM(P6:P41)</f>
        <v>2124197.1</v>
      </c>
      <c r="X40" s="37"/>
      <c r="Y40" s="91">
        <f t="shared" si="3"/>
        <v>7</v>
      </c>
      <c r="Z40" s="51"/>
      <c r="AA40" s="49"/>
      <c r="AB40" s="49"/>
      <c r="AC40" s="49" t="s">
        <v>103</v>
      </c>
      <c r="AD40" s="49">
        <v>28000</v>
      </c>
    </row>
    <row r="41" spans="1:30" s="17" customFormat="1" ht="14.85" customHeight="1" x14ac:dyDescent="0.25">
      <c r="A41" s="40"/>
      <c r="B41" s="11" t="s">
        <v>35</v>
      </c>
      <c r="C41" s="35" t="s">
        <v>36</v>
      </c>
      <c r="D41" s="136" t="s">
        <v>127</v>
      </c>
      <c r="E41" s="35">
        <v>2022</v>
      </c>
      <c r="F41" s="35"/>
      <c r="G41" s="35"/>
      <c r="H41" s="280" t="s">
        <v>58</v>
      </c>
      <c r="I41" s="44"/>
      <c r="J41" s="12" t="s">
        <v>39</v>
      </c>
      <c r="K41" s="12" t="s">
        <v>63</v>
      </c>
      <c r="L41" s="12" t="s">
        <v>41</v>
      </c>
      <c r="M41" s="64" t="s">
        <v>42</v>
      </c>
      <c r="N41" s="13" t="s">
        <v>43</v>
      </c>
      <c r="O41" s="18">
        <f t="shared" si="13"/>
        <v>8.7407407407407405</v>
      </c>
      <c r="P41" s="71">
        <v>118000</v>
      </c>
      <c r="Q41" s="15">
        <f t="shared" ref="Q41:Q43" si="21">+P41</f>
        <v>118000</v>
      </c>
      <c r="R41" s="73">
        <f t="shared" si="7"/>
        <v>44749.591124814811</v>
      </c>
      <c r="S41" s="74">
        <f t="shared" si="8"/>
        <v>44758.331865555549</v>
      </c>
      <c r="T41" s="75">
        <f t="shared" si="9"/>
        <v>27</v>
      </c>
      <c r="U41" s="75">
        <f t="shared" si="10"/>
        <v>28</v>
      </c>
      <c r="V41" s="77">
        <f t="shared" si="11"/>
        <v>44788.331865555549</v>
      </c>
      <c r="W41" s="71"/>
      <c r="X41" s="34"/>
      <c r="Y41" s="91">
        <f t="shared" si="3"/>
        <v>7</v>
      </c>
      <c r="Z41" s="298">
        <f>SUM(P33:P40)</f>
        <v>461871</v>
      </c>
      <c r="AA41" s="80" t="s">
        <v>221</v>
      </c>
      <c r="AB41" s="80">
        <v>0.75</v>
      </c>
      <c r="AC41" s="80"/>
      <c r="AD41" s="80"/>
    </row>
    <row r="42" spans="1:30" s="17" customFormat="1" ht="14.85" customHeight="1" x14ac:dyDescent="0.25">
      <c r="A42" s="40"/>
      <c r="B42" s="11" t="s">
        <v>35</v>
      </c>
      <c r="C42" s="35" t="s">
        <v>36</v>
      </c>
      <c r="D42" s="136" t="s">
        <v>127</v>
      </c>
      <c r="E42" s="35">
        <v>2022</v>
      </c>
      <c r="F42" s="35"/>
      <c r="G42" s="35"/>
      <c r="H42" s="44" t="s">
        <v>60</v>
      </c>
      <c r="I42" s="44"/>
      <c r="J42" s="12" t="s">
        <v>39</v>
      </c>
      <c r="K42" s="12" t="s">
        <v>40</v>
      </c>
      <c r="L42" s="12" t="s">
        <v>41</v>
      </c>
      <c r="M42" s="64" t="s">
        <v>42</v>
      </c>
      <c r="N42" s="13" t="s">
        <v>43</v>
      </c>
      <c r="O42" s="18">
        <f t="shared" si="13"/>
        <v>7.4074074074074074</v>
      </c>
      <c r="P42" s="71">
        <v>100000</v>
      </c>
      <c r="Q42" s="15">
        <f t="shared" si="21"/>
        <v>100000</v>
      </c>
      <c r="R42" s="73">
        <f t="shared" si="7"/>
        <v>44758.331865555549</v>
      </c>
      <c r="S42" s="74">
        <f t="shared" si="8"/>
        <v>44765.739272962957</v>
      </c>
      <c r="T42" s="75">
        <f t="shared" si="9"/>
        <v>28</v>
      </c>
      <c r="U42" s="75">
        <f t="shared" si="10"/>
        <v>29</v>
      </c>
      <c r="V42" s="77">
        <f t="shared" si="11"/>
        <v>44795.739272962957</v>
      </c>
      <c r="W42" s="71"/>
      <c r="X42" s="34"/>
      <c r="Y42" s="91">
        <f t="shared" si="3"/>
        <v>7</v>
      </c>
      <c r="Z42" s="78"/>
      <c r="AA42" s="80" t="s">
        <v>222</v>
      </c>
      <c r="AB42" s="80">
        <v>0.65</v>
      </c>
      <c r="AC42" s="80"/>
      <c r="AD42" s="80"/>
    </row>
    <row r="43" spans="1:30" s="17" customFormat="1" ht="14.1" customHeight="1" x14ac:dyDescent="0.25">
      <c r="A43" s="40"/>
      <c r="B43" s="11" t="s">
        <v>35</v>
      </c>
      <c r="C43" s="35" t="s">
        <v>36</v>
      </c>
      <c r="D43" s="136" t="s">
        <v>127</v>
      </c>
      <c r="E43" s="35">
        <v>2022</v>
      </c>
      <c r="F43" s="35"/>
      <c r="G43" s="35"/>
      <c r="H43" s="44" t="s">
        <v>73</v>
      </c>
      <c r="I43" s="44" t="s">
        <v>131</v>
      </c>
      <c r="J43" s="12" t="s">
        <v>39</v>
      </c>
      <c r="K43" s="12" t="s">
        <v>40</v>
      </c>
      <c r="L43" s="12" t="s">
        <v>41</v>
      </c>
      <c r="M43" s="64" t="s">
        <v>42</v>
      </c>
      <c r="N43" s="13" t="s">
        <v>43</v>
      </c>
      <c r="O43" s="18">
        <f t="shared" si="13"/>
        <v>3.4814814814814814</v>
      </c>
      <c r="P43" s="71">
        <v>47000</v>
      </c>
      <c r="Q43" s="15">
        <f t="shared" si="21"/>
        <v>47000</v>
      </c>
      <c r="R43" s="73">
        <f t="shared" si="7"/>
        <v>44765.739272962957</v>
      </c>
      <c r="S43" s="74">
        <f t="shared" si="8"/>
        <v>44769.220754444439</v>
      </c>
      <c r="T43" s="75">
        <f t="shared" si="9"/>
        <v>29</v>
      </c>
      <c r="U43" s="75">
        <f t="shared" si="10"/>
        <v>30</v>
      </c>
      <c r="V43" s="77">
        <f t="shared" si="11"/>
        <v>44799.220754444439</v>
      </c>
      <c r="W43" s="71"/>
      <c r="X43" s="34"/>
      <c r="Y43" s="91">
        <f t="shared" si="3"/>
        <v>7</v>
      </c>
      <c r="Z43" s="78"/>
      <c r="AA43" s="80" t="s">
        <v>222</v>
      </c>
      <c r="AB43" s="80">
        <v>0.65</v>
      </c>
      <c r="AC43" s="80"/>
      <c r="AD43" s="80"/>
    </row>
    <row r="44" spans="1:30" s="17" customFormat="1" ht="14.1" customHeight="1" x14ac:dyDescent="0.25">
      <c r="A44" s="40"/>
      <c r="B44" s="11" t="s">
        <v>45</v>
      </c>
      <c r="C44" s="35" t="s">
        <v>36</v>
      </c>
      <c r="D44" s="138" t="s">
        <v>127</v>
      </c>
      <c r="E44" s="35">
        <v>2022</v>
      </c>
      <c r="F44" s="35"/>
      <c r="G44" s="35"/>
      <c r="H44" s="44" t="s">
        <v>140</v>
      </c>
      <c r="I44" s="44"/>
      <c r="J44" s="12" t="s">
        <v>39</v>
      </c>
      <c r="K44" s="12" t="s">
        <v>136</v>
      </c>
      <c r="L44" s="12" t="s">
        <v>41</v>
      </c>
      <c r="M44" s="64" t="s">
        <v>42</v>
      </c>
      <c r="N44" s="13" t="s">
        <v>47</v>
      </c>
      <c r="O44" s="18">
        <f t="shared" si="13"/>
        <v>5.04</v>
      </c>
      <c r="P44" s="71">
        <f>124040-P10</f>
        <v>68040</v>
      </c>
      <c r="Q44" s="15">
        <f>+P44</f>
        <v>68040</v>
      </c>
      <c r="R44" s="73">
        <f t="shared" ref="R44:R51" si="22">+S43</f>
        <v>44769.220754444439</v>
      </c>
      <c r="S44" s="74">
        <f t="shared" ref="S44:S51" si="23">+R44+O44</f>
        <v>44774.26075444444</v>
      </c>
      <c r="T44" s="75">
        <f t="shared" ref="T44:T51" si="24">_xlfn.ISOWEEKNUM(R44)</f>
        <v>30</v>
      </c>
      <c r="U44" s="75">
        <f t="shared" ref="U44:U51" si="25">_xlfn.ISOWEEKNUM(S44)</f>
        <v>31</v>
      </c>
      <c r="V44" s="77">
        <f t="shared" ref="V44:V51" si="26">+S44+$H$1</f>
        <v>44804.26075444444</v>
      </c>
      <c r="W44" s="71"/>
      <c r="X44" s="34"/>
      <c r="Y44" s="91">
        <f t="shared" si="3"/>
        <v>8</v>
      </c>
      <c r="Z44" s="78"/>
      <c r="AA44" s="80" t="s">
        <v>213</v>
      </c>
      <c r="AB44" s="80">
        <v>0.8</v>
      </c>
      <c r="AC44" s="80"/>
      <c r="AD44" s="80"/>
    </row>
    <row r="45" spans="1:30" s="17" customFormat="1" ht="14.1" customHeight="1" x14ac:dyDescent="0.25">
      <c r="A45" s="40"/>
      <c r="B45" s="11" t="s">
        <v>48</v>
      </c>
      <c r="C45" s="35" t="s">
        <v>36</v>
      </c>
      <c r="D45" s="138" t="s">
        <v>127</v>
      </c>
      <c r="E45" s="35">
        <v>2022</v>
      </c>
      <c r="F45" s="35"/>
      <c r="G45" s="35"/>
      <c r="H45" s="44" t="s">
        <v>49</v>
      </c>
      <c r="I45" s="44"/>
      <c r="J45" s="12" t="s">
        <v>39</v>
      </c>
      <c r="K45" s="12" t="s">
        <v>50</v>
      </c>
      <c r="L45" s="12" t="s">
        <v>41</v>
      </c>
      <c r="M45" s="64" t="s">
        <v>42</v>
      </c>
      <c r="N45" s="13" t="s">
        <v>47</v>
      </c>
      <c r="O45" s="18">
        <f t="shared" si="13"/>
        <v>6.260148148148148</v>
      </c>
      <c r="P45" s="71">
        <v>84512</v>
      </c>
      <c r="Q45" s="15">
        <f t="shared" si="14"/>
        <v>84512</v>
      </c>
      <c r="R45" s="73">
        <f t="shared" si="22"/>
        <v>44774.26075444444</v>
      </c>
      <c r="S45" s="74">
        <f t="shared" si="23"/>
        <v>44780.520902592587</v>
      </c>
      <c r="T45" s="75">
        <f t="shared" si="24"/>
        <v>31</v>
      </c>
      <c r="U45" s="75">
        <f t="shared" si="25"/>
        <v>31</v>
      </c>
      <c r="V45" s="77">
        <f t="shared" si="26"/>
        <v>44810.520902592587</v>
      </c>
      <c r="W45" s="71"/>
      <c r="X45" s="34"/>
      <c r="Y45" s="91">
        <f t="shared" si="3"/>
        <v>8</v>
      </c>
      <c r="Z45" s="78"/>
      <c r="AA45" s="80" t="s">
        <v>218</v>
      </c>
      <c r="AB45" s="80"/>
      <c r="AC45" s="80"/>
      <c r="AD45" s="80"/>
    </row>
    <row r="46" spans="1:30" ht="13.5" customHeight="1" x14ac:dyDescent="0.25">
      <c r="A46" s="40"/>
      <c r="B46" s="11" t="s">
        <v>84</v>
      </c>
      <c r="C46" s="35" t="s">
        <v>36</v>
      </c>
      <c r="D46" s="138" t="s">
        <v>127</v>
      </c>
      <c r="E46" s="35">
        <v>2022</v>
      </c>
      <c r="F46" s="35"/>
      <c r="G46" s="35"/>
      <c r="H46" s="47" t="s">
        <v>85</v>
      </c>
      <c r="I46" s="47" t="s">
        <v>179</v>
      </c>
      <c r="J46" s="12" t="s">
        <v>39</v>
      </c>
      <c r="K46" s="12" t="s">
        <v>40</v>
      </c>
      <c r="L46" s="12" t="s">
        <v>41</v>
      </c>
      <c r="M46" s="64" t="s">
        <v>42</v>
      </c>
      <c r="N46" s="211" t="s">
        <v>47</v>
      </c>
      <c r="O46" s="18">
        <f t="shared" si="13"/>
        <v>1.728</v>
      </c>
      <c r="P46" s="36">
        <v>23328</v>
      </c>
      <c r="Q46" s="15">
        <f t="shared" si="14"/>
        <v>23328</v>
      </c>
      <c r="R46" s="73">
        <f t="shared" si="22"/>
        <v>44780.520902592587</v>
      </c>
      <c r="S46" s="74">
        <f t="shared" si="23"/>
        <v>44782.24890259259</v>
      </c>
      <c r="T46" s="75">
        <f t="shared" si="24"/>
        <v>31</v>
      </c>
      <c r="U46" s="75">
        <f t="shared" si="25"/>
        <v>32</v>
      </c>
      <c r="V46" s="77">
        <f t="shared" si="26"/>
        <v>44812.24890259259</v>
      </c>
      <c r="W46" s="36"/>
      <c r="X46" s="37"/>
      <c r="Y46" s="91">
        <f t="shared" si="3"/>
        <v>8</v>
      </c>
      <c r="Z46" s="51"/>
      <c r="AA46" s="49" t="s">
        <v>218</v>
      </c>
      <c r="AB46" s="49"/>
      <c r="AC46" s="49"/>
      <c r="AD46" s="49"/>
    </row>
    <row r="47" spans="1:30" ht="13.5" customHeight="1" x14ac:dyDescent="0.25">
      <c r="A47" s="40"/>
      <c r="B47" s="11" t="s">
        <v>105</v>
      </c>
      <c r="C47" s="35" t="s">
        <v>36</v>
      </c>
      <c r="D47" s="138" t="s">
        <v>127</v>
      </c>
      <c r="E47" s="35">
        <v>2022</v>
      </c>
      <c r="F47" s="35"/>
      <c r="G47" s="35"/>
      <c r="H47" s="47" t="s">
        <v>121</v>
      </c>
      <c r="I47" s="47"/>
      <c r="J47" s="12" t="s">
        <v>39</v>
      </c>
      <c r="K47" s="12" t="s">
        <v>40</v>
      </c>
      <c r="L47" s="12" t="s">
        <v>41</v>
      </c>
      <c r="M47" s="64" t="s">
        <v>42</v>
      </c>
      <c r="N47" s="211" t="s">
        <v>47</v>
      </c>
      <c r="O47" s="18">
        <f t="shared" si="13"/>
        <v>2.2166666666666668</v>
      </c>
      <c r="P47" s="36">
        <v>29925</v>
      </c>
      <c r="Q47" s="15">
        <f>+P47</f>
        <v>29925</v>
      </c>
      <c r="R47" s="73">
        <f t="shared" si="22"/>
        <v>44782.24890259259</v>
      </c>
      <c r="S47" s="74">
        <f t="shared" si="23"/>
        <v>44784.465569259257</v>
      </c>
      <c r="T47" s="75">
        <f t="shared" si="24"/>
        <v>32</v>
      </c>
      <c r="U47" s="75">
        <f t="shared" si="25"/>
        <v>32</v>
      </c>
      <c r="V47" s="77">
        <f t="shared" si="26"/>
        <v>44814.465569259257</v>
      </c>
      <c r="W47" s="36"/>
      <c r="X47" s="37"/>
      <c r="Y47" s="91">
        <f t="shared" si="3"/>
        <v>8</v>
      </c>
      <c r="Z47" s="51"/>
      <c r="AA47" s="49" t="s">
        <v>218</v>
      </c>
      <c r="AB47" s="49"/>
      <c r="AC47" s="49"/>
      <c r="AD47" s="49"/>
    </row>
    <row r="48" spans="1:30" s="17" customFormat="1" ht="14.1" customHeight="1" x14ac:dyDescent="0.25">
      <c r="A48" s="40"/>
      <c r="B48" s="11" t="s">
        <v>35</v>
      </c>
      <c r="C48" s="35" t="s">
        <v>36</v>
      </c>
      <c r="D48" s="138" t="s">
        <v>127</v>
      </c>
      <c r="E48" s="35">
        <v>2022</v>
      </c>
      <c r="F48" s="35"/>
      <c r="G48" s="35"/>
      <c r="H48" s="44" t="s">
        <v>53</v>
      </c>
      <c r="I48" s="44"/>
      <c r="J48" s="12" t="s">
        <v>39</v>
      </c>
      <c r="K48" s="12" t="s">
        <v>136</v>
      </c>
      <c r="L48" s="12" t="s">
        <v>41</v>
      </c>
      <c r="M48" s="64" t="s">
        <v>42</v>
      </c>
      <c r="N48" s="13" t="s">
        <v>43</v>
      </c>
      <c r="O48" s="18">
        <f t="shared" si="13"/>
        <v>7.4074074074074074</v>
      </c>
      <c r="P48" s="71">
        <v>100000</v>
      </c>
      <c r="Q48" s="15">
        <f t="shared" ref="Q48:Q56" si="27">+P48</f>
        <v>100000</v>
      </c>
      <c r="R48" s="73">
        <f t="shared" si="22"/>
        <v>44784.465569259257</v>
      </c>
      <c r="S48" s="74">
        <f t="shared" si="23"/>
        <v>44791.872976666666</v>
      </c>
      <c r="T48" s="75">
        <f t="shared" si="24"/>
        <v>32</v>
      </c>
      <c r="U48" s="75">
        <f t="shared" si="25"/>
        <v>33</v>
      </c>
      <c r="V48" s="77">
        <f t="shared" si="26"/>
        <v>44821.872976666666</v>
      </c>
      <c r="W48" s="71"/>
      <c r="X48" s="34"/>
      <c r="Y48" s="91">
        <f t="shared" si="3"/>
        <v>8</v>
      </c>
      <c r="Z48" s="78"/>
      <c r="AA48" s="49" t="s">
        <v>213</v>
      </c>
      <c r="AB48" s="80">
        <v>0.82</v>
      </c>
      <c r="AC48" s="80"/>
      <c r="AD48" s="80"/>
    </row>
    <row r="49" spans="1:30" s="17" customFormat="1" ht="14.1" customHeight="1" x14ac:dyDescent="0.25">
      <c r="A49" s="40"/>
      <c r="B49" s="11" t="s">
        <v>35</v>
      </c>
      <c r="C49" s="35" t="s">
        <v>36</v>
      </c>
      <c r="D49" s="136" t="s">
        <v>127</v>
      </c>
      <c r="E49" s="35">
        <v>2022</v>
      </c>
      <c r="F49" s="35"/>
      <c r="G49" s="35"/>
      <c r="H49" s="44" t="s">
        <v>73</v>
      </c>
      <c r="I49" s="44" t="s">
        <v>131</v>
      </c>
      <c r="J49" s="12" t="s">
        <v>39</v>
      </c>
      <c r="K49" s="12" t="s">
        <v>40</v>
      </c>
      <c r="L49" s="12" t="s">
        <v>41</v>
      </c>
      <c r="M49" s="64" t="s">
        <v>42</v>
      </c>
      <c r="N49" s="13" t="s">
        <v>43</v>
      </c>
      <c r="O49" s="18">
        <f t="shared" si="13"/>
        <v>5.9362289562289563</v>
      </c>
      <c r="P49" s="71">
        <f>288180-(P33/1.1)-P43-P34-P35</f>
        <v>80139.090909090912</v>
      </c>
      <c r="Q49" s="15">
        <f>+P49</f>
        <v>80139.090909090912</v>
      </c>
      <c r="R49" s="73">
        <f t="shared" si="22"/>
        <v>44791.872976666666</v>
      </c>
      <c r="S49" s="74">
        <f t="shared" si="23"/>
        <v>44797.809205622892</v>
      </c>
      <c r="T49" s="75">
        <f t="shared" si="24"/>
        <v>33</v>
      </c>
      <c r="U49" s="75">
        <f t="shared" si="25"/>
        <v>34</v>
      </c>
      <c r="V49" s="77">
        <f t="shared" si="26"/>
        <v>44827.809205622892</v>
      </c>
      <c r="W49" s="71"/>
      <c r="X49" s="34"/>
      <c r="Y49" s="91">
        <f t="shared" si="3"/>
        <v>8</v>
      </c>
      <c r="Z49" s="298">
        <f>SUM(P41:P48)</f>
        <v>570805</v>
      </c>
      <c r="AA49" s="80"/>
      <c r="AB49" s="80"/>
      <c r="AC49" s="80"/>
      <c r="AD49" s="80"/>
    </row>
    <row r="50" spans="1:30" s="17" customFormat="1" ht="14.1" customHeight="1" x14ac:dyDescent="0.25">
      <c r="A50" s="40"/>
      <c r="B50" s="11" t="s">
        <v>35</v>
      </c>
      <c r="C50" s="35" t="s">
        <v>36</v>
      </c>
      <c r="D50" s="136" t="s">
        <v>127</v>
      </c>
      <c r="E50" s="35">
        <v>2022</v>
      </c>
      <c r="F50" s="35"/>
      <c r="G50" s="35"/>
      <c r="H50" s="44" t="s">
        <v>130</v>
      </c>
      <c r="I50" s="44"/>
      <c r="J50" s="12" t="s">
        <v>39</v>
      </c>
      <c r="K50" s="12" t="s">
        <v>66</v>
      </c>
      <c r="L50" s="12" t="s">
        <v>41</v>
      </c>
      <c r="M50" s="64" t="s">
        <v>42</v>
      </c>
      <c r="N50" s="13" t="s">
        <v>129</v>
      </c>
      <c r="O50" s="18">
        <f t="shared" si="13"/>
        <v>6.5622962962962967</v>
      </c>
      <c r="P50" s="71">
        <f>173591-P20</f>
        <v>88591</v>
      </c>
      <c r="Q50" s="15">
        <f>+P50</f>
        <v>88591</v>
      </c>
      <c r="R50" s="73">
        <f t="shared" si="22"/>
        <v>44797.809205622892</v>
      </c>
      <c r="S50" s="74">
        <f t="shared" si="23"/>
        <v>44804.371501919188</v>
      </c>
      <c r="T50" s="75">
        <f t="shared" si="24"/>
        <v>34</v>
      </c>
      <c r="U50" s="75">
        <f t="shared" si="25"/>
        <v>35</v>
      </c>
      <c r="V50" s="77">
        <f t="shared" si="26"/>
        <v>44834.371501919188</v>
      </c>
      <c r="W50" s="71"/>
      <c r="X50" s="34"/>
      <c r="Y50" s="91">
        <f t="shared" si="3"/>
        <v>8</v>
      </c>
      <c r="Z50" s="78"/>
      <c r="AA50" s="80" t="s">
        <v>213</v>
      </c>
      <c r="AB50" s="80">
        <v>0.75</v>
      </c>
      <c r="AC50" s="80"/>
      <c r="AD50" s="80"/>
    </row>
    <row r="51" spans="1:30" ht="13.5" customHeight="1" x14ac:dyDescent="0.25">
      <c r="A51" s="40"/>
      <c r="B51" s="11" t="s">
        <v>35</v>
      </c>
      <c r="C51" s="35" t="s">
        <v>36</v>
      </c>
      <c r="D51" s="136" t="s">
        <v>127</v>
      </c>
      <c r="E51" s="35">
        <v>2022</v>
      </c>
      <c r="F51" s="35"/>
      <c r="G51" s="35"/>
      <c r="H51" s="47" t="s">
        <v>65</v>
      </c>
      <c r="I51" s="47"/>
      <c r="J51" s="12" t="s">
        <v>39</v>
      </c>
      <c r="K51" s="12" t="s">
        <v>66</v>
      </c>
      <c r="L51" s="12" t="s">
        <v>41</v>
      </c>
      <c r="M51" s="64" t="s">
        <v>42</v>
      </c>
      <c r="N51" s="13" t="s">
        <v>129</v>
      </c>
      <c r="O51" s="18">
        <f t="shared" si="13"/>
        <v>3.5542222222222222</v>
      </c>
      <c r="P51" s="36">
        <f>150982-P17-P18-P19</f>
        <v>47982</v>
      </c>
      <c r="Q51" s="15">
        <f t="shared" ref="Q51" si="28">+P51</f>
        <v>47982</v>
      </c>
      <c r="R51" s="73">
        <f t="shared" si="22"/>
        <v>44804.371501919188</v>
      </c>
      <c r="S51" s="74">
        <f t="shared" si="23"/>
        <v>44807.925724141409</v>
      </c>
      <c r="T51" s="75">
        <f t="shared" si="24"/>
        <v>35</v>
      </c>
      <c r="U51" s="75">
        <f t="shared" si="25"/>
        <v>35</v>
      </c>
      <c r="V51" s="77">
        <f t="shared" si="26"/>
        <v>44837.925724141409</v>
      </c>
      <c r="W51" s="36"/>
      <c r="X51" s="37"/>
      <c r="Y51" s="91">
        <f t="shared" si="3"/>
        <v>9</v>
      </c>
      <c r="Z51" s="51"/>
      <c r="AA51" s="49" t="s">
        <v>213</v>
      </c>
      <c r="AB51" s="49">
        <v>0.7</v>
      </c>
      <c r="AC51" s="49"/>
      <c r="AD51" s="49"/>
    </row>
    <row r="52" spans="1:30" s="17" customFormat="1" ht="14.1" customHeight="1" x14ac:dyDescent="0.25">
      <c r="A52" s="40"/>
      <c r="B52" s="11" t="s">
        <v>45</v>
      </c>
      <c r="C52" s="35" t="s">
        <v>36</v>
      </c>
      <c r="D52" s="138" t="s">
        <v>127</v>
      </c>
      <c r="E52" s="35">
        <v>2022</v>
      </c>
      <c r="F52" s="35"/>
      <c r="G52" s="35"/>
      <c r="H52" s="44" t="s">
        <v>142</v>
      </c>
      <c r="I52" s="44"/>
      <c r="J52" s="12" t="s">
        <v>39</v>
      </c>
      <c r="K52" s="12" t="s">
        <v>136</v>
      </c>
      <c r="L52" s="12" t="s">
        <v>41</v>
      </c>
      <c r="M52" s="64" t="s">
        <v>42</v>
      </c>
      <c r="N52" s="13" t="s">
        <v>47</v>
      </c>
      <c r="O52" s="18">
        <f t="shared" si="13"/>
        <v>4.1083703703703707</v>
      </c>
      <c r="P52" s="71">
        <f>145463-P22</f>
        <v>55463</v>
      </c>
      <c r="Q52" s="15">
        <f t="shared" si="27"/>
        <v>55463</v>
      </c>
      <c r="R52" s="73">
        <f t="shared" ref="R52:R59" si="29">+S51</f>
        <v>44807.925724141409</v>
      </c>
      <c r="S52" s="74">
        <f t="shared" ref="S52:S59" si="30">+R52+O52</f>
        <v>44812.034094511779</v>
      </c>
      <c r="T52" s="75">
        <f t="shared" ref="T52" si="31">_xlfn.ISOWEEKNUM(R52)</f>
        <v>35</v>
      </c>
      <c r="U52" s="75">
        <f t="shared" ref="U52" si="32">_xlfn.ISOWEEKNUM(S52)</f>
        <v>36</v>
      </c>
      <c r="V52" s="77">
        <f t="shared" ref="V52" si="33">+S52+$H$1</f>
        <v>44842.034094511779</v>
      </c>
      <c r="W52" s="71"/>
      <c r="X52" s="34"/>
      <c r="Y52" s="91">
        <f t="shared" si="3"/>
        <v>9</v>
      </c>
      <c r="Z52" s="78"/>
      <c r="AA52" s="80"/>
      <c r="AB52" s="80"/>
      <c r="AC52" s="80"/>
      <c r="AD52" s="80"/>
    </row>
    <row r="53" spans="1:30" s="17" customFormat="1" ht="14.1" customHeight="1" x14ac:dyDescent="0.25">
      <c r="A53" s="40"/>
      <c r="B53" s="11" t="s">
        <v>45</v>
      </c>
      <c r="C53" s="35" t="s">
        <v>36</v>
      </c>
      <c r="D53" s="138" t="s">
        <v>127</v>
      </c>
      <c r="E53" s="35">
        <v>2022</v>
      </c>
      <c r="F53" s="35"/>
      <c r="G53" s="35"/>
      <c r="H53" s="44" t="s">
        <v>116</v>
      </c>
      <c r="I53" s="44"/>
      <c r="J53" s="12" t="s">
        <v>39</v>
      </c>
      <c r="K53" s="12" t="s">
        <v>40</v>
      </c>
      <c r="L53" s="12" t="s">
        <v>41</v>
      </c>
      <c r="M53" s="64" t="s">
        <v>42</v>
      </c>
      <c r="N53" s="13" t="s">
        <v>47</v>
      </c>
      <c r="O53" s="18">
        <f t="shared" si="13"/>
        <v>3.6722154882154885</v>
      </c>
      <c r="P53" s="71">
        <f>140484-P36-(P37/1.1)</f>
        <v>49574.909090909096</v>
      </c>
      <c r="Q53" s="15">
        <f t="shared" si="27"/>
        <v>49574.909090909096</v>
      </c>
      <c r="R53" s="73">
        <f t="shared" si="29"/>
        <v>44812.034094511779</v>
      </c>
      <c r="S53" s="74">
        <f t="shared" si="30"/>
        <v>44815.706309999994</v>
      </c>
      <c r="T53" s="75">
        <f t="shared" ref="T53" si="34">_xlfn.ISOWEEKNUM(R53)</f>
        <v>36</v>
      </c>
      <c r="U53" s="75">
        <f t="shared" ref="U53" si="35">_xlfn.ISOWEEKNUM(S53)</f>
        <v>36</v>
      </c>
      <c r="V53" s="77">
        <f t="shared" ref="V53" si="36">+S53+$H$1</f>
        <v>44845.706309999994</v>
      </c>
      <c r="W53" s="71"/>
      <c r="X53" s="34"/>
      <c r="Y53" s="91">
        <f t="shared" si="3"/>
        <v>9</v>
      </c>
      <c r="Z53" s="78"/>
      <c r="AA53" s="80"/>
      <c r="AB53" s="80"/>
      <c r="AC53" s="80"/>
      <c r="AD53" s="80"/>
    </row>
    <row r="54" spans="1:30" s="17" customFormat="1" ht="14.1" customHeight="1" x14ac:dyDescent="0.25">
      <c r="A54" s="40"/>
      <c r="B54" s="11" t="s">
        <v>45</v>
      </c>
      <c r="C54" s="35" t="s">
        <v>36</v>
      </c>
      <c r="D54" s="138" t="s">
        <v>127</v>
      </c>
      <c r="E54" s="35">
        <v>2022</v>
      </c>
      <c r="F54" s="35"/>
      <c r="G54" s="35"/>
      <c r="H54" s="44" t="s">
        <v>88</v>
      </c>
      <c r="I54" s="44"/>
      <c r="J54" s="12" t="s">
        <v>39</v>
      </c>
      <c r="K54" s="12" t="s">
        <v>40</v>
      </c>
      <c r="L54" s="12" t="s">
        <v>41</v>
      </c>
      <c r="M54" s="64" t="s">
        <v>42</v>
      </c>
      <c r="N54" s="13" t="s">
        <v>47</v>
      </c>
      <c r="O54" s="18">
        <f t="shared" si="13"/>
        <v>3.7722222222222221</v>
      </c>
      <c r="P54" s="71">
        <f>120925-P24</f>
        <v>50925</v>
      </c>
      <c r="Q54" s="15">
        <f t="shared" si="27"/>
        <v>50925</v>
      </c>
      <c r="R54" s="73">
        <f t="shared" si="29"/>
        <v>44815.706309999994</v>
      </c>
      <c r="S54" s="74">
        <f t="shared" si="30"/>
        <v>44819.478532222216</v>
      </c>
      <c r="T54" s="75">
        <f t="shared" ref="T54:T60" si="37">_xlfn.ISOWEEKNUM(R54)</f>
        <v>36</v>
      </c>
      <c r="U54" s="75">
        <f t="shared" ref="U54:U60" si="38">_xlfn.ISOWEEKNUM(S54)</f>
        <v>37</v>
      </c>
      <c r="V54" s="77">
        <f t="shared" ref="V54:V60" si="39">+S54+$H$1</f>
        <v>44849.478532222216</v>
      </c>
      <c r="W54" s="71"/>
      <c r="X54" s="34"/>
      <c r="Y54" s="91">
        <f t="shared" si="3"/>
        <v>9</v>
      </c>
      <c r="Z54" s="78"/>
      <c r="AA54" s="80"/>
      <c r="AB54" s="80"/>
      <c r="AC54" s="80"/>
      <c r="AD54" s="80"/>
    </row>
    <row r="55" spans="1:30" s="17" customFormat="1" ht="14.1" customHeight="1" x14ac:dyDescent="0.25">
      <c r="A55" s="40"/>
      <c r="B55" s="11" t="s">
        <v>45</v>
      </c>
      <c r="C55" s="35" t="s">
        <v>36</v>
      </c>
      <c r="D55" s="138" t="s">
        <v>127</v>
      </c>
      <c r="E55" s="35">
        <v>2022</v>
      </c>
      <c r="F55" s="35"/>
      <c r="G55" s="35"/>
      <c r="H55" s="44" t="s">
        <v>87</v>
      </c>
      <c r="I55" s="44"/>
      <c r="J55" s="12" t="s">
        <v>39</v>
      </c>
      <c r="K55" s="12" t="s">
        <v>40</v>
      </c>
      <c r="L55" s="12" t="s">
        <v>41</v>
      </c>
      <c r="M55" s="64" t="s">
        <v>42</v>
      </c>
      <c r="N55" s="13" t="s">
        <v>47</v>
      </c>
      <c r="O55" s="18">
        <f t="shared" si="13"/>
        <v>2.4055555555555554</v>
      </c>
      <c r="P55" s="71">
        <f>105475-P23</f>
        <v>32475</v>
      </c>
      <c r="Q55" s="15">
        <f t="shared" si="27"/>
        <v>32475</v>
      </c>
      <c r="R55" s="73">
        <f t="shared" si="29"/>
        <v>44819.478532222216</v>
      </c>
      <c r="S55" s="74">
        <f t="shared" si="30"/>
        <v>44821.884087777769</v>
      </c>
      <c r="T55" s="75">
        <f t="shared" si="37"/>
        <v>37</v>
      </c>
      <c r="U55" s="75">
        <f t="shared" si="38"/>
        <v>37</v>
      </c>
      <c r="V55" s="77">
        <f t="shared" si="39"/>
        <v>44851.884087777769</v>
      </c>
      <c r="W55" s="71"/>
      <c r="X55" s="34"/>
      <c r="Y55" s="91">
        <f t="shared" si="3"/>
        <v>9</v>
      </c>
      <c r="Z55" s="78"/>
      <c r="AA55" s="80" t="s">
        <v>213</v>
      </c>
      <c r="AB55" s="80">
        <v>0.7</v>
      </c>
      <c r="AC55" s="80"/>
      <c r="AD55" s="80"/>
    </row>
    <row r="56" spans="1:30" s="17" customFormat="1" ht="14.1" customHeight="1" x14ac:dyDescent="0.25">
      <c r="A56" s="40"/>
      <c r="B56" s="11" t="s">
        <v>35</v>
      </c>
      <c r="C56" s="35" t="s">
        <v>36</v>
      </c>
      <c r="D56" s="138" t="s">
        <v>127</v>
      </c>
      <c r="E56" s="35">
        <v>2022</v>
      </c>
      <c r="F56" s="35"/>
      <c r="G56" s="35"/>
      <c r="H56" s="44" t="s">
        <v>134</v>
      </c>
      <c r="I56" s="44"/>
      <c r="J56" s="12" t="s">
        <v>39</v>
      </c>
      <c r="K56" s="12" t="s">
        <v>40</v>
      </c>
      <c r="L56" s="12" t="s">
        <v>41</v>
      </c>
      <c r="M56" s="64" t="s">
        <v>42</v>
      </c>
      <c r="N56" s="13" t="s">
        <v>43</v>
      </c>
      <c r="O56" s="18">
        <f t="shared" si="13"/>
        <v>4.6081481481481479</v>
      </c>
      <c r="P56" s="36">
        <f>172210-P29</f>
        <v>62210</v>
      </c>
      <c r="Q56" s="15">
        <f t="shared" si="27"/>
        <v>62210</v>
      </c>
      <c r="R56" s="73">
        <f t="shared" si="29"/>
        <v>44821.884087777769</v>
      </c>
      <c r="S56" s="74">
        <f t="shared" si="30"/>
        <v>44826.492235925914</v>
      </c>
      <c r="T56" s="75">
        <f t="shared" si="37"/>
        <v>37</v>
      </c>
      <c r="U56" s="75">
        <f t="shared" si="38"/>
        <v>38</v>
      </c>
      <c r="V56" s="77">
        <f t="shared" si="39"/>
        <v>44856.492235925914</v>
      </c>
      <c r="W56" s="36"/>
      <c r="X56" s="37"/>
      <c r="Y56" s="92">
        <f t="shared" si="3"/>
        <v>9</v>
      </c>
      <c r="Z56" s="51"/>
      <c r="AA56" s="50" t="s">
        <v>224</v>
      </c>
      <c r="AB56" s="50"/>
      <c r="AC56" s="50"/>
      <c r="AD56" s="50"/>
    </row>
    <row r="57" spans="1:30" s="17" customFormat="1" ht="14.85" customHeight="1" x14ac:dyDescent="0.25">
      <c r="A57" s="40"/>
      <c r="B57" s="11" t="s">
        <v>35</v>
      </c>
      <c r="C57" s="35" t="s">
        <v>36</v>
      </c>
      <c r="D57" s="136" t="s">
        <v>127</v>
      </c>
      <c r="E57" s="35">
        <v>2022</v>
      </c>
      <c r="F57" s="35"/>
      <c r="G57" s="35"/>
      <c r="H57" s="44" t="s">
        <v>60</v>
      </c>
      <c r="I57" s="44"/>
      <c r="J57" s="12" t="s">
        <v>39</v>
      </c>
      <c r="K57" s="12" t="s">
        <v>40</v>
      </c>
      <c r="L57" s="12" t="s">
        <v>41</v>
      </c>
      <c r="M57" s="64" t="s">
        <v>42</v>
      </c>
      <c r="N57" s="13" t="s">
        <v>43</v>
      </c>
      <c r="O57" s="18">
        <f t="shared" si="13"/>
        <v>11.202168350168352</v>
      </c>
      <c r="P57" s="71">
        <f>358502-(P41/1.1)-P42</f>
        <v>151229.27272727274</v>
      </c>
      <c r="Q57" s="15">
        <f t="shared" si="14"/>
        <v>151229.27272727274</v>
      </c>
      <c r="R57" s="73">
        <f t="shared" si="29"/>
        <v>44826.492235925914</v>
      </c>
      <c r="S57" s="74">
        <f t="shared" si="30"/>
        <v>44837.694404276081</v>
      </c>
      <c r="T57" s="75">
        <f t="shared" si="37"/>
        <v>38</v>
      </c>
      <c r="U57" s="75">
        <f t="shared" si="38"/>
        <v>40</v>
      </c>
      <c r="V57" s="77">
        <f t="shared" si="39"/>
        <v>44867.694404276081</v>
      </c>
      <c r="W57" s="71"/>
      <c r="X57" s="34"/>
      <c r="Y57" s="91">
        <f t="shared" si="3"/>
        <v>10</v>
      </c>
      <c r="Z57" s="298">
        <f>SUM(P49:P56)</f>
        <v>467360.00000000006</v>
      </c>
      <c r="AA57" s="80"/>
      <c r="AB57" s="80"/>
      <c r="AC57" s="80"/>
      <c r="AD57" s="80"/>
    </row>
    <row r="58" spans="1:30" s="17" customFormat="1" ht="14.1" customHeight="1" x14ac:dyDescent="0.25">
      <c r="A58" s="40"/>
      <c r="B58" s="11" t="s">
        <v>35</v>
      </c>
      <c r="C58" s="35" t="s">
        <v>36</v>
      </c>
      <c r="D58" s="138" t="s">
        <v>127</v>
      </c>
      <c r="E58" s="35">
        <v>2022</v>
      </c>
      <c r="F58" s="35"/>
      <c r="G58" s="35"/>
      <c r="H58" s="44" t="s">
        <v>77</v>
      </c>
      <c r="I58" s="44"/>
      <c r="J58" s="12" t="s">
        <v>39</v>
      </c>
      <c r="K58" s="12" t="s">
        <v>136</v>
      </c>
      <c r="L58" s="12" t="s">
        <v>41</v>
      </c>
      <c r="M58" s="64" t="s">
        <v>42</v>
      </c>
      <c r="N58" s="13" t="s">
        <v>43</v>
      </c>
      <c r="O58" s="18">
        <f t="shared" si="13"/>
        <v>2.0248148148148148</v>
      </c>
      <c r="P58" s="71">
        <f>112335-P15</f>
        <v>27335</v>
      </c>
      <c r="Q58" s="15">
        <f t="shared" si="14"/>
        <v>27335</v>
      </c>
      <c r="R58" s="73">
        <f t="shared" si="29"/>
        <v>44837.694404276081</v>
      </c>
      <c r="S58" s="74">
        <f t="shared" si="30"/>
        <v>44839.719219090897</v>
      </c>
      <c r="T58" s="75">
        <f t="shared" si="37"/>
        <v>40</v>
      </c>
      <c r="U58" s="75">
        <f t="shared" si="38"/>
        <v>40</v>
      </c>
      <c r="V58" s="77">
        <f t="shared" si="39"/>
        <v>44869.719219090897</v>
      </c>
      <c r="W58" s="71"/>
      <c r="X58" s="34"/>
      <c r="Y58" s="91">
        <f t="shared" si="3"/>
        <v>10</v>
      </c>
      <c r="Z58" s="78"/>
      <c r="AA58" s="49" t="s">
        <v>213</v>
      </c>
      <c r="AB58" s="80">
        <v>0.9</v>
      </c>
      <c r="AC58" s="80"/>
      <c r="AD58" s="80"/>
    </row>
    <row r="59" spans="1:30" s="17" customFormat="1" ht="14.1" customHeight="1" x14ac:dyDescent="0.25">
      <c r="A59" s="40"/>
      <c r="B59" s="11" t="s">
        <v>35</v>
      </c>
      <c r="C59" s="35" t="s">
        <v>36</v>
      </c>
      <c r="D59" s="138" t="s">
        <v>127</v>
      </c>
      <c r="E59" s="35">
        <v>2022</v>
      </c>
      <c r="F59" s="35"/>
      <c r="G59" s="35"/>
      <c r="H59" s="44" t="s">
        <v>53</v>
      </c>
      <c r="I59" s="44"/>
      <c r="J59" s="12" t="s">
        <v>39</v>
      </c>
      <c r="K59" s="12" t="s">
        <v>136</v>
      </c>
      <c r="L59" s="12" t="s">
        <v>41</v>
      </c>
      <c r="M59" s="64" t="s">
        <v>42</v>
      </c>
      <c r="N59" s="13" t="s">
        <v>43</v>
      </c>
      <c r="O59" s="18">
        <f t="shared" ref="O59:O60" si="40">+P59/$D$4</f>
        <v>7.0373333333333337</v>
      </c>
      <c r="P59" s="71">
        <f>475004-P48-P21</f>
        <v>95004</v>
      </c>
      <c r="Q59" s="15">
        <f t="shared" si="14"/>
        <v>95004</v>
      </c>
      <c r="R59" s="73">
        <f t="shared" si="29"/>
        <v>44839.719219090897</v>
      </c>
      <c r="S59" s="74">
        <f t="shared" si="30"/>
        <v>44846.756552424231</v>
      </c>
      <c r="T59" s="75">
        <f t="shared" si="37"/>
        <v>40</v>
      </c>
      <c r="U59" s="75">
        <f t="shared" si="38"/>
        <v>41</v>
      </c>
      <c r="V59" s="77">
        <f t="shared" si="39"/>
        <v>44876.756552424231</v>
      </c>
      <c r="W59" s="71"/>
      <c r="X59" s="34"/>
      <c r="Y59" s="91">
        <f t="shared" si="3"/>
        <v>10</v>
      </c>
      <c r="Z59" s="78"/>
      <c r="AA59" s="80"/>
      <c r="AB59" s="80"/>
      <c r="AC59" s="80"/>
      <c r="AD59" s="80"/>
    </row>
    <row r="60" spans="1:30" s="17" customFormat="1" ht="14.1" customHeight="1" thickBot="1" x14ac:dyDescent="0.3">
      <c r="A60" s="40"/>
      <c r="B60" s="11" t="s">
        <v>35</v>
      </c>
      <c r="C60" s="35" t="s">
        <v>36</v>
      </c>
      <c r="D60" s="138" t="s">
        <v>127</v>
      </c>
      <c r="E60" s="35">
        <v>2022</v>
      </c>
      <c r="F60" s="35"/>
      <c r="G60" s="35"/>
      <c r="H60" s="44" t="s">
        <v>138</v>
      </c>
      <c r="I60" s="44"/>
      <c r="J60" s="12" t="s">
        <v>39</v>
      </c>
      <c r="K60" s="12" t="s">
        <v>136</v>
      </c>
      <c r="L60" s="12" t="s">
        <v>41</v>
      </c>
      <c r="M60" s="64" t="s">
        <v>42</v>
      </c>
      <c r="N60" s="13" t="s">
        <v>43</v>
      </c>
      <c r="O60" s="18">
        <f t="shared" si="40"/>
        <v>9.463703703703704</v>
      </c>
      <c r="P60" s="71">
        <f>287760-P38-P14</f>
        <v>127760</v>
      </c>
      <c r="Q60" s="15">
        <f t="shared" si="14"/>
        <v>127760</v>
      </c>
      <c r="R60" s="73">
        <f t="shared" ref="R60" si="41">+S59</f>
        <v>44846.756552424231</v>
      </c>
      <c r="S60" s="74">
        <f t="shared" ref="S60" si="42">+R60+O60</f>
        <v>44856.220256127934</v>
      </c>
      <c r="T60" s="75">
        <f t="shared" si="37"/>
        <v>41</v>
      </c>
      <c r="U60" s="75">
        <f t="shared" si="38"/>
        <v>42</v>
      </c>
      <c r="V60" s="77">
        <f t="shared" si="39"/>
        <v>44886.220256127934</v>
      </c>
      <c r="W60" s="295">
        <f>SUM(P6:P60)</f>
        <v>3445690.372727273</v>
      </c>
      <c r="X60" s="34"/>
      <c r="Y60" s="91">
        <f t="shared" si="3"/>
        <v>10</v>
      </c>
      <c r="Z60" s="298">
        <f>SUM(P57:P60)</f>
        <v>401328.27272727271</v>
      </c>
      <c r="AA60" s="80"/>
      <c r="AB60" s="80"/>
      <c r="AC60" s="80"/>
      <c r="AD60" s="80"/>
    </row>
    <row r="61" spans="1:30" ht="13.5" customHeight="1" x14ac:dyDescent="0.25">
      <c r="A61" s="40"/>
      <c r="B61" s="129" t="s">
        <v>204</v>
      </c>
      <c r="C61" s="130" t="s">
        <v>205</v>
      </c>
      <c r="D61" s="146" t="s">
        <v>89</v>
      </c>
      <c r="E61" s="130">
        <v>2022</v>
      </c>
      <c r="F61" s="130"/>
      <c r="G61" s="130"/>
      <c r="H61" s="282" t="s">
        <v>225</v>
      </c>
      <c r="I61" s="282"/>
      <c r="J61" s="147" t="s">
        <v>226</v>
      </c>
      <c r="K61" s="147" t="s">
        <v>227</v>
      </c>
      <c r="L61" s="147" t="s">
        <v>56</v>
      </c>
      <c r="M61" s="148" t="s">
        <v>57</v>
      </c>
      <c r="N61" s="149" t="s">
        <v>149</v>
      </c>
      <c r="O61" s="283">
        <f>+P61/$D$2+0.5</f>
        <v>3.4260000000000002</v>
      </c>
      <c r="P61" s="302">
        <f>+Q61*1.33</f>
        <v>4389</v>
      </c>
      <c r="Q61" s="150">
        <v>3300</v>
      </c>
      <c r="R61" s="57">
        <v>44607</v>
      </c>
      <c r="S61" s="58">
        <f>+R61+O61</f>
        <v>44610.425999999999</v>
      </c>
      <c r="T61" s="59">
        <f t="shared" ref="T61" si="43">_xlfn.ISOWEEKNUM(R61)</f>
        <v>7</v>
      </c>
      <c r="U61" s="151">
        <f t="shared" ref="U61" si="44">_xlfn.ISOWEEKNUM(S61)</f>
        <v>7</v>
      </c>
      <c r="V61" s="60">
        <f t="shared" ref="V61" si="45">+S61+$H$1</f>
        <v>44640.425999999999</v>
      </c>
      <c r="W61" s="56"/>
      <c r="X61" s="61"/>
      <c r="Y61" s="93"/>
      <c r="Z61" s="62"/>
      <c r="AA61" s="284"/>
      <c r="AB61" s="284"/>
      <c r="AC61" s="284"/>
      <c r="AD61" s="284"/>
    </row>
    <row r="62" spans="1:30" ht="13.5" customHeight="1" x14ac:dyDescent="0.25">
      <c r="A62" s="40"/>
      <c r="B62" s="19" t="s">
        <v>204</v>
      </c>
      <c r="C62" s="35" t="s">
        <v>205</v>
      </c>
      <c r="D62" s="103" t="s">
        <v>89</v>
      </c>
      <c r="E62" s="35">
        <v>2022</v>
      </c>
      <c r="F62" s="35"/>
      <c r="G62" s="35"/>
      <c r="H62" s="47" t="s">
        <v>228</v>
      </c>
      <c r="I62" s="47"/>
      <c r="J62" s="12" t="s">
        <v>229</v>
      </c>
      <c r="K62" s="12" t="s">
        <v>227</v>
      </c>
      <c r="L62" s="12" t="s">
        <v>56</v>
      </c>
      <c r="M62" s="64" t="s">
        <v>57</v>
      </c>
      <c r="N62" s="13" t="s">
        <v>149</v>
      </c>
      <c r="O62" s="18">
        <f t="shared" ref="O62:O82" si="46">+P62/$D$2+0.5</f>
        <v>6.0904333333333334</v>
      </c>
      <c r="P62" s="303">
        <f>+Q62*1.33</f>
        <v>8385.65</v>
      </c>
      <c r="Q62" s="15">
        <v>6305</v>
      </c>
      <c r="R62" s="73">
        <f>+S61</f>
        <v>44610.425999999999</v>
      </c>
      <c r="S62" s="74">
        <f>+R62+O62</f>
        <v>44616.51643333333</v>
      </c>
      <c r="T62" s="75">
        <f t="shared" ref="T62:T82" si="47">_xlfn.ISOWEEKNUM(R62)</f>
        <v>7</v>
      </c>
      <c r="U62" s="76">
        <f t="shared" ref="U62:U80" si="48">_xlfn.ISOWEEKNUM(S62)</f>
        <v>8</v>
      </c>
      <c r="V62" s="77">
        <f t="shared" ref="V62:V80" si="49">+S62+$H$1</f>
        <v>44646.51643333333</v>
      </c>
      <c r="W62" s="36"/>
      <c r="X62" s="37"/>
      <c r="Y62" s="91"/>
      <c r="Z62" s="51"/>
      <c r="AA62" s="49"/>
      <c r="AB62" s="49"/>
      <c r="AC62" s="49"/>
      <c r="AD62" s="49"/>
    </row>
    <row r="63" spans="1:30" ht="13.5" customHeight="1" x14ac:dyDescent="0.25">
      <c r="A63" s="40"/>
      <c r="B63" s="19" t="s">
        <v>204</v>
      </c>
      <c r="C63" s="35" t="s">
        <v>205</v>
      </c>
      <c r="D63" s="103" t="s">
        <v>89</v>
      </c>
      <c r="E63" s="35">
        <v>2022</v>
      </c>
      <c r="F63" s="35"/>
      <c r="G63" s="35"/>
      <c r="H63" s="47" t="s">
        <v>230</v>
      </c>
      <c r="I63" s="47"/>
      <c r="J63" s="12" t="s">
        <v>226</v>
      </c>
      <c r="K63" s="12" t="s">
        <v>66</v>
      </c>
      <c r="L63" s="12" t="s">
        <v>56</v>
      </c>
      <c r="M63" s="64" t="s">
        <v>57</v>
      </c>
      <c r="N63" s="13" t="s">
        <v>149</v>
      </c>
      <c r="O63" s="18">
        <f t="shared" si="46"/>
        <v>1.3866666666666667</v>
      </c>
      <c r="P63" s="303">
        <f>+Q63*1.33</f>
        <v>1330</v>
      </c>
      <c r="Q63" s="15">
        <v>1000</v>
      </c>
      <c r="R63" s="73">
        <f t="shared" ref="R63" si="50">+S62</f>
        <v>44616.51643333333</v>
      </c>
      <c r="S63" s="74">
        <f t="shared" ref="S63" si="51">+R63+O63</f>
        <v>44617.903099999996</v>
      </c>
      <c r="T63" s="75">
        <f t="shared" si="47"/>
        <v>8</v>
      </c>
      <c r="U63" s="76">
        <f t="shared" si="48"/>
        <v>8</v>
      </c>
      <c r="V63" s="77">
        <f t="shared" si="49"/>
        <v>44647.903099999996</v>
      </c>
      <c r="W63" s="36"/>
      <c r="X63" s="37"/>
      <c r="Y63" s="91"/>
      <c r="Z63" s="51"/>
      <c r="AA63" s="49"/>
      <c r="AB63" s="49"/>
      <c r="AC63" s="49"/>
      <c r="AD63" s="49"/>
    </row>
    <row r="64" spans="1:30" ht="13.5" customHeight="1" x14ac:dyDescent="0.25">
      <c r="A64" s="40"/>
      <c r="B64" s="19" t="s">
        <v>204</v>
      </c>
      <c r="C64" s="35" t="s">
        <v>205</v>
      </c>
      <c r="D64" s="103" t="s">
        <v>89</v>
      </c>
      <c r="E64" s="35">
        <v>2022</v>
      </c>
      <c r="F64" s="35"/>
      <c r="G64" s="35"/>
      <c r="H64" s="47" t="s">
        <v>231</v>
      </c>
      <c r="I64" s="47"/>
      <c r="J64" s="12" t="s">
        <v>229</v>
      </c>
      <c r="K64" s="12" t="s">
        <v>40</v>
      </c>
      <c r="L64" s="12" t="s">
        <v>56</v>
      </c>
      <c r="M64" s="64" t="s">
        <v>57</v>
      </c>
      <c r="N64" s="13" t="s">
        <v>149</v>
      </c>
      <c r="O64" s="18">
        <f t="shared" si="46"/>
        <v>4.4944333333333333</v>
      </c>
      <c r="P64" s="303">
        <f>+Q64*1.33</f>
        <v>5991.6500000000005</v>
      </c>
      <c r="Q64" s="15">
        <v>4505</v>
      </c>
      <c r="R64" s="73">
        <f t="shared" ref="R64:R65" si="52">+S63</f>
        <v>44617.903099999996</v>
      </c>
      <c r="S64" s="74">
        <f t="shared" ref="S64:S65" si="53">+R64+O64</f>
        <v>44622.397533333329</v>
      </c>
      <c r="T64" s="75">
        <f t="shared" si="47"/>
        <v>8</v>
      </c>
      <c r="U64" s="76">
        <f t="shared" si="48"/>
        <v>9</v>
      </c>
      <c r="V64" s="77">
        <f t="shared" si="49"/>
        <v>44652.397533333329</v>
      </c>
      <c r="W64" s="36"/>
      <c r="X64" s="37"/>
      <c r="Y64" s="91"/>
      <c r="Z64" s="51"/>
      <c r="AA64" s="49"/>
      <c r="AB64" s="49"/>
      <c r="AC64" s="49"/>
      <c r="AD64" s="49"/>
    </row>
    <row r="65" spans="1:30" s="17" customFormat="1" ht="14.1" customHeight="1" x14ac:dyDescent="0.25">
      <c r="A65" s="40"/>
      <c r="B65" s="11" t="s">
        <v>93</v>
      </c>
      <c r="C65" s="35" t="s">
        <v>36</v>
      </c>
      <c r="D65" s="103" t="s">
        <v>89</v>
      </c>
      <c r="E65" s="35">
        <v>2022</v>
      </c>
      <c r="F65" s="35"/>
      <c r="G65" s="35"/>
      <c r="H65" s="44" t="s">
        <v>150</v>
      </c>
      <c r="I65" s="44"/>
      <c r="J65" s="12" t="s">
        <v>39</v>
      </c>
      <c r="K65" s="12" t="s">
        <v>66</v>
      </c>
      <c r="L65" s="12" t="s">
        <v>56</v>
      </c>
      <c r="M65" s="64" t="s">
        <v>57</v>
      </c>
      <c r="N65" s="13" t="s">
        <v>71</v>
      </c>
      <c r="O65" s="18">
        <f t="shared" si="46"/>
        <v>3.5856000000000003</v>
      </c>
      <c r="P65" s="272">
        <f>+Q65*1.33</f>
        <v>4628.4000000000005</v>
      </c>
      <c r="Q65" s="72">
        <v>3480</v>
      </c>
      <c r="R65" s="73">
        <f t="shared" si="52"/>
        <v>44622.397533333329</v>
      </c>
      <c r="S65" s="74">
        <f t="shared" si="53"/>
        <v>44625.983133333328</v>
      </c>
      <c r="T65" s="75">
        <f t="shared" si="47"/>
        <v>9</v>
      </c>
      <c r="U65" s="76">
        <f t="shared" si="48"/>
        <v>9</v>
      </c>
      <c r="V65" s="77">
        <f t="shared" si="49"/>
        <v>44655.983133333328</v>
      </c>
      <c r="W65" s="71"/>
      <c r="X65" s="34"/>
      <c r="Y65" s="91"/>
      <c r="Z65" s="78"/>
      <c r="AA65" s="80"/>
      <c r="AB65" s="80">
        <v>0.95</v>
      </c>
      <c r="AC65" s="80"/>
      <c r="AD65" s="80"/>
    </row>
    <row r="66" spans="1:30" ht="13.5" customHeight="1" x14ac:dyDescent="0.25">
      <c r="A66" s="40"/>
      <c r="B66" s="11" t="s">
        <v>35</v>
      </c>
      <c r="C66" s="35" t="s">
        <v>36</v>
      </c>
      <c r="D66" s="103" t="s">
        <v>89</v>
      </c>
      <c r="E66" s="35">
        <v>2022</v>
      </c>
      <c r="F66" s="35"/>
      <c r="G66" s="35"/>
      <c r="H66" s="47" t="s">
        <v>51</v>
      </c>
      <c r="I66" s="47"/>
      <c r="J66" s="12" t="s">
        <v>52</v>
      </c>
      <c r="K66" s="12" t="s">
        <v>40</v>
      </c>
      <c r="L66" s="12" t="s">
        <v>41</v>
      </c>
      <c r="M66" s="64" t="s">
        <v>42</v>
      </c>
      <c r="N66" s="13" t="s">
        <v>47</v>
      </c>
      <c r="O66" s="18">
        <f t="shared" si="46"/>
        <v>10.523333333333333</v>
      </c>
      <c r="P66" s="36">
        <v>15035</v>
      </c>
      <c r="Q66" s="15">
        <f>+P66</f>
        <v>15035</v>
      </c>
      <c r="R66" s="73">
        <f t="shared" ref="R66:R71" si="54">+S65</f>
        <v>44625.983133333328</v>
      </c>
      <c r="S66" s="74">
        <f t="shared" ref="S66:S71" si="55">+R66+O66</f>
        <v>44636.506466666659</v>
      </c>
      <c r="T66" s="75">
        <f t="shared" si="47"/>
        <v>9</v>
      </c>
      <c r="U66" s="76">
        <f t="shared" si="48"/>
        <v>11</v>
      </c>
      <c r="V66" s="77">
        <f t="shared" si="49"/>
        <v>44666.506466666659</v>
      </c>
      <c r="W66" s="36"/>
      <c r="X66" s="37"/>
      <c r="Y66" s="91"/>
      <c r="Z66" s="51"/>
      <c r="AA66" s="49"/>
      <c r="AB66" s="49"/>
      <c r="AC66" s="49"/>
      <c r="AD66" s="49"/>
    </row>
    <row r="67" spans="1:30" ht="13.5" customHeight="1" x14ac:dyDescent="0.25">
      <c r="A67" s="40"/>
      <c r="B67" s="11" t="s">
        <v>105</v>
      </c>
      <c r="C67" s="35" t="s">
        <v>36</v>
      </c>
      <c r="D67" s="103" t="s">
        <v>89</v>
      </c>
      <c r="E67" s="35">
        <v>2022</v>
      </c>
      <c r="F67" s="35"/>
      <c r="G67" s="35"/>
      <c r="H67" s="47" t="s">
        <v>106</v>
      </c>
      <c r="I67" s="47"/>
      <c r="J67" s="12" t="s">
        <v>39</v>
      </c>
      <c r="K67" s="12" t="s">
        <v>40</v>
      </c>
      <c r="L67" s="12" t="s">
        <v>41</v>
      </c>
      <c r="M67" s="64" t="s">
        <v>42</v>
      </c>
      <c r="N67" s="13" t="s">
        <v>47</v>
      </c>
      <c r="O67" s="18">
        <f t="shared" si="46"/>
        <v>7.78</v>
      </c>
      <c r="P67" s="36">
        <v>10920</v>
      </c>
      <c r="Q67" s="15">
        <v>20000</v>
      </c>
      <c r="R67" s="73">
        <f t="shared" si="54"/>
        <v>44636.506466666659</v>
      </c>
      <c r="S67" s="74">
        <f t="shared" si="55"/>
        <v>44644.286466666657</v>
      </c>
      <c r="T67" s="75">
        <f t="shared" si="47"/>
        <v>11</v>
      </c>
      <c r="U67" s="76">
        <f t="shared" si="48"/>
        <v>12</v>
      </c>
      <c r="V67" s="77">
        <f t="shared" si="49"/>
        <v>44674.286466666657</v>
      </c>
      <c r="W67" s="213"/>
      <c r="X67" s="37"/>
      <c r="Y67" s="91"/>
      <c r="Z67" s="51"/>
      <c r="AA67" s="49" t="s">
        <v>218</v>
      </c>
      <c r="AB67" s="49"/>
      <c r="AC67" s="49"/>
      <c r="AD67" s="49"/>
    </row>
    <row r="68" spans="1:30" ht="13.5" customHeight="1" x14ac:dyDescent="0.25">
      <c r="A68" s="40"/>
      <c r="B68" s="11" t="s">
        <v>182</v>
      </c>
      <c r="C68" s="35" t="s">
        <v>36</v>
      </c>
      <c r="D68" s="103" t="s">
        <v>89</v>
      </c>
      <c r="E68" s="35">
        <v>2022</v>
      </c>
      <c r="F68" s="35"/>
      <c r="G68" s="35"/>
      <c r="H68" s="47" t="s">
        <v>183</v>
      </c>
      <c r="I68" s="47" t="s">
        <v>109</v>
      </c>
      <c r="J68" s="12" t="s">
        <v>39</v>
      </c>
      <c r="K68" s="12" t="s">
        <v>40</v>
      </c>
      <c r="L68" s="12" t="s">
        <v>41</v>
      </c>
      <c r="M68" s="64" t="s">
        <v>42</v>
      </c>
      <c r="N68" s="13" t="s">
        <v>47</v>
      </c>
      <c r="O68" s="18">
        <f t="shared" si="46"/>
        <v>10.84</v>
      </c>
      <c r="P68" s="36">
        <v>15510</v>
      </c>
      <c r="Q68" s="15">
        <v>15000</v>
      </c>
      <c r="R68" s="73">
        <f t="shared" si="54"/>
        <v>44644.286466666657</v>
      </c>
      <c r="S68" s="74">
        <f t="shared" si="55"/>
        <v>44655.126466666654</v>
      </c>
      <c r="T68" s="75">
        <f t="shared" si="47"/>
        <v>12</v>
      </c>
      <c r="U68" s="76">
        <f t="shared" si="48"/>
        <v>14</v>
      </c>
      <c r="V68" s="77">
        <f t="shared" si="49"/>
        <v>44685.126466666654</v>
      </c>
      <c r="W68" s="36"/>
      <c r="X68" s="37"/>
      <c r="Y68" s="91"/>
      <c r="Z68" s="51"/>
      <c r="AA68" s="49" t="s">
        <v>218</v>
      </c>
      <c r="AB68" s="49"/>
      <c r="AC68" s="49"/>
      <c r="AD68" s="49"/>
    </row>
    <row r="69" spans="1:30" s="17" customFormat="1" ht="14.1" customHeight="1" x14ac:dyDescent="0.25">
      <c r="A69" s="40"/>
      <c r="B69" s="11" t="s">
        <v>35</v>
      </c>
      <c r="C69" s="35" t="s">
        <v>36</v>
      </c>
      <c r="D69" s="103" t="s">
        <v>89</v>
      </c>
      <c r="E69" s="35">
        <v>2022</v>
      </c>
      <c r="F69" s="35"/>
      <c r="G69" s="35"/>
      <c r="H69" s="44" t="s">
        <v>156</v>
      </c>
      <c r="I69" s="44" t="s">
        <v>157</v>
      </c>
      <c r="J69" s="12" t="s">
        <v>39</v>
      </c>
      <c r="K69" s="12" t="s">
        <v>158</v>
      </c>
      <c r="L69" s="12" t="s">
        <v>41</v>
      </c>
      <c r="M69" s="64" t="s">
        <v>42</v>
      </c>
      <c r="N69" s="13" t="s">
        <v>43</v>
      </c>
      <c r="O69" s="18">
        <f t="shared" si="46"/>
        <v>3.9486666666666665</v>
      </c>
      <c r="P69" s="71">
        <v>5173</v>
      </c>
      <c r="Q69" s="72">
        <v>5000</v>
      </c>
      <c r="R69" s="73">
        <f t="shared" si="54"/>
        <v>44655.126466666654</v>
      </c>
      <c r="S69" s="74">
        <f t="shared" si="55"/>
        <v>44659.075133333317</v>
      </c>
      <c r="T69" s="75">
        <f t="shared" ref="T69:T72" si="56">_xlfn.ISOWEEKNUM(R69)</f>
        <v>14</v>
      </c>
      <c r="U69" s="76">
        <f t="shared" ref="U69:U72" si="57">_xlfn.ISOWEEKNUM(S69)</f>
        <v>14</v>
      </c>
      <c r="V69" s="77">
        <f t="shared" ref="V69:V72" si="58">+S69+$H$1</f>
        <v>44689.075133333317</v>
      </c>
      <c r="W69" s="71"/>
      <c r="X69" s="34"/>
      <c r="Y69" s="91"/>
      <c r="Z69" s="78"/>
      <c r="AA69" s="79" t="s">
        <v>232</v>
      </c>
      <c r="AB69" s="80"/>
      <c r="AC69" s="80"/>
      <c r="AD69" s="80"/>
    </row>
    <row r="70" spans="1:30" ht="13.5" customHeight="1" x14ac:dyDescent="0.25">
      <c r="A70" s="40"/>
      <c r="B70" s="11" t="s">
        <v>48</v>
      </c>
      <c r="C70" s="35" t="s">
        <v>36</v>
      </c>
      <c r="D70" s="103" t="s">
        <v>89</v>
      </c>
      <c r="E70" s="35">
        <v>2022</v>
      </c>
      <c r="F70" s="35"/>
      <c r="G70" s="35"/>
      <c r="H70" s="47" t="s">
        <v>173</v>
      </c>
      <c r="I70" s="47" t="s">
        <v>99</v>
      </c>
      <c r="J70" s="12" t="s">
        <v>39</v>
      </c>
      <c r="K70" s="12" t="s">
        <v>40</v>
      </c>
      <c r="L70" s="12" t="s">
        <v>41</v>
      </c>
      <c r="M70" s="64" t="s">
        <v>42</v>
      </c>
      <c r="N70" s="13" t="s">
        <v>47</v>
      </c>
      <c r="O70" s="18">
        <f t="shared" si="46"/>
        <v>13.976000000000001</v>
      </c>
      <c r="P70" s="36">
        <v>20214</v>
      </c>
      <c r="Q70" s="15">
        <f t="shared" ref="Q70" si="59">+P70</f>
        <v>20214</v>
      </c>
      <c r="R70" s="73">
        <f t="shared" si="54"/>
        <v>44659.075133333317</v>
      </c>
      <c r="S70" s="74">
        <f t="shared" si="55"/>
        <v>44673.05113333332</v>
      </c>
      <c r="T70" s="75">
        <f t="shared" si="56"/>
        <v>14</v>
      </c>
      <c r="U70" s="76">
        <f t="shared" si="57"/>
        <v>16</v>
      </c>
      <c r="V70" s="77">
        <f t="shared" si="58"/>
        <v>44703.05113333332</v>
      </c>
      <c r="W70" s="36"/>
      <c r="X70" s="37"/>
      <c r="Y70" s="91"/>
      <c r="Z70" s="51"/>
      <c r="AA70" s="49" t="s">
        <v>218</v>
      </c>
      <c r="AB70" s="49"/>
      <c r="AC70" s="49"/>
      <c r="AD70" s="49"/>
    </row>
    <row r="71" spans="1:30" ht="13.5" customHeight="1" x14ac:dyDescent="0.25">
      <c r="A71" s="40"/>
      <c r="B71" s="11" t="s">
        <v>95</v>
      </c>
      <c r="C71" s="35" t="s">
        <v>36</v>
      </c>
      <c r="D71" s="103" t="s">
        <v>89</v>
      </c>
      <c r="E71" s="35">
        <v>2022</v>
      </c>
      <c r="F71" s="35"/>
      <c r="G71" s="35"/>
      <c r="H71" s="47" t="s">
        <v>181</v>
      </c>
      <c r="I71" s="47" t="s">
        <v>96</v>
      </c>
      <c r="J71" s="12" t="s">
        <v>39</v>
      </c>
      <c r="K71" s="12" t="s">
        <v>40</v>
      </c>
      <c r="L71" s="12" t="s">
        <v>41</v>
      </c>
      <c r="M71" s="64" t="s">
        <v>42</v>
      </c>
      <c r="N71" s="13" t="s">
        <v>47</v>
      </c>
      <c r="O71" s="18">
        <f t="shared" si="46"/>
        <v>17.736666666666668</v>
      </c>
      <c r="P71" s="36">
        <f>27855-P72</f>
        <v>25855</v>
      </c>
      <c r="Q71" s="15">
        <f>+P71</f>
        <v>25855</v>
      </c>
      <c r="R71" s="73">
        <f t="shared" si="54"/>
        <v>44673.05113333332</v>
      </c>
      <c r="S71" s="74">
        <f t="shared" si="55"/>
        <v>44690.787799999984</v>
      </c>
      <c r="T71" s="75">
        <f t="shared" si="56"/>
        <v>16</v>
      </c>
      <c r="U71" s="76">
        <f t="shared" si="57"/>
        <v>19</v>
      </c>
      <c r="V71" s="77">
        <f t="shared" si="58"/>
        <v>44720.787799999984</v>
      </c>
      <c r="W71" s="36"/>
      <c r="X71" s="37"/>
      <c r="Y71" s="91"/>
      <c r="Z71" s="51"/>
      <c r="AA71" s="49" t="s">
        <v>218</v>
      </c>
      <c r="AB71" s="49"/>
      <c r="AC71" s="49"/>
      <c r="AD71" s="49"/>
    </row>
    <row r="72" spans="1:30" ht="13.5" customHeight="1" x14ac:dyDescent="0.25">
      <c r="A72" s="40"/>
      <c r="B72" s="11" t="s">
        <v>95</v>
      </c>
      <c r="C72" s="35" t="s">
        <v>36</v>
      </c>
      <c r="D72" s="103" t="s">
        <v>89</v>
      </c>
      <c r="E72" s="35">
        <v>2022</v>
      </c>
      <c r="F72" s="35"/>
      <c r="G72" s="35"/>
      <c r="H72" s="47" t="s">
        <v>181</v>
      </c>
      <c r="I72" s="47" t="s">
        <v>96</v>
      </c>
      <c r="J72" s="12" t="s">
        <v>52</v>
      </c>
      <c r="K72" s="12" t="s">
        <v>40</v>
      </c>
      <c r="L72" s="12" t="s">
        <v>41</v>
      </c>
      <c r="M72" s="64" t="s">
        <v>42</v>
      </c>
      <c r="N72" s="13" t="s">
        <v>47</v>
      </c>
      <c r="O72" s="18">
        <f t="shared" si="46"/>
        <v>1.8333333333333333</v>
      </c>
      <c r="P72" s="36">
        <v>2000</v>
      </c>
      <c r="Q72" s="15">
        <f>+P72</f>
        <v>2000</v>
      </c>
      <c r="R72" s="73">
        <f t="shared" ref="R72" si="60">+S71</f>
        <v>44690.787799999984</v>
      </c>
      <c r="S72" s="74">
        <f t="shared" ref="S72" si="61">+R72+O72</f>
        <v>44692.621133333319</v>
      </c>
      <c r="T72" s="75">
        <f t="shared" si="56"/>
        <v>19</v>
      </c>
      <c r="U72" s="76">
        <f t="shared" si="57"/>
        <v>19</v>
      </c>
      <c r="V72" s="77">
        <f t="shared" si="58"/>
        <v>44722.621133333319</v>
      </c>
      <c r="W72" s="36"/>
      <c r="X72" s="37"/>
      <c r="Y72" s="91"/>
      <c r="Z72" s="51"/>
      <c r="AA72" s="49" t="s">
        <v>218</v>
      </c>
      <c r="AB72" s="49"/>
      <c r="AC72" s="49"/>
      <c r="AD72" s="49"/>
    </row>
    <row r="73" spans="1:30" ht="13.5" customHeight="1" x14ac:dyDescent="0.25">
      <c r="A73" s="40"/>
      <c r="B73" s="11" t="s">
        <v>54</v>
      </c>
      <c r="C73" s="35" t="s">
        <v>36</v>
      </c>
      <c r="D73" s="103" t="s">
        <v>89</v>
      </c>
      <c r="E73" s="35">
        <v>2022</v>
      </c>
      <c r="F73" s="35"/>
      <c r="G73" s="35"/>
      <c r="H73" s="47" t="s">
        <v>233</v>
      </c>
      <c r="I73" s="47" t="s">
        <v>145</v>
      </c>
      <c r="J73" s="12" t="s">
        <v>39</v>
      </c>
      <c r="K73" s="12" t="s">
        <v>136</v>
      </c>
      <c r="L73" s="12" t="s">
        <v>56</v>
      </c>
      <c r="M73" s="64" t="s">
        <v>57</v>
      </c>
      <c r="N73" s="13" t="s">
        <v>43</v>
      </c>
      <c r="O73" s="18">
        <f>+P73/$D$2+0.5</f>
        <v>7.2830000000000004</v>
      </c>
      <c r="P73" s="36">
        <f>+Q73*1.33</f>
        <v>10174.5</v>
      </c>
      <c r="Q73" s="15">
        <v>7650</v>
      </c>
      <c r="R73" s="287">
        <v>44378</v>
      </c>
      <c r="S73" s="74">
        <f>+R73+O73</f>
        <v>44385.283000000003</v>
      </c>
      <c r="T73" s="75">
        <f>_xlfn.ISOWEEKNUM(R73)</f>
        <v>26</v>
      </c>
      <c r="U73" s="76">
        <f>_xlfn.ISOWEEKNUM(S73)</f>
        <v>27</v>
      </c>
      <c r="V73" s="77">
        <f>+S73+$H$1</f>
        <v>44415.283000000003</v>
      </c>
      <c r="W73" s="213"/>
      <c r="X73" s="37"/>
      <c r="Y73" s="91"/>
      <c r="Z73" s="51"/>
      <c r="AA73" s="49"/>
      <c r="AB73" s="49"/>
      <c r="AC73" s="49"/>
      <c r="AD73" s="49"/>
    </row>
    <row r="74" spans="1:30" s="17" customFormat="1" ht="14.1" customHeight="1" x14ac:dyDescent="0.25">
      <c r="A74" s="40"/>
      <c r="B74" s="11"/>
      <c r="C74" s="35" t="s">
        <v>36</v>
      </c>
      <c r="D74" s="103" t="s">
        <v>89</v>
      </c>
      <c r="E74" s="35">
        <v>2022</v>
      </c>
      <c r="F74" s="35"/>
      <c r="G74" s="35"/>
      <c r="H74" s="44" t="s">
        <v>234</v>
      </c>
      <c r="I74" s="44" t="s">
        <v>235</v>
      </c>
      <c r="J74" s="12"/>
      <c r="K74" s="12"/>
      <c r="L74" s="12"/>
      <c r="M74" s="64"/>
      <c r="N74" s="13"/>
      <c r="O74" s="18">
        <f>+P74/$D$2+0.5</f>
        <v>8.1286666666666676</v>
      </c>
      <c r="P74" s="71">
        <v>11443</v>
      </c>
      <c r="Q74" s="72">
        <f>+P74</f>
        <v>11443</v>
      </c>
      <c r="R74" s="73">
        <v>44379</v>
      </c>
      <c r="S74" s="74">
        <f t="shared" ref="S74:S78" si="62">+R74+O74</f>
        <v>44387.128666666664</v>
      </c>
      <c r="T74" s="75">
        <f>_xlfn.ISOWEEKNUM(R74)</f>
        <v>26</v>
      </c>
      <c r="U74" s="76">
        <f>_xlfn.ISOWEEKNUM(S74)</f>
        <v>27</v>
      </c>
      <c r="V74" s="77">
        <f>+S74+$H$1</f>
        <v>44417.128666666664</v>
      </c>
      <c r="W74" s="71"/>
      <c r="X74" s="34"/>
      <c r="Y74" s="91"/>
      <c r="Z74" s="78"/>
      <c r="AA74" s="79"/>
      <c r="AB74" s="80"/>
      <c r="AC74" s="80"/>
      <c r="AD74" s="80"/>
    </row>
    <row r="75" spans="1:30" ht="13.5" customHeight="1" x14ac:dyDescent="0.25">
      <c r="A75" s="40"/>
      <c r="B75" s="11" t="s">
        <v>35</v>
      </c>
      <c r="C75" s="35" t="s">
        <v>36</v>
      </c>
      <c r="D75" s="103" t="s">
        <v>89</v>
      </c>
      <c r="E75" s="35">
        <v>2022</v>
      </c>
      <c r="F75" s="35"/>
      <c r="G75" s="35"/>
      <c r="H75" s="47" t="s">
        <v>165</v>
      </c>
      <c r="I75" s="47" t="s">
        <v>166</v>
      </c>
      <c r="J75" s="12" t="s">
        <v>39</v>
      </c>
      <c r="K75" s="12" t="s">
        <v>158</v>
      </c>
      <c r="L75" s="12" t="s">
        <v>41</v>
      </c>
      <c r="M75" s="64" t="s">
        <v>42</v>
      </c>
      <c r="N75" s="13" t="s">
        <v>43</v>
      </c>
      <c r="O75" s="18">
        <f t="shared" si="46"/>
        <v>6.6533333333333333</v>
      </c>
      <c r="P75" s="36">
        <v>9230</v>
      </c>
      <c r="Q75" s="15">
        <v>10000</v>
      </c>
      <c r="R75" s="73">
        <v>44380</v>
      </c>
      <c r="S75" s="74">
        <f t="shared" si="62"/>
        <v>44386.653333333335</v>
      </c>
      <c r="T75" s="75">
        <f t="shared" si="47"/>
        <v>26</v>
      </c>
      <c r="U75" s="76">
        <f t="shared" si="48"/>
        <v>27</v>
      </c>
      <c r="V75" s="77">
        <f t="shared" si="49"/>
        <v>44416.653333333335</v>
      </c>
      <c r="W75" s="36"/>
      <c r="X75" s="37"/>
      <c r="Y75" s="91"/>
      <c r="Z75" s="51"/>
      <c r="AA75" s="79" t="s">
        <v>232</v>
      </c>
      <c r="AB75" s="49"/>
      <c r="AC75" s="49"/>
      <c r="AD75" s="49"/>
    </row>
    <row r="76" spans="1:30" ht="13.5" customHeight="1" x14ac:dyDescent="0.25">
      <c r="A76" s="40"/>
      <c r="B76" s="11" t="s">
        <v>54</v>
      </c>
      <c r="C76" s="35" t="s">
        <v>36</v>
      </c>
      <c r="D76" s="103" t="s">
        <v>89</v>
      </c>
      <c r="E76" s="35">
        <v>2022</v>
      </c>
      <c r="F76" s="35"/>
      <c r="G76" s="35"/>
      <c r="H76" s="47" t="s">
        <v>146</v>
      </c>
      <c r="I76" s="47" t="s">
        <v>147</v>
      </c>
      <c r="J76" s="12" t="s">
        <v>39</v>
      </c>
      <c r="K76" s="12" t="s">
        <v>148</v>
      </c>
      <c r="L76" s="12" t="s">
        <v>56</v>
      </c>
      <c r="M76" s="64" t="s">
        <v>57</v>
      </c>
      <c r="N76" s="13" t="s">
        <v>43</v>
      </c>
      <c r="O76" s="18">
        <f t="shared" si="46"/>
        <v>7.9480000000000004</v>
      </c>
      <c r="P76" s="71">
        <f>+Q76*1.33</f>
        <v>11172</v>
      </c>
      <c r="Q76" s="72">
        <v>8400</v>
      </c>
      <c r="R76" s="73">
        <v>44381</v>
      </c>
      <c r="S76" s="74">
        <f t="shared" si="62"/>
        <v>44388.947999999997</v>
      </c>
      <c r="T76" s="75">
        <f t="shared" si="47"/>
        <v>26</v>
      </c>
      <c r="U76" s="76">
        <f t="shared" si="48"/>
        <v>27</v>
      </c>
      <c r="V76" s="77">
        <f t="shared" si="49"/>
        <v>44418.947999999997</v>
      </c>
      <c r="W76" s="71"/>
      <c r="X76" s="34"/>
      <c r="Y76" s="91"/>
      <c r="Z76" s="78"/>
      <c r="AA76" s="79" t="s">
        <v>232</v>
      </c>
      <c r="AB76" s="79"/>
      <c r="AC76" s="79"/>
      <c r="AD76" s="79"/>
    </row>
    <row r="77" spans="1:30" s="17" customFormat="1" ht="14.1" customHeight="1" x14ac:dyDescent="0.25">
      <c r="A77" s="40"/>
      <c r="B77" s="11" t="s">
        <v>35</v>
      </c>
      <c r="C77" s="35" t="s">
        <v>36</v>
      </c>
      <c r="D77" s="103" t="s">
        <v>89</v>
      </c>
      <c r="E77" s="35">
        <v>2022</v>
      </c>
      <c r="F77" s="35"/>
      <c r="G77" s="35"/>
      <c r="H77" s="44" t="s">
        <v>159</v>
      </c>
      <c r="I77" s="44" t="s">
        <v>160</v>
      </c>
      <c r="J77" s="12" t="s">
        <v>39</v>
      </c>
      <c r="K77" s="12" t="s">
        <v>158</v>
      </c>
      <c r="L77" s="12" t="s">
        <v>41</v>
      </c>
      <c r="M77" s="64" t="s">
        <v>42</v>
      </c>
      <c r="N77" s="13" t="s">
        <v>43</v>
      </c>
      <c r="O77" s="18">
        <f t="shared" si="46"/>
        <v>8.4266666666666659</v>
      </c>
      <c r="P77" s="71">
        <v>11890</v>
      </c>
      <c r="Q77" s="72">
        <v>10000</v>
      </c>
      <c r="R77" s="73">
        <v>44382</v>
      </c>
      <c r="S77" s="74">
        <f t="shared" si="62"/>
        <v>44390.426666666666</v>
      </c>
      <c r="T77" s="75">
        <f t="shared" si="47"/>
        <v>27</v>
      </c>
      <c r="U77" s="76">
        <f t="shared" si="48"/>
        <v>28</v>
      </c>
      <c r="V77" s="77">
        <f t="shared" si="49"/>
        <v>44420.426666666666</v>
      </c>
      <c r="W77" s="71"/>
      <c r="X77" s="34"/>
      <c r="Y77" s="91"/>
      <c r="Z77" s="78"/>
      <c r="AA77" s="80" t="s">
        <v>236</v>
      </c>
      <c r="AB77" s="80"/>
      <c r="AC77" s="80"/>
      <c r="AD77" s="80"/>
    </row>
    <row r="78" spans="1:30" s="17" customFormat="1" ht="14.1" customHeight="1" x14ac:dyDescent="0.25">
      <c r="A78" s="40"/>
      <c r="B78" s="11" t="s">
        <v>35</v>
      </c>
      <c r="C78" s="35" t="s">
        <v>36</v>
      </c>
      <c r="D78" s="103" t="s">
        <v>89</v>
      </c>
      <c r="E78" s="35">
        <v>2022</v>
      </c>
      <c r="F78" s="35"/>
      <c r="G78" s="35"/>
      <c r="H78" s="44" t="s">
        <v>163</v>
      </c>
      <c r="I78" s="44" t="s">
        <v>164</v>
      </c>
      <c r="J78" s="12" t="s">
        <v>39</v>
      </c>
      <c r="K78" s="12" t="s">
        <v>158</v>
      </c>
      <c r="L78" s="12" t="s">
        <v>41</v>
      </c>
      <c r="M78" s="64" t="s">
        <v>42</v>
      </c>
      <c r="N78" s="13" t="s">
        <v>43</v>
      </c>
      <c r="O78" s="18">
        <f t="shared" si="46"/>
        <v>3.8</v>
      </c>
      <c r="P78" s="71">
        <v>4950</v>
      </c>
      <c r="Q78" s="72">
        <v>5000</v>
      </c>
      <c r="R78" s="73">
        <v>44383</v>
      </c>
      <c r="S78" s="74">
        <f t="shared" si="62"/>
        <v>44386.8</v>
      </c>
      <c r="T78" s="75">
        <f t="shared" si="47"/>
        <v>27</v>
      </c>
      <c r="U78" s="76">
        <f t="shared" si="48"/>
        <v>27</v>
      </c>
      <c r="V78" s="77">
        <f t="shared" si="49"/>
        <v>44416.800000000003</v>
      </c>
      <c r="W78" s="71"/>
      <c r="X78" s="34"/>
      <c r="Y78" s="91"/>
      <c r="Z78" s="78"/>
      <c r="AA78" s="79" t="s">
        <v>232</v>
      </c>
      <c r="AB78" s="80"/>
      <c r="AC78" s="80"/>
      <c r="AD78" s="80"/>
    </row>
    <row r="79" spans="1:30" ht="13.5" customHeight="1" x14ac:dyDescent="0.25">
      <c r="A79" s="40"/>
      <c r="B79" s="11" t="s">
        <v>54</v>
      </c>
      <c r="C79" s="35" t="s">
        <v>36</v>
      </c>
      <c r="D79" s="103" t="s">
        <v>89</v>
      </c>
      <c r="E79" s="35">
        <v>2022</v>
      </c>
      <c r="F79" s="35"/>
      <c r="G79" s="35"/>
      <c r="H79" s="47" t="s">
        <v>102</v>
      </c>
      <c r="I79" s="47"/>
      <c r="J79" s="12" t="s">
        <v>39</v>
      </c>
      <c r="K79" s="12" t="s">
        <v>40</v>
      </c>
      <c r="L79" s="12" t="s">
        <v>41</v>
      </c>
      <c r="M79" s="64" t="s">
        <v>57</v>
      </c>
      <c r="N79" s="13" t="s">
        <v>43</v>
      </c>
      <c r="O79" s="18">
        <f t="shared" si="46"/>
        <v>1.8333333333333333</v>
      </c>
      <c r="P79" s="36">
        <v>2000</v>
      </c>
      <c r="Q79" s="15">
        <v>2000</v>
      </c>
      <c r="R79" s="287">
        <v>44805</v>
      </c>
      <c r="S79" s="74">
        <f t="shared" ref="S79:S82" si="63">+R79+O79</f>
        <v>44806.833333333336</v>
      </c>
      <c r="T79" s="75">
        <f t="shared" si="47"/>
        <v>35</v>
      </c>
      <c r="U79" s="76">
        <f t="shared" si="48"/>
        <v>35</v>
      </c>
      <c r="V79" s="77">
        <f t="shared" si="49"/>
        <v>44836.833333333336</v>
      </c>
      <c r="W79" s="36"/>
      <c r="X79" s="37"/>
      <c r="Y79" s="91"/>
      <c r="Z79" s="51"/>
      <c r="AA79" s="79"/>
      <c r="AB79" s="49"/>
      <c r="AC79" s="49"/>
      <c r="AD79" s="49"/>
    </row>
    <row r="80" spans="1:30" ht="13.5" customHeight="1" x14ac:dyDescent="0.25">
      <c r="A80" s="40"/>
      <c r="B80" s="11" t="s">
        <v>54</v>
      </c>
      <c r="C80" s="35" t="s">
        <v>36</v>
      </c>
      <c r="D80" s="103" t="s">
        <v>89</v>
      </c>
      <c r="E80" s="35">
        <v>2022</v>
      </c>
      <c r="F80" s="35"/>
      <c r="G80" s="35"/>
      <c r="H80" s="47" t="s">
        <v>102</v>
      </c>
      <c r="I80" s="47"/>
      <c r="J80" s="12" t="s">
        <v>39</v>
      </c>
      <c r="K80" s="12" t="s">
        <v>40</v>
      </c>
      <c r="L80" s="12"/>
      <c r="M80" s="64"/>
      <c r="N80" s="13" t="s">
        <v>47</v>
      </c>
      <c r="O80" s="18">
        <f t="shared" si="46"/>
        <v>1.8333333333333333</v>
      </c>
      <c r="P80" s="36">
        <v>2000</v>
      </c>
      <c r="Q80" s="15">
        <v>2000</v>
      </c>
      <c r="R80" s="73">
        <f>+S79</f>
        <v>44806.833333333336</v>
      </c>
      <c r="S80" s="74">
        <f t="shared" si="63"/>
        <v>44808.666666666672</v>
      </c>
      <c r="T80" s="75">
        <f t="shared" si="47"/>
        <v>35</v>
      </c>
      <c r="U80" s="76">
        <f t="shared" si="48"/>
        <v>35</v>
      </c>
      <c r="V80" s="77">
        <f t="shared" si="49"/>
        <v>44838.666666666672</v>
      </c>
      <c r="W80" s="36"/>
      <c r="X80" s="37"/>
      <c r="Y80" s="91"/>
      <c r="Z80" s="51"/>
      <c r="AA80" s="79"/>
      <c r="AB80" s="49"/>
      <c r="AC80" s="49"/>
      <c r="AD80" s="49"/>
    </row>
    <row r="81" spans="1:30" s="17" customFormat="1" ht="14.1" customHeight="1" x14ac:dyDescent="0.25">
      <c r="A81" s="40"/>
      <c r="B81" s="11" t="s">
        <v>45</v>
      </c>
      <c r="C81" s="35" t="s">
        <v>36</v>
      </c>
      <c r="D81" s="103" t="s">
        <v>89</v>
      </c>
      <c r="E81" s="35">
        <v>2022</v>
      </c>
      <c r="F81" s="35"/>
      <c r="G81" s="35"/>
      <c r="H81" s="44" t="s">
        <v>135</v>
      </c>
      <c r="I81" s="44"/>
      <c r="J81" s="12" t="s">
        <v>39</v>
      </c>
      <c r="K81" s="12" t="s">
        <v>40</v>
      </c>
      <c r="L81" s="12" t="s">
        <v>41</v>
      </c>
      <c r="M81" s="64" t="s">
        <v>42</v>
      </c>
      <c r="N81" s="13" t="s">
        <v>47</v>
      </c>
      <c r="O81" s="18">
        <f t="shared" si="46"/>
        <v>7.166666666666667</v>
      </c>
      <c r="P81" s="71">
        <v>10000</v>
      </c>
      <c r="Q81" s="72">
        <v>10000</v>
      </c>
      <c r="R81" s="73">
        <f t="shared" ref="R81:R82" si="64">+S80</f>
        <v>44808.666666666672</v>
      </c>
      <c r="S81" s="74">
        <f t="shared" si="63"/>
        <v>44815.833333333336</v>
      </c>
      <c r="T81" s="75">
        <f t="shared" si="47"/>
        <v>35</v>
      </c>
      <c r="U81" s="76">
        <f t="shared" ref="U81:U82" si="65">_xlfn.ISOWEEKNUM(S81)</f>
        <v>36</v>
      </c>
      <c r="V81" s="77">
        <f t="shared" ref="V81:V82" si="66">+S81+$H$1</f>
        <v>44845.833333333336</v>
      </c>
      <c r="W81" s="71"/>
      <c r="X81" s="34"/>
      <c r="Y81" s="91"/>
      <c r="Z81" s="78"/>
      <c r="AA81" s="79"/>
      <c r="AB81" s="80"/>
      <c r="AC81" s="80"/>
      <c r="AD81" s="80"/>
    </row>
    <row r="82" spans="1:30" ht="13.5" customHeight="1" thickBot="1" x14ac:dyDescent="0.3">
      <c r="A82" s="40"/>
      <c r="B82" s="83" t="s">
        <v>35</v>
      </c>
      <c r="C82" s="23" t="s">
        <v>36</v>
      </c>
      <c r="D82" s="152" t="s">
        <v>89</v>
      </c>
      <c r="E82" s="23">
        <v>2022</v>
      </c>
      <c r="F82" s="23"/>
      <c r="G82" s="23"/>
      <c r="H82" s="212" t="s">
        <v>135</v>
      </c>
      <c r="I82" s="212"/>
      <c r="J82" s="24" t="s">
        <v>39</v>
      </c>
      <c r="K82" s="24" t="s">
        <v>40</v>
      </c>
      <c r="L82" s="24" t="s">
        <v>41</v>
      </c>
      <c r="M82" s="85" t="s">
        <v>42</v>
      </c>
      <c r="N82" s="286" t="s">
        <v>43</v>
      </c>
      <c r="O82" s="82">
        <f t="shared" si="46"/>
        <v>8.3433333333333337</v>
      </c>
      <c r="P82" s="88">
        <v>11765</v>
      </c>
      <c r="Q82" s="96">
        <v>11765</v>
      </c>
      <c r="R82" s="111">
        <f t="shared" si="64"/>
        <v>44815.833333333336</v>
      </c>
      <c r="S82" s="112">
        <f t="shared" si="63"/>
        <v>44824.176666666666</v>
      </c>
      <c r="T82" s="75">
        <f t="shared" si="47"/>
        <v>36</v>
      </c>
      <c r="U82" s="114">
        <f t="shared" si="65"/>
        <v>38</v>
      </c>
      <c r="V82" s="115">
        <f t="shared" si="66"/>
        <v>44854.176666666666</v>
      </c>
      <c r="W82" s="214">
        <f>SUM(P61:P78)</f>
        <v>178291.20000000001</v>
      </c>
      <c r="X82" s="89"/>
      <c r="Y82" s="153"/>
      <c r="Z82" s="90"/>
      <c r="AA82" s="95"/>
      <c r="AB82" s="95"/>
      <c r="AC82" s="95"/>
      <c r="AD82" s="95"/>
    </row>
    <row r="83" spans="1:30" ht="13.5" customHeight="1" x14ac:dyDescent="0.25">
      <c r="A83" s="40"/>
      <c r="B83" s="145" t="s">
        <v>48</v>
      </c>
      <c r="C83" s="130" t="s">
        <v>36</v>
      </c>
      <c r="D83" s="281" t="s">
        <v>103</v>
      </c>
      <c r="E83" s="130">
        <v>2022</v>
      </c>
      <c r="F83" s="130"/>
      <c r="G83" s="130"/>
      <c r="H83" s="282" t="s">
        <v>169</v>
      </c>
      <c r="I83" s="282"/>
      <c r="J83" s="147" t="s">
        <v>39</v>
      </c>
      <c r="K83" s="147" t="s">
        <v>66</v>
      </c>
      <c r="L83" s="147" t="s">
        <v>41</v>
      </c>
      <c r="M83" s="148" t="s">
        <v>42</v>
      </c>
      <c r="N83" s="149" t="s">
        <v>71</v>
      </c>
      <c r="O83" s="283">
        <f t="shared" ref="O83:O90" si="67">+P83/$D$1+0.5</f>
        <v>5.833333333333333</v>
      </c>
      <c r="P83" s="56">
        <v>16000</v>
      </c>
      <c r="Q83" s="150">
        <f t="shared" ref="Q83:Q90" si="68">+P83</f>
        <v>16000</v>
      </c>
      <c r="R83" s="57">
        <v>44682</v>
      </c>
      <c r="S83" s="58">
        <f>+R83+O83</f>
        <v>44687.833333333336</v>
      </c>
      <c r="T83" s="59">
        <f>_xlfn.ISOWEEKNUM(R83)</f>
        <v>17</v>
      </c>
      <c r="U83" s="151">
        <f t="shared" ref="U83" si="69">_xlfn.ISOWEEKNUM(S83)</f>
        <v>18</v>
      </c>
      <c r="V83" s="60">
        <f t="shared" ref="V83" si="70">+S83+$H$1</f>
        <v>44717.833333333336</v>
      </c>
      <c r="W83" s="56"/>
      <c r="X83" s="61"/>
      <c r="Y83" s="93"/>
      <c r="Z83" s="62"/>
      <c r="AA83" s="284" t="s">
        <v>218</v>
      </c>
      <c r="AB83" s="284"/>
      <c r="AC83" s="284"/>
      <c r="AD83" s="284"/>
    </row>
    <row r="84" spans="1:30" ht="13.5" customHeight="1" x14ac:dyDescent="0.25">
      <c r="A84" s="40"/>
      <c r="B84" s="11"/>
      <c r="C84" s="35" t="s">
        <v>36</v>
      </c>
      <c r="D84" s="269" t="s">
        <v>103</v>
      </c>
      <c r="E84" s="35">
        <v>2022</v>
      </c>
      <c r="F84" s="35"/>
      <c r="G84" s="35"/>
      <c r="H84" s="47" t="s">
        <v>237</v>
      </c>
      <c r="I84" s="47"/>
      <c r="J84" s="12"/>
      <c r="K84" s="12"/>
      <c r="L84" s="12"/>
      <c r="M84" s="64"/>
      <c r="N84" s="13"/>
      <c r="O84" s="18">
        <f t="shared" si="67"/>
        <v>5.5540000000000003</v>
      </c>
      <c r="P84" s="71">
        <v>15162</v>
      </c>
      <c r="Q84" s="72">
        <f t="shared" si="68"/>
        <v>15162</v>
      </c>
      <c r="R84" s="73">
        <f>+S83</f>
        <v>44687.833333333336</v>
      </c>
      <c r="S84" s="74">
        <f>+R84+O84</f>
        <v>44693.387333333332</v>
      </c>
      <c r="T84" s="75">
        <f>_xlfn.ISOWEEKNUM(R84)</f>
        <v>18</v>
      </c>
      <c r="U84" s="76">
        <f>_xlfn.ISOWEEKNUM(S84)</f>
        <v>19</v>
      </c>
      <c r="V84" s="77">
        <f>+S84+$H$1</f>
        <v>44723.387333333332</v>
      </c>
      <c r="W84" s="71"/>
      <c r="X84" s="34"/>
      <c r="Y84" s="91"/>
      <c r="Z84" s="78"/>
      <c r="AA84" s="49" t="s">
        <v>238</v>
      </c>
      <c r="AB84" s="79"/>
      <c r="AC84" s="79"/>
      <c r="AD84" s="79"/>
    </row>
    <row r="85" spans="1:30" s="17" customFormat="1" ht="14.1" customHeight="1" x14ac:dyDescent="0.25">
      <c r="A85" s="40"/>
      <c r="B85" s="11" t="s">
        <v>45</v>
      </c>
      <c r="C85" s="35" t="s">
        <v>36</v>
      </c>
      <c r="D85" s="269" t="s">
        <v>103</v>
      </c>
      <c r="E85" s="35">
        <v>2022</v>
      </c>
      <c r="F85" s="35"/>
      <c r="G85" s="35"/>
      <c r="H85" s="44" t="s">
        <v>239</v>
      </c>
      <c r="I85" s="44" t="s">
        <v>240</v>
      </c>
      <c r="J85" s="12" t="s">
        <v>39</v>
      </c>
      <c r="K85" s="12" t="s">
        <v>40</v>
      </c>
      <c r="L85" s="12" t="s">
        <v>41</v>
      </c>
      <c r="M85" s="64" t="s">
        <v>42</v>
      </c>
      <c r="N85" s="13" t="s">
        <v>47</v>
      </c>
      <c r="O85" s="18">
        <f t="shared" si="67"/>
        <v>4.1266666666666669</v>
      </c>
      <c r="P85" s="71">
        <v>10880</v>
      </c>
      <c r="Q85" s="72">
        <f t="shared" si="68"/>
        <v>10880</v>
      </c>
      <c r="R85" s="73">
        <f t="shared" ref="R85:R96" si="71">+S84</f>
        <v>44693.387333333332</v>
      </c>
      <c r="S85" s="74">
        <f t="shared" ref="S85:S88" si="72">+R85+O85</f>
        <v>44697.513999999996</v>
      </c>
      <c r="T85" s="75">
        <f t="shared" ref="T85:T88" si="73">_xlfn.ISOWEEKNUM(R85)</f>
        <v>19</v>
      </c>
      <c r="U85" s="76">
        <f t="shared" ref="U85:U88" si="74">_xlfn.ISOWEEKNUM(S85)</f>
        <v>20</v>
      </c>
      <c r="V85" s="77">
        <f t="shared" ref="V85:V88" si="75">+S85+$H$1</f>
        <v>44727.513999999996</v>
      </c>
      <c r="W85" s="71"/>
      <c r="X85" s="34"/>
      <c r="Y85" s="91"/>
      <c r="Z85" s="78"/>
      <c r="AA85" s="80"/>
      <c r="AB85" s="80"/>
      <c r="AC85" s="80"/>
      <c r="AD85" s="80"/>
    </row>
    <row r="86" spans="1:30" s="17" customFormat="1" ht="14.1" customHeight="1" x14ac:dyDescent="0.25">
      <c r="A86" s="40"/>
      <c r="B86" s="11"/>
      <c r="C86" s="35" t="s">
        <v>36</v>
      </c>
      <c r="D86" s="269" t="s">
        <v>103</v>
      </c>
      <c r="E86" s="35">
        <v>2022</v>
      </c>
      <c r="F86" s="35"/>
      <c r="G86" s="35"/>
      <c r="H86" s="44" t="s">
        <v>241</v>
      </c>
      <c r="I86" s="44"/>
      <c r="J86" s="12"/>
      <c r="K86" s="12"/>
      <c r="L86" s="12"/>
      <c r="M86" s="64"/>
      <c r="N86" s="13"/>
      <c r="O86" s="18">
        <f t="shared" si="67"/>
        <v>4.1576666666666666</v>
      </c>
      <c r="P86" s="71">
        <v>10973</v>
      </c>
      <c r="Q86" s="72">
        <f t="shared" si="68"/>
        <v>10973</v>
      </c>
      <c r="R86" s="73">
        <f t="shared" si="71"/>
        <v>44697.513999999996</v>
      </c>
      <c r="S86" s="74">
        <f t="shared" si="72"/>
        <v>44701.671666666662</v>
      </c>
      <c r="T86" s="75">
        <f t="shared" si="73"/>
        <v>20</v>
      </c>
      <c r="U86" s="76">
        <f t="shared" si="74"/>
        <v>20</v>
      </c>
      <c r="V86" s="77">
        <f t="shared" si="75"/>
        <v>44731.671666666662</v>
      </c>
      <c r="W86" s="71"/>
      <c r="X86" s="34"/>
      <c r="Y86" s="91"/>
      <c r="Z86" s="78"/>
      <c r="AA86" s="80"/>
      <c r="AB86" s="80"/>
      <c r="AC86" s="80"/>
      <c r="AD86" s="80"/>
    </row>
    <row r="87" spans="1:30" s="17" customFormat="1" ht="14.1" customHeight="1" x14ac:dyDescent="0.25">
      <c r="A87" s="40"/>
      <c r="B87" s="11" t="s">
        <v>45</v>
      </c>
      <c r="C87" s="35" t="s">
        <v>36</v>
      </c>
      <c r="D87" s="103" t="s">
        <v>89</v>
      </c>
      <c r="E87" s="35">
        <v>2022</v>
      </c>
      <c r="F87" s="35"/>
      <c r="G87" s="35"/>
      <c r="H87" s="44" t="s">
        <v>70</v>
      </c>
      <c r="I87" s="44"/>
      <c r="J87" s="12" t="s">
        <v>39</v>
      </c>
      <c r="K87" s="12" t="s">
        <v>66</v>
      </c>
      <c r="L87" s="12" t="s">
        <v>41</v>
      </c>
      <c r="M87" s="64" t="s">
        <v>42</v>
      </c>
      <c r="N87" s="13" t="s">
        <v>71</v>
      </c>
      <c r="O87" s="18">
        <f>+P87/$D$2+0.5</f>
        <v>30.466666666666665</v>
      </c>
      <c r="P87" s="71">
        <v>44950</v>
      </c>
      <c r="Q87" s="72">
        <f>+P87</f>
        <v>44950</v>
      </c>
      <c r="R87" s="73">
        <f>+S65</f>
        <v>44625.983133333328</v>
      </c>
      <c r="S87" s="74">
        <f>+R87+O87</f>
        <v>44656.449799999995</v>
      </c>
      <c r="T87" s="75">
        <f>_xlfn.ISOWEEKNUM(R87)</f>
        <v>9</v>
      </c>
      <c r="U87" s="76">
        <f>_xlfn.ISOWEEKNUM(S87)</f>
        <v>14</v>
      </c>
      <c r="V87" s="77">
        <f>+S87+$H$1</f>
        <v>44686.449799999995</v>
      </c>
      <c r="W87" s="71"/>
      <c r="X87" s="34"/>
      <c r="Y87" s="91"/>
      <c r="Z87" s="78"/>
      <c r="AA87" s="80" t="s">
        <v>214</v>
      </c>
      <c r="AB87" s="80">
        <v>0.75</v>
      </c>
      <c r="AC87" s="80"/>
      <c r="AD87" s="80"/>
    </row>
    <row r="88" spans="1:30" s="17" customFormat="1" ht="14.1" customHeight="1" x14ac:dyDescent="0.25">
      <c r="A88" s="40"/>
      <c r="B88" s="11" t="s">
        <v>35</v>
      </c>
      <c r="C88" s="35" t="s">
        <v>36</v>
      </c>
      <c r="D88" s="269" t="s">
        <v>103</v>
      </c>
      <c r="E88" s="35">
        <v>2022</v>
      </c>
      <c r="F88" s="35"/>
      <c r="G88" s="35"/>
      <c r="H88" s="296" t="s">
        <v>134</v>
      </c>
      <c r="I88" s="44"/>
      <c r="J88" s="12" t="s">
        <v>39</v>
      </c>
      <c r="K88" s="12" t="s">
        <v>40</v>
      </c>
      <c r="L88" s="12" t="s">
        <v>41</v>
      </c>
      <c r="M88" s="64" t="s">
        <v>42</v>
      </c>
      <c r="N88" s="211" t="s">
        <v>43</v>
      </c>
      <c r="O88" s="18">
        <f t="shared" si="67"/>
        <v>4.8066666666666666</v>
      </c>
      <c r="P88" s="71">
        <v>12920</v>
      </c>
      <c r="Q88" s="72">
        <f t="shared" si="68"/>
        <v>12920</v>
      </c>
      <c r="R88" s="73">
        <f>+S86</f>
        <v>44701.671666666662</v>
      </c>
      <c r="S88" s="74">
        <f t="shared" si="72"/>
        <v>44706.478333333325</v>
      </c>
      <c r="T88" s="75">
        <f t="shared" si="73"/>
        <v>20</v>
      </c>
      <c r="U88" s="76">
        <f t="shared" si="74"/>
        <v>21</v>
      </c>
      <c r="V88" s="77">
        <f t="shared" si="75"/>
        <v>44736.478333333325</v>
      </c>
      <c r="W88" s="71"/>
      <c r="X88" s="34"/>
      <c r="Y88" s="91"/>
      <c r="Z88" s="78"/>
      <c r="AA88" s="80" t="s">
        <v>213</v>
      </c>
      <c r="AB88" s="80">
        <v>0.65</v>
      </c>
      <c r="AC88" s="80"/>
      <c r="AD88" s="80"/>
    </row>
    <row r="89" spans="1:30" s="17" customFormat="1" ht="14.1" customHeight="1" x14ac:dyDescent="0.25">
      <c r="A89" s="40"/>
      <c r="B89" s="11" t="s">
        <v>35</v>
      </c>
      <c r="C89" s="35" t="s">
        <v>36</v>
      </c>
      <c r="D89" s="269" t="s">
        <v>103</v>
      </c>
      <c r="E89" s="35">
        <v>2022</v>
      </c>
      <c r="F89" s="35"/>
      <c r="G89" s="35"/>
      <c r="H89" s="296" t="s">
        <v>134</v>
      </c>
      <c r="I89" s="44"/>
      <c r="J89" s="12" t="s">
        <v>52</v>
      </c>
      <c r="K89" s="12" t="s">
        <v>40</v>
      </c>
      <c r="L89" s="12" t="s">
        <v>41</v>
      </c>
      <c r="M89" s="64" t="s">
        <v>42</v>
      </c>
      <c r="N89" s="211" t="s">
        <v>43</v>
      </c>
      <c r="O89" s="18">
        <f t="shared" si="67"/>
        <v>0.66666666666666663</v>
      </c>
      <c r="P89" s="71">
        <v>500</v>
      </c>
      <c r="Q89" s="72">
        <f t="shared" si="68"/>
        <v>500</v>
      </c>
      <c r="R89" s="73">
        <f t="shared" ref="R89:R91" si="76">+S88</f>
        <v>44706.478333333325</v>
      </c>
      <c r="S89" s="74">
        <f t="shared" ref="S89:S91" si="77">+R89+O89</f>
        <v>44707.14499999999</v>
      </c>
      <c r="T89" s="75">
        <f t="shared" ref="T89" si="78">_xlfn.ISOWEEKNUM(R89)</f>
        <v>21</v>
      </c>
      <c r="U89" s="76">
        <f t="shared" ref="U89" si="79">_xlfn.ISOWEEKNUM(S89)</f>
        <v>21</v>
      </c>
      <c r="V89" s="77">
        <f t="shared" ref="V89" si="80">+S89+$H$1</f>
        <v>44737.14499999999</v>
      </c>
      <c r="W89" s="71"/>
      <c r="X89" s="34"/>
      <c r="Y89" s="91"/>
      <c r="Z89" s="78"/>
      <c r="AA89" s="80" t="s">
        <v>213</v>
      </c>
      <c r="AB89" s="80">
        <v>0.65</v>
      </c>
      <c r="AC89" s="80"/>
      <c r="AD89" s="80"/>
    </row>
    <row r="90" spans="1:30" s="17" customFormat="1" ht="14.1" customHeight="1" x14ac:dyDescent="0.25">
      <c r="A90" s="40"/>
      <c r="B90" s="11" t="s">
        <v>35</v>
      </c>
      <c r="C90" s="35" t="s">
        <v>36</v>
      </c>
      <c r="D90" s="269" t="s">
        <v>103</v>
      </c>
      <c r="E90" s="35">
        <v>2022</v>
      </c>
      <c r="F90" s="35"/>
      <c r="G90" s="35"/>
      <c r="H90" s="296" t="s">
        <v>53</v>
      </c>
      <c r="I90" s="44"/>
      <c r="J90" s="12" t="s">
        <v>39</v>
      </c>
      <c r="K90" s="12" t="s">
        <v>136</v>
      </c>
      <c r="L90" s="12" t="s">
        <v>41</v>
      </c>
      <c r="M90" s="64" t="s">
        <v>42</v>
      </c>
      <c r="N90" s="13" t="s">
        <v>43</v>
      </c>
      <c r="O90" s="18">
        <f t="shared" si="67"/>
        <v>3.91</v>
      </c>
      <c r="P90" s="71">
        <v>10230</v>
      </c>
      <c r="Q90" s="72">
        <f t="shared" si="68"/>
        <v>10230</v>
      </c>
      <c r="R90" s="73">
        <f t="shared" si="76"/>
        <v>44707.14499999999</v>
      </c>
      <c r="S90" s="74">
        <f t="shared" si="77"/>
        <v>44711.054999999993</v>
      </c>
      <c r="T90" s="75">
        <f t="shared" ref="T90:T96" si="81">_xlfn.ISOWEEKNUM(R90)</f>
        <v>21</v>
      </c>
      <c r="U90" s="76">
        <f t="shared" ref="U90:U96" si="82">_xlfn.ISOWEEKNUM(S90)</f>
        <v>22</v>
      </c>
      <c r="V90" s="77">
        <f t="shared" ref="V90:V96" si="83">+S90+$H$1</f>
        <v>44741.054999999993</v>
      </c>
      <c r="W90" s="71"/>
      <c r="X90" s="34"/>
      <c r="Y90" s="91"/>
      <c r="Z90" s="78"/>
      <c r="AA90" s="80"/>
      <c r="AB90" s="80"/>
      <c r="AC90" s="80"/>
      <c r="AD90" s="80"/>
    </row>
    <row r="91" spans="1:30" s="17" customFormat="1" ht="14.1" customHeight="1" x14ac:dyDescent="0.25">
      <c r="A91" s="40"/>
      <c r="B91" s="11" t="s">
        <v>95</v>
      </c>
      <c r="C91" s="35" t="s">
        <v>36</v>
      </c>
      <c r="D91" s="269" t="s">
        <v>103</v>
      </c>
      <c r="E91" s="35">
        <v>2022</v>
      </c>
      <c r="F91" s="35"/>
      <c r="G91" s="35"/>
      <c r="H91" s="44" t="s">
        <v>180</v>
      </c>
      <c r="I91" s="44" t="s">
        <v>112</v>
      </c>
      <c r="J91" s="12" t="s">
        <v>39</v>
      </c>
      <c r="K91" s="12" t="s">
        <v>40</v>
      </c>
      <c r="L91" s="12" t="s">
        <v>41</v>
      </c>
      <c r="M91" s="64" t="s">
        <v>42</v>
      </c>
      <c r="N91" s="13" t="s">
        <v>47</v>
      </c>
      <c r="O91" s="18">
        <f t="shared" ref="O91:O99" si="84">+P91/$D$1+0.5</f>
        <v>8.8870000000000005</v>
      </c>
      <c r="P91" s="71">
        <f>27161-P92</f>
        <v>25161</v>
      </c>
      <c r="Q91" s="72">
        <f t="shared" ref="Q91:Q99" si="85">+P91</f>
        <v>25161</v>
      </c>
      <c r="R91" s="73">
        <f t="shared" si="76"/>
        <v>44711.054999999993</v>
      </c>
      <c r="S91" s="74">
        <f t="shared" si="77"/>
        <v>44719.941999999995</v>
      </c>
      <c r="T91" s="75">
        <f t="shared" si="81"/>
        <v>22</v>
      </c>
      <c r="U91" s="76">
        <f t="shared" si="82"/>
        <v>23</v>
      </c>
      <c r="V91" s="77">
        <f t="shared" si="83"/>
        <v>44749.941999999995</v>
      </c>
      <c r="W91" s="71"/>
      <c r="X91" s="34"/>
      <c r="Y91" s="91"/>
      <c r="Z91" s="78"/>
      <c r="AA91" s="80" t="s">
        <v>218</v>
      </c>
      <c r="AB91" s="80"/>
      <c r="AC91" s="80"/>
      <c r="AD91" s="80"/>
    </row>
    <row r="92" spans="1:30" ht="13.5" customHeight="1" x14ac:dyDescent="0.25">
      <c r="A92" s="40"/>
      <c r="B92" s="11" t="s">
        <v>95</v>
      </c>
      <c r="C92" s="35" t="s">
        <v>36</v>
      </c>
      <c r="D92" s="269" t="s">
        <v>103</v>
      </c>
      <c r="E92" s="35">
        <v>2022</v>
      </c>
      <c r="F92" s="35"/>
      <c r="G92" s="35"/>
      <c r="H92" s="47" t="s">
        <v>180</v>
      </c>
      <c r="I92" s="47" t="s">
        <v>112</v>
      </c>
      <c r="J92" s="12" t="s">
        <v>52</v>
      </c>
      <c r="K92" s="12" t="s">
        <v>40</v>
      </c>
      <c r="L92" s="12" t="s">
        <v>41</v>
      </c>
      <c r="M92" s="64" t="s">
        <v>42</v>
      </c>
      <c r="N92" s="13" t="s">
        <v>47</v>
      </c>
      <c r="O92" s="18">
        <f t="shared" ref="O92" si="86">+P92/$D$1+0.5</f>
        <v>1.1666666666666665</v>
      </c>
      <c r="P92" s="36">
        <v>2000</v>
      </c>
      <c r="Q92" s="15">
        <f t="shared" ref="Q92" si="87">+P92</f>
        <v>2000</v>
      </c>
      <c r="R92" s="73">
        <f t="shared" si="71"/>
        <v>44719.941999999995</v>
      </c>
      <c r="S92" s="74">
        <f t="shared" ref="S92:S96" si="88">+R92+O92</f>
        <v>44721.10866666666</v>
      </c>
      <c r="T92" s="75">
        <f t="shared" si="81"/>
        <v>23</v>
      </c>
      <c r="U92" s="76">
        <f t="shared" si="82"/>
        <v>23</v>
      </c>
      <c r="V92" s="77">
        <f t="shared" si="83"/>
        <v>44751.10866666666</v>
      </c>
      <c r="W92" s="36"/>
      <c r="X92" s="37"/>
      <c r="Y92" s="91"/>
      <c r="Z92" s="51"/>
      <c r="AA92" s="49" t="s">
        <v>218</v>
      </c>
      <c r="AB92" s="49"/>
      <c r="AC92" s="49"/>
      <c r="AD92" s="49"/>
    </row>
    <row r="93" spans="1:30" ht="13.5" customHeight="1" x14ac:dyDescent="0.25">
      <c r="A93" s="40"/>
      <c r="B93" s="11" t="s">
        <v>82</v>
      </c>
      <c r="C93" s="35" t="s">
        <v>36</v>
      </c>
      <c r="D93" s="269" t="s">
        <v>103</v>
      </c>
      <c r="E93" s="35">
        <v>2022</v>
      </c>
      <c r="F93" s="35"/>
      <c r="G93" s="35"/>
      <c r="H93" s="47" t="s">
        <v>110</v>
      </c>
      <c r="I93" s="47"/>
      <c r="J93" s="12" t="s">
        <v>39</v>
      </c>
      <c r="K93" s="12" t="s">
        <v>66</v>
      </c>
      <c r="L93" s="12" t="s">
        <v>41</v>
      </c>
      <c r="M93" s="64" t="s">
        <v>42</v>
      </c>
      <c r="N93" s="13" t="s">
        <v>71</v>
      </c>
      <c r="O93" s="18">
        <f t="shared" si="84"/>
        <v>2.82</v>
      </c>
      <c r="P93" s="36">
        <v>6960</v>
      </c>
      <c r="Q93" s="15">
        <f t="shared" si="85"/>
        <v>6960</v>
      </c>
      <c r="R93" s="73">
        <f t="shared" si="71"/>
        <v>44721.10866666666</v>
      </c>
      <c r="S93" s="74">
        <f t="shared" si="88"/>
        <v>44723.928666666659</v>
      </c>
      <c r="T93" s="75">
        <f t="shared" si="81"/>
        <v>23</v>
      </c>
      <c r="U93" s="76">
        <f t="shared" si="82"/>
        <v>23</v>
      </c>
      <c r="V93" s="77">
        <f t="shared" si="83"/>
        <v>44753.928666666659</v>
      </c>
      <c r="W93" s="36"/>
      <c r="X93" s="37"/>
      <c r="Y93" s="91"/>
      <c r="Z93" s="51"/>
      <c r="AA93" s="49" t="s">
        <v>218</v>
      </c>
      <c r="AB93" s="49"/>
      <c r="AC93" s="49"/>
      <c r="AD93" s="49"/>
    </row>
    <row r="94" spans="1:30" ht="13.5" customHeight="1" x14ac:dyDescent="0.25">
      <c r="A94" s="40"/>
      <c r="B94" s="11" t="s">
        <v>105</v>
      </c>
      <c r="C94" s="35" t="s">
        <v>36</v>
      </c>
      <c r="D94" s="269" t="s">
        <v>103</v>
      </c>
      <c r="E94" s="35">
        <v>2022</v>
      </c>
      <c r="F94" s="35"/>
      <c r="G94" s="35"/>
      <c r="H94" s="47" t="s">
        <v>178</v>
      </c>
      <c r="I94" s="47" t="s">
        <v>107</v>
      </c>
      <c r="J94" s="12" t="s">
        <v>39</v>
      </c>
      <c r="K94" s="12" t="s">
        <v>40</v>
      </c>
      <c r="L94" s="12" t="s">
        <v>41</v>
      </c>
      <c r="M94" s="64" t="s">
        <v>42</v>
      </c>
      <c r="N94" s="13" t="s">
        <v>47</v>
      </c>
      <c r="O94" s="18">
        <f t="shared" si="84"/>
        <v>3.7933333333333334</v>
      </c>
      <c r="P94" s="36">
        <v>9880</v>
      </c>
      <c r="Q94" s="15">
        <f t="shared" si="85"/>
        <v>9880</v>
      </c>
      <c r="R94" s="73">
        <f t="shared" si="71"/>
        <v>44723.928666666659</v>
      </c>
      <c r="S94" s="74">
        <f t="shared" si="88"/>
        <v>44727.721999999994</v>
      </c>
      <c r="T94" s="75">
        <f t="shared" si="81"/>
        <v>23</v>
      </c>
      <c r="U94" s="76">
        <f t="shared" si="82"/>
        <v>24</v>
      </c>
      <c r="V94" s="77">
        <f t="shared" si="83"/>
        <v>44757.721999999994</v>
      </c>
      <c r="W94" s="36"/>
      <c r="X94" s="37"/>
      <c r="Y94" s="91"/>
      <c r="Z94" s="51"/>
      <c r="AA94" s="49" t="s">
        <v>218</v>
      </c>
      <c r="AB94" s="49"/>
      <c r="AC94" s="49"/>
      <c r="AD94" s="49"/>
    </row>
    <row r="95" spans="1:30" ht="13.5" customHeight="1" x14ac:dyDescent="0.25">
      <c r="A95" s="40"/>
      <c r="B95" s="11" t="s">
        <v>242</v>
      </c>
      <c r="C95" s="35" t="s">
        <v>36</v>
      </c>
      <c r="D95" s="269" t="s">
        <v>103</v>
      </c>
      <c r="E95" s="35">
        <v>2022</v>
      </c>
      <c r="F95" s="35"/>
      <c r="G95" s="35"/>
      <c r="H95" s="47" t="s">
        <v>243</v>
      </c>
      <c r="I95" s="47"/>
      <c r="J95" s="12" t="s">
        <v>39</v>
      </c>
      <c r="K95" s="12" t="s">
        <v>40</v>
      </c>
      <c r="L95" s="12" t="s">
        <v>41</v>
      </c>
      <c r="M95" s="64" t="s">
        <v>42</v>
      </c>
      <c r="N95" s="13" t="s">
        <v>47</v>
      </c>
      <c r="O95" s="18">
        <f>+P95/$D$1+0.5</f>
        <v>3.8716666666666666</v>
      </c>
      <c r="P95" s="36">
        <v>10115</v>
      </c>
      <c r="Q95" s="15">
        <f>+P95</f>
        <v>10115</v>
      </c>
      <c r="R95" s="73">
        <f t="shared" si="71"/>
        <v>44727.721999999994</v>
      </c>
      <c r="S95" s="74">
        <f t="shared" si="88"/>
        <v>44731.59366666666</v>
      </c>
      <c r="T95" s="75">
        <f t="shared" si="81"/>
        <v>24</v>
      </c>
      <c r="U95" s="76">
        <f t="shared" si="82"/>
        <v>24</v>
      </c>
      <c r="V95" s="77">
        <f t="shared" si="83"/>
        <v>44761.59366666666</v>
      </c>
      <c r="W95" s="36"/>
      <c r="X95" s="37"/>
      <c r="Y95" s="92"/>
      <c r="Z95" s="51"/>
      <c r="AA95" s="49" t="s">
        <v>238</v>
      </c>
      <c r="AB95" s="49"/>
      <c r="AC95" s="49"/>
      <c r="AD95" s="49"/>
    </row>
    <row r="96" spans="1:30" ht="13.5" customHeight="1" x14ac:dyDescent="0.25">
      <c r="A96" s="40"/>
      <c r="B96" s="11" t="s">
        <v>35</v>
      </c>
      <c r="C96" s="35" t="s">
        <v>36</v>
      </c>
      <c r="D96" s="269" t="s">
        <v>103</v>
      </c>
      <c r="E96" s="35">
        <v>2022</v>
      </c>
      <c r="F96" s="35"/>
      <c r="G96" s="35"/>
      <c r="H96" s="47" t="s">
        <v>161</v>
      </c>
      <c r="I96" s="47" t="s">
        <v>158</v>
      </c>
      <c r="J96" s="12" t="s">
        <v>52</v>
      </c>
      <c r="K96" s="12" t="s">
        <v>158</v>
      </c>
      <c r="L96" s="12" t="s">
        <v>41</v>
      </c>
      <c r="M96" s="64" t="s">
        <v>42</v>
      </c>
      <c r="N96" s="13" t="s">
        <v>47</v>
      </c>
      <c r="O96" s="18">
        <f t="shared" ref="O96:O97" si="89">+P96/$D$1+0.5</f>
        <v>0.66666666666666663</v>
      </c>
      <c r="P96" s="71">
        <v>500</v>
      </c>
      <c r="Q96" s="72">
        <f t="shared" ref="Q96:Q97" si="90">+P96</f>
        <v>500</v>
      </c>
      <c r="R96" s="73">
        <f t="shared" si="71"/>
        <v>44731.59366666666</v>
      </c>
      <c r="S96" s="74">
        <f t="shared" si="88"/>
        <v>44732.260333333325</v>
      </c>
      <c r="T96" s="75">
        <f t="shared" si="81"/>
        <v>24</v>
      </c>
      <c r="U96" s="76">
        <f t="shared" si="82"/>
        <v>25</v>
      </c>
      <c r="V96" s="77">
        <f t="shared" si="83"/>
        <v>44762.260333333325</v>
      </c>
      <c r="W96" s="71"/>
      <c r="X96" s="34"/>
      <c r="Y96" s="91"/>
      <c r="Z96" s="78"/>
      <c r="AA96" s="49" t="s">
        <v>244</v>
      </c>
      <c r="AB96" s="79"/>
      <c r="AC96" s="79"/>
      <c r="AD96" s="79"/>
    </row>
    <row r="97" spans="1:30" ht="13.5" customHeight="1" x14ac:dyDescent="0.25">
      <c r="A97" s="40"/>
      <c r="B97" s="11" t="s">
        <v>35</v>
      </c>
      <c r="C97" s="35" t="s">
        <v>36</v>
      </c>
      <c r="D97" s="269" t="s">
        <v>103</v>
      </c>
      <c r="E97" s="35">
        <v>2022</v>
      </c>
      <c r="F97" s="35"/>
      <c r="G97" s="35"/>
      <c r="H97" s="293" t="s">
        <v>161</v>
      </c>
      <c r="I97" s="47" t="s">
        <v>158</v>
      </c>
      <c r="J97" s="12" t="s">
        <v>39</v>
      </c>
      <c r="K97" s="12" t="s">
        <v>158</v>
      </c>
      <c r="L97" s="12" t="s">
        <v>41</v>
      </c>
      <c r="M97" s="64" t="s">
        <v>42</v>
      </c>
      <c r="N97" s="13" t="s">
        <v>43</v>
      </c>
      <c r="O97" s="18">
        <f t="shared" si="89"/>
        <v>4.1666666666666661</v>
      </c>
      <c r="P97" s="36">
        <f>11500-P96</f>
        <v>11000</v>
      </c>
      <c r="Q97" s="15">
        <f t="shared" si="90"/>
        <v>11000</v>
      </c>
      <c r="R97" s="42"/>
      <c r="S97" s="41"/>
      <c r="T97" s="16"/>
      <c r="U97" s="38"/>
      <c r="V97" s="39"/>
      <c r="W97" s="213">
        <f>SUM(P83:P99)</f>
        <v>207571</v>
      </c>
      <c r="X97" s="37"/>
      <c r="Y97" s="92"/>
      <c r="Z97" s="51"/>
      <c r="AA97" s="49" t="s">
        <v>245</v>
      </c>
      <c r="AB97" s="49"/>
      <c r="AC97" s="49"/>
      <c r="AD97" s="49"/>
    </row>
    <row r="98" spans="1:30" ht="13.5" customHeight="1" x14ac:dyDescent="0.25">
      <c r="A98" s="40"/>
      <c r="B98" s="11" t="s">
        <v>82</v>
      </c>
      <c r="C98" s="35" t="s">
        <v>36</v>
      </c>
      <c r="D98" s="269" t="s">
        <v>103</v>
      </c>
      <c r="E98" s="35">
        <v>2022</v>
      </c>
      <c r="F98" s="35"/>
      <c r="G98" s="35"/>
      <c r="H98" s="293" t="s">
        <v>246</v>
      </c>
      <c r="I98" s="47" t="s">
        <v>177</v>
      </c>
      <c r="J98" s="12" t="s">
        <v>39</v>
      </c>
      <c r="K98" s="12" t="s">
        <v>158</v>
      </c>
      <c r="L98" s="12" t="s">
        <v>41</v>
      </c>
      <c r="M98" s="64" t="s">
        <v>42</v>
      </c>
      <c r="N98" s="13" t="s">
        <v>47</v>
      </c>
      <c r="O98" s="18">
        <f t="shared" si="84"/>
        <v>3.86</v>
      </c>
      <c r="P98" s="36">
        <v>10080</v>
      </c>
      <c r="Q98" s="15">
        <f t="shared" si="85"/>
        <v>10080</v>
      </c>
      <c r="R98" s="73"/>
      <c r="S98" s="74"/>
      <c r="T98" s="75"/>
      <c r="U98" s="76"/>
      <c r="V98" s="77"/>
      <c r="W98" s="36"/>
      <c r="X98" s="37"/>
      <c r="Y98" s="91"/>
      <c r="Z98" s="51"/>
      <c r="AA98" s="49" t="s">
        <v>245</v>
      </c>
      <c r="AB98" s="49"/>
      <c r="AC98" s="49"/>
      <c r="AD98" s="49"/>
    </row>
    <row r="99" spans="1:30" ht="13.5" customHeight="1" thickBot="1" x14ac:dyDescent="0.3">
      <c r="A99" s="40"/>
      <c r="B99" s="83" t="s">
        <v>48</v>
      </c>
      <c r="C99" s="23" t="s">
        <v>36</v>
      </c>
      <c r="D99" s="285" t="s">
        <v>103</v>
      </c>
      <c r="E99" s="23">
        <v>2022</v>
      </c>
      <c r="F99" s="23"/>
      <c r="G99" s="23"/>
      <c r="H99" s="294" t="s">
        <v>247</v>
      </c>
      <c r="I99" s="212" t="s">
        <v>175</v>
      </c>
      <c r="J99" s="24" t="s">
        <v>39</v>
      </c>
      <c r="K99" s="24" t="s">
        <v>158</v>
      </c>
      <c r="L99" s="24" t="s">
        <v>41</v>
      </c>
      <c r="M99" s="85" t="s">
        <v>42</v>
      </c>
      <c r="N99" s="86" t="s">
        <v>47</v>
      </c>
      <c r="O99" s="82">
        <f t="shared" si="84"/>
        <v>3.92</v>
      </c>
      <c r="P99" s="88">
        <v>10260</v>
      </c>
      <c r="Q99" s="96">
        <f t="shared" si="85"/>
        <v>10260</v>
      </c>
      <c r="R99" s="111"/>
      <c r="S99" s="112"/>
      <c r="T99" s="113"/>
      <c r="U99" s="114"/>
      <c r="V99" s="115"/>
      <c r="W99" s="88"/>
      <c r="X99" s="89"/>
      <c r="Y99" s="153"/>
      <c r="Z99" s="90"/>
      <c r="AA99" s="95" t="s">
        <v>245</v>
      </c>
      <c r="AB99" s="95"/>
      <c r="AC99" s="95"/>
      <c r="AD99" s="95"/>
    </row>
    <row r="100" spans="1:30" ht="15.75" thickBot="1" x14ac:dyDescent="0.3">
      <c r="A100" s="40"/>
      <c r="N100" s="357" t="s">
        <v>248</v>
      </c>
      <c r="O100" s="358"/>
      <c r="P100" s="122">
        <f>SUM(P6:P99)</f>
        <v>3857317.5727272728</v>
      </c>
      <c r="Q100" s="122">
        <f>SUM(Q6:Q99)</f>
        <v>3821880.0227272729</v>
      </c>
      <c r="X100" s="122"/>
    </row>
    <row r="102" spans="1:30" x14ac:dyDescent="0.25">
      <c r="B102" t="s">
        <v>185</v>
      </c>
    </row>
    <row r="103" spans="1:30" x14ac:dyDescent="0.25">
      <c r="B103" s="19" t="s">
        <v>186</v>
      </c>
      <c r="C103" s="44" t="s">
        <v>187</v>
      </c>
      <c r="D103" s="44"/>
      <c r="E103" s="210">
        <v>9669</v>
      </c>
    </row>
    <row r="104" spans="1:30" x14ac:dyDescent="0.25">
      <c r="B104" s="11" t="s">
        <v>186</v>
      </c>
      <c r="C104" s="44" t="s">
        <v>188</v>
      </c>
      <c r="D104" s="44"/>
      <c r="E104" s="210">
        <v>38678</v>
      </c>
    </row>
    <row r="105" spans="1:30" x14ac:dyDescent="0.25">
      <c r="B105" s="11" t="s">
        <v>186</v>
      </c>
      <c r="C105" s="44" t="s">
        <v>189</v>
      </c>
      <c r="D105" s="44"/>
      <c r="E105" s="210">
        <v>51570</v>
      </c>
    </row>
    <row r="106" spans="1:30" x14ac:dyDescent="0.25">
      <c r="B106" s="19" t="s">
        <v>186</v>
      </c>
      <c r="C106" s="44" t="s">
        <v>190</v>
      </c>
      <c r="D106" s="44" t="s">
        <v>191</v>
      </c>
      <c r="E106" s="210">
        <v>38678</v>
      </c>
    </row>
    <row r="107" spans="1:30" x14ac:dyDescent="0.25">
      <c r="B107" s="66" t="s">
        <v>186</v>
      </c>
      <c r="C107" s="44" t="s">
        <v>192</v>
      </c>
      <c r="D107" s="44" t="s">
        <v>193</v>
      </c>
      <c r="E107" s="210">
        <v>10000</v>
      </c>
    </row>
    <row r="108" spans="1:30" x14ac:dyDescent="0.25">
      <c r="B108" s="66" t="s">
        <v>186</v>
      </c>
      <c r="C108" s="44" t="s">
        <v>194</v>
      </c>
      <c r="D108" s="44" t="s">
        <v>195</v>
      </c>
      <c r="E108" s="210">
        <v>7500</v>
      </c>
    </row>
    <row r="109" spans="1:30" x14ac:dyDescent="0.25">
      <c r="B109" s="66" t="s">
        <v>208</v>
      </c>
      <c r="C109" s="44" t="s">
        <v>210</v>
      </c>
      <c r="D109" s="44" t="s">
        <v>249</v>
      </c>
      <c r="E109" s="210">
        <v>25720</v>
      </c>
      <c r="F109">
        <f>+E109/2</f>
        <v>12860</v>
      </c>
    </row>
  </sheetData>
  <autoFilter ref="B5:AA100" xr:uid="{4410091C-2170-42F3-BAD6-E1D32F7EFF69}"/>
  <mergeCells count="1">
    <mergeCell ref="N100:O100"/>
  </mergeCells>
  <phoneticPr fontId="25" type="noConversion"/>
  <conditionalFormatting sqref="N6:O8 N9:N10 O9:O13 N12:N17 N13:O14 N93:O96 N99:O99 N20:N32 N36:N43 O15:O43 O45:O60 N45:N56 N61:O88">
    <cfRule type="containsText" dxfId="505" priority="306" operator="containsText" text="Naranja">
      <formula>NOT(ISERROR(SEARCH("Naranja",N6)))</formula>
    </cfRule>
  </conditionalFormatting>
  <conditionalFormatting sqref="N6:O8 N9:N10 O9:O13 N12:N17 N13:O14 N93:O96 N99:O99 N20:N32 N36:N43 O15:O43 O45:O60 N45:N56 N61:O88">
    <cfRule type="containsText" dxfId="504" priority="305" operator="containsText" text="Verde">
      <formula>NOT(ISERROR(SEARCH("Verde",N6)))</formula>
    </cfRule>
  </conditionalFormatting>
  <conditionalFormatting sqref="N6:O8 N9:N10 O9:O13 N12:N17 N13:O14 N93:O96 N99:O99 N20:N32 N36:N43 O15:O43 O45:O60 N45:N56 N61:O88">
    <cfRule type="containsText" dxfId="503" priority="304" operator="containsText" text="Rojo">
      <formula>NOT(ISERROR(SEARCH("Rojo",N6)))</formula>
    </cfRule>
  </conditionalFormatting>
  <conditionalFormatting sqref="N80:O80">
    <cfRule type="containsText" dxfId="502" priority="297" operator="containsText" text="Naranja">
      <formula>NOT(ISERROR(SEARCH("Naranja",N80)))</formula>
    </cfRule>
  </conditionalFormatting>
  <conditionalFormatting sqref="N80:O80">
    <cfRule type="containsText" dxfId="501" priority="296" operator="containsText" text="Verde">
      <formula>NOT(ISERROR(SEARCH("Verde",N80)))</formula>
    </cfRule>
  </conditionalFormatting>
  <conditionalFormatting sqref="N80:O80">
    <cfRule type="containsText" dxfId="500" priority="295" operator="containsText" text="Rojo">
      <formula>NOT(ISERROR(SEARCH("Rojo",N80)))</formula>
    </cfRule>
  </conditionalFormatting>
  <conditionalFormatting sqref="N18">
    <cfRule type="containsText" dxfId="499" priority="285" operator="containsText" text="Naranja">
      <formula>NOT(ISERROR(SEARCH("Naranja",N18)))</formula>
    </cfRule>
  </conditionalFormatting>
  <conditionalFormatting sqref="N18">
    <cfRule type="containsText" dxfId="498" priority="284" operator="containsText" text="Verde">
      <formula>NOT(ISERROR(SEARCH("Verde",N18)))</formula>
    </cfRule>
  </conditionalFormatting>
  <conditionalFormatting sqref="N18">
    <cfRule type="containsText" dxfId="497" priority="283" operator="containsText" text="Rojo">
      <formula>NOT(ISERROR(SEARCH("Rojo",N18)))</formula>
    </cfRule>
  </conditionalFormatting>
  <conditionalFormatting sqref="N57">
    <cfRule type="containsText" dxfId="496" priority="273" operator="containsText" text="Naranja">
      <formula>NOT(ISERROR(SEARCH("Naranja",N57)))</formula>
    </cfRule>
  </conditionalFormatting>
  <conditionalFormatting sqref="N57">
    <cfRule type="containsText" dxfId="495" priority="272" operator="containsText" text="Verde">
      <formula>NOT(ISERROR(SEARCH("Verde",N57)))</formula>
    </cfRule>
  </conditionalFormatting>
  <conditionalFormatting sqref="N57">
    <cfRule type="containsText" dxfId="494" priority="271" operator="containsText" text="Rojo">
      <formula>NOT(ISERROR(SEARCH("Rojo",N57)))</formula>
    </cfRule>
  </conditionalFormatting>
  <conditionalFormatting sqref="N56">
    <cfRule type="containsText" dxfId="493" priority="261" operator="containsText" text="Naranja">
      <formula>NOT(ISERROR(SEARCH("Naranja",N56)))</formula>
    </cfRule>
  </conditionalFormatting>
  <conditionalFormatting sqref="N56">
    <cfRule type="containsText" dxfId="492" priority="260" operator="containsText" text="Verde">
      <formula>NOT(ISERROR(SEARCH("Verde",N56)))</formula>
    </cfRule>
  </conditionalFormatting>
  <conditionalFormatting sqref="N56">
    <cfRule type="containsText" dxfId="491" priority="259" operator="containsText" text="Rojo">
      <formula>NOT(ISERROR(SEARCH("Rojo",N56)))</formula>
    </cfRule>
  </conditionalFormatting>
  <conditionalFormatting sqref="N36">
    <cfRule type="containsText" dxfId="490" priority="241" operator="containsText" text="Rojo">
      <formula>NOT(ISERROR(SEARCH("Rojo",N36)))</formula>
    </cfRule>
  </conditionalFormatting>
  <conditionalFormatting sqref="N36">
    <cfRule type="containsText" dxfId="489" priority="243" operator="containsText" text="Naranja">
      <formula>NOT(ISERROR(SEARCH("Naranja",N36)))</formula>
    </cfRule>
  </conditionalFormatting>
  <conditionalFormatting sqref="N36">
    <cfRule type="containsText" dxfId="488" priority="242" operator="containsText" text="Verde">
      <formula>NOT(ISERROR(SEARCH("Verde",N36)))</formula>
    </cfRule>
  </conditionalFormatting>
  <conditionalFormatting sqref="N24">
    <cfRule type="containsText" dxfId="487" priority="246" operator="containsText" text="Naranja">
      <formula>NOT(ISERROR(SEARCH("Naranja",N24)))</formula>
    </cfRule>
  </conditionalFormatting>
  <conditionalFormatting sqref="N24">
    <cfRule type="containsText" dxfId="486" priority="245" operator="containsText" text="Verde">
      <formula>NOT(ISERROR(SEARCH("Verde",N24)))</formula>
    </cfRule>
  </conditionalFormatting>
  <conditionalFormatting sqref="N24">
    <cfRule type="containsText" dxfId="485" priority="244" operator="containsText" text="Rojo">
      <formula>NOT(ISERROR(SEARCH("Rojo",N24)))</formula>
    </cfRule>
  </conditionalFormatting>
  <conditionalFormatting sqref="N19">
    <cfRule type="containsText" dxfId="484" priority="240" operator="containsText" text="Naranja">
      <formula>NOT(ISERROR(SEARCH("Naranja",N19)))</formula>
    </cfRule>
  </conditionalFormatting>
  <conditionalFormatting sqref="N19">
    <cfRule type="containsText" dxfId="483" priority="239" operator="containsText" text="Verde">
      <formula>NOT(ISERROR(SEARCH("Verde",N19)))</formula>
    </cfRule>
  </conditionalFormatting>
  <conditionalFormatting sqref="N19">
    <cfRule type="containsText" dxfId="482" priority="238" operator="containsText" text="Rojo">
      <formula>NOT(ISERROR(SEARCH("Rojo",N19)))</formula>
    </cfRule>
  </conditionalFormatting>
  <conditionalFormatting sqref="N50">
    <cfRule type="containsText" dxfId="481" priority="195" operator="containsText" text="Naranja">
      <formula>NOT(ISERROR(SEARCH("Naranja",N50)))</formula>
    </cfRule>
  </conditionalFormatting>
  <conditionalFormatting sqref="N50">
    <cfRule type="containsText" dxfId="480" priority="194" operator="containsText" text="Verde">
      <formula>NOT(ISERROR(SEARCH("Verde",N50)))</formula>
    </cfRule>
  </conditionalFormatting>
  <conditionalFormatting sqref="N50">
    <cfRule type="containsText" dxfId="479" priority="193" operator="containsText" text="Rojo">
      <formula>NOT(ISERROR(SEARCH("Rojo",N50)))</formula>
    </cfRule>
  </conditionalFormatting>
  <conditionalFormatting sqref="N50">
    <cfRule type="containsText" dxfId="478" priority="192" operator="containsText" text="Naranja">
      <formula>NOT(ISERROR(SEARCH("Naranja",N50)))</formula>
    </cfRule>
  </conditionalFormatting>
  <conditionalFormatting sqref="N50">
    <cfRule type="containsText" dxfId="477" priority="191" operator="containsText" text="Verde">
      <formula>NOT(ISERROR(SEARCH("Verde",N50)))</formula>
    </cfRule>
  </conditionalFormatting>
  <conditionalFormatting sqref="N50">
    <cfRule type="containsText" dxfId="476" priority="190" operator="containsText" text="Rojo">
      <formula>NOT(ISERROR(SEARCH("Rojo",N50)))</formula>
    </cfRule>
  </conditionalFormatting>
  <conditionalFormatting sqref="N51">
    <cfRule type="containsText" dxfId="475" priority="186" operator="containsText" text="Naranja">
      <formula>NOT(ISERROR(SEARCH("Naranja",N51)))</formula>
    </cfRule>
  </conditionalFormatting>
  <conditionalFormatting sqref="N51">
    <cfRule type="containsText" dxfId="474" priority="185" operator="containsText" text="Verde">
      <formula>NOT(ISERROR(SEARCH("Verde",N51)))</formula>
    </cfRule>
  </conditionalFormatting>
  <conditionalFormatting sqref="N51">
    <cfRule type="containsText" dxfId="473" priority="184" operator="containsText" text="Rojo">
      <formula>NOT(ISERROR(SEARCH("Rojo",N51)))</formula>
    </cfRule>
  </conditionalFormatting>
  <conditionalFormatting sqref="N37">
    <cfRule type="containsText" dxfId="472" priority="160" operator="containsText" text="Rojo">
      <formula>NOT(ISERROR(SEARCH("Rojo",N37)))</formula>
    </cfRule>
  </conditionalFormatting>
  <conditionalFormatting sqref="N37">
    <cfRule type="containsText" dxfId="471" priority="162" operator="containsText" text="Naranja">
      <formula>NOT(ISERROR(SEARCH("Naranja",N37)))</formula>
    </cfRule>
  </conditionalFormatting>
  <conditionalFormatting sqref="N37">
    <cfRule type="containsText" dxfId="470" priority="161" operator="containsText" text="Verde">
      <formula>NOT(ISERROR(SEARCH("Verde",N37)))</formula>
    </cfRule>
  </conditionalFormatting>
  <conditionalFormatting sqref="N85:N87">
    <cfRule type="containsText" dxfId="469" priority="153" operator="containsText" text="Naranja">
      <formula>NOT(ISERROR(SEARCH("Naranja",N85)))</formula>
    </cfRule>
  </conditionalFormatting>
  <conditionalFormatting sqref="N85:N87">
    <cfRule type="containsText" dxfId="468" priority="152" operator="containsText" text="Verde">
      <formula>NOT(ISERROR(SEARCH("Verde",N85)))</formula>
    </cfRule>
  </conditionalFormatting>
  <conditionalFormatting sqref="N85:N87">
    <cfRule type="containsText" dxfId="467" priority="151" operator="containsText" text="Rojo">
      <formula>NOT(ISERROR(SEARCH("Rojo",N85)))</formula>
    </cfRule>
  </conditionalFormatting>
  <conditionalFormatting sqref="N70">
    <cfRule type="containsText" dxfId="466" priority="144" operator="containsText" text="Naranja">
      <formula>NOT(ISERROR(SEARCH("Naranja",N70)))</formula>
    </cfRule>
  </conditionalFormatting>
  <conditionalFormatting sqref="N70">
    <cfRule type="containsText" dxfId="465" priority="143" operator="containsText" text="Verde">
      <formula>NOT(ISERROR(SEARCH("Verde",N70)))</formula>
    </cfRule>
  </conditionalFormatting>
  <conditionalFormatting sqref="N70">
    <cfRule type="containsText" dxfId="464" priority="142" operator="containsText" text="Rojo">
      <formula>NOT(ISERROR(SEARCH("Rojo",N70)))</formula>
    </cfRule>
  </conditionalFormatting>
  <conditionalFormatting sqref="N88">
    <cfRule type="containsText" dxfId="463" priority="135" operator="containsText" text="Naranja">
      <formula>NOT(ISERROR(SEARCH("Naranja",N88)))</formula>
    </cfRule>
  </conditionalFormatting>
  <conditionalFormatting sqref="N88">
    <cfRule type="containsText" dxfId="462" priority="134" operator="containsText" text="Verde">
      <formula>NOT(ISERROR(SEARCH("Verde",N88)))</formula>
    </cfRule>
  </conditionalFormatting>
  <conditionalFormatting sqref="N88">
    <cfRule type="containsText" dxfId="461" priority="133" operator="containsText" text="Rojo">
      <formula>NOT(ISERROR(SEARCH("Rojo",N88)))</formula>
    </cfRule>
  </conditionalFormatting>
  <conditionalFormatting sqref="N7:N8">
    <cfRule type="containsText" dxfId="460" priority="132" operator="containsText" text="Naranja">
      <formula>NOT(ISERROR(SEARCH("Naranja",N7)))</formula>
    </cfRule>
  </conditionalFormatting>
  <conditionalFormatting sqref="N7:N8">
    <cfRule type="containsText" dxfId="459" priority="131" operator="containsText" text="Verde">
      <formula>NOT(ISERROR(SEARCH("Verde",N7)))</formula>
    </cfRule>
  </conditionalFormatting>
  <conditionalFormatting sqref="N7:N8">
    <cfRule type="containsText" dxfId="458" priority="130" operator="containsText" text="Rojo">
      <formula>NOT(ISERROR(SEARCH("Rojo",N7)))</formula>
    </cfRule>
  </conditionalFormatting>
  <conditionalFormatting sqref="N45">
    <cfRule type="containsText" dxfId="457" priority="120" operator="containsText" text="Naranja">
      <formula>NOT(ISERROR(SEARCH("Naranja",N45)))</formula>
    </cfRule>
  </conditionalFormatting>
  <conditionalFormatting sqref="N45">
    <cfRule type="containsText" dxfId="456" priority="119" operator="containsText" text="Verde">
      <formula>NOT(ISERROR(SEARCH("Verde",N45)))</formula>
    </cfRule>
  </conditionalFormatting>
  <conditionalFormatting sqref="N45">
    <cfRule type="containsText" dxfId="455" priority="118" operator="containsText" text="Rojo">
      <formula>NOT(ISERROR(SEARCH("Rojo",N45)))</formula>
    </cfRule>
  </conditionalFormatting>
  <conditionalFormatting sqref="N58:N59">
    <cfRule type="containsText" dxfId="454" priority="114" operator="containsText" text="Naranja">
      <formula>NOT(ISERROR(SEARCH("Naranja",N58)))</formula>
    </cfRule>
  </conditionalFormatting>
  <conditionalFormatting sqref="N58:N59">
    <cfRule type="containsText" dxfId="453" priority="113" operator="containsText" text="Verde">
      <formula>NOT(ISERROR(SEARCH("Verde",N58)))</formula>
    </cfRule>
  </conditionalFormatting>
  <conditionalFormatting sqref="N58:N59">
    <cfRule type="containsText" dxfId="452" priority="112" operator="containsText" text="Rojo">
      <formula>NOT(ISERROR(SEARCH("Rojo",N58)))</formula>
    </cfRule>
  </conditionalFormatting>
  <conditionalFormatting sqref="N58:N59">
    <cfRule type="containsText" dxfId="451" priority="111" operator="containsText" text="Naranja">
      <formula>NOT(ISERROR(SEARCH("Naranja",N58)))</formula>
    </cfRule>
  </conditionalFormatting>
  <conditionalFormatting sqref="N58:N59">
    <cfRule type="containsText" dxfId="450" priority="110" operator="containsText" text="Verde">
      <formula>NOT(ISERROR(SEARCH("Verde",N58)))</formula>
    </cfRule>
  </conditionalFormatting>
  <conditionalFormatting sqref="N58:N59">
    <cfRule type="containsText" dxfId="449" priority="109" operator="containsText" text="Rojo">
      <formula>NOT(ISERROR(SEARCH("Rojo",N58)))</formula>
    </cfRule>
  </conditionalFormatting>
  <conditionalFormatting sqref="N60">
    <cfRule type="containsText" dxfId="448" priority="108" operator="containsText" text="Naranja">
      <formula>NOT(ISERROR(SEARCH("Naranja",N60)))</formula>
    </cfRule>
  </conditionalFormatting>
  <conditionalFormatting sqref="N60">
    <cfRule type="containsText" dxfId="447" priority="107" operator="containsText" text="Verde">
      <formula>NOT(ISERROR(SEARCH("Verde",N60)))</formula>
    </cfRule>
  </conditionalFormatting>
  <conditionalFormatting sqref="N60">
    <cfRule type="containsText" dxfId="446" priority="106" operator="containsText" text="Rojo">
      <formula>NOT(ISERROR(SEARCH("Rojo",N60)))</formula>
    </cfRule>
  </conditionalFormatting>
  <conditionalFormatting sqref="N60">
    <cfRule type="containsText" dxfId="445" priority="105" operator="containsText" text="Naranja">
      <formula>NOT(ISERROR(SEARCH("Naranja",N60)))</formula>
    </cfRule>
  </conditionalFormatting>
  <conditionalFormatting sqref="N60">
    <cfRule type="containsText" dxfId="444" priority="104" operator="containsText" text="Verde">
      <formula>NOT(ISERROR(SEARCH("Verde",N60)))</formula>
    </cfRule>
  </conditionalFormatting>
  <conditionalFormatting sqref="N60">
    <cfRule type="containsText" dxfId="443" priority="103" operator="containsText" text="Rojo">
      <formula>NOT(ISERROR(SEARCH("Rojo",N60)))</formula>
    </cfRule>
  </conditionalFormatting>
  <conditionalFormatting sqref="N22:N24">
    <cfRule type="containsText" dxfId="442" priority="97" operator="containsText" text="Rojo">
      <formula>NOT(ISERROR(SEARCH("Rojo",N22)))</formula>
    </cfRule>
  </conditionalFormatting>
  <conditionalFormatting sqref="N10">
    <cfRule type="containsText" dxfId="441" priority="102" operator="containsText" text="Naranja">
      <formula>NOT(ISERROR(SEARCH("Naranja",N10)))</formula>
    </cfRule>
  </conditionalFormatting>
  <conditionalFormatting sqref="N10">
    <cfRule type="containsText" dxfId="440" priority="101" operator="containsText" text="Verde">
      <formula>NOT(ISERROR(SEARCH("Verde",N10)))</formula>
    </cfRule>
  </conditionalFormatting>
  <conditionalFormatting sqref="N10">
    <cfRule type="containsText" dxfId="439" priority="100" operator="containsText" text="Rojo">
      <formula>NOT(ISERROR(SEARCH("Rojo",N10)))</formula>
    </cfRule>
  </conditionalFormatting>
  <conditionalFormatting sqref="N22:N24">
    <cfRule type="containsText" dxfId="438" priority="99" operator="containsText" text="Naranja">
      <formula>NOT(ISERROR(SEARCH("Naranja",N22)))</formula>
    </cfRule>
  </conditionalFormatting>
  <conditionalFormatting sqref="N22:N24">
    <cfRule type="containsText" dxfId="437" priority="98" operator="containsText" text="Verde">
      <formula>NOT(ISERROR(SEARCH("Verde",N22)))</formula>
    </cfRule>
  </conditionalFormatting>
  <conditionalFormatting sqref="N27 N31">
    <cfRule type="containsText" dxfId="436" priority="96" operator="containsText" text="Naranja">
      <formula>NOT(ISERROR(SEARCH("Naranja",N27)))</formula>
    </cfRule>
  </conditionalFormatting>
  <conditionalFormatting sqref="N27 N31">
    <cfRule type="containsText" dxfId="435" priority="95" operator="containsText" text="Verde">
      <formula>NOT(ISERROR(SEARCH("Verde",N27)))</formula>
    </cfRule>
  </conditionalFormatting>
  <conditionalFormatting sqref="N27 N31">
    <cfRule type="containsText" dxfId="434" priority="94" operator="containsText" text="Rojo">
      <formula>NOT(ISERROR(SEARCH("Rojo",N27)))</formula>
    </cfRule>
  </conditionalFormatting>
  <conditionalFormatting sqref="N27 N31">
    <cfRule type="containsText" dxfId="433" priority="93" operator="containsText" text="Naranja">
      <formula>NOT(ISERROR(SEARCH("Naranja",N27)))</formula>
    </cfRule>
  </conditionalFormatting>
  <conditionalFormatting sqref="N27 N31">
    <cfRule type="containsText" dxfId="432" priority="92" operator="containsText" text="Verde">
      <formula>NOT(ISERROR(SEARCH("Verde",N27)))</formula>
    </cfRule>
  </conditionalFormatting>
  <conditionalFormatting sqref="N27 N31">
    <cfRule type="containsText" dxfId="431" priority="91" operator="containsText" text="Rojo">
      <formula>NOT(ISERROR(SEARCH("Rojo",N27)))</formula>
    </cfRule>
  </conditionalFormatting>
  <conditionalFormatting sqref="N11">
    <cfRule type="containsText" dxfId="430" priority="90" operator="containsText" text="Naranja">
      <formula>NOT(ISERROR(SEARCH("Naranja",N11)))</formula>
    </cfRule>
  </conditionalFormatting>
  <conditionalFormatting sqref="N11">
    <cfRule type="containsText" dxfId="429" priority="89" operator="containsText" text="Verde">
      <formula>NOT(ISERROR(SEARCH("Verde",N11)))</formula>
    </cfRule>
  </conditionalFormatting>
  <conditionalFormatting sqref="N11">
    <cfRule type="containsText" dxfId="428" priority="88" operator="containsText" text="Rojo">
      <formula>NOT(ISERROR(SEARCH("Rojo",N11)))</formula>
    </cfRule>
  </conditionalFormatting>
  <conditionalFormatting sqref="O96">
    <cfRule type="containsText" dxfId="427" priority="69" operator="containsText" text="Naranja">
      <formula>NOT(ISERROR(SEARCH("Naranja",O96)))</formula>
    </cfRule>
  </conditionalFormatting>
  <conditionalFormatting sqref="O96">
    <cfRule type="containsText" dxfId="426" priority="68" operator="containsText" text="Verde">
      <formula>NOT(ISERROR(SEARCH("Verde",O96)))</formula>
    </cfRule>
  </conditionalFormatting>
  <conditionalFormatting sqref="O96">
    <cfRule type="containsText" dxfId="425" priority="67" operator="containsText" text="Rojo">
      <formula>NOT(ISERROR(SEARCH("Rojo",O96)))</formula>
    </cfRule>
  </conditionalFormatting>
  <conditionalFormatting sqref="N96">
    <cfRule type="containsText" dxfId="424" priority="66" operator="containsText" text="Naranja">
      <formula>NOT(ISERROR(SEARCH("Naranja",N96)))</formula>
    </cfRule>
  </conditionalFormatting>
  <conditionalFormatting sqref="N96">
    <cfRule type="containsText" dxfId="423" priority="65" operator="containsText" text="Verde">
      <formula>NOT(ISERROR(SEARCH("Verde",N96)))</formula>
    </cfRule>
  </conditionalFormatting>
  <conditionalFormatting sqref="N96">
    <cfRule type="containsText" dxfId="422" priority="64" operator="containsText" text="Rojo">
      <formula>NOT(ISERROR(SEARCH("Rojo",N96)))</formula>
    </cfRule>
  </conditionalFormatting>
  <conditionalFormatting sqref="N92:O92">
    <cfRule type="containsText" dxfId="421" priority="48" operator="containsText" text="Naranja">
      <formula>NOT(ISERROR(SEARCH("Naranja",N92)))</formula>
    </cfRule>
  </conditionalFormatting>
  <conditionalFormatting sqref="N92:O92">
    <cfRule type="containsText" dxfId="420" priority="47" operator="containsText" text="Verde">
      <formula>NOT(ISERROR(SEARCH("Verde",N92)))</formula>
    </cfRule>
  </conditionalFormatting>
  <conditionalFormatting sqref="N92:O92">
    <cfRule type="containsText" dxfId="419" priority="46" operator="containsText" text="Rojo">
      <formula>NOT(ISERROR(SEARCH("Rojo",N92)))</formula>
    </cfRule>
  </conditionalFormatting>
  <conditionalFormatting sqref="N72">
    <cfRule type="containsText" dxfId="418" priority="45" operator="containsText" text="Naranja">
      <formula>NOT(ISERROR(SEARCH("Naranja",N72)))</formula>
    </cfRule>
  </conditionalFormatting>
  <conditionalFormatting sqref="N72">
    <cfRule type="containsText" dxfId="417" priority="44" operator="containsText" text="Verde">
      <formula>NOT(ISERROR(SEARCH("Verde",N72)))</formula>
    </cfRule>
  </conditionalFormatting>
  <conditionalFormatting sqref="N72">
    <cfRule type="containsText" dxfId="416" priority="43" operator="containsText" text="Rojo">
      <formula>NOT(ISERROR(SEARCH("Rojo",N72)))</formula>
    </cfRule>
  </conditionalFormatting>
  <conditionalFormatting sqref="N33:N34">
    <cfRule type="containsText" dxfId="415" priority="42" operator="containsText" text="Naranja">
      <formula>NOT(ISERROR(SEARCH("Naranja",N33)))</formula>
    </cfRule>
  </conditionalFormatting>
  <conditionalFormatting sqref="N33:N34">
    <cfRule type="containsText" dxfId="414" priority="41" operator="containsText" text="Verde">
      <formula>NOT(ISERROR(SEARCH("Verde",N33)))</formula>
    </cfRule>
  </conditionalFormatting>
  <conditionalFormatting sqref="N33:N34">
    <cfRule type="containsText" dxfId="413" priority="40" operator="containsText" text="Rojo">
      <formula>NOT(ISERROR(SEARCH("Rojo",N33)))</formula>
    </cfRule>
  </conditionalFormatting>
  <conditionalFormatting sqref="N33">
    <cfRule type="containsText" dxfId="412" priority="39" operator="containsText" text="Naranja">
      <formula>NOT(ISERROR(SEARCH("Naranja",N33)))</formula>
    </cfRule>
  </conditionalFormatting>
  <conditionalFormatting sqref="N33">
    <cfRule type="containsText" dxfId="411" priority="38" operator="containsText" text="Verde">
      <formula>NOT(ISERROR(SEARCH("Verde",N33)))</formula>
    </cfRule>
  </conditionalFormatting>
  <conditionalFormatting sqref="N33">
    <cfRule type="containsText" dxfId="410" priority="37" operator="containsText" text="Rojo">
      <formula>NOT(ISERROR(SEARCH("Rojo",N33)))</formula>
    </cfRule>
  </conditionalFormatting>
  <conditionalFormatting sqref="N35:N37">
    <cfRule type="containsText" dxfId="409" priority="33" operator="containsText" text="Naranja">
      <formula>NOT(ISERROR(SEARCH("Naranja",N35)))</formula>
    </cfRule>
  </conditionalFormatting>
  <conditionalFormatting sqref="N35:N37">
    <cfRule type="containsText" dxfId="408" priority="32" operator="containsText" text="Verde">
      <formula>NOT(ISERROR(SEARCH("Verde",N35)))</formula>
    </cfRule>
  </conditionalFormatting>
  <conditionalFormatting sqref="N35:N37">
    <cfRule type="containsText" dxfId="407" priority="31" operator="containsText" text="Rojo">
      <formula>NOT(ISERROR(SEARCH("Rojo",N35)))</formula>
    </cfRule>
  </conditionalFormatting>
  <conditionalFormatting sqref="N35:N37">
    <cfRule type="containsText" dxfId="406" priority="36" operator="containsText" text="Naranja">
      <formula>NOT(ISERROR(SEARCH("Naranja",N35)))</formula>
    </cfRule>
  </conditionalFormatting>
  <conditionalFormatting sqref="N35:N37">
    <cfRule type="containsText" dxfId="405" priority="35" operator="containsText" text="Verde">
      <formula>NOT(ISERROR(SEARCH("Verde",N35)))</formula>
    </cfRule>
  </conditionalFormatting>
  <conditionalFormatting sqref="N35:N37">
    <cfRule type="containsText" dxfId="404" priority="34" operator="containsText" text="Rojo">
      <formula>NOT(ISERROR(SEARCH("Rojo",N35)))</formula>
    </cfRule>
  </conditionalFormatting>
  <conditionalFormatting sqref="N90:O91">
    <cfRule type="containsText" dxfId="403" priority="30" operator="containsText" text="Naranja">
      <formula>NOT(ISERROR(SEARCH("Naranja",N90)))</formula>
    </cfRule>
  </conditionalFormatting>
  <conditionalFormatting sqref="N90:O91">
    <cfRule type="containsText" dxfId="402" priority="29" operator="containsText" text="Verde">
      <formula>NOT(ISERROR(SEARCH("Verde",N90)))</formula>
    </cfRule>
  </conditionalFormatting>
  <conditionalFormatting sqref="N90:O91">
    <cfRule type="containsText" dxfId="401" priority="28" operator="containsText" text="Rojo">
      <formula>NOT(ISERROR(SEARCH("Rojo",N90)))</formula>
    </cfRule>
  </conditionalFormatting>
  <conditionalFormatting sqref="N90:N91">
    <cfRule type="containsText" dxfId="400" priority="27" operator="containsText" text="Naranja">
      <formula>NOT(ISERROR(SEARCH("Naranja",N90)))</formula>
    </cfRule>
  </conditionalFormatting>
  <conditionalFormatting sqref="N90:N91">
    <cfRule type="containsText" dxfId="399" priority="26" operator="containsText" text="Verde">
      <formula>NOT(ISERROR(SEARCH("Verde",N90)))</formula>
    </cfRule>
  </conditionalFormatting>
  <conditionalFormatting sqref="N90:N91">
    <cfRule type="containsText" dxfId="398" priority="25" operator="containsText" text="Rojo">
      <formula>NOT(ISERROR(SEARCH("Rojo",N90)))</formula>
    </cfRule>
  </conditionalFormatting>
  <conditionalFormatting sqref="N89:O89">
    <cfRule type="containsText" dxfId="397" priority="24" operator="containsText" text="Naranja">
      <formula>NOT(ISERROR(SEARCH("Naranja",N89)))</formula>
    </cfRule>
  </conditionalFormatting>
  <conditionalFormatting sqref="N89:O89">
    <cfRule type="containsText" dxfId="396" priority="23" operator="containsText" text="Verde">
      <formula>NOT(ISERROR(SEARCH("Verde",N89)))</formula>
    </cfRule>
  </conditionalFormatting>
  <conditionalFormatting sqref="N89:O89">
    <cfRule type="containsText" dxfId="395" priority="22" operator="containsText" text="Rojo">
      <formula>NOT(ISERROR(SEARCH("Rojo",N89)))</formula>
    </cfRule>
  </conditionalFormatting>
  <conditionalFormatting sqref="N89">
    <cfRule type="containsText" dxfId="394" priority="21" operator="containsText" text="Naranja">
      <formula>NOT(ISERROR(SEARCH("Naranja",N89)))</formula>
    </cfRule>
  </conditionalFormatting>
  <conditionalFormatting sqref="N89">
    <cfRule type="containsText" dxfId="393" priority="20" operator="containsText" text="Verde">
      <formula>NOT(ISERROR(SEARCH("Verde",N89)))</formula>
    </cfRule>
  </conditionalFormatting>
  <conditionalFormatting sqref="N89">
    <cfRule type="containsText" dxfId="392" priority="19" operator="containsText" text="Rojo">
      <formula>NOT(ISERROR(SEARCH("Rojo",N89)))</formula>
    </cfRule>
  </conditionalFormatting>
  <conditionalFormatting sqref="N97:O98">
    <cfRule type="containsText" dxfId="391" priority="12" operator="containsText" text="Naranja">
      <formula>NOT(ISERROR(SEARCH("Naranja",N97)))</formula>
    </cfRule>
  </conditionalFormatting>
  <conditionalFormatting sqref="N97:O98">
    <cfRule type="containsText" dxfId="390" priority="11" operator="containsText" text="Verde">
      <formula>NOT(ISERROR(SEARCH("Verde",N97)))</formula>
    </cfRule>
  </conditionalFormatting>
  <conditionalFormatting sqref="N97:O98">
    <cfRule type="containsText" dxfId="389" priority="10" operator="containsText" text="Rojo">
      <formula>NOT(ISERROR(SEARCH("Rojo",N97)))</formula>
    </cfRule>
  </conditionalFormatting>
  <conditionalFormatting sqref="O44">
    <cfRule type="containsText" dxfId="388" priority="9" operator="containsText" text="Naranja">
      <formula>NOT(ISERROR(SEARCH("Naranja",O44)))</formula>
    </cfRule>
  </conditionalFormatting>
  <conditionalFormatting sqref="O44">
    <cfRule type="containsText" dxfId="387" priority="8" operator="containsText" text="Verde">
      <formula>NOT(ISERROR(SEARCH("Verde",O44)))</formula>
    </cfRule>
  </conditionalFormatting>
  <conditionalFormatting sqref="O44">
    <cfRule type="containsText" dxfId="386" priority="7" operator="containsText" text="Rojo">
      <formula>NOT(ISERROR(SEARCH("Rojo",O44)))</formula>
    </cfRule>
  </conditionalFormatting>
  <conditionalFormatting sqref="N44">
    <cfRule type="containsText" dxfId="385" priority="6" operator="containsText" text="Naranja">
      <formula>NOT(ISERROR(SEARCH("Naranja",N44)))</formula>
    </cfRule>
  </conditionalFormatting>
  <conditionalFormatting sqref="N44">
    <cfRule type="containsText" dxfId="384" priority="5" operator="containsText" text="Verde">
      <formula>NOT(ISERROR(SEARCH("Verde",N44)))</formula>
    </cfRule>
  </conditionalFormatting>
  <conditionalFormatting sqref="N44">
    <cfRule type="containsText" dxfId="383" priority="4" operator="containsText" text="Rojo">
      <formula>NOT(ISERROR(SEARCH("Rojo",N44)))</formula>
    </cfRule>
  </conditionalFormatting>
  <conditionalFormatting sqref="N44">
    <cfRule type="containsText" dxfId="382" priority="3" operator="containsText" text="Naranja">
      <formula>NOT(ISERROR(SEARCH("Naranja",N44)))</formula>
    </cfRule>
  </conditionalFormatting>
  <conditionalFormatting sqref="N44">
    <cfRule type="containsText" dxfId="381" priority="2" operator="containsText" text="Verde">
      <formula>NOT(ISERROR(SEARCH("Verde",N44)))</formula>
    </cfRule>
  </conditionalFormatting>
  <conditionalFormatting sqref="N44">
    <cfRule type="containsText" dxfId="380" priority="1" operator="containsText" text="Rojo">
      <formula>NOT(ISERROR(SEARCH("Rojo",N44)))</formula>
    </cfRule>
  </conditionalFormatting>
  <pageMargins left="0.7" right="0.7" top="0.75" bottom="0.75" header="0.3" footer="0.3"/>
  <pageSetup orientation="portrait" r:id="rId1"/>
  <headerFooter>
    <oddFooter>&amp;R&amp;1#&amp;"Calibri"&amp;22&amp;KFF8939RESTRICTED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9E48E6-1AC9-4F31-B870-5495F7AFCE2C}">
  <sheetPr>
    <tabColor theme="9"/>
  </sheetPr>
  <dimension ref="A1:AA105"/>
  <sheetViews>
    <sheetView showGridLines="0" tabSelected="1" zoomScale="115" zoomScaleNormal="115" workbookViewId="0">
      <pane xSplit="8" ySplit="6" topLeftCell="O7" activePane="bottomRight" state="frozen"/>
      <selection pane="topRight" activeCell="Z2" sqref="Z2"/>
      <selection pane="bottomLeft" activeCell="Z2" sqref="Z2"/>
      <selection pane="bottomRight" activeCell="Y6" sqref="Y6"/>
    </sheetView>
  </sheetViews>
  <sheetFormatPr baseColWidth="10" defaultColWidth="8.5703125" defaultRowHeight="15" x14ac:dyDescent="0.25"/>
  <cols>
    <col min="1" max="1" width="1.5703125" customWidth="1"/>
    <col min="2" max="2" width="11.42578125" customWidth="1"/>
    <col min="3" max="3" width="7.28515625" customWidth="1"/>
    <col min="4" max="4" width="9.140625" customWidth="1"/>
    <col min="5" max="5" width="10.42578125" customWidth="1"/>
    <col min="6" max="6" width="7.42578125" customWidth="1"/>
    <col min="7" max="7" width="10.5703125" customWidth="1"/>
    <col min="8" max="8" width="17.42578125" customWidth="1"/>
    <col min="9" max="9" width="12.140625" customWidth="1"/>
    <col min="10" max="10" width="9.42578125" customWidth="1"/>
    <col min="11" max="11" width="11.42578125" style="332" customWidth="1"/>
    <col min="12" max="12" width="9.5703125" customWidth="1"/>
    <col min="13" max="14" width="9.42578125" customWidth="1"/>
    <col min="15" max="15" width="11.85546875" customWidth="1"/>
    <col min="16" max="16" width="13.5703125" customWidth="1"/>
    <col min="17" max="17" width="11.7109375" customWidth="1"/>
    <col min="18" max="18" width="13.42578125" customWidth="1"/>
    <col min="19" max="19" width="10.5703125" customWidth="1"/>
    <col min="20" max="20" width="12" customWidth="1"/>
    <col min="21" max="21" width="8.85546875" customWidth="1"/>
    <col min="22" max="22" width="14" customWidth="1"/>
    <col min="23" max="23" width="24.85546875" bestFit="1" customWidth="1"/>
    <col min="24" max="24" width="9" customWidth="1"/>
    <col min="26" max="26" width="16.42578125" bestFit="1" customWidth="1"/>
    <col min="27" max="29" width="12.5703125" bestFit="1" customWidth="1"/>
  </cols>
  <sheetData>
    <row r="1" spans="1:27" x14ac:dyDescent="0.25">
      <c r="B1" s="1"/>
      <c r="C1" s="33"/>
      <c r="D1" s="33"/>
      <c r="E1" s="154"/>
      <c r="F1" s="141"/>
      <c r="G1" s="141"/>
      <c r="H1" s="154"/>
      <c r="N1" s="2" t="s">
        <v>250</v>
      </c>
      <c r="T1" s="297"/>
      <c r="U1" s="297"/>
      <c r="V1" s="297"/>
    </row>
    <row r="2" spans="1:27" x14ac:dyDescent="0.25">
      <c r="B2" s="1"/>
      <c r="C2" s="33"/>
      <c r="D2" s="33"/>
      <c r="E2" s="154"/>
      <c r="F2" s="141"/>
      <c r="G2" s="141"/>
      <c r="H2" s="155"/>
      <c r="N2" s="2" t="s">
        <v>251</v>
      </c>
      <c r="T2" s="297"/>
      <c r="U2" s="297"/>
      <c r="V2" s="297"/>
      <c r="W2" s="26"/>
    </row>
    <row r="3" spans="1:27" x14ac:dyDescent="0.25">
      <c r="B3" s="1"/>
      <c r="C3" s="307"/>
      <c r="D3" s="33"/>
      <c r="E3" s="154"/>
      <c r="F3" s="1"/>
      <c r="G3" s="1"/>
      <c r="H3" s="3"/>
      <c r="N3" s="2" t="s">
        <v>8</v>
      </c>
      <c r="O3" s="345">
        <v>44958</v>
      </c>
      <c r="T3" s="297"/>
      <c r="U3" s="297"/>
      <c r="V3" s="297"/>
    </row>
    <row r="4" spans="1:27" x14ac:dyDescent="0.25">
      <c r="B4" s="1"/>
      <c r="C4" s="33"/>
      <c r="D4" s="33"/>
      <c r="E4" s="154"/>
      <c r="F4" s="1"/>
      <c r="G4" s="1"/>
      <c r="H4" s="3"/>
      <c r="N4" s="2"/>
      <c r="P4" s="26"/>
      <c r="Q4" s="26"/>
      <c r="T4" s="297"/>
      <c r="U4" s="297"/>
      <c r="V4" s="297"/>
    </row>
    <row r="5" spans="1:27" ht="15.75" thickBot="1" x14ac:dyDescent="0.3">
      <c r="B5" s="1"/>
      <c r="C5" s="318"/>
      <c r="D5" s="318"/>
      <c r="E5" s="318"/>
      <c r="F5" s="1"/>
      <c r="G5" s="1"/>
      <c r="H5" s="3"/>
      <c r="N5" s="2"/>
      <c r="P5" s="26"/>
      <c r="T5" s="297"/>
      <c r="U5" s="297"/>
      <c r="V5" s="297"/>
    </row>
    <row r="6" spans="1:27" ht="36" customHeight="1" x14ac:dyDescent="0.25">
      <c r="B6" s="5" t="s">
        <v>11</v>
      </c>
      <c r="C6" s="6" t="s">
        <v>12</v>
      </c>
      <c r="D6" s="6" t="s">
        <v>125</v>
      </c>
      <c r="E6" s="6" t="s">
        <v>14</v>
      </c>
      <c r="F6" s="6" t="s">
        <v>15</v>
      </c>
      <c r="G6" s="6" t="s">
        <v>201</v>
      </c>
      <c r="H6" s="7" t="s">
        <v>16</v>
      </c>
      <c r="I6" s="7" t="s">
        <v>126</v>
      </c>
      <c r="J6" s="7" t="s">
        <v>17</v>
      </c>
      <c r="K6" s="7" t="s">
        <v>253</v>
      </c>
      <c r="L6" s="7" t="s">
        <v>18</v>
      </c>
      <c r="M6" s="7" t="s">
        <v>19</v>
      </c>
      <c r="N6" s="7" t="s">
        <v>20</v>
      </c>
      <c r="O6" s="8" t="s">
        <v>21</v>
      </c>
      <c r="P6" s="30" t="s">
        <v>23</v>
      </c>
      <c r="Q6" s="27" t="s">
        <v>24</v>
      </c>
      <c r="R6" s="28" t="s">
        <v>25</v>
      </c>
      <c r="S6" s="9" t="s">
        <v>26</v>
      </c>
      <c r="T6" s="10" t="s">
        <v>27</v>
      </c>
      <c r="U6" s="10" t="s">
        <v>28</v>
      </c>
      <c r="V6" s="29" t="s">
        <v>29</v>
      </c>
      <c r="W6" s="352" t="s">
        <v>544</v>
      </c>
      <c r="X6" s="352" t="s">
        <v>545</v>
      </c>
      <c r="Y6" s="361" t="s">
        <v>550</v>
      </c>
    </row>
    <row r="7" spans="1:27" ht="13.5" customHeight="1" x14ac:dyDescent="0.25">
      <c r="A7" s="40"/>
      <c r="B7" s="19" t="s">
        <v>54</v>
      </c>
      <c r="C7" s="35" t="s">
        <v>205</v>
      </c>
      <c r="D7" s="137" t="s">
        <v>127</v>
      </c>
      <c r="E7" s="54">
        <v>2023</v>
      </c>
      <c r="F7" s="35"/>
      <c r="G7" s="54" t="s">
        <v>252</v>
      </c>
      <c r="H7" s="47" t="s">
        <v>254</v>
      </c>
      <c r="I7" s="47"/>
      <c r="J7" s="12" t="s">
        <v>255</v>
      </c>
      <c r="K7" s="12" t="s">
        <v>256</v>
      </c>
      <c r="L7" s="55" t="s">
        <v>136</v>
      </c>
      <c r="M7" s="12" t="s">
        <v>56</v>
      </c>
      <c r="N7" s="64" t="s">
        <v>57</v>
      </c>
      <c r="O7" s="13" t="s">
        <v>43</v>
      </c>
      <c r="P7" s="71">
        <f>+Q7/0.75</f>
        <v>63893.333333333336</v>
      </c>
      <c r="Q7" s="72">
        <v>47920</v>
      </c>
      <c r="R7" s="73">
        <v>44970</v>
      </c>
      <c r="S7" s="74">
        <v>44976.389333333333</v>
      </c>
      <c r="T7" s="75">
        <f>_xlfn.ISOWEEKNUM(R7)</f>
        <v>7</v>
      </c>
      <c r="U7" s="75">
        <f>_xlfn.ISOWEEKNUM(S7)</f>
        <v>7</v>
      </c>
      <c r="V7" s="77">
        <f>+S7+21</f>
        <v>44997.389333333333</v>
      </c>
      <c r="W7" s="72">
        <f>Q7/72</f>
        <v>665.55555555555554</v>
      </c>
      <c r="X7" s="355">
        <v>6244</v>
      </c>
      <c r="Y7" t="s">
        <v>551</v>
      </c>
    </row>
    <row r="8" spans="1:27" ht="13.5" customHeight="1" x14ac:dyDescent="0.25">
      <c r="A8" s="40"/>
      <c r="B8" s="306" t="s">
        <v>54</v>
      </c>
      <c r="C8" s="54" t="s">
        <v>205</v>
      </c>
      <c r="D8" s="137" t="s">
        <v>127</v>
      </c>
      <c r="E8" s="54">
        <v>2023</v>
      </c>
      <c r="F8" s="54"/>
      <c r="G8" s="54" t="s">
        <v>252</v>
      </c>
      <c r="H8" s="304" t="s">
        <v>258</v>
      </c>
      <c r="I8" s="304"/>
      <c r="J8" s="55" t="s">
        <v>255</v>
      </c>
      <c r="K8" s="55" t="s">
        <v>256</v>
      </c>
      <c r="L8" s="55" t="s">
        <v>259</v>
      </c>
      <c r="M8" s="55" t="s">
        <v>56</v>
      </c>
      <c r="N8" s="68" t="s">
        <v>57</v>
      </c>
      <c r="O8" s="13" t="s">
        <v>43</v>
      </c>
      <c r="P8" s="71">
        <f>+Q8/0.75</f>
        <v>34300</v>
      </c>
      <c r="Q8" s="72">
        <v>25725</v>
      </c>
      <c r="R8" s="73">
        <v>44981.329066666665</v>
      </c>
      <c r="S8" s="74">
        <v>44984.759066666666</v>
      </c>
      <c r="T8" s="75">
        <f>_xlfn.ISOWEEKNUM(R8)</f>
        <v>8</v>
      </c>
      <c r="U8" s="75">
        <f>_xlfn.ISOWEEKNUM(S8)</f>
        <v>9</v>
      </c>
      <c r="V8" s="77">
        <f>+S8+21</f>
        <v>45005.759066666666</v>
      </c>
      <c r="W8" s="72">
        <f>Q8/72</f>
        <v>357.29166666666669</v>
      </c>
      <c r="X8" s="355">
        <v>6244</v>
      </c>
      <c r="Y8" t="s">
        <v>551</v>
      </c>
    </row>
    <row r="9" spans="1:27" ht="13.5" customHeight="1" x14ac:dyDescent="0.25">
      <c r="A9" s="40"/>
      <c r="B9" s="19" t="s">
        <v>35</v>
      </c>
      <c r="C9" s="35" t="s">
        <v>36</v>
      </c>
      <c r="D9" s="137" t="s">
        <v>127</v>
      </c>
      <c r="E9" s="54">
        <v>2023</v>
      </c>
      <c r="F9" s="35"/>
      <c r="G9" s="54" t="s">
        <v>252</v>
      </c>
      <c r="H9" s="309" t="s">
        <v>65</v>
      </c>
      <c r="I9" s="304"/>
      <c r="J9" s="12" t="s">
        <v>52</v>
      </c>
      <c r="K9" s="12" t="s">
        <v>256</v>
      </c>
      <c r="L9" s="55" t="s">
        <v>66</v>
      </c>
      <c r="M9" s="12" t="s">
        <v>41</v>
      </c>
      <c r="N9" s="64" t="s">
        <v>42</v>
      </c>
      <c r="O9" s="13" t="s">
        <v>71</v>
      </c>
      <c r="P9" s="71">
        <v>5000</v>
      </c>
      <c r="Q9" s="72">
        <f>+P9</f>
        <v>5000</v>
      </c>
      <c r="R9" s="73">
        <v>45006.100633333335</v>
      </c>
      <c r="S9" s="74">
        <v>45006.427430718955</v>
      </c>
      <c r="T9" s="75">
        <f>_xlfn.ISOWEEKNUM(R9)</f>
        <v>12</v>
      </c>
      <c r="U9" s="75">
        <f>_xlfn.ISOWEEKNUM(S9)</f>
        <v>12</v>
      </c>
      <c r="V9" s="77">
        <f>+S9+21</f>
        <v>45027.427430718955</v>
      </c>
      <c r="W9" s="72">
        <f>Q9/72</f>
        <v>69.444444444444443</v>
      </c>
      <c r="X9" s="355">
        <v>6244</v>
      </c>
      <c r="Y9" t="s">
        <v>551</v>
      </c>
    </row>
    <row r="10" spans="1:27" ht="13.5" customHeight="1" x14ac:dyDescent="0.25">
      <c r="A10" s="40"/>
      <c r="B10" s="306" t="s">
        <v>35</v>
      </c>
      <c r="C10" s="54" t="s">
        <v>36</v>
      </c>
      <c r="D10" s="137" t="s">
        <v>127</v>
      </c>
      <c r="E10" s="54">
        <v>2022</v>
      </c>
      <c r="F10" s="54"/>
      <c r="G10" s="54" t="s">
        <v>252</v>
      </c>
      <c r="H10" s="304" t="s">
        <v>263</v>
      </c>
      <c r="I10" s="304" t="s">
        <v>156</v>
      </c>
      <c r="J10" s="55" t="s">
        <v>52</v>
      </c>
      <c r="K10" s="55" t="s">
        <v>256</v>
      </c>
      <c r="L10" s="55" t="s">
        <v>158</v>
      </c>
      <c r="M10" s="12" t="s">
        <v>41</v>
      </c>
      <c r="N10" s="64" t="s">
        <v>42</v>
      </c>
      <c r="O10" s="13" t="s">
        <v>47</v>
      </c>
      <c r="P10" s="71">
        <v>9000</v>
      </c>
      <c r="Q10" s="72">
        <f>+P10</f>
        <v>9000</v>
      </c>
      <c r="R10" s="73">
        <v>45027.205404575165</v>
      </c>
      <c r="S10" s="74">
        <v>45027.793639869284</v>
      </c>
      <c r="T10" s="75">
        <f>_xlfn.ISOWEEKNUM(R10)</f>
        <v>15</v>
      </c>
      <c r="U10" s="75">
        <f>_xlfn.ISOWEEKNUM(S10)</f>
        <v>15</v>
      </c>
      <c r="V10" s="77">
        <f>+S10+21</f>
        <v>45048.793639869284</v>
      </c>
      <c r="W10" s="72">
        <f>Q10/72</f>
        <v>125</v>
      </c>
      <c r="X10" s="355">
        <v>6244</v>
      </c>
      <c r="Y10" t="s">
        <v>551</v>
      </c>
    </row>
    <row r="11" spans="1:27" ht="13.5" customHeight="1" x14ac:dyDescent="0.25">
      <c r="A11" s="40"/>
      <c r="B11" s="306" t="s">
        <v>35</v>
      </c>
      <c r="C11" s="54" t="s">
        <v>36</v>
      </c>
      <c r="D11" s="137" t="s">
        <v>127</v>
      </c>
      <c r="E11" s="54">
        <v>2023</v>
      </c>
      <c r="F11" s="54"/>
      <c r="G11" s="54" t="s">
        <v>252</v>
      </c>
      <c r="H11" s="304" t="s">
        <v>264</v>
      </c>
      <c r="I11" s="304" t="s">
        <v>159</v>
      </c>
      <c r="J11" s="55" t="s">
        <v>52</v>
      </c>
      <c r="K11" s="55" t="s">
        <v>256</v>
      </c>
      <c r="L11" s="55" t="s">
        <v>158</v>
      </c>
      <c r="M11" s="55" t="s">
        <v>41</v>
      </c>
      <c r="N11" s="68" t="s">
        <v>42</v>
      </c>
      <c r="O11" s="13" t="s">
        <v>47</v>
      </c>
      <c r="P11" s="71">
        <v>10000</v>
      </c>
      <c r="Q11" s="72">
        <f>+P11</f>
        <v>10000</v>
      </c>
      <c r="R11" s="73">
        <v>45034.983182352946</v>
      </c>
      <c r="S11" s="74">
        <v>45035.636777124186</v>
      </c>
      <c r="T11" s="75">
        <f>_xlfn.ISOWEEKNUM(R11)</f>
        <v>16</v>
      </c>
      <c r="U11" s="75">
        <f>_xlfn.ISOWEEKNUM(S11)</f>
        <v>16</v>
      </c>
      <c r="V11" s="77">
        <f>+S11+21</f>
        <v>45056.636777124186</v>
      </c>
      <c r="W11" s="72">
        <f>Q11/72</f>
        <v>138.88888888888889</v>
      </c>
      <c r="X11" s="355">
        <v>6244</v>
      </c>
      <c r="Y11" t="s">
        <v>551</v>
      </c>
    </row>
    <row r="12" spans="1:27" ht="13.5" customHeight="1" x14ac:dyDescent="0.25">
      <c r="A12" s="40"/>
      <c r="B12" s="306" t="s">
        <v>35</v>
      </c>
      <c r="C12" s="54" t="s">
        <v>36</v>
      </c>
      <c r="D12" s="137" t="s">
        <v>127</v>
      </c>
      <c r="E12" s="54">
        <v>2023</v>
      </c>
      <c r="F12" s="54"/>
      <c r="G12" s="54" t="s">
        <v>252</v>
      </c>
      <c r="H12" s="304" t="s">
        <v>265</v>
      </c>
      <c r="I12" s="304" t="s">
        <v>163</v>
      </c>
      <c r="J12" s="55" t="s">
        <v>52</v>
      </c>
      <c r="K12" s="55" t="s">
        <v>256</v>
      </c>
      <c r="L12" s="55" t="s">
        <v>158</v>
      </c>
      <c r="M12" s="55" t="s">
        <v>41</v>
      </c>
      <c r="N12" s="68" t="s">
        <v>42</v>
      </c>
      <c r="O12" s="13" t="s">
        <v>47</v>
      </c>
      <c r="P12" s="71">
        <v>9000</v>
      </c>
      <c r="Q12" s="72">
        <f>+P12</f>
        <v>9000</v>
      </c>
      <c r="R12" s="73">
        <v>45042.172724836601</v>
      </c>
      <c r="S12" s="74">
        <v>45042.760960130719</v>
      </c>
      <c r="T12" s="75">
        <f>_xlfn.ISOWEEKNUM(R12)</f>
        <v>17</v>
      </c>
      <c r="U12" s="75">
        <f>_xlfn.ISOWEEKNUM(S12)</f>
        <v>17</v>
      </c>
      <c r="V12" s="77">
        <f>+S12+21</f>
        <v>45063.760960130719</v>
      </c>
      <c r="W12" s="72">
        <f>Q12/72</f>
        <v>125</v>
      </c>
      <c r="X12" s="355">
        <v>6244</v>
      </c>
      <c r="Y12" t="s">
        <v>551</v>
      </c>
    </row>
    <row r="13" spans="1:27" ht="13.5" customHeight="1" x14ac:dyDescent="0.25">
      <c r="A13" s="40"/>
      <c r="B13" s="306" t="s">
        <v>54</v>
      </c>
      <c r="C13" s="54" t="s">
        <v>36</v>
      </c>
      <c r="D13" s="137" t="s">
        <v>127</v>
      </c>
      <c r="E13" s="54">
        <v>2023</v>
      </c>
      <c r="F13" s="54"/>
      <c r="G13" s="54" t="s">
        <v>252</v>
      </c>
      <c r="H13" s="304" t="s">
        <v>257</v>
      </c>
      <c r="I13" s="304"/>
      <c r="J13" s="55" t="s">
        <v>39</v>
      </c>
      <c r="K13" s="55" t="s">
        <v>256</v>
      </c>
      <c r="L13" s="55" t="s">
        <v>158</v>
      </c>
      <c r="M13" s="55" t="s">
        <v>56</v>
      </c>
      <c r="N13" s="68" t="s">
        <v>57</v>
      </c>
      <c r="O13" s="13" t="s">
        <v>43</v>
      </c>
      <c r="P13" s="71">
        <f>+Q13/0.75</f>
        <v>49397.333333333336</v>
      </c>
      <c r="Q13" s="72">
        <v>37048</v>
      </c>
      <c r="R13" s="73">
        <v>44976.389333333333</v>
      </c>
      <c r="S13" s="74">
        <v>44981.329066666665</v>
      </c>
      <c r="T13" s="75">
        <f>_xlfn.ISOWEEKNUM(R13)</f>
        <v>7</v>
      </c>
      <c r="U13" s="75">
        <f>_xlfn.ISOWEEKNUM(S13)</f>
        <v>8</v>
      </c>
      <c r="V13" s="77">
        <f>+S13+21</f>
        <v>45002.329066666665</v>
      </c>
      <c r="W13" s="72">
        <f>Q13/72</f>
        <v>514.55555555555554</v>
      </c>
      <c r="X13" s="353">
        <v>6244</v>
      </c>
      <c r="Y13" t="s">
        <v>546</v>
      </c>
      <c r="Z13" s="353" t="s">
        <v>546</v>
      </c>
      <c r="AA13" s="353">
        <v>6244</v>
      </c>
    </row>
    <row r="14" spans="1:27" ht="13.5" customHeight="1" x14ac:dyDescent="0.25">
      <c r="A14" s="40"/>
      <c r="B14" s="306" t="s">
        <v>35</v>
      </c>
      <c r="C14" s="54" t="s">
        <v>36</v>
      </c>
      <c r="D14" s="137" t="s">
        <v>127</v>
      </c>
      <c r="E14" s="54">
        <v>2023</v>
      </c>
      <c r="F14" s="54"/>
      <c r="G14" s="54" t="s">
        <v>252</v>
      </c>
      <c r="H14" s="309" t="s">
        <v>65</v>
      </c>
      <c r="I14" s="304"/>
      <c r="J14" s="55" t="s">
        <v>39</v>
      </c>
      <c r="K14" s="55" t="s">
        <v>256</v>
      </c>
      <c r="L14" s="55" t="s">
        <v>66</v>
      </c>
      <c r="M14" s="55" t="s">
        <v>41</v>
      </c>
      <c r="N14" s="68" t="s">
        <v>42</v>
      </c>
      <c r="O14" s="13" t="s">
        <v>129</v>
      </c>
      <c r="P14" s="71">
        <f>137660-P12-P13-P72</f>
        <v>60432.666666666657</v>
      </c>
      <c r="Q14" s="72">
        <f>+P14</f>
        <v>60432.666666666657</v>
      </c>
      <c r="R14" s="73">
        <v>45006.427430718955</v>
      </c>
      <c r="S14" s="74">
        <v>45008.930633333337</v>
      </c>
      <c r="T14" s="75">
        <f>_xlfn.ISOWEEKNUM(R14)</f>
        <v>12</v>
      </c>
      <c r="U14" s="75">
        <f>_xlfn.ISOWEEKNUM(S14)</f>
        <v>12</v>
      </c>
      <c r="V14" s="77">
        <f>+S14+21</f>
        <v>45029.930633333337</v>
      </c>
      <c r="W14" s="72">
        <f>Q14/72</f>
        <v>839.3425925925925</v>
      </c>
      <c r="X14" s="353">
        <v>6244</v>
      </c>
      <c r="Y14" t="s">
        <v>546</v>
      </c>
      <c r="Z14" s="354" t="s">
        <v>547</v>
      </c>
      <c r="AA14" s="354">
        <v>6244</v>
      </c>
    </row>
    <row r="15" spans="1:27" ht="13.5" customHeight="1" x14ac:dyDescent="0.25">
      <c r="A15" s="40"/>
      <c r="B15" s="306" t="s">
        <v>35</v>
      </c>
      <c r="C15" s="54" t="s">
        <v>36</v>
      </c>
      <c r="D15" s="137" t="s">
        <v>127</v>
      </c>
      <c r="E15" s="54">
        <v>2023</v>
      </c>
      <c r="F15" s="54"/>
      <c r="G15" s="54" t="s">
        <v>252</v>
      </c>
      <c r="H15" s="309" t="s">
        <v>130</v>
      </c>
      <c r="I15" s="304"/>
      <c r="J15" s="55" t="s">
        <v>39</v>
      </c>
      <c r="K15" s="55" t="s">
        <v>256</v>
      </c>
      <c r="L15" s="55" t="s">
        <v>66</v>
      </c>
      <c r="M15" s="55" t="s">
        <v>41</v>
      </c>
      <c r="N15" s="68" t="s">
        <v>42</v>
      </c>
      <c r="O15" s="13" t="s">
        <v>129</v>
      </c>
      <c r="P15" s="71">
        <f>81551-P14</f>
        <v>21118.333333333343</v>
      </c>
      <c r="Q15" s="72">
        <f>+P15</f>
        <v>21118.333333333343</v>
      </c>
      <c r="R15" s="73">
        <v>45012.198607189544</v>
      </c>
      <c r="S15" s="74">
        <v>45014.260764052291</v>
      </c>
      <c r="T15" s="75">
        <f>_xlfn.ISOWEEKNUM(R15)</f>
        <v>13</v>
      </c>
      <c r="U15" s="75">
        <f>_xlfn.ISOWEEKNUM(S15)</f>
        <v>13</v>
      </c>
      <c r="V15" s="77">
        <f>+S15+21</f>
        <v>45035.260764052291</v>
      </c>
      <c r="W15" s="72">
        <f>Q15/72</f>
        <v>293.31018518518533</v>
      </c>
      <c r="X15" s="353">
        <v>6244</v>
      </c>
      <c r="Y15" t="s">
        <v>546</v>
      </c>
      <c r="Z15" s="355" t="s">
        <v>548</v>
      </c>
      <c r="AA15" s="355">
        <v>6244</v>
      </c>
    </row>
    <row r="16" spans="1:27" ht="13.5" customHeight="1" x14ac:dyDescent="0.25">
      <c r="A16" s="40"/>
      <c r="B16" s="306" t="s">
        <v>35</v>
      </c>
      <c r="C16" s="54" t="s">
        <v>36</v>
      </c>
      <c r="D16" s="137" t="s">
        <v>127</v>
      </c>
      <c r="E16" s="54">
        <v>2023</v>
      </c>
      <c r="F16" s="54"/>
      <c r="G16" s="54" t="s">
        <v>252</v>
      </c>
      <c r="H16" s="308" t="s">
        <v>269</v>
      </c>
      <c r="I16" s="304" t="s">
        <v>241</v>
      </c>
      <c r="J16" s="55" t="s">
        <v>39</v>
      </c>
      <c r="K16" s="55" t="s">
        <v>256</v>
      </c>
      <c r="L16" s="55" t="s">
        <v>40</v>
      </c>
      <c r="M16" s="55" t="s">
        <v>41</v>
      </c>
      <c r="N16" s="68" t="s">
        <v>42</v>
      </c>
      <c r="O16" s="13" t="s">
        <v>43</v>
      </c>
      <c r="P16" s="71" t="e">
        <f>67341-P17</f>
        <v>#REF!</v>
      </c>
      <c r="Q16" s="72" t="e">
        <f>+P16</f>
        <v>#REF!</v>
      </c>
      <c r="R16" s="73">
        <v>45077.922314854433</v>
      </c>
      <c r="S16" s="74">
        <v>45079.382510932868</v>
      </c>
      <c r="T16" s="75">
        <f>_xlfn.ISOWEEKNUM(R16)</f>
        <v>22</v>
      </c>
      <c r="U16" s="75">
        <f>_xlfn.ISOWEEKNUM(S16)</f>
        <v>22</v>
      </c>
      <c r="V16" s="77">
        <f>+S16+21</f>
        <v>45100.382510932868</v>
      </c>
      <c r="W16" s="72" t="e">
        <f>Q16/72</f>
        <v>#REF!</v>
      </c>
      <c r="X16" s="353">
        <v>6244</v>
      </c>
      <c r="Y16" t="s">
        <v>546</v>
      </c>
      <c r="Z16" s="356" t="s">
        <v>549</v>
      </c>
      <c r="AA16" s="356">
        <v>6009</v>
      </c>
    </row>
    <row r="17" spans="1:25" ht="13.5" customHeight="1" x14ac:dyDescent="0.25">
      <c r="A17" s="40"/>
      <c r="B17" s="306" t="s">
        <v>45</v>
      </c>
      <c r="C17" s="54" t="s">
        <v>36</v>
      </c>
      <c r="D17" s="137" t="s">
        <v>127</v>
      </c>
      <c r="E17" s="54">
        <v>2023</v>
      </c>
      <c r="F17" s="54"/>
      <c r="G17" s="54" t="s">
        <v>252</v>
      </c>
      <c r="H17" s="308" t="s">
        <v>88</v>
      </c>
      <c r="I17" s="304"/>
      <c r="J17" s="55" t="s">
        <v>39</v>
      </c>
      <c r="K17" s="55" t="s">
        <v>256</v>
      </c>
      <c r="L17" s="55" t="s">
        <v>40</v>
      </c>
      <c r="M17" s="55" t="s">
        <v>41</v>
      </c>
      <c r="N17" s="68" t="s">
        <v>42</v>
      </c>
      <c r="O17" s="13" t="s">
        <v>262</v>
      </c>
      <c r="P17" s="71" t="e">
        <f>116395-P18</f>
        <v>#REF!</v>
      </c>
      <c r="Q17" s="72" t="e">
        <f>+P17</f>
        <v>#REF!</v>
      </c>
      <c r="R17" s="73">
        <v>45082.323687403456</v>
      </c>
      <c r="S17" s="74">
        <v>45084.833164527641</v>
      </c>
      <c r="T17" s="75">
        <f>_xlfn.ISOWEEKNUM(R17)</f>
        <v>23</v>
      </c>
      <c r="U17" s="75">
        <f>_xlfn.ISOWEEKNUM(S17)</f>
        <v>23</v>
      </c>
      <c r="V17" s="77">
        <f>+S17+21</f>
        <v>45105.833164527641</v>
      </c>
      <c r="W17" s="72" t="e">
        <f>Q17/72</f>
        <v>#REF!</v>
      </c>
      <c r="X17" s="353">
        <v>6244</v>
      </c>
      <c r="Y17" t="s">
        <v>546</v>
      </c>
    </row>
    <row r="18" spans="1:25" ht="13.5" customHeight="1" x14ac:dyDescent="0.25">
      <c r="A18" s="40"/>
      <c r="B18" s="306" t="s">
        <v>45</v>
      </c>
      <c r="C18" s="54" t="s">
        <v>36</v>
      </c>
      <c r="D18" s="137" t="s">
        <v>127</v>
      </c>
      <c r="E18" s="54">
        <v>2023</v>
      </c>
      <c r="F18" s="54"/>
      <c r="G18" s="54" t="s">
        <v>252</v>
      </c>
      <c r="H18" s="304" t="s">
        <v>266</v>
      </c>
      <c r="I18" s="304" t="s">
        <v>267</v>
      </c>
      <c r="J18" s="55" t="s">
        <v>39</v>
      </c>
      <c r="K18" s="55" t="s">
        <v>256</v>
      </c>
      <c r="L18" s="55" t="s">
        <v>158</v>
      </c>
      <c r="M18" s="55" t="s">
        <v>41</v>
      </c>
      <c r="N18" s="68" t="s">
        <v>42</v>
      </c>
      <c r="O18" s="13" t="s">
        <v>47</v>
      </c>
      <c r="P18" s="71" t="e">
        <f>97560-#REF!-P38</f>
        <v>#REF!</v>
      </c>
      <c r="Q18" s="72" t="e">
        <f>+P18</f>
        <v>#REF!</v>
      </c>
      <c r="R18" s="73">
        <v>45131.978975579332</v>
      </c>
      <c r="S18" s="74">
        <v>45132.91178603685</v>
      </c>
      <c r="T18" s="75">
        <f>_xlfn.ISOWEEKNUM(R18)</f>
        <v>30</v>
      </c>
      <c r="U18" s="75">
        <f>_xlfn.ISOWEEKNUM(S18)</f>
        <v>30</v>
      </c>
      <c r="V18" s="77">
        <f>+S18+21</f>
        <v>45153.91178603685</v>
      </c>
      <c r="W18" s="72" t="e">
        <f>Q18/72</f>
        <v>#REF!</v>
      </c>
      <c r="X18" s="353">
        <v>6244</v>
      </c>
      <c r="Y18" t="s">
        <v>546</v>
      </c>
    </row>
    <row r="19" spans="1:25" ht="13.5" customHeight="1" x14ac:dyDescent="0.25">
      <c r="A19" s="40"/>
      <c r="B19" s="306" t="s">
        <v>35</v>
      </c>
      <c r="C19" s="54" t="s">
        <v>36</v>
      </c>
      <c r="D19" s="137" t="s">
        <v>127</v>
      </c>
      <c r="E19" s="54">
        <v>2023</v>
      </c>
      <c r="F19" s="54"/>
      <c r="G19" s="54" t="s">
        <v>252</v>
      </c>
      <c r="H19" s="304" t="s">
        <v>263</v>
      </c>
      <c r="I19" s="304" t="s">
        <v>156</v>
      </c>
      <c r="J19" s="55" t="s">
        <v>39</v>
      </c>
      <c r="K19" s="55" t="s">
        <v>256</v>
      </c>
      <c r="L19" s="55" t="s">
        <v>158</v>
      </c>
      <c r="M19" s="55" t="s">
        <v>41</v>
      </c>
      <c r="N19" s="68" t="s">
        <v>42</v>
      </c>
      <c r="O19" s="13" t="s">
        <v>43</v>
      </c>
      <c r="P19" s="71">
        <v>150000</v>
      </c>
      <c r="Q19" s="72">
        <f>+P19</f>
        <v>150000</v>
      </c>
      <c r="R19" s="73">
        <v>45164.106034402852</v>
      </c>
      <c r="S19" s="74">
        <v>45173.909955971481</v>
      </c>
      <c r="T19" s="75">
        <f>_xlfn.ISOWEEKNUM(R19)</f>
        <v>34</v>
      </c>
      <c r="U19" s="75">
        <f>_xlfn.ISOWEEKNUM(S19)</f>
        <v>36</v>
      </c>
      <c r="V19" s="77">
        <f>+S19+21</f>
        <v>45194.909955971481</v>
      </c>
      <c r="W19" s="72">
        <f>Q19/72</f>
        <v>2083.3333333333335</v>
      </c>
      <c r="X19" s="353">
        <v>6244</v>
      </c>
      <c r="Y19" t="s">
        <v>546</v>
      </c>
    </row>
    <row r="20" spans="1:25" ht="13.5" customHeight="1" x14ac:dyDescent="0.25">
      <c r="A20" s="40"/>
      <c r="B20" s="306" t="s">
        <v>35</v>
      </c>
      <c r="C20" s="54" t="s">
        <v>36</v>
      </c>
      <c r="D20" s="137" t="s">
        <v>127</v>
      </c>
      <c r="E20" s="54">
        <v>2023</v>
      </c>
      <c r="F20" s="54"/>
      <c r="G20" s="54" t="s">
        <v>252</v>
      </c>
      <c r="H20" s="304" t="s">
        <v>264</v>
      </c>
      <c r="I20" s="304" t="s">
        <v>159</v>
      </c>
      <c r="J20" s="55" t="s">
        <v>39</v>
      </c>
      <c r="K20" s="55" t="s">
        <v>256</v>
      </c>
      <c r="L20" s="55" t="s">
        <v>158</v>
      </c>
      <c r="M20" s="55" t="s">
        <v>41</v>
      </c>
      <c r="N20" s="68" t="s">
        <v>42</v>
      </c>
      <c r="O20" s="69" t="s">
        <v>43</v>
      </c>
      <c r="P20" s="71">
        <v>100000</v>
      </c>
      <c r="Q20" s="340">
        <f>+P20</f>
        <v>100000</v>
      </c>
      <c r="R20" s="73">
        <v>45173.909955971481</v>
      </c>
      <c r="S20" s="74">
        <v>45180.445903683896</v>
      </c>
      <c r="T20" s="75">
        <f>_xlfn.ISOWEEKNUM(R20)</f>
        <v>36</v>
      </c>
      <c r="U20" s="75">
        <f>_xlfn.ISOWEEKNUM(S20)</f>
        <v>37</v>
      </c>
      <c r="V20" s="77">
        <f>+S20+21</f>
        <v>45201.445903683896</v>
      </c>
      <c r="W20" s="72">
        <f>Q20/72</f>
        <v>1388.8888888888889</v>
      </c>
      <c r="X20" s="353">
        <v>6244</v>
      </c>
      <c r="Y20" t="s">
        <v>546</v>
      </c>
    </row>
    <row r="21" spans="1:25" ht="13.5" customHeight="1" x14ac:dyDescent="0.25">
      <c r="A21" s="40"/>
      <c r="B21" s="306" t="s">
        <v>35</v>
      </c>
      <c r="C21" s="54" t="s">
        <v>36</v>
      </c>
      <c r="D21" s="137" t="s">
        <v>127</v>
      </c>
      <c r="E21" s="54">
        <v>2023</v>
      </c>
      <c r="F21" s="54"/>
      <c r="G21" s="54" t="s">
        <v>252</v>
      </c>
      <c r="H21" s="304" t="s">
        <v>113</v>
      </c>
      <c r="I21" s="304"/>
      <c r="J21" s="55" t="s">
        <v>39</v>
      </c>
      <c r="K21" s="55" t="s">
        <v>256</v>
      </c>
      <c r="L21" s="55" t="s">
        <v>136</v>
      </c>
      <c r="M21" s="55" t="s">
        <v>41</v>
      </c>
      <c r="N21" s="68" t="s">
        <v>42</v>
      </c>
      <c r="O21" s="69" t="s">
        <v>43</v>
      </c>
      <c r="P21" s="71">
        <v>100000</v>
      </c>
      <c r="Q21" s="72">
        <f>+P21</f>
        <v>100000</v>
      </c>
      <c r="R21" s="73">
        <v>45182.565511527035</v>
      </c>
      <c r="S21" s="74">
        <v>45189.101459239449</v>
      </c>
      <c r="T21" s="75">
        <f>_xlfn.ISOWEEKNUM(R21)</f>
        <v>37</v>
      </c>
      <c r="U21" s="75">
        <f>_xlfn.ISOWEEKNUM(S21)</f>
        <v>38</v>
      </c>
      <c r="V21" s="77">
        <f>+S21+21</f>
        <v>45210.101459239449</v>
      </c>
      <c r="W21" s="72">
        <f>Q21/72</f>
        <v>1388.8888888888889</v>
      </c>
      <c r="X21" s="353">
        <v>6244</v>
      </c>
      <c r="Y21" t="s">
        <v>546</v>
      </c>
    </row>
    <row r="22" spans="1:25" ht="13.5" customHeight="1" x14ac:dyDescent="0.25">
      <c r="A22" s="40"/>
      <c r="B22" s="306" t="s">
        <v>35</v>
      </c>
      <c r="C22" s="54" t="s">
        <v>36</v>
      </c>
      <c r="D22" s="137" t="s">
        <v>127</v>
      </c>
      <c r="E22" s="54">
        <v>2023</v>
      </c>
      <c r="F22" s="54"/>
      <c r="G22" s="54" t="s">
        <v>252</v>
      </c>
      <c r="H22" s="304" t="s">
        <v>264</v>
      </c>
      <c r="I22" s="304" t="s">
        <v>159</v>
      </c>
      <c r="J22" s="55" t="s">
        <v>39</v>
      </c>
      <c r="K22" s="55" t="s">
        <v>256</v>
      </c>
      <c r="L22" s="55" t="s">
        <v>158</v>
      </c>
      <c r="M22" s="55" t="s">
        <v>41</v>
      </c>
      <c r="N22" s="68" t="s">
        <v>42</v>
      </c>
      <c r="O22" s="69" t="s">
        <v>43</v>
      </c>
      <c r="P22" s="71" t="e">
        <f>383395-#REF!-#REF!-P16</f>
        <v>#REF!</v>
      </c>
      <c r="Q22" s="72" t="e">
        <f>+P22</f>
        <v>#REF!</v>
      </c>
      <c r="R22" s="73">
        <v>45211.092047474747</v>
      </c>
      <c r="S22" s="74">
        <v>45221.771459239455</v>
      </c>
      <c r="T22" s="75">
        <f>_xlfn.ISOWEEKNUM(R22)</f>
        <v>41</v>
      </c>
      <c r="U22" s="75">
        <f>_xlfn.ISOWEEKNUM(S22)</f>
        <v>42</v>
      </c>
      <c r="V22" s="77">
        <f>+S22+21</f>
        <v>45242.771459239455</v>
      </c>
      <c r="W22" s="72" t="e">
        <f>Q22/72</f>
        <v>#REF!</v>
      </c>
      <c r="X22" s="353">
        <v>6244</v>
      </c>
      <c r="Y22" t="s">
        <v>546</v>
      </c>
    </row>
    <row r="23" spans="1:25" ht="13.5" customHeight="1" x14ac:dyDescent="0.25">
      <c r="A23" s="40"/>
      <c r="B23" s="306" t="s">
        <v>35</v>
      </c>
      <c r="C23" s="54" t="s">
        <v>36</v>
      </c>
      <c r="D23" s="137" t="s">
        <v>127</v>
      </c>
      <c r="E23" s="54">
        <v>2023</v>
      </c>
      <c r="F23" s="54"/>
      <c r="G23" s="54" t="s">
        <v>252</v>
      </c>
      <c r="H23" s="304" t="s">
        <v>265</v>
      </c>
      <c r="I23" s="304" t="s">
        <v>163</v>
      </c>
      <c r="J23" s="55" t="s">
        <v>39</v>
      </c>
      <c r="K23" s="55" t="s">
        <v>256</v>
      </c>
      <c r="L23" s="55" t="s">
        <v>158</v>
      </c>
      <c r="M23" s="55" t="s">
        <v>41</v>
      </c>
      <c r="N23" s="68" t="s">
        <v>42</v>
      </c>
      <c r="O23" s="69" t="s">
        <v>43</v>
      </c>
      <c r="P23" s="71" t="e">
        <f>249514-#REF!-#REF!-P13</f>
        <v>#REF!</v>
      </c>
      <c r="Q23" s="72" t="e">
        <f>+P23</f>
        <v>#REF!</v>
      </c>
      <c r="R23" s="73">
        <v>45227.782243553178</v>
      </c>
      <c r="S23" s="74">
        <v>45231.73740695187</v>
      </c>
      <c r="T23" s="75">
        <f>_xlfn.ISOWEEKNUM(R23)</f>
        <v>43</v>
      </c>
      <c r="U23" s="348">
        <f>_xlfn.ISOWEEKNUM(S23)</f>
        <v>44</v>
      </c>
      <c r="V23" s="77">
        <f>+S23+21</f>
        <v>45252.73740695187</v>
      </c>
      <c r="W23" s="72" t="e">
        <f>Q23/72</f>
        <v>#REF!</v>
      </c>
      <c r="X23" s="353">
        <v>6244</v>
      </c>
      <c r="Y23" t="s">
        <v>546</v>
      </c>
    </row>
    <row r="24" spans="1:25" ht="13.5" customHeight="1" x14ac:dyDescent="0.25">
      <c r="A24" s="40"/>
      <c r="B24" s="306" t="s">
        <v>54</v>
      </c>
      <c r="C24" s="54" t="s">
        <v>36</v>
      </c>
      <c r="D24" s="311" t="s">
        <v>89</v>
      </c>
      <c r="E24" s="317">
        <v>2022</v>
      </c>
      <c r="F24" s="54"/>
      <c r="G24" s="54" t="s">
        <v>252</v>
      </c>
      <c r="H24" s="310" t="s">
        <v>257</v>
      </c>
      <c r="I24" s="304"/>
      <c r="J24" s="55" t="s">
        <v>39</v>
      </c>
      <c r="K24" s="54" t="s">
        <v>256</v>
      </c>
      <c r="L24" s="304" t="s">
        <v>158</v>
      </c>
      <c r="M24" s="55" t="s">
        <v>56</v>
      </c>
      <c r="N24" s="68" t="s">
        <v>57</v>
      </c>
      <c r="O24" s="69" t="s">
        <v>43</v>
      </c>
      <c r="P24" s="71">
        <f>+Q24/0.75</f>
        <v>1600</v>
      </c>
      <c r="Q24" s="72">
        <v>1200</v>
      </c>
      <c r="R24" s="73">
        <v>44970</v>
      </c>
      <c r="S24" s="74">
        <v>44971.066666666666</v>
      </c>
      <c r="T24" s="75">
        <f>_xlfn.ISOWEEKNUM(R24)</f>
        <v>7</v>
      </c>
      <c r="U24" s="348">
        <f>_xlfn.ISOWEEKNUM(S24)</f>
        <v>7</v>
      </c>
      <c r="V24" s="77">
        <f>+S24+21</f>
        <v>44992.066666666666</v>
      </c>
      <c r="W24" s="72">
        <f>Q24/72</f>
        <v>16.666666666666668</v>
      </c>
      <c r="X24" s="353">
        <v>6244</v>
      </c>
      <c r="Y24" t="s">
        <v>546</v>
      </c>
    </row>
    <row r="25" spans="1:25" ht="13.5" customHeight="1" x14ac:dyDescent="0.25">
      <c r="A25" s="40"/>
      <c r="B25" s="306" t="s">
        <v>54</v>
      </c>
      <c r="C25" s="54" t="s">
        <v>36</v>
      </c>
      <c r="D25" s="311" t="s">
        <v>89</v>
      </c>
      <c r="E25" s="54">
        <v>2023</v>
      </c>
      <c r="F25" s="54"/>
      <c r="G25" s="54" t="s">
        <v>252</v>
      </c>
      <c r="H25" s="304" t="s">
        <v>90</v>
      </c>
      <c r="I25" s="304"/>
      <c r="J25" s="55" t="s">
        <v>39</v>
      </c>
      <c r="K25" s="55" t="s">
        <v>256</v>
      </c>
      <c r="L25" s="55" t="s">
        <v>66</v>
      </c>
      <c r="M25" s="55" t="s">
        <v>56</v>
      </c>
      <c r="N25" s="68" t="s">
        <v>57</v>
      </c>
      <c r="O25" s="69" t="s">
        <v>129</v>
      </c>
      <c r="P25" s="71">
        <f>+Q25/0.75</f>
        <v>12380</v>
      </c>
      <c r="Q25" s="72">
        <v>9285</v>
      </c>
      <c r="R25" s="73">
        <v>44971.066666666666</v>
      </c>
      <c r="S25" s="74">
        <v>44979.32</v>
      </c>
      <c r="T25" s="75">
        <f>_xlfn.ISOWEEKNUM(R25)</f>
        <v>7</v>
      </c>
      <c r="U25" s="75">
        <f>_xlfn.ISOWEEKNUM(S25)</f>
        <v>8</v>
      </c>
      <c r="V25" s="77">
        <f>+S25+21</f>
        <v>45000.32</v>
      </c>
      <c r="W25" s="72">
        <f>Q25/72</f>
        <v>128.95833333333334</v>
      </c>
      <c r="X25" s="353">
        <v>6244</v>
      </c>
      <c r="Y25" t="s">
        <v>546</v>
      </c>
    </row>
    <row r="26" spans="1:25" ht="13.5" customHeight="1" x14ac:dyDescent="0.25">
      <c r="A26" s="40"/>
      <c r="B26" s="306" t="s">
        <v>45</v>
      </c>
      <c r="C26" s="54" t="s">
        <v>36</v>
      </c>
      <c r="D26" s="311" t="s">
        <v>89</v>
      </c>
      <c r="E26" s="54">
        <v>2023</v>
      </c>
      <c r="F26" s="54"/>
      <c r="G26" s="54" t="s">
        <v>252</v>
      </c>
      <c r="H26" s="304" t="s">
        <v>266</v>
      </c>
      <c r="I26" s="304" t="s">
        <v>267</v>
      </c>
      <c r="J26" s="55" t="s">
        <v>39</v>
      </c>
      <c r="K26" s="55" t="s">
        <v>256</v>
      </c>
      <c r="L26" s="55" t="s">
        <v>158</v>
      </c>
      <c r="M26" s="55" t="s">
        <v>41</v>
      </c>
      <c r="N26" s="68" t="s">
        <v>42</v>
      </c>
      <c r="O26" s="69" t="s">
        <v>47</v>
      </c>
      <c r="P26" s="71">
        <v>3288</v>
      </c>
      <c r="Q26" s="72">
        <f>+P26</f>
        <v>3288</v>
      </c>
      <c r="R26" s="73">
        <v>44979.32</v>
      </c>
      <c r="S26" s="74">
        <v>44981.512000000002</v>
      </c>
      <c r="T26" s="75">
        <f>_xlfn.ISOWEEKNUM(R26)</f>
        <v>8</v>
      </c>
      <c r="U26" s="75">
        <f>_xlfn.ISOWEEKNUM(S26)</f>
        <v>8</v>
      </c>
      <c r="V26" s="77">
        <f>+S26+21</f>
        <v>45002.512000000002</v>
      </c>
      <c r="W26" s="72">
        <f>Q26/72</f>
        <v>45.666666666666664</v>
      </c>
      <c r="X26" s="353">
        <v>6244</v>
      </c>
      <c r="Y26" t="s">
        <v>546</v>
      </c>
    </row>
    <row r="27" spans="1:25" ht="13.5" customHeight="1" x14ac:dyDescent="0.25">
      <c r="A27" s="40"/>
      <c r="B27" s="306" t="s">
        <v>35</v>
      </c>
      <c r="C27" s="54" t="s">
        <v>36</v>
      </c>
      <c r="D27" s="311" t="s">
        <v>89</v>
      </c>
      <c r="E27" s="54">
        <v>2023</v>
      </c>
      <c r="F27" s="54"/>
      <c r="G27" s="54" t="s">
        <v>252</v>
      </c>
      <c r="H27" s="310" t="s">
        <v>65</v>
      </c>
      <c r="I27" s="304"/>
      <c r="J27" s="55" t="s">
        <v>39</v>
      </c>
      <c r="K27" s="55" t="s">
        <v>256</v>
      </c>
      <c r="L27" s="12" t="s">
        <v>66</v>
      </c>
      <c r="M27" s="55" t="s">
        <v>41</v>
      </c>
      <c r="N27" s="68" t="s">
        <v>42</v>
      </c>
      <c r="O27" s="69" t="s">
        <v>129</v>
      </c>
      <c r="P27" s="71">
        <v>4361</v>
      </c>
      <c r="Q27" s="72">
        <f>+P27</f>
        <v>4361</v>
      </c>
      <c r="R27" s="73">
        <v>45078.280222222231</v>
      </c>
      <c r="S27" s="74">
        <v>45081.187555555567</v>
      </c>
      <c r="T27" s="75">
        <f>_xlfn.ISOWEEKNUM(R27)</f>
        <v>22</v>
      </c>
      <c r="U27" s="75">
        <f>_xlfn.ISOWEEKNUM(S27)</f>
        <v>22</v>
      </c>
      <c r="V27" s="77">
        <f>+S27+21</f>
        <v>45102.187555555567</v>
      </c>
      <c r="W27" s="72">
        <f>Q27/72</f>
        <v>60.569444444444443</v>
      </c>
      <c r="X27" s="353">
        <v>6244</v>
      </c>
      <c r="Y27" t="s">
        <v>546</v>
      </c>
    </row>
    <row r="28" spans="1:25" ht="13.5" customHeight="1" x14ac:dyDescent="0.25">
      <c r="A28" s="40"/>
      <c r="B28" s="19" t="s">
        <v>45</v>
      </c>
      <c r="C28" s="35" t="s">
        <v>36</v>
      </c>
      <c r="D28" s="100" t="s">
        <v>103</v>
      </c>
      <c r="E28" s="35">
        <v>2023</v>
      </c>
      <c r="F28" s="35"/>
      <c r="G28" s="54" t="s">
        <v>252</v>
      </c>
      <c r="H28" s="47" t="s">
        <v>274</v>
      </c>
      <c r="I28" s="47" t="s">
        <v>275</v>
      </c>
      <c r="J28" s="12" t="s">
        <v>39</v>
      </c>
      <c r="K28" s="12" t="s">
        <v>256</v>
      </c>
      <c r="L28" s="55" t="s">
        <v>158</v>
      </c>
      <c r="M28" s="12" t="s">
        <v>41</v>
      </c>
      <c r="N28" s="64" t="s">
        <v>42</v>
      </c>
      <c r="O28" s="13" t="s">
        <v>47</v>
      </c>
      <c r="P28" s="71">
        <v>35000</v>
      </c>
      <c r="Q28" s="72">
        <f>+P28</f>
        <v>35000</v>
      </c>
      <c r="R28" s="73">
        <v>45048.414200000007</v>
      </c>
      <c r="S28" s="74">
        <v>45055.414200000007</v>
      </c>
      <c r="T28" s="75">
        <f>_xlfn.ISOWEEKNUM(R28)</f>
        <v>18</v>
      </c>
      <c r="U28" s="75">
        <f>_xlfn.ISOWEEKNUM(S28)</f>
        <v>19</v>
      </c>
      <c r="V28" s="77">
        <f>+S28+21</f>
        <v>45076.414200000007</v>
      </c>
      <c r="W28" s="72">
        <f>Q28/72</f>
        <v>486.11111111111109</v>
      </c>
      <c r="X28" s="353">
        <v>6244</v>
      </c>
      <c r="Y28" t="s">
        <v>546</v>
      </c>
    </row>
    <row r="29" spans="1:25" ht="13.5" customHeight="1" x14ac:dyDescent="0.25">
      <c r="A29" s="40"/>
      <c r="B29" s="19" t="s">
        <v>45</v>
      </c>
      <c r="C29" s="35" t="s">
        <v>36</v>
      </c>
      <c r="D29" s="100" t="s">
        <v>103</v>
      </c>
      <c r="E29" s="35">
        <v>2023</v>
      </c>
      <c r="F29" s="35"/>
      <c r="G29" s="54" t="s">
        <v>252</v>
      </c>
      <c r="H29" s="47" t="s">
        <v>260</v>
      </c>
      <c r="I29" s="47" t="s">
        <v>261</v>
      </c>
      <c r="J29" s="12" t="s">
        <v>39</v>
      </c>
      <c r="K29" s="12" t="s">
        <v>256</v>
      </c>
      <c r="L29" s="12" t="s">
        <v>158</v>
      </c>
      <c r="M29" s="12" t="s">
        <v>41</v>
      </c>
      <c r="N29" s="64" t="s">
        <v>42</v>
      </c>
      <c r="O29" s="13" t="s">
        <v>47</v>
      </c>
      <c r="P29" s="71">
        <v>30000</v>
      </c>
      <c r="Q29" s="72">
        <f>+P29</f>
        <v>30000</v>
      </c>
      <c r="R29" s="73">
        <v>45055.414200000007</v>
      </c>
      <c r="S29" s="74">
        <v>45061.414200000007</v>
      </c>
      <c r="T29" s="75">
        <f>_xlfn.ISOWEEKNUM(R29)</f>
        <v>19</v>
      </c>
      <c r="U29" s="75">
        <f>_xlfn.ISOWEEKNUM(S29)</f>
        <v>20</v>
      </c>
      <c r="V29" s="77">
        <f>+S29+21</f>
        <v>45082.414200000007</v>
      </c>
      <c r="W29" s="72">
        <f>Q29/72</f>
        <v>416.66666666666669</v>
      </c>
      <c r="X29" s="353">
        <v>6244</v>
      </c>
      <c r="Y29" t="s">
        <v>549</v>
      </c>
    </row>
    <row r="30" spans="1:25" ht="13.5" customHeight="1" x14ac:dyDescent="0.25">
      <c r="A30" s="40"/>
      <c r="B30" s="306" t="s">
        <v>54</v>
      </c>
      <c r="C30" s="54" t="s">
        <v>36</v>
      </c>
      <c r="D30" s="137" t="s">
        <v>127</v>
      </c>
      <c r="E30" s="54">
        <v>2023</v>
      </c>
      <c r="F30" s="54"/>
      <c r="G30" s="54" t="s">
        <v>252</v>
      </c>
      <c r="H30" s="304" t="s">
        <v>145</v>
      </c>
      <c r="I30" s="47"/>
      <c r="J30" s="55" t="s">
        <v>39</v>
      </c>
      <c r="K30" s="55" t="s">
        <v>256</v>
      </c>
      <c r="L30" s="55" t="s">
        <v>136</v>
      </c>
      <c r="M30" s="55" t="s">
        <v>56</v>
      </c>
      <c r="N30" s="68" t="s">
        <v>57</v>
      </c>
      <c r="O30" s="69" t="s">
        <v>43</v>
      </c>
      <c r="P30" s="71">
        <f>+Q30/0.75</f>
        <v>41434.666666666664</v>
      </c>
      <c r="Q30" s="72">
        <v>31076</v>
      </c>
      <c r="R30" s="73">
        <v>44984.759066666666</v>
      </c>
      <c r="S30" s="74">
        <v>44988.902533333334</v>
      </c>
      <c r="T30" s="75">
        <f>_xlfn.ISOWEEKNUM(R30)</f>
        <v>9</v>
      </c>
      <c r="U30" s="75">
        <f>_xlfn.ISOWEEKNUM(S30)</f>
        <v>9</v>
      </c>
      <c r="V30" s="77">
        <f>+S30+21</f>
        <v>45009.902533333334</v>
      </c>
      <c r="W30" s="72">
        <f>Q30/72</f>
        <v>431.61111111111109</v>
      </c>
      <c r="X30" s="356">
        <v>6009</v>
      </c>
      <c r="Y30" t="s">
        <v>549</v>
      </c>
    </row>
    <row r="31" spans="1:25" ht="13.5" customHeight="1" x14ac:dyDescent="0.25">
      <c r="A31" s="40"/>
      <c r="B31" s="306" t="s">
        <v>35</v>
      </c>
      <c r="C31" s="54" t="s">
        <v>36</v>
      </c>
      <c r="D31" s="137" t="s">
        <v>127</v>
      </c>
      <c r="E31" s="54">
        <v>2023</v>
      </c>
      <c r="F31" s="54"/>
      <c r="G31" s="54" t="s">
        <v>252</v>
      </c>
      <c r="H31" s="304" t="s">
        <v>113</v>
      </c>
      <c r="I31" s="304"/>
      <c r="J31" s="55" t="s">
        <v>39</v>
      </c>
      <c r="K31" s="55" t="s">
        <v>256</v>
      </c>
      <c r="L31" s="55" t="s">
        <v>136</v>
      </c>
      <c r="M31" s="55" t="s">
        <v>41</v>
      </c>
      <c r="N31" s="68" t="s">
        <v>42</v>
      </c>
      <c r="O31" s="69" t="s">
        <v>43</v>
      </c>
      <c r="P31" s="71">
        <v>48272</v>
      </c>
      <c r="Q31" s="72">
        <f>+P31</f>
        <v>48272</v>
      </c>
      <c r="R31" s="73">
        <v>44988.902533333334</v>
      </c>
      <c r="S31" s="74">
        <v>44993.729733333334</v>
      </c>
      <c r="T31" s="75">
        <f>_xlfn.ISOWEEKNUM(R31)</f>
        <v>9</v>
      </c>
      <c r="U31" s="75">
        <f>_xlfn.ISOWEEKNUM(S31)</f>
        <v>10</v>
      </c>
      <c r="V31" s="77">
        <f>+S31+21</f>
        <v>45014.729733333334</v>
      </c>
      <c r="W31" s="72">
        <f>Q31/72</f>
        <v>670.44444444444446</v>
      </c>
      <c r="X31" s="356">
        <v>6009</v>
      </c>
      <c r="Y31" t="s">
        <v>549</v>
      </c>
    </row>
    <row r="32" spans="1:25" ht="13.5" customHeight="1" x14ac:dyDescent="0.25">
      <c r="A32" s="40"/>
      <c r="B32" s="306" t="s">
        <v>45</v>
      </c>
      <c r="C32" s="54" t="s">
        <v>36</v>
      </c>
      <c r="D32" s="137" t="s">
        <v>127</v>
      </c>
      <c r="E32" s="54">
        <v>2023</v>
      </c>
      <c r="F32" s="54"/>
      <c r="G32" s="54" t="s">
        <v>252</v>
      </c>
      <c r="H32" s="304" t="s">
        <v>260</v>
      </c>
      <c r="I32" s="304" t="s">
        <v>261</v>
      </c>
      <c r="J32" s="55" t="s">
        <v>39</v>
      </c>
      <c r="K32" s="55" t="s">
        <v>256</v>
      </c>
      <c r="L32" s="55" t="s">
        <v>158</v>
      </c>
      <c r="M32" s="55" t="s">
        <v>41</v>
      </c>
      <c r="N32" s="68" t="s">
        <v>42</v>
      </c>
      <c r="O32" s="69" t="s">
        <v>47</v>
      </c>
      <c r="P32" s="71">
        <v>33709</v>
      </c>
      <c r="Q32" s="72">
        <f>+P32</f>
        <v>33709</v>
      </c>
      <c r="R32" s="73">
        <v>44993.729733333334</v>
      </c>
      <c r="S32" s="74">
        <v>44997.100633333335</v>
      </c>
      <c r="T32" s="75">
        <f>_xlfn.ISOWEEKNUM(R32)</f>
        <v>10</v>
      </c>
      <c r="U32" s="75">
        <f>_xlfn.ISOWEEKNUM(S32)</f>
        <v>10</v>
      </c>
      <c r="V32" s="77">
        <f>+S32+21</f>
        <v>45018.100633333335</v>
      </c>
      <c r="W32" s="72">
        <f>Q32/72</f>
        <v>468.18055555555554</v>
      </c>
      <c r="X32" s="356">
        <v>6009</v>
      </c>
      <c r="Y32" t="s">
        <v>549</v>
      </c>
    </row>
    <row r="33" spans="1:25" ht="14.1" customHeight="1" x14ac:dyDescent="0.25">
      <c r="A33" s="40"/>
      <c r="B33" s="306" t="s">
        <v>35</v>
      </c>
      <c r="C33" s="54" t="s">
        <v>36</v>
      </c>
      <c r="D33" s="137" t="s">
        <v>127</v>
      </c>
      <c r="E33" s="54">
        <v>2023</v>
      </c>
      <c r="F33" s="54"/>
      <c r="G33" s="54" t="s">
        <v>252</v>
      </c>
      <c r="H33" s="309" t="s">
        <v>65</v>
      </c>
      <c r="I33" s="304"/>
      <c r="J33" s="55" t="s">
        <v>39</v>
      </c>
      <c r="K33" s="55" t="s">
        <v>256</v>
      </c>
      <c r="L33" s="55" t="s">
        <v>66</v>
      </c>
      <c r="M33" s="55" t="s">
        <v>41</v>
      </c>
      <c r="N33" s="68" t="s">
        <v>219</v>
      </c>
      <c r="O33" s="69" t="s">
        <v>129</v>
      </c>
      <c r="P33" s="71">
        <v>90000</v>
      </c>
      <c r="Q33" s="72">
        <f>+P33</f>
        <v>90000</v>
      </c>
      <c r="R33" s="73">
        <v>44997.100633333335</v>
      </c>
      <c r="S33" s="74">
        <v>45006.100633333335</v>
      </c>
      <c r="T33" s="75">
        <f>_xlfn.ISOWEEKNUM(R33)</f>
        <v>10</v>
      </c>
      <c r="U33" s="75">
        <f>_xlfn.ISOWEEKNUM(S33)</f>
        <v>12</v>
      </c>
      <c r="V33" s="77">
        <f>+S33+21</f>
        <v>45027.100633333335</v>
      </c>
      <c r="W33" s="72">
        <f>Q33/72</f>
        <v>1250</v>
      </c>
      <c r="X33" s="356">
        <v>6009</v>
      </c>
      <c r="Y33" t="s">
        <v>549</v>
      </c>
    </row>
    <row r="34" spans="1:25" ht="14.1" customHeight="1" x14ac:dyDescent="0.25">
      <c r="A34" s="40"/>
      <c r="B34" s="306" t="s">
        <v>35</v>
      </c>
      <c r="C34" s="54" t="s">
        <v>36</v>
      </c>
      <c r="D34" s="137" t="s">
        <v>127</v>
      </c>
      <c r="E34" s="54">
        <v>2023</v>
      </c>
      <c r="F34" s="54"/>
      <c r="G34" s="54" t="s">
        <v>252</v>
      </c>
      <c r="H34" s="309" t="s">
        <v>130</v>
      </c>
      <c r="I34" s="304"/>
      <c r="J34" s="55" t="s">
        <v>39</v>
      </c>
      <c r="K34" s="55" t="s">
        <v>256</v>
      </c>
      <c r="L34" s="55" t="s">
        <v>66</v>
      </c>
      <c r="M34" s="55" t="s">
        <v>41</v>
      </c>
      <c r="N34" s="68" t="s">
        <v>219</v>
      </c>
      <c r="O34" s="13" t="s">
        <v>129</v>
      </c>
      <c r="P34" s="71">
        <v>50000</v>
      </c>
      <c r="Q34" s="72">
        <f>+P34</f>
        <v>50000</v>
      </c>
      <c r="R34" s="73">
        <v>45008.930633333337</v>
      </c>
      <c r="S34" s="74">
        <v>45012.198607189544</v>
      </c>
      <c r="T34" s="75">
        <f>_xlfn.ISOWEEKNUM(R34)</f>
        <v>12</v>
      </c>
      <c r="U34" s="75">
        <f>_xlfn.ISOWEEKNUM(S34)</f>
        <v>13</v>
      </c>
      <c r="V34" s="77">
        <f>+S34+21</f>
        <v>45033.198607189544</v>
      </c>
      <c r="W34" s="72">
        <f>Q34/72</f>
        <v>694.44444444444446</v>
      </c>
      <c r="X34" s="356">
        <v>6009</v>
      </c>
      <c r="Y34" t="s">
        <v>549</v>
      </c>
    </row>
    <row r="35" spans="1:25" ht="14.1" customHeight="1" x14ac:dyDescent="0.25">
      <c r="A35" s="40"/>
      <c r="B35" s="306" t="s">
        <v>45</v>
      </c>
      <c r="C35" s="54" t="s">
        <v>36</v>
      </c>
      <c r="D35" s="137" t="s">
        <v>127</v>
      </c>
      <c r="E35" s="54">
        <v>2023</v>
      </c>
      <c r="F35" s="54"/>
      <c r="G35" s="54" t="s">
        <v>252</v>
      </c>
      <c r="H35" s="309" t="s">
        <v>117</v>
      </c>
      <c r="I35" s="304"/>
      <c r="J35" s="55" t="s">
        <v>39</v>
      </c>
      <c r="K35" s="55" t="s">
        <v>256</v>
      </c>
      <c r="L35" s="55" t="s">
        <v>66</v>
      </c>
      <c r="M35" s="55" t="s">
        <v>41</v>
      </c>
      <c r="N35" s="68" t="s">
        <v>219</v>
      </c>
      <c r="O35" s="13" t="s">
        <v>71</v>
      </c>
      <c r="P35" s="71">
        <v>40000</v>
      </c>
      <c r="Q35" s="72">
        <f>+P35</f>
        <v>40000</v>
      </c>
      <c r="R35" s="73">
        <v>45014.260764052291</v>
      </c>
      <c r="S35" s="74">
        <v>45016.875143137258</v>
      </c>
      <c r="T35" s="75">
        <f>_xlfn.ISOWEEKNUM(R35)</f>
        <v>13</v>
      </c>
      <c r="U35" s="75">
        <f>_xlfn.ISOWEEKNUM(S35)</f>
        <v>13</v>
      </c>
      <c r="V35" s="77">
        <f>+S35+21</f>
        <v>45037.875143137258</v>
      </c>
      <c r="W35" s="72">
        <f>Q35/72</f>
        <v>555.55555555555554</v>
      </c>
      <c r="X35" s="356">
        <v>6009</v>
      </c>
      <c r="Y35" t="s">
        <v>549</v>
      </c>
    </row>
    <row r="36" spans="1:25" ht="13.5" customHeight="1" x14ac:dyDescent="0.25">
      <c r="A36" s="40"/>
      <c r="B36" s="306" t="s">
        <v>45</v>
      </c>
      <c r="C36" s="54" t="s">
        <v>36</v>
      </c>
      <c r="D36" s="137" t="s">
        <v>127</v>
      </c>
      <c r="E36" s="54">
        <v>2023</v>
      </c>
      <c r="F36" s="54"/>
      <c r="G36" s="54" t="s">
        <v>252</v>
      </c>
      <c r="H36" s="309" t="s">
        <v>117</v>
      </c>
      <c r="I36" s="304"/>
      <c r="J36" s="55" t="s">
        <v>39</v>
      </c>
      <c r="K36" s="55" t="s">
        <v>256</v>
      </c>
      <c r="L36" s="55" t="s">
        <v>66</v>
      </c>
      <c r="M36" s="55" t="s">
        <v>41</v>
      </c>
      <c r="N36" s="68" t="s">
        <v>42</v>
      </c>
      <c r="O36" s="13" t="s">
        <v>71</v>
      </c>
      <c r="P36" s="71">
        <f>53053-P35</f>
        <v>13053</v>
      </c>
      <c r="Q36" s="72">
        <f>+P36</f>
        <v>13053</v>
      </c>
      <c r="R36" s="73">
        <v>45016.875143137258</v>
      </c>
      <c r="S36" s="74">
        <v>45017.728280392163</v>
      </c>
      <c r="T36" s="75">
        <f>_xlfn.ISOWEEKNUM(R36)</f>
        <v>13</v>
      </c>
      <c r="U36" s="75">
        <f>_xlfn.ISOWEEKNUM(S36)</f>
        <v>13</v>
      </c>
      <c r="V36" s="77">
        <f>+S36+21</f>
        <v>45038.728280392163</v>
      </c>
      <c r="W36" s="72">
        <f>Q36/72</f>
        <v>181.29166666666666</v>
      </c>
      <c r="X36" s="356">
        <v>6009</v>
      </c>
      <c r="Y36" t="s">
        <v>549</v>
      </c>
    </row>
    <row r="37" spans="1:25" ht="13.5" customHeight="1" x14ac:dyDescent="0.25">
      <c r="A37" s="40"/>
      <c r="B37" s="306" t="s">
        <v>45</v>
      </c>
      <c r="C37" s="54" t="s">
        <v>36</v>
      </c>
      <c r="D37" s="137" t="s">
        <v>127</v>
      </c>
      <c r="E37" s="317">
        <v>2022</v>
      </c>
      <c r="F37" s="54"/>
      <c r="G37" s="54" t="s">
        <v>252</v>
      </c>
      <c r="H37" s="304" t="s">
        <v>87</v>
      </c>
      <c r="I37" s="47"/>
      <c r="J37" s="55" t="s">
        <v>39</v>
      </c>
      <c r="K37" s="55" t="s">
        <v>256</v>
      </c>
      <c r="L37" s="55" t="s">
        <v>40</v>
      </c>
      <c r="M37" s="55" t="s">
        <v>41</v>
      </c>
      <c r="N37" s="68" t="s">
        <v>42</v>
      </c>
      <c r="O37" s="13" t="s">
        <v>262</v>
      </c>
      <c r="P37" s="71">
        <v>45000</v>
      </c>
      <c r="Q37" s="72">
        <f>+P37</f>
        <v>45000</v>
      </c>
      <c r="R37" s="73">
        <v>45017.728280392163</v>
      </c>
      <c r="S37" s="74">
        <v>45020.66945686275</v>
      </c>
      <c r="T37" s="75">
        <f>_xlfn.ISOWEEKNUM(R37)</f>
        <v>13</v>
      </c>
      <c r="U37" s="348">
        <f>_xlfn.ISOWEEKNUM(S37)</f>
        <v>14</v>
      </c>
      <c r="V37" s="77">
        <f>+S37+21</f>
        <v>45041.66945686275</v>
      </c>
      <c r="W37" s="72">
        <f>Q37/72</f>
        <v>625</v>
      </c>
      <c r="X37" s="356">
        <v>6009</v>
      </c>
      <c r="Y37" t="s">
        <v>549</v>
      </c>
    </row>
    <row r="38" spans="1:25" ht="13.5" customHeight="1" x14ac:dyDescent="0.25">
      <c r="A38" s="40"/>
      <c r="B38" s="306" t="s">
        <v>35</v>
      </c>
      <c r="C38" s="54" t="s">
        <v>36</v>
      </c>
      <c r="D38" s="137" t="s">
        <v>127</v>
      </c>
      <c r="E38" s="54">
        <v>2022</v>
      </c>
      <c r="F38" s="54"/>
      <c r="G38" s="54" t="s">
        <v>252</v>
      </c>
      <c r="H38" s="304" t="s">
        <v>263</v>
      </c>
      <c r="I38" s="304" t="s">
        <v>156</v>
      </c>
      <c r="J38" s="55" t="s">
        <v>39</v>
      </c>
      <c r="K38" s="55" t="s">
        <v>256</v>
      </c>
      <c r="L38" s="55" t="s">
        <v>158</v>
      </c>
      <c r="M38" s="55" t="s">
        <v>41</v>
      </c>
      <c r="N38" s="68" t="s">
        <v>42</v>
      </c>
      <c r="O38" s="69" t="s">
        <v>43</v>
      </c>
      <c r="P38" s="71">
        <f>109000-P39</f>
        <v>18000</v>
      </c>
      <c r="Q38" s="72">
        <f>+P38</f>
        <v>18000</v>
      </c>
      <c r="R38" s="73">
        <v>45020.66945686275</v>
      </c>
      <c r="S38" s="74">
        <v>45027.205404575165</v>
      </c>
      <c r="T38" s="75">
        <f>_xlfn.ISOWEEKNUM(R38)</f>
        <v>14</v>
      </c>
      <c r="U38" s="75">
        <f>_xlfn.ISOWEEKNUM(S38)</f>
        <v>15</v>
      </c>
      <c r="V38" s="77">
        <f>+S38+21</f>
        <v>45048.205404575165</v>
      </c>
      <c r="W38" s="72">
        <f>Q38/72</f>
        <v>250</v>
      </c>
      <c r="X38" s="356">
        <v>6009</v>
      </c>
      <c r="Y38" t="s">
        <v>549</v>
      </c>
    </row>
    <row r="39" spans="1:25" ht="13.5" customHeight="1" x14ac:dyDescent="0.25">
      <c r="A39" s="40"/>
      <c r="B39" s="306" t="s">
        <v>35</v>
      </c>
      <c r="C39" s="54" t="s">
        <v>36</v>
      </c>
      <c r="D39" s="137" t="s">
        <v>127</v>
      </c>
      <c r="E39" s="54">
        <v>2023</v>
      </c>
      <c r="F39" s="54"/>
      <c r="G39" s="54" t="s">
        <v>252</v>
      </c>
      <c r="H39" s="304" t="s">
        <v>264</v>
      </c>
      <c r="I39" s="304" t="s">
        <v>159</v>
      </c>
      <c r="J39" s="55" t="s">
        <v>39</v>
      </c>
      <c r="K39" s="55" t="s">
        <v>256</v>
      </c>
      <c r="L39" s="55" t="s">
        <v>158</v>
      </c>
      <c r="M39" s="55" t="s">
        <v>41</v>
      </c>
      <c r="N39" s="68" t="s">
        <v>42</v>
      </c>
      <c r="O39" s="69" t="s">
        <v>43</v>
      </c>
      <c r="P39" s="71">
        <f>120000-P40</f>
        <v>91000</v>
      </c>
      <c r="Q39" s="72">
        <f>+P39</f>
        <v>91000</v>
      </c>
      <c r="R39" s="73">
        <v>45027.793639869284</v>
      </c>
      <c r="S39" s="74">
        <v>45034.983182352946</v>
      </c>
      <c r="T39" s="75">
        <f>_xlfn.ISOWEEKNUM(R39)</f>
        <v>15</v>
      </c>
      <c r="U39" s="75">
        <f>_xlfn.ISOWEEKNUM(S39)</f>
        <v>16</v>
      </c>
      <c r="V39" s="77">
        <f>+S39+21</f>
        <v>45055.983182352946</v>
      </c>
      <c r="W39" s="72">
        <f>Q39/72</f>
        <v>1263.8888888888889</v>
      </c>
      <c r="X39" s="356">
        <v>6009</v>
      </c>
      <c r="Y39" t="s">
        <v>549</v>
      </c>
    </row>
    <row r="40" spans="1:25" ht="13.5" customHeight="1" x14ac:dyDescent="0.25">
      <c r="A40" s="40"/>
      <c r="B40" s="306" t="s">
        <v>35</v>
      </c>
      <c r="C40" s="54" t="s">
        <v>36</v>
      </c>
      <c r="D40" s="137" t="s">
        <v>127</v>
      </c>
      <c r="E40" s="54">
        <v>2023</v>
      </c>
      <c r="F40" s="54"/>
      <c r="G40" s="54" t="s">
        <v>252</v>
      </c>
      <c r="H40" s="304" t="s">
        <v>265</v>
      </c>
      <c r="I40" s="304" t="s">
        <v>163</v>
      </c>
      <c r="J40" s="55" t="s">
        <v>39</v>
      </c>
      <c r="K40" s="55" t="s">
        <v>256</v>
      </c>
      <c r="L40" s="55" t="s">
        <v>158</v>
      </c>
      <c r="M40" s="55" t="s">
        <v>41</v>
      </c>
      <c r="N40" s="68" t="s">
        <v>42</v>
      </c>
      <c r="O40" s="69" t="s">
        <v>43</v>
      </c>
      <c r="P40" s="71">
        <f>109000-P41</f>
        <v>29000</v>
      </c>
      <c r="Q40" s="72">
        <f>+P40</f>
        <v>29000</v>
      </c>
      <c r="R40" s="73">
        <v>45035.636777124186</v>
      </c>
      <c r="S40" s="74">
        <v>45042.172724836601</v>
      </c>
      <c r="T40" s="75">
        <f>_xlfn.ISOWEEKNUM(R40)</f>
        <v>16</v>
      </c>
      <c r="U40" s="75">
        <f>_xlfn.ISOWEEKNUM(S40)</f>
        <v>17</v>
      </c>
      <c r="V40" s="77">
        <f>+S40+21</f>
        <v>45063.172724836601</v>
      </c>
      <c r="W40" s="72">
        <f>Q40/72</f>
        <v>402.77777777777777</v>
      </c>
      <c r="X40" s="356">
        <v>6009</v>
      </c>
      <c r="Y40" t="s">
        <v>549</v>
      </c>
    </row>
    <row r="41" spans="1:25" ht="13.5" customHeight="1" x14ac:dyDescent="0.25">
      <c r="A41" s="40"/>
      <c r="B41" s="306" t="s">
        <v>45</v>
      </c>
      <c r="C41" s="54" t="s">
        <v>36</v>
      </c>
      <c r="D41" s="137" t="s">
        <v>127</v>
      </c>
      <c r="E41" s="54">
        <v>2023</v>
      </c>
      <c r="F41" s="54"/>
      <c r="G41" s="54" t="s">
        <v>252</v>
      </c>
      <c r="H41" s="304" t="s">
        <v>266</v>
      </c>
      <c r="I41" s="304" t="s">
        <v>267</v>
      </c>
      <c r="J41" s="55" t="s">
        <v>39</v>
      </c>
      <c r="K41" s="55" t="s">
        <v>256</v>
      </c>
      <c r="L41" s="55" t="s">
        <v>158</v>
      </c>
      <c r="M41" s="55" t="s">
        <v>41</v>
      </c>
      <c r="N41" s="68" t="s">
        <v>42</v>
      </c>
      <c r="O41" s="69" t="s">
        <v>47</v>
      </c>
      <c r="P41" s="346">
        <v>80000</v>
      </c>
      <c r="Q41" s="347">
        <f>+P41</f>
        <v>80000</v>
      </c>
      <c r="R41" s="73">
        <v>45042.760960130719</v>
      </c>
      <c r="S41" s="74">
        <v>45047.989718300654</v>
      </c>
      <c r="T41" s="348">
        <f>_xlfn.ISOWEEKNUM(R41)</f>
        <v>17</v>
      </c>
      <c r="U41" s="348">
        <f>_xlfn.ISOWEEKNUM(S41)</f>
        <v>18</v>
      </c>
      <c r="V41" s="77">
        <f>+S41+21</f>
        <v>45068.989718300654</v>
      </c>
      <c r="W41" s="72">
        <f>Q41/72</f>
        <v>1111.1111111111111</v>
      </c>
      <c r="X41" s="356">
        <v>6009</v>
      </c>
      <c r="Y41" t="s">
        <v>549</v>
      </c>
    </row>
    <row r="42" spans="1:25" ht="13.5" customHeight="1" x14ac:dyDescent="0.25">
      <c r="A42" s="40"/>
      <c r="B42" s="306" t="s">
        <v>35</v>
      </c>
      <c r="C42" s="54" t="s">
        <v>36</v>
      </c>
      <c r="D42" s="137" t="s">
        <v>127</v>
      </c>
      <c r="E42" s="54">
        <v>2023</v>
      </c>
      <c r="F42" s="54"/>
      <c r="G42" s="54" t="s">
        <v>252</v>
      </c>
      <c r="H42" s="308" t="s">
        <v>268</v>
      </c>
      <c r="I42" s="304"/>
      <c r="J42" s="55" t="s">
        <v>39</v>
      </c>
      <c r="K42" s="55" t="s">
        <v>256</v>
      </c>
      <c r="L42" s="12" t="s">
        <v>63</v>
      </c>
      <c r="M42" s="55" t="s">
        <v>41</v>
      </c>
      <c r="N42" s="68" t="s">
        <v>42</v>
      </c>
      <c r="O42" s="69" t="s">
        <v>43</v>
      </c>
      <c r="P42" s="71">
        <v>150000</v>
      </c>
      <c r="Q42" s="72">
        <f>+P42</f>
        <v>150000</v>
      </c>
      <c r="R42" s="73">
        <v>45047.989718300654</v>
      </c>
      <c r="S42" s="74">
        <v>45057.793639869284</v>
      </c>
      <c r="T42" s="75">
        <f>_xlfn.ISOWEEKNUM(R42)</f>
        <v>18</v>
      </c>
      <c r="U42" s="75">
        <f>_xlfn.ISOWEEKNUM(S42)</f>
        <v>19</v>
      </c>
      <c r="V42" s="77">
        <f>+S42+21</f>
        <v>45078.793639869284</v>
      </c>
      <c r="W42" s="72">
        <f>Q42/72</f>
        <v>2083.3333333333335</v>
      </c>
      <c r="X42" s="356">
        <v>6009</v>
      </c>
      <c r="Y42" t="s">
        <v>549</v>
      </c>
    </row>
    <row r="43" spans="1:25" x14ac:dyDescent="0.25">
      <c r="A43" s="40"/>
      <c r="B43" s="306" t="s">
        <v>35</v>
      </c>
      <c r="C43" s="54" t="s">
        <v>36</v>
      </c>
      <c r="D43" s="137" t="s">
        <v>127</v>
      </c>
      <c r="E43" s="54">
        <v>2023</v>
      </c>
      <c r="F43" s="54"/>
      <c r="G43" s="54" t="s">
        <v>252</v>
      </c>
      <c r="H43" s="308" t="s">
        <v>75</v>
      </c>
      <c r="I43" s="304"/>
      <c r="J43" s="55" t="s">
        <v>39</v>
      </c>
      <c r="K43" s="55" t="s">
        <v>256</v>
      </c>
      <c r="L43" s="55" t="s">
        <v>40</v>
      </c>
      <c r="M43" s="55" t="s">
        <v>41</v>
      </c>
      <c r="N43" s="68" t="s">
        <v>42</v>
      </c>
      <c r="O43" s="13" t="s">
        <v>43</v>
      </c>
      <c r="P43" s="71">
        <f>230710-(P42/1.1)</f>
        <v>94346.363636363647</v>
      </c>
      <c r="Q43" s="72">
        <f>+P43</f>
        <v>94346.363636363647</v>
      </c>
      <c r="R43" s="73">
        <v>45057.793639869284</v>
      </c>
      <c r="S43" s="74">
        <v>45063.960068865126</v>
      </c>
      <c r="T43" s="75">
        <f>_xlfn.ISOWEEKNUM(R43)</f>
        <v>19</v>
      </c>
      <c r="U43" s="75">
        <f>_xlfn.ISOWEEKNUM(S43)</f>
        <v>20</v>
      </c>
      <c r="V43" s="77">
        <f>+S43+21</f>
        <v>45084.960068865126</v>
      </c>
      <c r="W43" s="72">
        <f>Q43/72</f>
        <v>1310.3661616161617</v>
      </c>
      <c r="X43" s="356">
        <v>6009</v>
      </c>
      <c r="Y43" t="s">
        <v>549</v>
      </c>
    </row>
    <row r="44" spans="1:25" ht="13.5" customHeight="1" x14ac:dyDescent="0.25">
      <c r="A44" s="40"/>
      <c r="B44" s="306" t="s">
        <v>35</v>
      </c>
      <c r="C44" s="54" t="s">
        <v>36</v>
      </c>
      <c r="D44" s="137" t="s">
        <v>127</v>
      </c>
      <c r="E44" s="54">
        <v>2023</v>
      </c>
      <c r="F44" s="54"/>
      <c r="G44" s="54" t="s">
        <v>252</v>
      </c>
      <c r="H44" s="308" t="s">
        <v>58</v>
      </c>
      <c r="I44" s="304"/>
      <c r="J44" s="55" t="s">
        <v>39</v>
      </c>
      <c r="K44" s="55" t="s">
        <v>256</v>
      </c>
      <c r="L44" s="55" t="s">
        <v>63</v>
      </c>
      <c r="M44" s="55" t="s">
        <v>41</v>
      </c>
      <c r="N44" s="68" t="s">
        <v>42</v>
      </c>
      <c r="O44" s="13" t="s">
        <v>43</v>
      </c>
      <c r="P44" s="71">
        <v>150000</v>
      </c>
      <c r="Q44" s="340">
        <f>+P44</f>
        <v>150000</v>
      </c>
      <c r="R44" s="73">
        <v>45063.960068865126</v>
      </c>
      <c r="S44" s="74">
        <v>45073.763990433756</v>
      </c>
      <c r="T44" s="75">
        <f>_xlfn.ISOWEEKNUM(R44)</f>
        <v>20</v>
      </c>
      <c r="U44" s="75">
        <f>_xlfn.ISOWEEKNUM(S44)</f>
        <v>21</v>
      </c>
      <c r="V44" s="335">
        <f>+S44+21</f>
        <v>45094.763990433756</v>
      </c>
      <c r="W44" s="72">
        <f>Q44/72</f>
        <v>2083.3333333333335</v>
      </c>
      <c r="X44" s="356">
        <v>6009</v>
      </c>
      <c r="Y44" t="s">
        <v>549</v>
      </c>
    </row>
    <row r="45" spans="1:25" ht="13.5" customHeight="1" x14ac:dyDescent="0.25">
      <c r="A45" s="40"/>
      <c r="B45" s="306" t="s">
        <v>35</v>
      </c>
      <c r="C45" s="54" t="s">
        <v>36</v>
      </c>
      <c r="D45" s="137" t="s">
        <v>127</v>
      </c>
      <c r="E45" s="54">
        <v>2023</v>
      </c>
      <c r="F45" s="54"/>
      <c r="G45" s="54" t="s">
        <v>252</v>
      </c>
      <c r="H45" s="308" t="s">
        <v>60</v>
      </c>
      <c r="I45" s="304"/>
      <c r="J45" s="55" t="s">
        <v>39</v>
      </c>
      <c r="K45" s="55" t="s">
        <v>256</v>
      </c>
      <c r="L45" s="12" t="s">
        <v>61</v>
      </c>
      <c r="M45" s="55" t="s">
        <v>41</v>
      </c>
      <c r="N45" s="68" t="s">
        <v>42</v>
      </c>
      <c r="O45" s="69" t="s">
        <v>43</v>
      </c>
      <c r="P45" s="71">
        <f>199986-(P44/1.1)</f>
        <v>63622.363636363647</v>
      </c>
      <c r="Q45" s="72">
        <f>+P45</f>
        <v>63622.363636363647</v>
      </c>
      <c r="R45" s="73">
        <v>45073.763990433756</v>
      </c>
      <c r="S45" s="74">
        <v>45077.922314854433</v>
      </c>
      <c r="T45" s="75">
        <f>_xlfn.ISOWEEKNUM(R45)</f>
        <v>21</v>
      </c>
      <c r="U45" s="75">
        <f>_xlfn.ISOWEEKNUM(S45)</f>
        <v>22</v>
      </c>
      <c r="V45" s="77">
        <f>+S45+21</f>
        <v>45098.922314854433</v>
      </c>
      <c r="W45" s="72">
        <f>Q45/72</f>
        <v>883.64393939393949</v>
      </c>
      <c r="X45" s="356">
        <v>6009</v>
      </c>
      <c r="Y45" t="s">
        <v>549</v>
      </c>
    </row>
    <row r="46" spans="1:25" ht="13.5" customHeight="1" x14ac:dyDescent="0.25">
      <c r="A46" s="40"/>
      <c r="B46" s="306" t="s">
        <v>35</v>
      </c>
      <c r="C46" s="54" t="s">
        <v>36</v>
      </c>
      <c r="D46" s="137" t="s">
        <v>127</v>
      </c>
      <c r="E46" s="54">
        <v>2023</v>
      </c>
      <c r="F46" s="54"/>
      <c r="G46" s="54" t="s">
        <v>252</v>
      </c>
      <c r="H46" s="308" t="s">
        <v>270</v>
      </c>
      <c r="I46" s="304" t="s">
        <v>241</v>
      </c>
      <c r="J46" s="55" t="s">
        <v>39</v>
      </c>
      <c r="K46" s="55" t="s">
        <v>256</v>
      </c>
      <c r="L46" s="55" t="s">
        <v>63</v>
      </c>
      <c r="M46" s="55" t="s">
        <v>41</v>
      </c>
      <c r="N46" s="68" t="s">
        <v>42</v>
      </c>
      <c r="O46" s="13" t="s">
        <v>43</v>
      </c>
      <c r="P46" s="71">
        <v>45000</v>
      </c>
      <c r="Q46" s="72">
        <f>+P46</f>
        <v>45000</v>
      </c>
      <c r="R46" s="73">
        <v>45079.382510932868</v>
      </c>
      <c r="S46" s="74">
        <v>45082.323687403456</v>
      </c>
      <c r="T46" s="75">
        <f>_xlfn.ISOWEEKNUM(R46)</f>
        <v>22</v>
      </c>
      <c r="U46" s="75">
        <f>_xlfn.ISOWEEKNUM(S46)</f>
        <v>23</v>
      </c>
      <c r="V46" s="77">
        <f>+S46+21</f>
        <v>45103.323687403456</v>
      </c>
      <c r="W46" s="72">
        <f>Q46/72</f>
        <v>625</v>
      </c>
      <c r="X46" s="356">
        <v>6009</v>
      </c>
      <c r="Y46" t="s">
        <v>549</v>
      </c>
    </row>
    <row r="47" spans="1:25" ht="13.5" customHeight="1" x14ac:dyDescent="0.25">
      <c r="A47" s="40"/>
      <c r="B47" s="306" t="s">
        <v>45</v>
      </c>
      <c r="C47" s="54" t="s">
        <v>36</v>
      </c>
      <c r="D47" s="137" t="s">
        <v>127</v>
      </c>
      <c r="E47" s="54">
        <v>2023</v>
      </c>
      <c r="F47" s="54"/>
      <c r="G47" s="54" t="s">
        <v>252</v>
      </c>
      <c r="H47" s="308" t="s">
        <v>271</v>
      </c>
      <c r="I47" s="304"/>
      <c r="J47" s="55" t="s">
        <v>39</v>
      </c>
      <c r="K47" s="55" t="s">
        <v>256</v>
      </c>
      <c r="L47" s="55" t="s">
        <v>63</v>
      </c>
      <c r="M47" s="55" t="s">
        <v>41</v>
      </c>
      <c r="N47" s="68" t="s">
        <v>42</v>
      </c>
      <c r="O47" s="69" t="s">
        <v>262</v>
      </c>
      <c r="P47" s="71">
        <v>78000</v>
      </c>
      <c r="Q47" s="72">
        <f>+P47</f>
        <v>78000</v>
      </c>
      <c r="R47" s="73">
        <v>45084.833164527641</v>
      </c>
      <c r="S47" s="74">
        <v>45089.931203743326</v>
      </c>
      <c r="T47" s="75">
        <f>_xlfn.ISOWEEKNUM(R47)</f>
        <v>23</v>
      </c>
      <c r="U47" s="75">
        <f>_xlfn.ISOWEEKNUM(S47)</f>
        <v>24</v>
      </c>
      <c r="V47" s="77">
        <f>+S47+21</f>
        <v>45110.931203743326</v>
      </c>
      <c r="W47" s="72">
        <f>Q47/72</f>
        <v>1083.3333333333333</v>
      </c>
      <c r="X47" s="356">
        <v>6009</v>
      </c>
      <c r="Y47" t="s">
        <v>549</v>
      </c>
    </row>
    <row r="48" spans="1:25" ht="13.5" customHeight="1" x14ac:dyDescent="0.25">
      <c r="A48" s="40"/>
      <c r="B48" s="19" t="s">
        <v>45</v>
      </c>
      <c r="C48" s="35" t="s">
        <v>36</v>
      </c>
      <c r="D48" s="136" t="s">
        <v>127</v>
      </c>
      <c r="E48" s="35">
        <v>2023</v>
      </c>
      <c r="F48" s="35"/>
      <c r="G48" s="54" t="s">
        <v>252</v>
      </c>
      <c r="H48" s="290" t="s">
        <v>116</v>
      </c>
      <c r="I48" s="47"/>
      <c r="J48" s="12" t="s">
        <v>39</v>
      </c>
      <c r="K48" s="55" t="s">
        <v>256</v>
      </c>
      <c r="L48" s="12" t="s">
        <v>40</v>
      </c>
      <c r="M48" s="12" t="s">
        <v>41</v>
      </c>
      <c r="N48" s="64" t="s">
        <v>42</v>
      </c>
      <c r="O48" s="13" t="s">
        <v>262</v>
      </c>
      <c r="P48" s="36">
        <f>129240-(P49/1.1)</f>
        <v>88330.909090909088</v>
      </c>
      <c r="Q48" s="15">
        <f>+P48</f>
        <v>88330.909090909088</v>
      </c>
      <c r="R48" s="73">
        <v>45089.931203743326</v>
      </c>
      <c r="S48" s="74">
        <v>45095.704465775409</v>
      </c>
      <c r="T48" s="75">
        <f>_xlfn.ISOWEEKNUM(R48)</f>
        <v>24</v>
      </c>
      <c r="U48" s="75">
        <f>_xlfn.ISOWEEKNUM(S48)</f>
        <v>24</v>
      </c>
      <c r="V48" s="39">
        <f>+S48+21</f>
        <v>45116.704465775409</v>
      </c>
      <c r="W48" s="72">
        <f>Q48/72</f>
        <v>1226.8181818181818</v>
      </c>
      <c r="X48" s="356">
        <v>6009</v>
      </c>
      <c r="Y48" t="s">
        <v>549</v>
      </c>
    </row>
    <row r="49" spans="1:25" ht="13.5" customHeight="1" x14ac:dyDescent="0.25">
      <c r="A49" s="40"/>
      <c r="B49" s="306" t="s">
        <v>45</v>
      </c>
      <c r="C49" s="54" t="s">
        <v>36</v>
      </c>
      <c r="D49" s="137" t="s">
        <v>127</v>
      </c>
      <c r="E49" s="54">
        <v>2023</v>
      </c>
      <c r="F49" s="54"/>
      <c r="G49" s="54" t="s">
        <v>252</v>
      </c>
      <c r="H49" s="308" t="s">
        <v>223</v>
      </c>
      <c r="I49" s="304"/>
      <c r="J49" s="55" t="s">
        <v>39</v>
      </c>
      <c r="K49" s="55" t="s">
        <v>256</v>
      </c>
      <c r="L49" s="55" t="s">
        <v>63</v>
      </c>
      <c r="M49" s="55" t="s">
        <v>41</v>
      </c>
      <c r="N49" s="68" t="s">
        <v>42</v>
      </c>
      <c r="O49" s="13" t="s">
        <v>262</v>
      </c>
      <c r="P49" s="71">
        <v>45000</v>
      </c>
      <c r="Q49" s="72">
        <f>+P49</f>
        <v>45000</v>
      </c>
      <c r="R49" s="73">
        <v>45095.704465775409</v>
      </c>
      <c r="S49" s="74">
        <v>45098.645642245996</v>
      </c>
      <c r="T49" s="75">
        <f>_xlfn.ISOWEEKNUM(R49)</f>
        <v>24</v>
      </c>
      <c r="U49" s="75">
        <f>_xlfn.ISOWEEKNUM(S49)</f>
        <v>25</v>
      </c>
      <c r="V49" s="77">
        <f>+S49+21</f>
        <v>45119.645642245996</v>
      </c>
      <c r="W49" s="72">
        <f>Q49/72</f>
        <v>625</v>
      </c>
      <c r="X49" s="356">
        <v>6009</v>
      </c>
      <c r="Y49" t="s">
        <v>549</v>
      </c>
    </row>
    <row r="50" spans="1:25" ht="13.5" customHeight="1" x14ac:dyDescent="0.25">
      <c r="A50" s="40"/>
      <c r="B50" s="306" t="s">
        <v>35</v>
      </c>
      <c r="C50" s="54" t="s">
        <v>36</v>
      </c>
      <c r="D50" s="137" t="s">
        <v>127</v>
      </c>
      <c r="E50" s="54">
        <v>2023</v>
      </c>
      <c r="F50" s="54"/>
      <c r="G50" s="54" t="s">
        <v>252</v>
      </c>
      <c r="H50" s="304" t="s">
        <v>138</v>
      </c>
      <c r="I50" s="304"/>
      <c r="J50" s="55" t="s">
        <v>39</v>
      </c>
      <c r="K50" s="55" t="s">
        <v>256</v>
      </c>
      <c r="L50" s="55" t="s">
        <v>136</v>
      </c>
      <c r="M50" s="55" t="s">
        <v>41</v>
      </c>
      <c r="N50" s="68" t="s">
        <v>42</v>
      </c>
      <c r="O50" s="13" t="s">
        <v>43</v>
      </c>
      <c r="P50" s="71">
        <v>75000</v>
      </c>
      <c r="Q50" s="72">
        <f>+P50</f>
        <v>75000</v>
      </c>
      <c r="R50" s="73">
        <v>45098.645642245996</v>
      </c>
      <c r="S50" s="74">
        <v>45103.547603030311</v>
      </c>
      <c r="T50" s="75">
        <f>_xlfn.ISOWEEKNUM(R50)</f>
        <v>25</v>
      </c>
      <c r="U50" s="75">
        <f>_xlfn.ISOWEEKNUM(S50)</f>
        <v>26</v>
      </c>
      <c r="V50" s="77">
        <f>+S50+21</f>
        <v>45124.547603030311</v>
      </c>
      <c r="W50" s="72">
        <f>Q50/72</f>
        <v>1041.6666666666667</v>
      </c>
      <c r="X50" s="356">
        <v>6009</v>
      </c>
      <c r="Y50" t="s">
        <v>549</v>
      </c>
    </row>
    <row r="51" spans="1:25" ht="13.5" customHeight="1" x14ac:dyDescent="0.25">
      <c r="A51" s="40"/>
      <c r="B51" s="306" t="s">
        <v>35</v>
      </c>
      <c r="C51" s="54" t="s">
        <v>36</v>
      </c>
      <c r="D51" s="137" t="s">
        <v>127</v>
      </c>
      <c r="E51" s="54">
        <v>2023</v>
      </c>
      <c r="F51" s="54"/>
      <c r="G51" s="54" t="s">
        <v>252</v>
      </c>
      <c r="H51" s="304" t="s">
        <v>53</v>
      </c>
      <c r="I51" s="304"/>
      <c r="J51" s="55" t="s">
        <v>39</v>
      </c>
      <c r="K51" s="55" t="s">
        <v>256</v>
      </c>
      <c r="L51" s="55" t="s">
        <v>136</v>
      </c>
      <c r="M51" s="55" t="s">
        <v>41</v>
      </c>
      <c r="N51" s="68" t="s">
        <v>42</v>
      </c>
      <c r="O51" s="69" t="s">
        <v>43</v>
      </c>
      <c r="P51" s="71">
        <v>150000</v>
      </c>
      <c r="Q51" s="72">
        <f>+P51</f>
        <v>150000</v>
      </c>
      <c r="R51" s="73">
        <v>45103.547603030311</v>
      </c>
      <c r="S51" s="74">
        <v>45113.35152459894</v>
      </c>
      <c r="T51" s="75">
        <f>_xlfn.ISOWEEKNUM(R51)</f>
        <v>26</v>
      </c>
      <c r="U51" s="75">
        <f>_xlfn.ISOWEEKNUM(S51)</f>
        <v>27</v>
      </c>
      <c r="V51" s="77">
        <f>+S51+21</f>
        <v>45134.35152459894</v>
      </c>
      <c r="W51" s="72">
        <f>Q51/72</f>
        <v>2083.3333333333335</v>
      </c>
      <c r="X51" s="356">
        <v>6009</v>
      </c>
      <c r="Y51" t="s">
        <v>549</v>
      </c>
    </row>
    <row r="52" spans="1:25" ht="13.5" customHeight="1" x14ac:dyDescent="0.25">
      <c r="A52" s="40"/>
      <c r="B52" s="306" t="s">
        <v>35</v>
      </c>
      <c r="C52" s="54" t="s">
        <v>36</v>
      </c>
      <c r="D52" s="137" t="s">
        <v>127</v>
      </c>
      <c r="E52" s="54">
        <v>2023</v>
      </c>
      <c r="F52" s="54"/>
      <c r="G52" s="54" t="s">
        <v>252</v>
      </c>
      <c r="H52" s="304" t="s">
        <v>113</v>
      </c>
      <c r="I52" s="304"/>
      <c r="J52" s="55" t="s">
        <v>39</v>
      </c>
      <c r="K52" s="55" t="s">
        <v>256</v>
      </c>
      <c r="L52" s="55" t="s">
        <v>136</v>
      </c>
      <c r="M52" s="55" t="s">
        <v>41</v>
      </c>
      <c r="N52" s="68" t="s">
        <v>42</v>
      </c>
      <c r="O52" s="69" t="s">
        <v>43</v>
      </c>
      <c r="P52" s="71">
        <v>200000</v>
      </c>
      <c r="Q52" s="72">
        <f>+P52</f>
        <v>200000</v>
      </c>
      <c r="R52" s="73">
        <v>45113.35152459894</v>
      </c>
      <c r="S52" s="74">
        <v>45126.423420023777</v>
      </c>
      <c r="T52" s="75">
        <f>_xlfn.ISOWEEKNUM(R52)</f>
        <v>27</v>
      </c>
      <c r="U52" s="75">
        <f>_xlfn.ISOWEEKNUM(S52)</f>
        <v>29</v>
      </c>
      <c r="V52" s="77">
        <f>+S52+21</f>
        <v>45147.423420023777</v>
      </c>
      <c r="W52" s="72">
        <f>Q52/72</f>
        <v>2777.7777777777778</v>
      </c>
      <c r="X52" s="356">
        <v>6009</v>
      </c>
      <c r="Y52" t="s">
        <v>549</v>
      </c>
    </row>
    <row r="53" spans="1:25" ht="13.5" customHeight="1" x14ac:dyDescent="0.25">
      <c r="A53" s="40"/>
      <c r="B53" s="306" t="s">
        <v>35</v>
      </c>
      <c r="C53" s="54" t="s">
        <v>36</v>
      </c>
      <c r="D53" s="137" t="s">
        <v>127</v>
      </c>
      <c r="E53" s="54">
        <v>2023</v>
      </c>
      <c r="F53" s="54"/>
      <c r="G53" s="54" t="s">
        <v>252</v>
      </c>
      <c r="H53" s="304" t="s">
        <v>272</v>
      </c>
      <c r="I53" s="304"/>
      <c r="J53" s="55" t="s">
        <v>39</v>
      </c>
      <c r="K53" s="55" t="s">
        <v>256</v>
      </c>
      <c r="L53" s="55" t="s">
        <v>158</v>
      </c>
      <c r="M53" s="55" t="s">
        <v>41</v>
      </c>
      <c r="N53" s="68" t="s">
        <v>42</v>
      </c>
      <c r="O53" s="13" t="s">
        <v>43</v>
      </c>
      <c r="P53" s="71">
        <v>85000</v>
      </c>
      <c r="Q53" s="72">
        <f>+P53</f>
        <v>85000</v>
      </c>
      <c r="R53" s="73">
        <v>45126.423420023777</v>
      </c>
      <c r="S53" s="74">
        <v>45131.978975579332</v>
      </c>
      <c r="T53" s="75">
        <f>_xlfn.ISOWEEKNUM(R53)</f>
        <v>29</v>
      </c>
      <c r="U53" s="75">
        <f>_xlfn.ISOWEEKNUM(S53)</f>
        <v>30</v>
      </c>
      <c r="V53" s="77">
        <f>+S53+21</f>
        <v>45152.978975579332</v>
      </c>
      <c r="W53" s="72">
        <f>Q53/72</f>
        <v>1180.5555555555557</v>
      </c>
      <c r="X53" s="356">
        <v>6009</v>
      </c>
      <c r="Y53" t="s">
        <v>549</v>
      </c>
    </row>
    <row r="54" spans="1:25" x14ac:dyDescent="0.25">
      <c r="A54" s="40"/>
      <c r="B54" s="306" t="s">
        <v>45</v>
      </c>
      <c r="C54" s="54" t="s">
        <v>36</v>
      </c>
      <c r="D54" s="137" t="s">
        <v>127</v>
      </c>
      <c r="E54" s="54">
        <v>2023</v>
      </c>
      <c r="F54" s="54"/>
      <c r="G54" s="54" t="s">
        <v>252</v>
      </c>
      <c r="H54" s="304" t="s">
        <v>87</v>
      </c>
      <c r="I54" s="304"/>
      <c r="J54" s="55" t="s">
        <v>39</v>
      </c>
      <c r="K54" s="55" t="s">
        <v>256</v>
      </c>
      <c r="L54" s="55" t="s">
        <v>40</v>
      </c>
      <c r="M54" s="55" t="s">
        <v>41</v>
      </c>
      <c r="N54" s="68" t="s">
        <v>42</v>
      </c>
      <c r="O54" s="69" t="s">
        <v>262</v>
      </c>
      <c r="P54" s="71">
        <v>66000</v>
      </c>
      <c r="Q54" s="72">
        <f>+P54</f>
        <v>66000</v>
      </c>
      <c r="R54" s="73">
        <v>45132.91178603685</v>
      </c>
      <c r="S54" s="74">
        <v>45137.225511527045</v>
      </c>
      <c r="T54" s="75">
        <f>_xlfn.ISOWEEKNUM(R54)</f>
        <v>30</v>
      </c>
      <c r="U54" s="75">
        <f>_xlfn.ISOWEEKNUM(S54)</f>
        <v>30</v>
      </c>
      <c r="V54" s="77">
        <f>+S54+21</f>
        <v>45158.225511527045</v>
      </c>
      <c r="W54" s="72">
        <f>Q54/72</f>
        <v>916.66666666666663</v>
      </c>
      <c r="X54" s="356">
        <v>6009</v>
      </c>
      <c r="Y54" t="s">
        <v>549</v>
      </c>
    </row>
    <row r="55" spans="1:25" ht="13.5" customHeight="1" x14ac:dyDescent="0.25">
      <c r="A55" s="40"/>
      <c r="B55" s="19" t="s">
        <v>273</v>
      </c>
      <c r="C55" s="35" t="s">
        <v>36</v>
      </c>
      <c r="D55" s="136" t="s">
        <v>127</v>
      </c>
      <c r="E55" s="35">
        <v>2023</v>
      </c>
      <c r="F55" s="35"/>
      <c r="G55" s="54" t="s">
        <v>252</v>
      </c>
      <c r="H55" s="47" t="s">
        <v>181</v>
      </c>
      <c r="I55" s="47" t="s">
        <v>96</v>
      </c>
      <c r="J55" s="12" t="s">
        <v>39</v>
      </c>
      <c r="K55" s="55" t="s">
        <v>256</v>
      </c>
      <c r="L55" s="12" t="s">
        <v>40</v>
      </c>
      <c r="M55" s="12" t="s">
        <v>41</v>
      </c>
      <c r="N55" s="64" t="s">
        <v>42</v>
      </c>
      <c r="O55" s="13" t="s">
        <v>262</v>
      </c>
      <c r="P55" s="36">
        <v>35000</v>
      </c>
      <c r="Q55" s="15">
        <f>+P55</f>
        <v>35000</v>
      </c>
      <c r="R55" s="73">
        <v>45137.225511527045</v>
      </c>
      <c r="S55" s="74">
        <v>45139.513093226393</v>
      </c>
      <c r="T55" s="75">
        <f>_xlfn.ISOWEEKNUM(R55)</f>
        <v>30</v>
      </c>
      <c r="U55" s="75">
        <f>_xlfn.ISOWEEKNUM(S55)</f>
        <v>31</v>
      </c>
      <c r="V55" s="39">
        <f>+S55+21</f>
        <v>45160.513093226393</v>
      </c>
      <c r="W55" s="72">
        <f>Q55/72</f>
        <v>486.11111111111109</v>
      </c>
      <c r="X55" s="354">
        <v>6244</v>
      </c>
      <c r="Y55" t="s">
        <v>547</v>
      </c>
    </row>
    <row r="56" spans="1:25" ht="13.5" customHeight="1" x14ac:dyDescent="0.25">
      <c r="A56" s="40"/>
      <c r="B56" s="306" t="s">
        <v>45</v>
      </c>
      <c r="C56" s="54" t="s">
        <v>36</v>
      </c>
      <c r="D56" s="137" t="s">
        <v>127</v>
      </c>
      <c r="E56" s="54">
        <v>2023</v>
      </c>
      <c r="F56" s="54"/>
      <c r="G56" s="54" t="s">
        <v>252</v>
      </c>
      <c r="H56" s="304" t="s">
        <v>274</v>
      </c>
      <c r="I56" s="304" t="s">
        <v>275</v>
      </c>
      <c r="J56" s="55" t="s">
        <v>39</v>
      </c>
      <c r="K56" s="55" t="s">
        <v>256</v>
      </c>
      <c r="L56" s="55" t="s">
        <v>158</v>
      </c>
      <c r="M56" s="55" t="s">
        <v>41</v>
      </c>
      <c r="N56" s="68" t="s">
        <v>42</v>
      </c>
      <c r="O56" s="69" t="s">
        <v>47</v>
      </c>
      <c r="P56" s="71">
        <f>83325-P96</f>
        <v>66045</v>
      </c>
      <c r="Q56" s="72">
        <f>+P56</f>
        <v>66045</v>
      </c>
      <c r="R56" s="73">
        <v>45139.513093226393</v>
      </c>
      <c r="S56" s="74">
        <v>45142.671589958416</v>
      </c>
      <c r="T56" s="75">
        <f>_xlfn.ISOWEEKNUM(R56)</f>
        <v>31</v>
      </c>
      <c r="U56" s="75">
        <f>_xlfn.ISOWEEKNUM(S56)</f>
        <v>31</v>
      </c>
      <c r="V56" s="77">
        <f>+S56+21</f>
        <v>45163.671589958416</v>
      </c>
      <c r="W56" s="72">
        <f>Q56/72</f>
        <v>917.29166666666663</v>
      </c>
      <c r="X56" s="356">
        <v>6009</v>
      </c>
      <c r="Y56" t="s">
        <v>549</v>
      </c>
    </row>
    <row r="57" spans="1:25" ht="13.5" customHeight="1" x14ac:dyDescent="0.25">
      <c r="A57" s="40"/>
      <c r="B57" s="306" t="s">
        <v>45</v>
      </c>
      <c r="C57" s="54" t="s">
        <v>36</v>
      </c>
      <c r="D57" s="137" t="s">
        <v>127</v>
      </c>
      <c r="E57" s="54">
        <v>2023</v>
      </c>
      <c r="F57" s="54"/>
      <c r="G57" s="54" t="s">
        <v>252</v>
      </c>
      <c r="H57" s="304" t="s">
        <v>260</v>
      </c>
      <c r="I57" s="304" t="s">
        <v>261</v>
      </c>
      <c r="J57" s="55" t="s">
        <v>39</v>
      </c>
      <c r="K57" s="55" t="s">
        <v>256</v>
      </c>
      <c r="L57" s="55" t="s">
        <v>158</v>
      </c>
      <c r="M57" s="55" t="s">
        <v>41</v>
      </c>
      <c r="N57" s="68" t="s">
        <v>42</v>
      </c>
      <c r="O57" s="69" t="s">
        <v>47</v>
      </c>
      <c r="P57" s="71" t="e">
        <f>162438-P23-P97</f>
        <v>#REF!</v>
      </c>
      <c r="Q57" s="72" t="e">
        <f>+P57</f>
        <v>#REF!</v>
      </c>
      <c r="R57" s="73">
        <v>45142.671589958416</v>
      </c>
      <c r="S57" s="74">
        <v>45149.124465775407</v>
      </c>
      <c r="T57" s="75">
        <f>_xlfn.ISOWEEKNUM(R57)</f>
        <v>31</v>
      </c>
      <c r="U57" s="75">
        <f>_xlfn.ISOWEEKNUM(S57)</f>
        <v>32</v>
      </c>
      <c r="V57" s="77">
        <f>+S57+21</f>
        <v>45170.124465775407</v>
      </c>
      <c r="W57" s="72" t="e">
        <f>Q57/72</f>
        <v>#REF!</v>
      </c>
      <c r="X57" s="356">
        <v>6009</v>
      </c>
      <c r="Y57" t="s">
        <v>549</v>
      </c>
    </row>
    <row r="58" spans="1:25" ht="13.5" customHeight="1" x14ac:dyDescent="0.25">
      <c r="A58" s="40"/>
      <c r="B58" s="306" t="s">
        <v>48</v>
      </c>
      <c r="C58" s="54" t="s">
        <v>36</v>
      </c>
      <c r="D58" s="137" t="s">
        <v>127</v>
      </c>
      <c r="E58" s="54">
        <v>2023</v>
      </c>
      <c r="F58" s="54"/>
      <c r="G58" s="54" t="s">
        <v>252</v>
      </c>
      <c r="H58" s="310" t="s">
        <v>49</v>
      </c>
      <c r="I58" s="304"/>
      <c r="J58" s="55" t="s">
        <v>39</v>
      </c>
      <c r="K58" s="55" t="s">
        <v>256</v>
      </c>
      <c r="L58" s="55" t="s">
        <v>50</v>
      </c>
      <c r="M58" s="55" t="s">
        <v>41</v>
      </c>
      <c r="N58" s="68" t="s">
        <v>42</v>
      </c>
      <c r="O58" s="13" t="s">
        <v>47</v>
      </c>
      <c r="P58" s="71">
        <f>90864-P98</f>
        <v>90864</v>
      </c>
      <c r="Q58" s="72">
        <f>+P58</f>
        <v>90864</v>
      </c>
      <c r="R58" s="73">
        <v>45149.124465775407</v>
      </c>
      <c r="S58" s="74">
        <v>45152.341328520502</v>
      </c>
      <c r="T58" s="75">
        <f>_xlfn.ISOWEEKNUM(R58)</f>
        <v>32</v>
      </c>
      <c r="U58" s="75">
        <f>_xlfn.ISOWEEKNUM(S58)</f>
        <v>33</v>
      </c>
      <c r="V58" s="77">
        <f>+S58+21</f>
        <v>45173.341328520502</v>
      </c>
      <c r="W58" s="72">
        <f>Q58/72</f>
        <v>1262</v>
      </c>
      <c r="X58" s="354">
        <v>6244</v>
      </c>
      <c r="Y58" t="s">
        <v>547</v>
      </c>
    </row>
    <row r="59" spans="1:25" ht="13.5" customHeight="1" thickBot="1" x14ac:dyDescent="0.3">
      <c r="A59" s="40"/>
      <c r="B59" s="319" t="s">
        <v>35</v>
      </c>
      <c r="C59" s="320" t="s">
        <v>36</v>
      </c>
      <c r="D59" s="321" t="s">
        <v>127</v>
      </c>
      <c r="E59" s="320">
        <v>2023</v>
      </c>
      <c r="F59" s="320"/>
      <c r="G59" s="320" t="s">
        <v>252</v>
      </c>
      <c r="H59" s="322" t="s">
        <v>53</v>
      </c>
      <c r="I59" s="322"/>
      <c r="J59" s="323" t="s">
        <v>39</v>
      </c>
      <c r="K59" s="323" t="s">
        <v>256</v>
      </c>
      <c r="L59" s="323" t="s">
        <v>136</v>
      </c>
      <c r="M59" s="323" t="s">
        <v>41</v>
      </c>
      <c r="N59" s="324" t="s">
        <v>42</v>
      </c>
      <c r="O59" s="325" t="s">
        <v>43</v>
      </c>
      <c r="P59" s="326">
        <v>100000</v>
      </c>
      <c r="Q59" s="327">
        <f>+P59</f>
        <v>100000</v>
      </c>
      <c r="R59" s="328">
        <v>45152.341328520502</v>
      </c>
      <c r="S59" s="329">
        <v>45158.877276232917</v>
      </c>
      <c r="T59" s="330">
        <f>_xlfn.ISOWEEKNUM(R59)</f>
        <v>33</v>
      </c>
      <c r="U59" s="349">
        <f>_xlfn.ISOWEEKNUM(S59)</f>
        <v>33</v>
      </c>
      <c r="V59" s="331">
        <f>+S59+21</f>
        <v>45179.877276232917</v>
      </c>
      <c r="W59" s="72">
        <f>Q59/72</f>
        <v>1388.8888888888889</v>
      </c>
      <c r="X59" s="356">
        <v>6009</v>
      </c>
      <c r="Y59" t="s">
        <v>549</v>
      </c>
    </row>
    <row r="60" spans="1:25" ht="12.95" customHeight="1" x14ac:dyDescent="0.25">
      <c r="A60" s="40"/>
      <c r="B60" s="129" t="s">
        <v>35</v>
      </c>
      <c r="C60" s="130" t="s">
        <v>36</v>
      </c>
      <c r="D60" s="362" t="s">
        <v>127</v>
      </c>
      <c r="E60" s="130">
        <v>2023</v>
      </c>
      <c r="F60" s="130"/>
      <c r="G60" s="130" t="s">
        <v>252</v>
      </c>
      <c r="H60" s="282" t="s">
        <v>265</v>
      </c>
      <c r="I60" s="282" t="s">
        <v>163</v>
      </c>
      <c r="J60" s="147" t="s">
        <v>39</v>
      </c>
      <c r="K60" s="147" t="s">
        <v>256</v>
      </c>
      <c r="L60" s="147" t="s">
        <v>158</v>
      </c>
      <c r="M60" s="147" t="s">
        <v>41</v>
      </c>
      <c r="N60" s="148" t="s">
        <v>42</v>
      </c>
      <c r="O60" s="149" t="s">
        <v>43</v>
      </c>
      <c r="P60" s="56">
        <v>80000</v>
      </c>
      <c r="Q60" s="150">
        <f>+P60</f>
        <v>80000</v>
      </c>
      <c r="R60" s="57">
        <v>45158.877276232917</v>
      </c>
      <c r="S60" s="58">
        <v>45164.106034402852</v>
      </c>
      <c r="T60" s="59">
        <f>_xlfn.ISOWEEKNUM(R60)</f>
        <v>33</v>
      </c>
      <c r="U60" s="59">
        <f>_xlfn.ISOWEEKNUM(S60)</f>
        <v>34</v>
      </c>
      <c r="V60" s="60">
        <f>+S60+21</f>
        <v>45185.106034402852</v>
      </c>
      <c r="W60" s="72">
        <f>Q60/72</f>
        <v>1111.1111111111111</v>
      </c>
      <c r="X60" s="356">
        <v>6009</v>
      </c>
      <c r="Y60" t="s">
        <v>549</v>
      </c>
    </row>
    <row r="61" spans="1:25" ht="13.5" customHeight="1" x14ac:dyDescent="0.25">
      <c r="A61" s="40"/>
      <c r="B61" s="306" t="s">
        <v>35</v>
      </c>
      <c r="C61" s="54" t="s">
        <v>36</v>
      </c>
      <c r="D61" s="137" t="s">
        <v>127</v>
      </c>
      <c r="E61" s="54">
        <v>2023</v>
      </c>
      <c r="F61" s="54"/>
      <c r="G61" s="54" t="s">
        <v>252</v>
      </c>
      <c r="H61" s="304" t="s">
        <v>138</v>
      </c>
      <c r="I61" s="304"/>
      <c r="J61" s="55" t="s">
        <v>39</v>
      </c>
      <c r="K61" s="55" t="s">
        <v>256</v>
      </c>
      <c r="L61" s="55" t="s">
        <v>136</v>
      </c>
      <c r="M61" s="55" t="s">
        <v>41</v>
      </c>
      <c r="N61" s="68" t="s">
        <v>42</v>
      </c>
      <c r="O61" s="13" t="s">
        <v>43</v>
      </c>
      <c r="P61" s="71">
        <f>153053-P87-P47</f>
        <v>33407</v>
      </c>
      <c r="Q61" s="72">
        <f>+P61</f>
        <v>33407</v>
      </c>
      <c r="R61" s="73">
        <v>45180.445903683896</v>
      </c>
      <c r="S61" s="74">
        <v>45182.565511527035</v>
      </c>
      <c r="T61" s="75">
        <f>_xlfn.ISOWEEKNUM(R61)</f>
        <v>37</v>
      </c>
      <c r="U61" s="75">
        <f>_xlfn.ISOWEEKNUM(S61)</f>
        <v>37</v>
      </c>
      <c r="V61" s="77">
        <f>+S61+21</f>
        <v>45203.565511527035</v>
      </c>
      <c r="W61" s="72">
        <f>Q61/72</f>
        <v>463.98611111111109</v>
      </c>
      <c r="X61" s="356">
        <v>6009</v>
      </c>
      <c r="Y61" t="s">
        <v>549</v>
      </c>
    </row>
    <row r="62" spans="1:25" ht="13.5" customHeight="1" x14ac:dyDescent="0.25">
      <c r="A62" s="40"/>
      <c r="B62" s="306" t="s">
        <v>35</v>
      </c>
      <c r="C62" s="54" t="s">
        <v>36</v>
      </c>
      <c r="D62" s="137" t="s">
        <v>127</v>
      </c>
      <c r="E62" s="54">
        <v>2023</v>
      </c>
      <c r="F62" s="54"/>
      <c r="G62" s="54" t="s">
        <v>252</v>
      </c>
      <c r="H62" s="304" t="s">
        <v>272</v>
      </c>
      <c r="I62" s="304"/>
      <c r="J62" s="55" t="s">
        <v>39</v>
      </c>
      <c r="K62" s="55" t="s">
        <v>256</v>
      </c>
      <c r="L62" s="12" t="s">
        <v>158</v>
      </c>
      <c r="M62" s="55" t="s">
        <v>41</v>
      </c>
      <c r="N62" s="68" t="s">
        <v>42</v>
      </c>
      <c r="O62" s="69" t="s">
        <v>43</v>
      </c>
      <c r="P62" s="71">
        <f>136095-P49</f>
        <v>91095</v>
      </c>
      <c r="Q62" s="72">
        <f>+P62</f>
        <v>91095</v>
      </c>
      <c r="R62" s="73">
        <v>45189.101459239449</v>
      </c>
      <c r="S62" s="74">
        <v>45192.441001723113</v>
      </c>
      <c r="T62" s="75">
        <f>_xlfn.ISOWEEKNUM(R62)</f>
        <v>38</v>
      </c>
      <c r="U62" s="75">
        <f>_xlfn.ISOWEEKNUM(S62)</f>
        <v>38</v>
      </c>
      <c r="V62" s="77">
        <f>+S62+21</f>
        <v>45213.441001723113</v>
      </c>
      <c r="W62" s="72">
        <f>Q62/72</f>
        <v>1265.2083333333333</v>
      </c>
      <c r="X62" s="356">
        <v>6009</v>
      </c>
      <c r="Y62" t="s">
        <v>549</v>
      </c>
    </row>
    <row r="63" spans="1:25" ht="13.5" customHeight="1" x14ac:dyDescent="0.25">
      <c r="A63" s="40"/>
      <c r="B63" s="306" t="s">
        <v>35</v>
      </c>
      <c r="C63" s="54" t="s">
        <v>36</v>
      </c>
      <c r="D63" s="137" t="s">
        <v>127</v>
      </c>
      <c r="E63" s="54">
        <v>2023</v>
      </c>
      <c r="F63" s="54"/>
      <c r="G63" s="54" t="s">
        <v>252</v>
      </c>
      <c r="H63" s="304" t="s">
        <v>53</v>
      </c>
      <c r="I63" s="304"/>
      <c r="J63" s="55" t="s">
        <v>39</v>
      </c>
      <c r="K63" s="55" t="s">
        <v>256</v>
      </c>
      <c r="L63" s="55" t="s">
        <v>136</v>
      </c>
      <c r="M63" s="55" t="s">
        <v>41</v>
      </c>
      <c r="N63" s="68" t="s">
        <v>42</v>
      </c>
      <c r="O63" s="13" t="s">
        <v>43</v>
      </c>
      <c r="P63" s="71">
        <f>372726-P47-P56</f>
        <v>228681</v>
      </c>
      <c r="Q63" s="72">
        <f>+P63</f>
        <v>228681</v>
      </c>
      <c r="R63" s="73">
        <v>45192.441001723113</v>
      </c>
      <c r="S63" s="74">
        <v>45200.462308912654</v>
      </c>
      <c r="T63" s="75">
        <f>_xlfn.ISOWEEKNUM(R63)</f>
        <v>38</v>
      </c>
      <c r="U63" s="348">
        <f>_xlfn.ISOWEEKNUM(S63)</f>
        <v>39</v>
      </c>
      <c r="V63" s="77">
        <f>+S63+21</f>
        <v>45221.462308912654</v>
      </c>
      <c r="W63" s="72">
        <f>Q63/72</f>
        <v>3176.125</v>
      </c>
      <c r="X63" s="356">
        <v>6009</v>
      </c>
      <c r="Y63" t="s">
        <v>549</v>
      </c>
    </row>
    <row r="64" spans="1:25" ht="13.5" customHeight="1" x14ac:dyDescent="0.25">
      <c r="A64" s="40"/>
      <c r="B64" s="306" t="s">
        <v>35</v>
      </c>
      <c r="C64" s="54" t="s">
        <v>36</v>
      </c>
      <c r="D64" s="137" t="s">
        <v>127</v>
      </c>
      <c r="E64" s="54">
        <v>2023</v>
      </c>
      <c r="F64" s="54"/>
      <c r="G64" s="54" t="s">
        <v>252</v>
      </c>
      <c r="H64" s="304" t="s">
        <v>263</v>
      </c>
      <c r="I64" s="304" t="s">
        <v>156</v>
      </c>
      <c r="J64" s="55" t="s">
        <v>39</v>
      </c>
      <c r="K64" s="55" t="s">
        <v>256</v>
      </c>
      <c r="L64" s="55" t="s">
        <v>158</v>
      </c>
      <c r="M64" s="55" t="s">
        <v>41</v>
      </c>
      <c r="N64" s="68" t="s">
        <v>42</v>
      </c>
      <c r="O64" s="13" t="s">
        <v>43</v>
      </c>
      <c r="P64" s="71">
        <f>421635-P29-P30-P58</f>
        <v>259336.33333333331</v>
      </c>
      <c r="Q64" s="72">
        <f>+P64</f>
        <v>259336.33333333331</v>
      </c>
      <c r="R64" s="73">
        <v>45200.462308912654</v>
      </c>
      <c r="S64" s="74">
        <v>45211.092047474747</v>
      </c>
      <c r="T64" s="75">
        <f>_xlfn.ISOWEEKNUM(R64)</f>
        <v>39</v>
      </c>
      <c r="U64" s="75">
        <f>_xlfn.ISOWEEKNUM(S64)</f>
        <v>41</v>
      </c>
      <c r="V64" s="335">
        <f>+S64+21</f>
        <v>45232.092047474747</v>
      </c>
      <c r="W64" s="72">
        <f>Q64/72</f>
        <v>3601.8935185185182</v>
      </c>
      <c r="X64" s="356">
        <v>6009</v>
      </c>
      <c r="Y64" t="s">
        <v>549</v>
      </c>
    </row>
    <row r="65" spans="1:25" ht="13.5" customHeight="1" x14ac:dyDescent="0.25">
      <c r="A65" s="40"/>
      <c r="B65" s="306" t="s">
        <v>35</v>
      </c>
      <c r="C65" s="54" t="s">
        <v>36</v>
      </c>
      <c r="D65" s="137" t="s">
        <v>127</v>
      </c>
      <c r="E65" s="54">
        <v>2023</v>
      </c>
      <c r="F65" s="54"/>
      <c r="G65" s="54" t="s">
        <v>252</v>
      </c>
      <c r="H65" s="304" t="s">
        <v>113</v>
      </c>
      <c r="I65" s="304"/>
      <c r="J65" s="55" t="s">
        <v>39</v>
      </c>
      <c r="K65" s="55" t="s">
        <v>256</v>
      </c>
      <c r="L65" s="55" t="s">
        <v>136</v>
      </c>
      <c r="M65" s="55" t="s">
        <v>41</v>
      </c>
      <c r="N65" s="68" t="s">
        <v>42</v>
      </c>
      <c r="O65" s="13" t="s">
        <v>43</v>
      </c>
      <c r="P65" s="71" t="e">
        <f>440237-P18-P47-P60</f>
        <v>#REF!</v>
      </c>
      <c r="Q65" s="72" t="e">
        <f>+P65</f>
        <v>#REF!</v>
      </c>
      <c r="R65" s="73">
        <v>45221.771459239455</v>
      </c>
      <c r="S65" s="74">
        <v>45227.782243553178</v>
      </c>
      <c r="T65" s="75">
        <f>_xlfn.ISOWEEKNUM(R65)</f>
        <v>42</v>
      </c>
      <c r="U65" s="75">
        <f>_xlfn.ISOWEEKNUM(S65)</f>
        <v>43</v>
      </c>
      <c r="V65" s="77">
        <f>+S65+21</f>
        <v>45248.782243553178</v>
      </c>
      <c r="W65" s="72" t="e">
        <f>Q65/72</f>
        <v>#REF!</v>
      </c>
      <c r="X65" s="356">
        <v>6009</v>
      </c>
      <c r="Y65" t="s">
        <v>549</v>
      </c>
    </row>
    <row r="66" spans="1:25" ht="13.5" customHeight="1" x14ac:dyDescent="0.25">
      <c r="A66" s="40"/>
      <c r="B66" s="306" t="s">
        <v>48</v>
      </c>
      <c r="C66" s="54" t="str">
        <f>$C$71</f>
        <v>NAC</v>
      </c>
      <c r="D66" s="311" t="s">
        <v>89</v>
      </c>
      <c r="E66" s="54">
        <v>2023</v>
      </c>
      <c r="F66" s="54"/>
      <c r="G66" s="54" t="s">
        <v>252</v>
      </c>
      <c r="H66" s="310" t="s">
        <v>276</v>
      </c>
      <c r="I66" s="304" t="s">
        <v>247</v>
      </c>
      <c r="J66" s="55" t="s">
        <v>39</v>
      </c>
      <c r="K66" s="55" t="s">
        <v>256</v>
      </c>
      <c r="L66" s="55" t="s">
        <v>158</v>
      </c>
      <c r="M66" s="55" t="s">
        <v>41</v>
      </c>
      <c r="N66" s="68" t="s">
        <v>42</v>
      </c>
      <c r="O66" s="13" t="s">
        <v>47</v>
      </c>
      <c r="P66" s="71">
        <v>3114</v>
      </c>
      <c r="Q66" s="72">
        <f>+P66</f>
        <v>3114</v>
      </c>
      <c r="R66" s="73">
        <v>44981.512000000002</v>
      </c>
      <c r="S66" s="74">
        <v>44983.588000000003</v>
      </c>
      <c r="T66" s="75">
        <f>_xlfn.ISOWEEKNUM(R66)</f>
        <v>8</v>
      </c>
      <c r="U66" s="75">
        <f>_xlfn.ISOWEEKNUM(S66)</f>
        <v>8</v>
      </c>
      <c r="V66" s="77">
        <f>+S66+21</f>
        <v>45004.588000000003</v>
      </c>
      <c r="W66" s="72">
        <f>Q66/72</f>
        <v>43.25</v>
      </c>
      <c r="X66" s="354">
        <v>6244</v>
      </c>
      <c r="Y66" t="s">
        <v>547</v>
      </c>
    </row>
    <row r="67" spans="1:25" ht="13.5" customHeight="1" x14ac:dyDescent="0.25">
      <c r="A67" s="40"/>
      <c r="B67" s="306" t="s">
        <v>45</v>
      </c>
      <c r="C67" s="54" t="s">
        <v>36</v>
      </c>
      <c r="D67" s="311" t="s">
        <v>89</v>
      </c>
      <c r="E67" s="54">
        <v>2023</v>
      </c>
      <c r="F67" s="54"/>
      <c r="G67" s="54" t="s">
        <v>252</v>
      </c>
      <c r="H67" s="304" t="s">
        <v>277</v>
      </c>
      <c r="I67" s="304" t="s">
        <v>278</v>
      </c>
      <c r="J67" s="55" t="s">
        <v>39</v>
      </c>
      <c r="K67" s="55" t="s">
        <v>256</v>
      </c>
      <c r="L67" s="55" t="s">
        <v>66</v>
      </c>
      <c r="M67" s="55" t="s">
        <v>41</v>
      </c>
      <c r="N67" s="68" t="s">
        <v>42</v>
      </c>
      <c r="O67" s="13" t="s">
        <v>71</v>
      </c>
      <c r="P67" s="71">
        <v>10254</v>
      </c>
      <c r="Q67" s="72">
        <f>+P67</f>
        <v>10254</v>
      </c>
      <c r="R67" s="73">
        <v>44983.588000000003</v>
      </c>
      <c r="S67" s="74">
        <v>44990.424000000006</v>
      </c>
      <c r="T67" s="75">
        <f>_xlfn.ISOWEEKNUM(R67)</f>
        <v>8</v>
      </c>
      <c r="U67" s="75">
        <f>_xlfn.ISOWEEKNUM(S67)</f>
        <v>9</v>
      </c>
      <c r="V67" s="77">
        <f>+S67+21</f>
        <v>45011.424000000006</v>
      </c>
      <c r="W67" s="72">
        <f>Q67/72</f>
        <v>142.41666666666666</v>
      </c>
      <c r="X67" s="356">
        <v>6009</v>
      </c>
      <c r="Y67" t="s">
        <v>549</v>
      </c>
    </row>
    <row r="68" spans="1:25" ht="13.5" customHeight="1" x14ac:dyDescent="0.25">
      <c r="A68" s="40"/>
      <c r="B68" s="306" t="s">
        <v>45</v>
      </c>
      <c r="C68" s="54" t="s">
        <v>36</v>
      </c>
      <c r="D68" s="311" t="s">
        <v>89</v>
      </c>
      <c r="E68" s="54">
        <v>2023</v>
      </c>
      <c r="F68" s="54"/>
      <c r="G68" s="54" t="s">
        <v>252</v>
      </c>
      <c r="H68" s="304" t="s">
        <v>70</v>
      </c>
      <c r="I68" s="304"/>
      <c r="J68" s="55" t="s">
        <v>39</v>
      </c>
      <c r="K68" s="55" t="s">
        <v>256</v>
      </c>
      <c r="L68" s="55" t="s">
        <v>66</v>
      </c>
      <c r="M68" s="55" t="s">
        <v>41</v>
      </c>
      <c r="N68" s="68" t="s">
        <v>219</v>
      </c>
      <c r="O68" s="69" t="s">
        <v>71</v>
      </c>
      <c r="P68" s="71">
        <v>9000</v>
      </c>
      <c r="Q68" s="72">
        <f>+P68</f>
        <v>9000</v>
      </c>
      <c r="R68" s="73">
        <v>44990.424000000006</v>
      </c>
      <c r="S68" s="74">
        <v>44996.424000000006</v>
      </c>
      <c r="T68" s="75">
        <f>_xlfn.ISOWEEKNUM(R68)</f>
        <v>9</v>
      </c>
      <c r="U68" s="75">
        <f>_xlfn.ISOWEEKNUM(S68)</f>
        <v>10</v>
      </c>
      <c r="V68" s="77">
        <f>+S68+21</f>
        <v>45017.424000000006</v>
      </c>
      <c r="W68" s="72">
        <f>Q68/72</f>
        <v>125</v>
      </c>
      <c r="X68" s="356">
        <v>6009</v>
      </c>
      <c r="Y68" t="s">
        <v>549</v>
      </c>
    </row>
    <row r="69" spans="1:25" ht="13.5" customHeight="1" x14ac:dyDescent="0.25">
      <c r="A69" s="40"/>
      <c r="B69" s="306" t="s">
        <v>45</v>
      </c>
      <c r="C69" s="54" t="s">
        <v>36</v>
      </c>
      <c r="D69" s="311" t="s">
        <v>89</v>
      </c>
      <c r="E69" s="54">
        <v>2023</v>
      </c>
      <c r="F69" s="54"/>
      <c r="G69" s="54" t="s">
        <v>252</v>
      </c>
      <c r="H69" s="304" t="s">
        <v>70</v>
      </c>
      <c r="I69" s="304"/>
      <c r="J69" s="55" t="s">
        <v>39</v>
      </c>
      <c r="K69" s="55" t="s">
        <v>256</v>
      </c>
      <c r="L69" s="55" t="s">
        <v>66</v>
      </c>
      <c r="M69" s="55" t="s">
        <v>41</v>
      </c>
      <c r="N69" s="68" t="s">
        <v>42</v>
      </c>
      <c r="O69" s="13" t="s">
        <v>71</v>
      </c>
      <c r="P69" s="71">
        <f>10784-P68</f>
        <v>1784</v>
      </c>
      <c r="Q69" s="72">
        <f>+P69</f>
        <v>1784</v>
      </c>
      <c r="R69" s="73">
        <v>44996.424000000006</v>
      </c>
      <c r="S69" s="74">
        <v>44997.613333333342</v>
      </c>
      <c r="T69" s="75">
        <f>_xlfn.ISOWEEKNUM(R69)</f>
        <v>10</v>
      </c>
      <c r="U69" s="75">
        <f>_xlfn.ISOWEEKNUM(S69)</f>
        <v>10</v>
      </c>
      <c r="V69" s="77">
        <f>+S69+21</f>
        <v>45018.613333333342</v>
      </c>
      <c r="W69" s="72">
        <f>Q69/72</f>
        <v>24.777777777777779</v>
      </c>
      <c r="X69" s="356">
        <v>6009</v>
      </c>
      <c r="Y69" t="s">
        <v>549</v>
      </c>
    </row>
    <row r="70" spans="1:25" ht="13.5" customHeight="1" x14ac:dyDescent="0.25">
      <c r="A70" s="40"/>
      <c r="B70" s="19" t="s">
        <v>82</v>
      </c>
      <c r="C70" s="35" t="str">
        <f>$C$71</f>
        <v>NAC</v>
      </c>
      <c r="D70" s="103" t="s">
        <v>89</v>
      </c>
      <c r="E70" s="35">
        <v>2023</v>
      </c>
      <c r="F70" s="35"/>
      <c r="G70" s="54" t="s">
        <v>252</v>
      </c>
      <c r="H70" s="47" t="s">
        <v>279</v>
      </c>
      <c r="I70" s="47" t="s">
        <v>246</v>
      </c>
      <c r="J70" s="55" t="s">
        <v>39</v>
      </c>
      <c r="K70" s="55" t="s">
        <v>256</v>
      </c>
      <c r="L70" s="12" t="s">
        <v>158</v>
      </c>
      <c r="M70" s="12" t="s">
        <v>41</v>
      </c>
      <c r="N70" s="64" t="s">
        <v>42</v>
      </c>
      <c r="O70" s="13" t="s">
        <v>47</v>
      </c>
      <c r="P70" s="71">
        <f>34426</f>
        <v>34426</v>
      </c>
      <c r="Q70" s="72">
        <f>+P70</f>
        <v>34426</v>
      </c>
      <c r="R70" s="73">
        <v>44997.613333333342</v>
      </c>
      <c r="S70" s="74">
        <v>45020.564000000006</v>
      </c>
      <c r="T70" s="75">
        <f>_xlfn.ISOWEEKNUM(R70)</f>
        <v>10</v>
      </c>
      <c r="U70" s="75">
        <f>_xlfn.ISOWEEKNUM(S70)</f>
        <v>14</v>
      </c>
      <c r="V70" s="39">
        <f>+S70+21</f>
        <v>45041.564000000006</v>
      </c>
      <c r="W70" s="72">
        <f>Q70/72</f>
        <v>478.13888888888891</v>
      </c>
      <c r="X70" s="354">
        <v>6244</v>
      </c>
      <c r="Y70" t="s">
        <v>547</v>
      </c>
    </row>
    <row r="71" spans="1:25" ht="13.5" customHeight="1" x14ac:dyDescent="0.25">
      <c r="A71" s="40"/>
      <c r="B71" s="19" t="s">
        <v>35</v>
      </c>
      <c r="C71" s="35" t="s">
        <v>36</v>
      </c>
      <c r="D71" s="103" t="s">
        <v>89</v>
      </c>
      <c r="E71" s="35">
        <v>2023</v>
      </c>
      <c r="F71" s="35"/>
      <c r="G71" s="54" t="s">
        <v>252</v>
      </c>
      <c r="H71" s="47" t="s">
        <v>280</v>
      </c>
      <c r="I71" s="47" t="s">
        <v>281</v>
      </c>
      <c r="J71" s="55" t="s">
        <v>39</v>
      </c>
      <c r="K71" s="55" t="s">
        <v>256</v>
      </c>
      <c r="L71" s="12" t="s">
        <v>66</v>
      </c>
      <c r="M71" s="12" t="s">
        <v>41</v>
      </c>
      <c r="N71" s="64" t="s">
        <v>219</v>
      </c>
      <c r="O71" s="13" t="s">
        <v>129</v>
      </c>
      <c r="P71" s="71">
        <v>6750</v>
      </c>
      <c r="Q71" s="72">
        <f>+P71</f>
        <v>6750</v>
      </c>
      <c r="R71" s="73">
        <v>45020.564000000006</v>
      </c>
      <c r="S71" s="74">
        <v>45025.064000000006</v>
      </c>
      <c r="T71" s="75">
        <f>_xlfn.ISOWEEKNUM(R71)</f>
        <v>14</v>
      </c>
      <c r="U71" s="75">
        <f>_xlfn.ISOWEEKNUM(S71)</f>
        <v>14</v>
      </c>
      <c r="V71" s="39">
        <f>+S71+21</f>
        <v>45046.064000000006</v>
      </c>
      <c r="W71" s="72">
        <f>Q71/72</f>
        <v>93.75</v>
      </c>
      <c r="X71" s="356">
        <v>6009</v>
      </c>
      <c r="Y71" t="s">
        <v>549</v>
      </c>
    </row>
    <row r="72" spans="1:25" ht="13.5" customHeight="1" x14ac:dyDescent="0.25">
      <c r="A72" s="40"/>
      <c r="B72" s="306" t="s">
        <v>84</v>
      </c>
      <c r="C72" s="54" t="s">
        <v>36</v>
      </c>
      <c r="D72" s="311" t="s">
        <v>89</v>
      </c>
      <c r="E72" s="54">
        <v>2023</v>
      </c>
      <c r="F72" s="54"/>
      <c r="G72" s="54" t="s">
        <v>252</v>
      </c>
      <c r="H72" s="304" t="s">
        <v>282</v>
      </c>
      <c r="I72" s="304" t="s">
        <v>283</v>
      </c>
      <c r="J72" s="55" t="s">
        <v>39</v>
      </c>
      <c r="K72" s="55" t="s">
        <v>252</v>
      </c>
      <c r="L72" s="55" t="s">
        <v>40</v>
      </c>
      <c r="M72" s="55" t="s">
        <v>41</v>
      </c>
      <c r="N72" s="68" t="s">
        <v>42</v>
      </c>
      <c r="O72" s="13" t="s">
        <v>262</v>
      </c>
      <c r="P72" s="71">
        <v>18830</v>
      </c>
      <c r="Q72" s="72">
        <f>+P72</f>
        <v>18830</v>
      </c>
      <c r="R72" s="73">
        <v>45025.064000000006</v>
      </c>
      <c r="S72" s="74">
        <v>45037.617333333343</v>
      </c>
      <c r="T72" s="75">
        <f>_xlfn.ISOWEEKNUM(R72)</f>
        <v>14</v>
      </c>
      <c r="U72" s="75">
        <f>_xlfn.ISOWEEKNUM(S72)</f>
        <v>16</v>
      </c>
      <c r="V72" s="77">
        <f>+S72+21</f>
        <v>45058.617333333343</v>
      </c>
      <c r="W72" s="72">
        <f>Q72/72</f>
        <v>261.52777777777777</v>
      </c>
      <c r="X72" s="354">
        <v>6244</v>
      </c>
      <c r="Y72" t="s">
        <v>547</v>
      </c>
    </row>
    <row r="73" spans="1:25" ht="13.5" customHeight="1" x14ac:dyDescent="0.25">
      <c r="A73" s="40"/>
      <c r="B73" s="306" t="s">
        <v>48</v>
      </c>
      <c r="C73" s="54" t="s">
        <v>36</v>
      </c>
      <c r="D73" s="103" t="s">
        <v>89</v>
      </c>
      <c r="E73" s="54">
        <v>2023</v>
      </c>
      <c r="F73" s="54"/>
      <c r="G73" s="54" t="s">
        <v>252</v>
      </c>
      <c r="H73" s="44" t="s">
        <v>169</v>
      </c>
      <c r="I73" s="304"/>
      <c r="J73" s="55" t="s">
        <v>39</v>
      </c>
      <c r="K73" s="55" t="s">
        <v>256</v>
      </c>
      <c r="L73" s="55" t="s">
        <v>66</v>
      </c>
      <c r="M73" s="55" t="s">
        <v>41</v>
      </c>
      <c r="N73" s="68" t="s">
        <v>42</v>
      </c>
      <c r="O73" s="13" t="s">
        <v>71</v>
      </c>
      <c r="P73" s="71">
        <v>16000</v>
      </c>
      <c r="Q73" s="72">
        <f>+P73</f>
        <v>16000</v>
      </c>
      <c r="R73" s="73">
        <v>45037.617333333343</v>
      </c>
      <c r="S73" s="74">
        <v>45048.284000000007</v>
      </c>
      <c r="T73" s="75">
        <f>_xlfn.ISOWEEKNUM(R73)</f>
        <v>16</v>
      </c>
      <c r="U73" s="348">
        <f>_xlfn.ISOWEEKNUM(S73)</f>
        <v>18</v>
      </c>
      <c r="V73" s="77">
        <f>+S73+21</f>
        <v>45069.284000000007</v>
      </c>
      <c r="W73" s="72">
        <f>Q73/72</f>
        <v>222.22222222222223</v>
      </c>
      <c r="X73" s="354">
        <v>6244</v>
      </c>
      <c r="Y73" t="s">
        <v>547</v>
      </c>
    </row>
    <row r="74" spans="1:25" ht="13.5" customHeight="1" thickBot="1" x14ac:dyDescent="0.3">
      <c r="A74" s="40"/>
      <c r="B74" s="123" t="s">
        <v>284</v>
      </c>
      <c r="C74" s="23" t="s">
        <v>36</v>
      </c>
      <c r="D74" s="152" t="s">
        <v>89</v>
      </c>
      <c r="E74" s="23">
        <v>2023</v>
      </c>
      <c r="F74" s="23"/>
      <c r="G74" s="104" t="s">
        <v>252</v>
      </c>
      <c r="H74" s="333" t="s">
        <v>285</v>
      </c>
      <c r="I74" s="212" t="s">
        <v>234</v>
      </c>
      <c r="J74" s="105" t="s">
        <v>39</v>
      </c>
      <c r="K74" s="105" t="s">
        <v>256</v>
      </c>
      <c r="L74" s="24" t="s">
        <v>66</v>
      </c>
      <c r="M74" s="24" t="s">
        <v>41</v>
      </c>
      <c r="N74" s="85" t="s">
        <v>42</v>
      </c>
      <c r="O74" s="86" t="s">
        <v>71</v>
      </c>
      <c r="P74" s="88">
        <f>52155-P86</f>
        <v>32598</v>
      </c>
      <c r="Q74" s="96">
        <f>+P74</f>
        <v>32598</v>
      </c>
      <c r="R74" s="342">
        <v>45048.284000000007</v>
      </c>
      <c r="S74" s="343">
        <v>45066.714000000007</v>
      </c>
      <c r="T74" s="344">
        <f>_xlfn.ISOWEEKNUM(R74)</f>
        <v>18</v>
      </c>
      <c r="U74" s="350">
        <f>_xlfn.ISOWEEKNUM(S74)</f>
        <v>20</v>
      </c>
      <c r="V74" s="331">
        <f>+S74+21</f>
        <v>45087.714000000007</v>
      </c>
      <c r="W74" s="72">
        <f>Q74/72</f>
        <v>452.75</v>
      </c>
      <c r="X74" s="354">
        <v>6244</v>
      </c>
      <c r="Y74" t="s">
        <v>547</v>
      </c>
    </row>
    <row r="75" spans="1:25" ht="13.5" customHeight="1" x14ac:dyDescent="0.25">
      <c r="A75" s="40"/>
      <c r="B75" s="306" t="s">
        <v>93</v>
      </c>
      <c r="C75" s="54" t="s">
        <v>36</v>
      </c>
      <c r="D75" s="311" t="s">
        <v>89</v>
      </c>
      <c r="E75" s="54">
        <v>2023</v>
      </c>
      <c r="F75" s="54"/>
      <c r="G75" s="54" t="s">
        <v>252</v>
      </c>
      <c r="H75" s="304" t="s">
        <v>286</v>
      </c>
      <c r="I75" s="304" t="s">
        <v>287</v>
      </c>
      <c r="J75" s="55"/>
      <c r="K75" s="55" t="s">
        <v>288</v>
      </c>
      <c r="L75" s="55" t="s">
        <v>136</v>
      </c>
      <c r="M75" s="55" t="s">
        <v>56</v>
      </c>
      <c r="N75" s="68" t="s">
        <v>57</v>
      </c>
      <c r="O75" s="13" t="s">
        <v>47</v>
      </c>
      <c r="P75" s="71">
        <f>+Q75/0.75</f>
        <v>17349.333333333332</v>
      </c>
      <c r="Q75" s="340">
        <v>13012</v>
      </c>
      <c r="R75" s="334">
        <v>45066.714000000007</v>
      </c>
      <c r="S75" s="74">
        <v>45078.280222222231</v>
      </c>
      <c r="T75" s="75">
        <f>_xlfn.ISOWEEKNUM(R75)</f>
        <v>20</v>
      </c>
      <c r="U75" s="75">
        <f>_xlfn.ISOWEEKNUM(S75)</f>
        <v>22</v>
      </c>
      <c r="V75" s="60">
        <f>+S75+21</f>
        <v>45099.280222222231</v>
      </c>
      <c r="W75" s="72">
        <f>Q75/72</f>
        <v>180.72222222222223</v>
      </c>
      <c r="X75" s="356">
        <v>6009</v>
      </c>
      <c r="Y75" t="s">
        <v>549</v>
      </c>
    </row>
    <row r="76" spans="1:25" ht="13.5" customHeight="1" x14ac:dyDescent="0.25">
      <c r="A76" s="40"/>
      <c r="B76" s="306" t="s">
        <v>35</v>
      </c>
      <c r="C76" s="54" t="s">
        <v>36</v>
      </c>
      <c r="D76" s="311" t="s">
        <v>89</v>
      </c>
      <c r="E76" s="54">
        <v>2023</v>
      </c>
      <c r="F76" s="54"/>
      <c r="G76" s="54" t="s">
        <v>252</v>
      </c>
      <c r="H76" s="310" t="s">
        <v>280</v>
      </c>
      <c r="I76" s="304" t="s">
        <v>281</v>
      </c>
      <c r="J76" s="55" t="s">
        <v>39</v>
      </c>
      <c r="K76" s="55" t="s">
        <v>256</v>
      </c>
      <c r="L76" s="55" t="s">
        <v>66</v>
      </c>
      <c r="M76" s="55" t="s">
        <v>41</v>
      </c>
      <c r="N76" s="68" t="s">
        <v>42</v>
      </c>
      <c r="O76" s="13" t="s">
        <v>129</v>
      </c>
      <c r="P76" s="71">
        <f>10646-P70</f>
        <v>-23780</v>
      </c>
      <c r="Q76" s="340">
        <f>+P76</f>
        <v>-23780</v>
      </c>
      <c r="R76" s="334">
        <v>45081.187555555567</v>
      </c>
      <c r="S76" s="74">
        <v>45083.784888888898</v>
      </c>
      <c r="T76" s="75">
        <f>_xlfn.ISOWEEKNUM(R76)</f>
        <v>22</v>
      </c>
      <c r="U76" s="348">
        <f>_xlfn.ISOWEEKNUM(S76)</f>
        <v>23</v>
      </c>
      <c r="V76" s="335">
        <f>+S76+21</f>
        <v>45104.784888888898</v>
      </c>
      <c r="W76" s="72">
        <f>Q76/72</f>
        <v>-330.27777777777777</v>
      </c>
      <c r="X76" s="356">
        <v>6009</v>
      </c>
      <c r="Y76" t="s">
        <v>549</v>
      </c>
    </row>
    <row r="77" spans="1:25" ht="13.5" customHeight="1" x14ac:dyDescent="0.25">
      <c r="A77" s="40"/>
      <c r="B77" s="306" t="s">
        <v>48</v>
      </c>
      <c r="C77" s="54" t="s">
        <v>36</v>
      </c>
      <c r="D77" s="312" t="s">
        <v>103</v>
      </c>
      <c r="E77" s="54">
        <v>2023</v>
      </c>
      <c r="F77" s="54"/>
      <c r="G77" s="54" t="s">
        <v>252</v>
      </c>
      <c r="H77" s="304" t="s">
        <v>173</v>
      </c>
      <c r="I77" s="304" t="s">
        <v>99</v>
      </c>
      <c r="J77" s="55" t="s">
        <v>39</v>
      </c>
      <c r="K77" s="55" t="s">
        <v>256</v>
      </c>
      <c r="L77" s="55" t="s">
        <v>40</v>
      </c>
      <c r="M77" s="55" t="s">
        <v>41</v>
      </c>
      <c r="N77" s="68" t="s">
        <v>42</v>
      </c>
      <c r="O77" s="13" t="s">
        <v>262</v>
      </c>
      <c r="P77" s="71">
        <v>26213</v>
      </c>
      <c r="Q77" s="340">
        <f>+P77</f>
        <v>26213</v>
      </c>
      <c r="R77" s="334">
        <v>44991</v>
      </c>
      <c r="S77" s="74">
        <v>44996.242599999998</v>
      </c>
      <c r="T77" s="75">
        <f>_xlfn.ISOWEEKNUM(R77)</f>
        <v>10</v>
      </c>
      <c r="U77" s="75">
        <f>_xlfn.ISOWEEKNUM(S77)</f>
        <v>10</v>
      </c>
      <c r="V77" s="335">
        <f>+S77+21</f>
        <v>45017.242599999998</v>
      </c>
      <c r="W77" s="72">
        <f>Q77/72</f>
        <v>364.06944444444446</v>
      </c>
      <c r="X77" s="354">
        <v>6244</v>
      </c>
      <c r="Y77" t="s">
        <v>547</v>
      </c>
    </row>
    <row r="78" spans="1:25" ht="12.95" customHeight="1" x14ac:dyDescent="0.25">
      <c r="A78" s="40"/>
      <c r="B78" s="306" t="s">
        <v>105</v>
      </c>
      <c r="C78" s="54" t="s">
        <v>36</v>
      </c>
      <c r="D78" s="312" t="s">
        <v>103</v>
      </c>
      <c r="E78" s="54">
        <v>2023</v>
      </c>
      <c r="F78" s="54"/>
      <c r="G78" s="54" t="s">
        <v>252</v>
      </c>
      <c r="H78" s="304" t="s">
        <v>178</v>
      </c>
      <c r="I78" s="304"/>
      <c r="J78" s="55" t="s">
        <v>39</v>
      </c>
      <c r="K78" s="55" t="s">
        <v>256</v>
      </c>
      <c r="L78" s="55" t="s">
        <v>40</v>
      </c>
      <c r="M78" s="55" t="s">
        <v>41</v>
      </c>
      <c r="N78" s="68" t="s">
        <v>42</v>
      </c>
      <c r="O78" s="69" t="s">
        <v>262</v>
      </c>
      <c r="P78" s="71">
        <v>16660</v>
      </c>
      <c r="Q78" s="72">
        <f>+P78</f>
        <v>16660</v>
      </c>
      <c r="R78" s="334">
        <v>44996.242599999998</v>
      </c>
      <c r="S78" s="74">
        <v>44999.5746</v>
      </c>
      <c r="T78" s="75">
        <f>_xlfn.ISOWEEKNUM(R78)</f>
        <v>10</v>
      </c>
      <c r="U78" s="75">
        <f>_xlfn.ISOWEEKNUM(S78)</f>
        <v>11</v>
      </c>
      <c r="V78" s="335">
        <f>+S78+21</f>
        <v>45020.5746</v>
      </c>
      <c r="W78" s="72">
        <f>Q78/72</f>
        <v>231.38888888888889</v>
      </c>
      <c r="X78" s="354">
        <v>6244</v>
      </c>
      <c r="Y78" t="s">
        <v>547</v>
      </c>
    </row>
    <row r="79" spans="1:25" ht="13.5" customHeight="1" x14ac:dyDescent="0.25">
      <c r="A79" s="40"/>
      <c r="B79" s="306" t="s">
        <v>48</v>
      </c>
      <c r="C79" s="54" t="str">
        <f>$C$71</f>
        <v>NAC</v>
      </c>
      <c r="D79" s="312" t="s">
        <v>103</v>
      </c>
      <c r="E79" s="54">
        <v>2023</v>
      </c>
      <c r="F79" s="54"/>
      <c r="G79" s="54" t="s">
        <v>252</v>
      </c>
      <c r="H79" s="310" t="s">
        <v>276</v>
      </c>
      <c r="I79" s="304" t="s">
        <v>247</v>
      </c>
      <c r="J79" s="55" t="s">
        <v>39</v>
      </c>
      <c r="K79" s="55" t="s">
        <v>256</v>
      </c>
      <c r="L79" s="55" t="s">
        <v>158</v>
      </c>
      <c r="M79" s="55" t="s">
        <v>41</v>
      </c>
      <c r="N79" s="68" t="s">
        <v>42</v>
      </c>
      <c r="O79" s="13" t="s">
        <v>47</v>
      </c>
      <c r="P79" s="71" t="e">
        <f>33458-P65</f>
        <v>#REF!</v>
      </c>
      <c r="Q79" s="340" t="e">
        <f>+P79</f>
        <v>#REF!</v>
      </c>
      <c r="R79" s="334">
        <v>44999.5746</v>
      </c>
      <c r="S79" s="74">
        <v>45005.643400000001</v>
      </c>
      <c r="T79" s="75">
        <f>_xlfn.ISOWEEKNUM(R79)</f>
        <v>11</v>
      </c>
      <c r="U79" s="75">
        <f>_xlfn.ISOWEEKNUM(S79)</f>
        <v>12</v>
      </c>
      <c r="V79" s="335">
        <f>+S79+21</f>
        <v>45026.643400000001</v>
      </c>
      <c r="W79" s="72" t="e">
        <f>Q79/72</f>
        <v>#REF!</v>
      </c>
      <c r="X79" s="354">
        <v>6244</v>
      </c>
      <c r="Y79" t="s">
        <v>547</v>
      </c>
    </row>
    <row r="80" spans="1:25" ht="13.5" customHeight="1" x14ac:dyDescent="0.25">
      <c r="A80" s="40"/>
      <c r="B80" s="306" t="s">
        <v>35</v>
      </c>
      <c r="C80" s="54" t="s">
        <v>36</v>
      </c>
      <c r="D80" s="312" t="s">
        <v>103</v>
      </c>
      <c r="E80" s="54">
        <v>2023</v>
      </c>
      <c r="F80" s="54"/>
      <c r="G80" s="54" t="s">
        <v>252</v>
      </c>
      <c r="H80" s="304" t="s">
        <v>138</v>
      </c>
      <c r="I80" s="304"/>
      <c r="J80" s="55" t="s">
        <v>39</v>
      </c>
      <c r="K80" s="55" t="s">
        <v>256</v>
      </c>
      <c r="L80" s="55" t="s">
        <v>136</v>
      </c>
      <c r="M80" s="55" t="s">
        <v>41</v>
      </c>
      <c r="N80" s="68" t="s">
        <v>42</v>
      </c>
      <c r="O80" s="13" t="s">
        <v>43</v>
      </c>
      <c r="P80" s="71">
        <v>45623</v>
      </c>
      <c r="Q80" s="340">
        <f>+P80</f>
        <v>45623</v>
      </c>
      <c r="R80" s="334">
        <v>45005.643400000001</v>
      </c>
      <c r="S80" s="74">
        <v>45014.768000000004</v>
      </c>
      <c r="T80" s="75">
        <f>_xlfn.ISOWEEKNUM(R80)</f>
        <v>12</v>
      </c>
      <c r="U80" s="75">
        <f>_xlfn.ISOWEEKNUM(S80)</f>
        <v>13</v>
      </c>
      <c r="V80" s="335">
        <f>+S80+21</f>
        <v>45035.768000000004</v>
      </c>
      <c r="W80" s="72">
        <f>Q80/72</f>
        <v>633.65277777777783</v>
      </c>
      <c r="X80" s="356">
        <v>6009</v>
      </c>
      <c r="Y80" t="s">
        <v>549</v>
      </c>
    </row>
    <row r="81" spans="1:25" x14ac:dyDescent="0.25">
      <c r="A81" s="40"/>
      <c r="B81" s="306" t="s">
        <v>105</v>
      </c>
      <c r="C81" s="54" t="s">
        <v>36</v>
      </c>
      <c r="D81" s="312" t="s">
        <v>103</v>
      </c>
      <c r="E81" s="54">
        <v>2023</v>
      </c>
      <c r="F81" s="54"/>
      <c r="G81" s="54" t="s">
        <v>252</v>
      </c>
      <c r="H81" s="304" t="s">
        <v>121</v>
      </c>
      <c r="I81" s="304"/>
      <c r="J81" s="55" t="s">
        <v>39</v>
      </c>
      <c r="K81" s="55" t="s">
        <v>256</v>
      </c>
      <c r="L81" s="55" t="s">
        <v>40</v>
      </c>
      <c r="M81" s="55" t="s">
        <v>41</v>
      </c>
      <c r="N81" s="68" t="s">
        <v>42</v>
      </c>
      <c r="O81" s="13" t="s">
        <v>262</v>
      </c>
      <c r="P81" s="71">
        <v>15770</v>
      </c>
      <c r="Q81" s="340">
        <f>+P81</f>
        <v>15770</v>
      </c>
      <c r="R81" s="334">
        <v>45014.768000000004</v>
      </c>
      <c r="S81" s="74">
        <v>45017.922000000006</v>
      </c>
      <c r="T81" s="75">
        <f>_xlfn.ISOWEEKNUM(R81)</f>
        <v>13</v>
      </c>
      <c r="U81" s="75">
        <f>_xlfn.ISOWEEKNUM(S81)</f>
        <v>13</v>
      </c>
      <c r="V81" s="335">
        <f>+S81+21</f>
        <v>45038.922000000006</v>
      </c>
      <c r="W81" s="72">
        <f>Q81/72</f>
        <v>219.02777777777777</v>
      </c>
      <c r="X81" s="354">
        <v>6244</v>
      </c>
      <c r="Y81" t="s">
        <v>547</v>
      </c>
    </row>
    <row r="82" spans="1:25" ht="13.5" customHeight="1" x14ac:dyDescent="0.25">
      <c r="A82" s="40"/>
      <c r="B82" s="306" t="s">
        <v>182</v>
      </c>
      <c r="C82" s="54" t="s">
        <v>36</v>
      </c>
      <c r="D82" s="312" t="s">
        <v>103</v>
      </c>
      <c r="E82" s="54">
        <v>2023</v>
      </c>
      <c r="F82" s="54"/>
      <c r="G82" s="54" t="s">
        <v>252</v>
      </c>
      <c r="H82" s="304" t="s">
        <v>183</v>
      </c>
      <c r="I82" s="304" t="s">
        <v>109</v>
      </c>
      <c r="J82" s="55" t="s">
        <v>39</v>
      </c>
      <c r="K82" s="55" t="s">
        <v>256</v>
      </c>
      <c r="L82" s="55" t="s">
        <v>40</v>
      </c>
      <c r="M82" s="55" t="s">
        <v>41</v>
      </c>
      <c r="N82" s="68" t="s">
        <v>42</v>
      </c>
      <c r="O82" s="13" t="s">
        <v>262</v>
      </c>
      <c r="P82" s="71">
        <v>24108</v>
      </c>
      <c r="Q82" s="340">
        <f>+P82</f>
        <v>24108</v>
      </c>
      <c r="R82" s="334">
        <v>45017.922000000006</v>
      </c>
      <c r="S82" s="74">
        <v>45022.743600000009</v>
      </c>
      <c r="T82" s="75">
        <f>_xlfn.ISOWEEKNUM(R82)</f>
        <v>13</v>
      </c>
      <c r="U82" s="75">
        <f>_xlfn.ISOWEEKNUM(S82)</f>
        <v>14</v>
      </c>
      <c r="V82" s="335">
        <f>+S82+21</f>
        <v>45043.743600000009</v>
      </c>
      <c r="W82" s="72">
        <f>Q82/72</f>
        <v>334.83333333333331</v>
      </c>
      <c r="X82" s="354">
        <v>6244</v>
      </c>
      <c r="Y82" t="s">
        <v>547</v>
      </c>
    </row>
    <row r="83" spans="1:25" ht="13.5" customHeight="1" x14ac:dyDescent="0.25">
      <c r="A83" s="40"/>
      <c r="B83" s="306" t="s">
        <v>82</v>
      </c>
      <c r="C83" s="54" t="s">
        <v>36</v>
      </c>
      <c r="D83" s="312" t="s">
        <v>103</v>
      </c>
      <c r="E83" s="54">
        <v>2023</v>
      </c>
      <c r="F83" s="54"/>
      <c r="G83" s="54" t="s">
        <v>252</v>
      </c>
      <c r="H83" s="304" t="s">
        <v>83</v>
      </c>
      <c r="I83" s="304" t="s">
        <v>289</v>
      </c>
      <c r="J83" s="55" t="s">
        <v>39</v>
      </c>
      <c r="K83" s="55" t="s">
        <v>256</v>
      </c>
      <c r="L83" s="55" t="s">
        <v>40</v>
      </c>
      <c r="M83" s="55" t="s">
        <v>41</v>
      </c>
      <c r="N83" s="68" t="s">
        <v>42</v>
      </c>
      <c r="O83" s="13" t="s">
        <v>262</v>
      </c>
      <c r="P83" s="71">
        <v>45206</v>
      </c>
      <c r="Q83" s="340">
        <f>+P83</f>
        <v>45206</v>
      </c>
      <c r="R83" s="334">
        <v>45022.743600000009</v>
      </c>
      <c r="S83" s="74">
        <v>45031.784800000009</v>
      </c>
      <c r="T83" s="75">
        <f>_xlfn.ISOWEEKNUM(R83)</f>
        <v>14</v>
      </c>
      <c r="U83" s="75">
        <f>_xlfn.ISOWEEKNUM(S83)</f>
        <v>15</v>
      </c>
      <c r="V83" s="335">
        <f>+S83+21</f>
        <v>45052.784800000009</v>
      </c>
      <c r="W83" s="72">
        <f>Q83/72</f>
        <v>627.86111111111109</v>
      </c>
      <c r="X83" s="354">
        <v>6244</v>
      </c>
      <c r="Y83" t="s">
        <v>547</v>
      </c>
    </row>
    <row r="84" spans="1:25" ht="13.5" customHeight="1" x14ac:dyDescent="0.25">
      <c r="A84" s="40"/>
      <c r="B84" s="306" t="s">
        <v>273</v>
      </c>
      <c r="C84" s="54" t="s">
        <v>36</v>
      </c>
      <c r="D84" s="312" t="s">
        <v>103</v>
      </c>
      <c r="E84" s="54">
        <v>2023</v>
      </c>
      <c r="F84" s="54"/>
      <c r="G84" s="54" t="s">
        <v>252</v>
      </c>
      <c r="H84" s="304" t="s">
        <v>180</v>
      </c>
      <c r="I84" s="304" t="s">
        <v>112</v>
      </c>
      <c r="J84" s="55" t="s">
        <v>39</v>
      </c>
      <c r="K84" s="55" t="s">
        <v>256</v>
      </c>
      <c r="L84" s="55" t="s">
        <v>40</v>
      </c>
      <c r="M84" s="55" t="s">
        <v>41</v>
      </c>
      <c r="N84" s="68" t="s">
        <v>42</v>
      </c>
      <c r="O84" s="13" t="s">
        <v>262</v>
      </c>
      <c r="P84" s="71">
        <v>29080</v>
      </c>
      <c r="Q84" s="340">
        <f>+P84</f>
        <v>29080</v>
      </c>
      <c r="R84" s="334">
        <v>45031.784800000009</v>
      </c>
      <c r="S84" s="74">
        <v>45037.600800000007</v>
      </c>
      <c r="T84" s="75">
        <f>_xlfn.ISOWEEKNUM(R84)</f>
        <v>15</v>
      </c>
      <c r="U84" s="75">
        <f>_xlfn.ISOWEEKNUM(S84)</f>
        <v>16</v>
      </c>
      <c r="V84" s="335">
        <f>+S84+21</f>
        <v>45058.600800000007</v>
      </c>
      <c r="W84" s="72">
        <f>Q84/72</f>
        <v>403.88888888888891</v>
      </c>
      <c r="X84" s="354">
        <v>6244</v>
      </c>
      <c r="Y84" t="s">
        <v>547</v>
      </c>
    </row>
    <row r="85" spans="1:25" ht="13.5" customHeight="1" x14ac:dyDescent="0.25">
      <c r="A85" s="40"/>
      <c r="B85" s="306" t="s">
        <v>284</v>
      </c>
      <c r="C85" s="54" t="s">
        <v>36</v>
      </c>
      <c r="D85" s="312" t="s">
        <v>103</v>
      </c>
      <c r="E85" s="54">
        <v>2023</v>
      </c>
      <c r="F85" s="54"/>
      <c r="G85" s="54" t="s">
        <v>252</v>
      </c>
      <c r="H85" s="310" t="s">
        <v>285</v>
      </c>
      <c r="I85" s="304" t="s">
        <v>234</v>
      </c>
      <c r="J85" s="55" t="s">
        <v>39</v>
      </c>
      <c r="K85" s="55" t="s">
        <v>256</v>
      </c>
      <c r="L85" s="12" t="s">
        <v>66</v>
      </c>
      <c r="M85" s="55" t="s">
        <v>41</v>
      </c>
      <c r="N85" s="68" t="s">
        <v>42</v>
      </c>
      <c r="O85" s="69" t="s">
        <v>71</v>
      </c>
      <c r="P85" s="71">
        <v>24510</v>
      </c>
      <c r="Q85" s="72">
        <f>+P85</f>
        <v>24510</v>
      </c>
      <c r="R85" s="334">
        <v>45037.600800000007</v>
      </c>
      <c r="S85" s="74">
        <v>45042.502800000009</v>
      </c>
      <c r="T85" s="75">
        <f>_xlfn.ISOWEEKNUM(R85)</f>
        <v>16</v>
      </c>
      <c r="U85" s="75">
        <f>_xlfn.ISOWEEKNUM(S85)</f>
        <v>17</v>
      </c>
      <c r="V85" s="77">
        <f>+S85+21</f>
        <v>45063.502800000009</v>
      </c>
      <c r="W85" s="72">
        <f>Q85/72</f>
        <v>340.41666666666669</v>
      </c>
      <c r="X85" s="354">
        <v>6244</v>
      </c>
      <c r="Y85" t="s">
        <v>547</v>
      </c>
    </row>
    <row r="86" spans="1:25" ht="13.5" customHeight="1" x14ac:dyDescent="0.25">
      <c r="A86" s="40"/>
      <c r="B86" s="306" t="s">
        <v>273</v>
      </c>
      <c r="C86" s="54" t="s">
        <v>36</v>
      </c>
      <c r="D86" s="312" t="s">
        <v>103</v>
      </c>
      <c r="E86" s="54">
        <v>2023</v>
      </c>
      <c r="F86" s="54"/>
      <c r="G86" s="54" t="s">
        <v>252</v>
      </c>
      <c r="H86" s="304" t="s">
        <v>181</v>
      </c>
      <c r="I86" s="304" t="s">
        <v>96</v>
      </c>
      <c r="J86" s="55" t="s">
        <v>39</v>
      </c>
      <c r="K86" s="55" t="s">
        <v>256</v>
      </c>
      <c r="L86" s="55" t="s">
        <v>40</v>
      </c>
      <c r="M86" s="55" t="s">
        <v>41</v>
      </c>
      <c r="N86" s="68" t="s">
        <v>42</v>
      </c>
      <c r="O86" s="13" t="s">
        <v>262</v>
      </c>
      <c r="P86" s="71">
        <f>64557-P46</f>
        <v>19557</v>
      </c>
      <c r="Q86" s="72">
        <f>+P86</f>
        <v>19557</v>
      </c>
      <c r="R86" s="334">
        <v>45042.502800000009</v>
      </c>
      <c r="S86" s="74">
        <v>45048.414200000007</v>
      </c>
      <c r="T86" s="75">
        <f>_xlfn.ISOWEEKNUM(R86)</f>
        <v>17</v>
      </c>
      <c r="U86" s="75">
        <f>_xlfn.ISOWEEKNUM(S86)</f>
        <v>18</v>
      </c>
      <c r="V86" s="77">
        <f>+S86+21</f>
        <v>45069.414200000007</v>
      </c>
      <c r="W86" s="72">
        <f>Q86/72</f>
        <v>271.625</v>
      </c>
      <c r="X86" s="354">
        <v>6244</v>
      </c>
      <c r="Y86" t="s">
        <v>547</v>
      </c>
    </row>
    <row r="87" spans="1:25" ht="13.5" customHeight="1" x14ac:dyDescent="0.25">
      <c r="A87" s="40"/>
      <c r="B87" s="306" t="s">
        <v>48</v>
      </c>
      <c r="C87" s="54" t="s">
        <v>36</v>
      </c>
      <c r="D87" s="312" t="s">
        <v>103</v>
      </c>
      <c r="E87" s="54">
        <v>2023</v>
      </c>
      <c r="F87" s="54"/>
      <c r="G87" s="54" t="s">
        <v>252</v>
      </c>
      <c r="H87" s="310" t="s">
        <v>49</v>
      </c>
      <c r="I87" s="304"/>
      <c r="J87" s="55" t="s">
        <v>39</v>
      </c>
      <c r="K87" s="55" t="s">
        <v>256</v>
      </c>
      <c r="L87" s="55" t="s">
        <v>50</v>
      </c>
      <c r="M87" s="55" t="s">
        <v>41</v>
      </c>
      <c r="N87" s="68" t="s">
        <v>42</v>
      </c>
      <c r="O87" s="69" t="s">
        <v>47</v>
      </c>
      <c r="P87" s="71">
        <v>41646</v>
      </c>
      <c r="Q87" s="72">
        <f>+P87</f>
        <v>41646</v>
      </c>
      <c r="R87" s="334">
        <v>45061.414200000007</v>
      </c>
      <c r="S87" s="74">
        <v>45069.743400000007</v>
      </c>
      <c r="T87" s="75">
        <f>_xlfn.ISOWEEKNUM(R87)</f>
        <v>20</v>
      </c>
      <c r="U87" s="75">
        <f>_xlfn.ISOWEEKNUM(S87)</f>
        <v>21</v>
      </c>
      <c r="V87" s="77">
        <f>+S87+21</f>
        <v>45090.743400000007</v>
      </c>
      <c r="W87" s="72">
        <f>Q87/72</f>
        <v>578.41666666666663</v>
      </c>
      <c r="X87" s="354">
        <v>6244</v>
      </c>
      <c r="Y87" t="s">
        <v>547</v>
      </c>
    </row>
    <row r="88" spans="1:25" ht="13.5" customHeight="1" x14ac:dyDescent="0.25">
      <c r="A88" s="40"/>
      <c r="B88" s="306" t="s">
        <v>35</v>
      </c>
      <c r="C88" s="54" t="s">
        <v>36</v>
      </c>
      <c r="D88" s="312" t="s">
        <v>103</v>
      </c>
      <c r="E88" s="54">
        <v>2023</v>
      </c>
      <c r="F88" s="54"/>
      <c r="G88" s="54" t="s">
        <v>252</v>
      </c>
      <c r="H88" s="310" t="s">
        <v>290</v>
      </c>
      <c r="I88" s="304" t="s">
        <v>291</v>
      </c>
      <c r="J88" s="55" t="s">
        <v>39</v>
      </c>
      <c r="K88" s="55" t="s">
        <v>252</v>
      </c>
      <c r="L88" s="55" t="s">
        <v>40</v>
      </c>
      <c r="M88" s="55" t="s">
        <v>41</v>
      </c>
      <c r="N88" s="68" t="s">
        <v>42</v>
      </c>
      <c r="O88" s="69" t="s">
        <v>43</v>
      </c>
      <c r="P88" s="71">
        <v>19480</v>
      </c>
      <c r="Q88" s="340">
        <f>+P88</f>
        <v>19480</v>
      </c>
      <c r="R88" s="334">
        <v>45069.743400000007</v>
      </c>
      <c r="S88" s="74">
        <v>45073.639400000007</v>
      </c>
      <c r="T88" s="75">
        <f>_xlfn.ISOWEEKNUM(R88)</f>
        <v>21</v>
      </c>
      <c r="U88" s="75">
        <f>_xlfn.ISOWEEKNUM(S88)</f>
        <v>21</v>
      </c>
      <c r="V88" s="335">
        <f>+S88+21</f>
        <v>45094.639400000007</v>
      </c>
      <c r="W88" s="72">
        <f>Q88/72</f>
        <v>270.55555555555554</v>
      </c>
      <c r="X88" s="356">
        <v>6009</v>
      </c>
      <c r="Y88" t="s">
        <v>549</v>
      </c>
    </row>
    <row r="89" spans="1:25" ht="13.5" customHeight="1" x14ac:dyDescent="0.25">
      <c r="A89" s="40"/>
      <c r="B89" s="306" t="s">
        <v>45</v>
      </c>
      <c r="C89" s="54" t="s">
        <v>36</v>
      </c>
      <c r="D89" s="312" t="s">
        <v>103</v>
      </c>
      <c r="E89" s="54">
        <v>2023</v>
      </c>
      <c r="F89" s="54"/>
      <c r="G89" s="54" t="s">
        <v>252</v>
      </c>
      <c r="H89" s="310" t="s">
        <v>292</v>
      </c>
      <c r="I89" s="304" t="s">
        <v>293</v>
      </c>
      <c r="J89" s="55" t="s">
        <v>39</v>
      </c>
      <c r="K89" s="55" t="s">
        <v>252</v>
      </c>
      <c r="L89" s="55" t="s">
        <v>158</v>
      </c>
      <c r="M89" s="55" t="s">
        <v>41</v>
      </c>
      <c r="N89" s="68" t="s">
        <v>42</v>
      </c>
      <c r="O89" s="69" t="s">
        <v>43</v>
      </c>
      <c r="P89" s="71">
        <v>16170</v>
      </c>
      <c r="Q89" s="340">
        <f>+P89</f>
        <v>16170</v>
      </c>
      <c r="R89" s="334">
        <v>45073.639400000007</v>
      </c>
      <c r="S89" s="74">
        <v>45076.873400000004</v>
      </c>
      <c r="T89" s="75">
        <f>_xlfn.ISOWEEKNUM(R89)</f>
        <v>21</v>
      </c>
      <c r="U89" s="75">
        <f>_xlfn.ISOWEEKNUM(S89)</f>
        <v>22</v>
      </c>
      <c r="V89" s="335">
        <f>+S89+21</f>
        <v>45097.873400000004</v>
      </c>
      <c r="W89" s="72">
        <f>Q89/72</f>
        <v>224.58333333333334</v>
      </c>
      <c r="X89" s="356">
        <v>6009</v>
      </c>
      <c r="Y89" t="s">
        <v>549</v>
      </c>
    </row>
    <row r="90" spans="1:25" ht="13.5" customHeight="1" x14ac:dyDescent="0.25">
      <c r="A90" s="40"/>
      <c r="B90" s="306" t="s">
        <v>48</v>
      </c>
      <c r="C90" s="54" t="s">
        <v>36</v>
      </c>
      <c r="D90" s="312" t="s">
        <v>103</v>
      </c>
      <c r="E90" s="54">
        <v>2023</v>
      </c>
      <c r="F90" s="54"/>
      <c r="G90" s="54" t="s">
        <v>252</v>
      </c>
      <c r="H90" s="310" t="s">
        <v>294</v>
      </c>
      <c r="I90" s="304" t="s">
        <v>295</v>
      </c>
      <c r="J90" s="55" t="s">
        <v>39</v>
      </c>
      <c r="K90" s="55" t="s">
        <v>256</v>
      </c>
      <c r="L90" s="55" t="s">
        <v>158</v>
      </c>
      <c r="M90" s="55" t="s">
        <v>41</v>
      </c>
      <c r="N90" s="68" t="s">
        <v>42</v>
      </c>
      <c r="O90" s="13" t="s">
        <v>262</v>
      </c>
      <c r="P90" s="71">
        <v>7714</v>
      </c>
      <c r="Q90" s="340">
        <f>+P90</f>
        <v>7714</v>
      </c>
      <c r="R90" s="334">
        <v>45076.873400000004</v>
      </c>
      <c r="S90" s="74">
        <v>45078.416200000007</v>
      </c>
      <c r="T90" s="75">
        <f>_xlfn.ISOWEEKNUM(R90)</f>
        <v>22</v>
      </c>
      <c r="U90" s="75">
        <f>_xlfn.ISOWEEKNUM(S90)</f>
        <v>22</v>
      </c>
      <c r="V90" s="335">
        <f>+S90+21</f>
        <v>45099.416200000007</v>
      </c>
      <c r="W90" s="72">
        <f>Q90/72</f>
        <v>107.13888888888889</v>
      </c>
      <c r="X90" s="354">
        <v>6244</v>
      </c>
      <c r="Y90" t="s">
        <v>547</v>
      </c>
    </row>
    <row r="91" spans="1:25" ht="13.5" customHeight="1" x14ac:dyDescent="0.25">
      <c r="A91" s="40"/>
      <c r="B91" s="306" t="s">
        <v>84</v>
      </c>
      <c r="C91" s="54" t="s">
        <v>36</v>
      </c>
      <c r="D91" s="312" t="s">
        <v>103</v>
      </c>
      <c r="E91" s="54">
        <v>2023</v>
      </c>
      <c r="F91" s="54"/>
      <c r="G91" s="54" t="s">
        <v>252</v>
      </c>
      <c r="H91" s="310" t="s">
        <v>296</v>
      </c>
      <c r="I91" s="304" t="s">
        <v>297</v>
      </c>
      <c r="J91" s="55" t="s">
        <v>39</v>
      </c>
      <c r="K91" s="55" t="s">
        <v>256</v>
      </c>
      <c r="L91" s="55" t="s">
        <v>158</v>
      </c>
      <c r="M91" s="55" t="s">
        <v>41</v>
      </c>
      <c r="N91" s="68" t="s">
        <v>42</v>
      </c>
      <c r="O91" s="13" t="s">
        <v>262</v>
      </c>
      <c r="P91" s="71">
        <v>9639</v>
      </c>
      <c r="Q91" s="340">
        <f>+P91</f>
        <v>9639</v>
      </c>
      <c r="R91" s="334">
        <v>45078.416200000007</v>
      </c>
      <c r="S91" s="74">
        <v>45080.344000000005</v>
      </c>
      <c r="T91" s="75">
        <f>_xlfn.ISOWEEKNUM(R91)</f>
        <v>22</v>
      </c>
      <c r="U91" s="75">
        <f>_xlfn.ISOWEEKNUM(S91)</f>
        <v>22</v>
      </c>
      <c r="V91" s="335">
        <f>+S91+21</f>
        <v>45101.344000000005</v>
      </c>
      <c r="W91" s="72">
        <f>Q91/72</f>
        <v>133.875</v>
      </c>
      <c r="X91" s="354">
        <v>6244</v>
      </c>
      <c r="Y91" t="s">
        <v>547</v>
      </c>
    </row>
    <row r="92" spans="1:25" ht="13.5" customHeight="1" x14ac:dyDescent="0.25">
      <c r="A92" s="40"/>
      <c r="B92" s="306" t="s">
        <v>45</v>
      </c>
      <c r="C92" s="54" t="s">
        <v>36</v>
      </c>
      <c r="D92" s="312" t="s">
        <v>103</v>
      </c>
      <c r="E92" s="54">
        <v>2023</v>
      </c>
      <c r="F92" s="54"/>
      <c r="G92" s="54" t="s">
        <v>252</v>
      </c>
      <c r="H92" s="304" t="s">
        <v>277</v>
      </c>
      <c r="I92" s="304" t="s">
        <v>278</v>
      </c>
      <c r="J92" s="55" t="s">
        <v>39</v>
      </c>
      <c r="K92" s="55" t="s">
        <v>256</v>
      </c>
      <c r="L92" s="55" t="s">
        <v>66</v>
      </c>
      <c r="M92" s="55" t="s">
        <v>41</v>
      </c>
      <c r="N92" s="68" t="s">
        <v>42</v>
      </c>
      <c r="O92" s="13" t="s">
        <v>71</v>
      </c>
      <c r="P92" s="71">
        <f>53197-P64</f>
        <v>-206139.33333333331</v>
      </c>
      <c r="Q92" s="340">
        <f>+P92</f>
        <v>-206139.33333333331</v>
      </c>
      <c r="R92" s="334">
        <v>45080.344000000005</v>
      </c>
      <c r="S92" s="74">
        <v>45088.932600000007</v>
      </c>
      <c r="T92" s="75">
        <f>_xlfn.ISOWEEKNUM(R92)</f>
        <v>22</v>
      </c>
      <c r="U92" s="75">
        <f>_xlfn.ISOWEEKNUM(S92)</f>
        <v>23</v>
      </c>
      <c r="V92" s="335">
        <f>+S92+21</f>
        <v>45109.932600000007</v>
      </c>
      <c r="W92" s="72">
        <f>Q92/72</f>
        <v>-2863.0462962962961</v>
      </c>
      <c r="X92" s="356">
        <v>6009</v>
      </c>
      <c r="Y92" t="s">
        <v>549</v>
      </c>
    </row>
    <row r="93" spans="1:25" ht="13.5" customHeight="1" x14ac:dyDescent="0.25">
      <c r="A93" s="40"/>
      <c r="B93" s="306" t="s">
        <v>48</v>
      </c>
      <c r="C93" s="54" t="s">
        <v>36</v>
      </c>
      <c r="D93" s="312" t="s">
        <v>103</v>
      </c>
      <c r="E93" s="54">
        <v>2023</v>
      </c>
      <c r="F93" s="54"/>
      <c r="G93" s="54" t="s">
        <v>252</v>
      </c>
      <c r="H93" s="304" t="s">
        <v>173</v>
      </c>
      <c r="I93" s="304" t="s">
        <v>99</v>
      </c>
      <c r="J93" s="55" t="s">
        <v>39</v>
      </c>
      <c r="K93" s="55" t="s">
        <v>256</v>
      </c>
      <c r="L93" s="55" t="s">
        <v>40</v>
      </c>
      <c r="M93" s="55" t="s">
        <v>41</v>
      </c>
      <c r="N93" s="68" t="s">
        <v>42</v>
      </c>
      <c r="O93" s="13" t="s">
        <v>262</v>
      </c>
      <c r="P93" s="71">
        <f>57335-P75</f>
        <v>39985.666666666672</v>
      </c>
      <c r="Q93" s="340">
        <f>+P93</f>
        <v>39985.666666666672</v>
      </c>
      <c r="R93" s="334">
        <v>45088.932600000007</v>
      </c>
      <c r="S93" s="74">
        <v>45095.157000000007</v>
      </c>
      <c r="T93" s="75">
        <f>_xlfn.ISOWEEKNUM(R93)</f>
        <v>23</v>
      </c>
      <c r="U93" s="75">
        <f>_xlfn.ISOWEEKNUM(S93)</f>
        <v>24</v>
      </c>
      <c r="V93" s="335">
        <f>+S93+21</f>
        <v>45116.157000000007</v>
      </c>
      <c r="W93" s="72">
        <f>Q93/72</f>
        <v>555.35648148148152</v>
      </c>
      <c r="X93" s="354">
        <v>6244</v>
      </c>
      <c r="Y93" t="s">
        <v>547</v>
      </c>
    </row>
    <row r="94" spans="1:25" ht="13.5" customHeight="1" x14ac:dyDescent="0.25">
      <c r="A94" s="40"/>
      <c r="B94" s="306" t="s">
        <v>105</v>
      </c>
      <c r="C94" s="54" t="s">
        <v>36</v>
      </c>
      <c r="D94" s="312" t="s">
        <v>103</v>
      </c>
      <c r="E94" s="54">
        <v>2023</v>
      </c>
      <c r="F94" s="54"/>
      <c r="G94" s="54" t="s">
        <v>252</v>
      </c>
      <c r="H94" s="304" t="s">
        <v>178</v>
      </c>
      <c r="I94" s="304"/>
      <c r="J94" s="55" t="s">
        <v>39</v>
      </c>
      <c r="K94" s="55" t="s">
        <v>256</v>
      </c>
      <c r="L94" s="55" t="s">
        <v>40</v>
      </c>
      <c r="M94" s="55" t="s">
        <v>41</v>
      </c>
      <c r="N94" s="68" t="s">
        <v>42</v>
      </c>
      <c r="O94" s="13" t="s">
        <v>262</v>
      </c>
      <c r="P94" s="71">
        <f>26410-P76</f>
        <v>50190</v>
      </c>
      <c r="Q94" s="340">
        <f>+P94</f>
        <v>50190</v>
      </c>
      <c r="R94" s="334">
        <v>45095.157000000007</v>
      </c>
      <c r="S94" s="74">
        <v>45097.107000000004</v>
      </c>
      <c r="T94" s="75">
        <f>_xlfn.ISOWEEKNUM(R94)</f>
        <v>24</v>
      </c>
      <c r="U94" s="75">
        <f>_xlfn.ISOWEEKNUM(S94)</f>
        <v>25</v>
      </c>
      <c r="V94" s="335">
        <f>+S94+21</f>
        <v>45118.107000000004</v>
      </c>
      <c r="W94" s="72">
        <f>Q94/72</f>
        <v>697.08333333333337</v>
      </c>
      <c r="X94" s="354">
        <v>6244</v>
      </c>
      <c r="Y94" t="s">
        <v>547</v>
      </c>
    </row>
    <row r="95" spans="1:25" x14ac:dyDescent="0.25">
      <c r="A95" s="40"/>
      <c r="B95" s="306" t="s">
        <v>84</v>
      </c>
      <c r="C95" s="54" t="s">
        <v>36</v>
      </c>
      <c r="D95" s="312" t="s">
        <v>103</v>
      </c>
      <c r="E95" s="54">
        <v>2023</v>
      </c>
      <c r="F95" s="54"/>
      <c r="G95" s="54" t="s">
        <v>252</v>
      </c>
      <c r="H95" s="304" t="s">
        <v>85</v>
      </c>
      <c r="I95" s="304"/>
      <c r="J95" s="55" t="s">
        <v>39</v>
      </c>
      <c r="K95" s="55" t="s">
        <v>256</v>
      </c>
      <c r="L95" s="55" t="s">
        <v>40</v>
      </c>
      <c r="M95" s="55" t="s">
        <v>41</v>
      </c>
      <c r="N95" s="68" t="s">
        <v>42</v>
      </c>
      <c r="O95" s="13" t="s">
        <v>262</v>
      </c>
      <c r="P95" s="71">
        <v>50464</v>
      </c>
      <c r="Q95" s="340">
        <f>+P95</f>
        <v>50464</v>
      </c>
      <c r="R95" s="334">
        <v>45097.107000000004</v>
      </c>
      <c r="S95" s="74">
        <v>45107.199800000002</v>
      </c>
      <c r="T95" s="75">
        <f>_xlfn.ISOWEEKNUM(R95)</f>
        <v>25</v>
      </c>
      <c r="U95" s="75">
        <f>_xlfn.ISOWEEKNUM(S95)</f>
        <v>26</v>
      </c>
      <c r="V95" s="335">
        <f>+S95+21</f>
        <v>45128.199800000002</v>
      </c>
      <c r="W95" s="72">
        <f>Q95/72</f>
        <v>700.88888888888891</v>
      </c>
      <c r="X95" s="354">
        <v>6244</v>
      </c>
      <c r="Y95" t="s">
        <v>547</v>
      </c>
    </row>
    <row r="96" spans="1:25" ht="15.75" thickBot="1" x14ac:dyDescent="0.3">
      <c r="A96" s="40"/>
      <c r="B96" s="313" t="s">
        <v>35</v>
      </c>
      <c r="C96" s="104" t="s">
        <v>36</v>
      </c>
      <c r="D96" s="315" t="s">
        <v>103</v>
      </c>
      <c r="E96" s="104">
        <v>2023</v>
      </c>
      <c r="F96" s="104"/>
      <c r="G96" s="104" t="s">
        <v>252</v>
      </c>
      <c r="H96" s="316" t="s">
        <v>298</v>
      </c>
      <c r="I96" s="314" t="s">
        <v>299</v>
      </c>
      <c r="J96" s="105" t="s">
        <v>39</v>
      </c>
      <c r="K96" s="24" t="s">
        <v>300</v>
      </c>
      <c r="L96" s="105" t="s">
        <v>158</v>
      </c>
      <c r="M96" s="105" t="s">
        <v>41</v>
      </c>
      <c r="N96" s="106" t="s">
        <v>42</v>
      </c>
      <c r="O96" s="86" t="s">
        <v>43</v>
      </c>
      <c r="P96" s="109">
        <v>17280</v>
      </c>
      <c r="Q96" s="341">
        <f>+P96</f>
        <v>17280</v>
      </c>
      <c r="R96" s="336">
        <v>45107.199800000002</v>
      </c>
      <c r="S96" s="337">
        <v>45110.6558</v>
      </c>
      <c r="T96" s="338">
        <f>_xlfn.ISOWEEKNUM(R96)</f>
        <v>26</v>
      </c>
      <c r="U96" s="351">
        <f>_xlfn.ISOWEEKNUM(S96)</f>
        <v>27</v>
      </c>
      <c r="V96" s="339">
        <f>+S96+21</f>
        <v>45131.6558</v>
      </c>
      <c r="W96" s="72">
        <f>Q96/72</f>
        <v>240</v>
      </c>
      <c r="X96" s="356">
        <v>6009</v>
      </c>
      <c r="Y96" t="s">
        <v>549</v>
      </c>
    </row>
    <row r="97" spans="1:23" ht="15.75" thickBot="1" x14ac:dyDescent="0.3">
      <c r="A97" s="40"/>
      <c r="P97" s="122" t="e">
        <f>SUM(P7:P96)</f>
        <v>#REF!</v>
      </c>
      <c r="Q97" s="122" t="e">
        <f>SUM(Q7:Q96)</f>
        <v>#REF!</v>
      </c>
      <c r="W97" s="72" t="e">
        <f>Q97/72</f>
        <v>#REF!</v>
      </c>
    </row>
    <row r="98" spans="1:23" x14ac:dyDescent="0.25">
      <c r="B98" s="305"/>
      <c r="P98" s="26"/>
      <c r="Q98" s="26"/>
      <c r="W98" s="72">
        <f>Q98/72</f>
        <v>0</v>
      </c>
    </row>
    <row r="99" spans="1:23" x14ac:dyDescent="0.25">
      <c r="B99" s="305"/>
      <c r="P99" s="254"/>
      <c r="Q99" s="26"/>
      <c r="W99" s="72">
        <f>Q99/72</f>
        <v>0</v>
      </c>
    </row>
    <row r="100" spans="1:23" x14ac:dyDescent="0.25">
      <c r="B100" s="305"/>
      <c r="W100" s="72">
        <f>Q100/72</f>
        <v>0</v>
      </c>
    </row>
    <row r="101" spans="1:23" x14ac:dyDescent="0.25">
      <c r="B101" s="305"/>
      <c r="P101" s="26"/>
      <c r="W101" s="72">
        <f>Q101/72</f>
        <v>0</v>
      </c>
    </row>
    <row r="102" spans="1:23" x14ac:dyDescent="0.25">
      <c r="B102" s="305"/>
      <c r="W102" s="72">
        <f>Q102/72</f>
        <v>0</v>
      </c>
    </row>
    <row r="103" spans="1:23" x14ac:dyDescent="0.25">
      <c r="B103" s="305"/>
      <c r="P103" s="26"/>
      <c r="W103" s="72">
        <f>Q103/72</f>
        <v>0</v>
      </c>
    </row>
    <row r="104" spans="1:23" x14ac:dyDescent="0.25">
      <c r="B104" s="305"/>
      <c r="W104" s="72">
        <f>Q104/72</f>
        <v>0</v>
      </c>
    </row>
    <row r="105" spans="1:23" x14ac:dyDescent="0.25">
      <c r="P105" s="26"/>
    </row>
  </sheetData>
  <conditionalFormatting sqref="O30:O31 O23 O51 O41:O43 O34 O13 O69:O70 O15 O45:O47 O72:O73 O20:O21 O7:O11 O63:O67 O61 O75:O78 O80:O82 O96 O86:O87">
    <cfRule type="containsText" dxfId="379" priority="195" operator="containsText" text="Naranja">
      <formula>NOT(ISERROR(SEARCH("Naranja",O7)))</formula>
    </cfRule>
  </conditionalFormatting>
  <conditionalFormatting sqref="O30:O31 O23 O51 O41:O43 O34 O13 O69:O70 O15 O45:O47 O72:O73 O20:O21 O7:O11 O63:O67 O61 O75:O78 O80:O82 O96 O86:O87">
    <cfRule type="containsText" dxfId="378" priority="194" operator="containsText" text="Verde">
      <formula>NOT(ISERROR(SEARCH("Verde",O7)))</formula>
    </cfRule>
  </conditionalFormatting>
  <conditionalFormatting sqref="O30:O31 O23 O51 O41:O43 O34 O13 O69:O70 O15 O45:O47 O72:O73 O20:O21 O7:O11 O63:O67 O61 O75:O78 O80:O82 O96 O86:O87">
    <cfRule type="containsText" dxfId="377" priority="193" operator="containsText" text="Rojo">
      <formula>NOT(ISERROR(SEARCH("Rojo",O7)))</formula>
    </cfRule>
  </conditionalFormatting>
  <conditionalFormatting sqref="O16:O17">
    <cfRule type="containsText" dxfId="376" priority="192" operator="containsText" text="Naranja">
      <formula>NOT(ISERROR(SEARCH("Naranja",O16)))</formula>
    </cfRule>
  </conditionalFormatting>
  <conditionalFormatting sqref="O16:O17">
    <cfRule type="containsText" dxfId="375" priority="191" operator="containsText" text="Verde">
      <formula>NOT(ISERROR(SEARCH("Verde",O16)))</formula>
    </cfRule>
  </conditionalFormatting>
  <conditionalFormatting sqref="O16:O17">
    <cfRule type="containsText" dxfId="374" priority="190" operator="containsText" text="Rojo">
      <formula>NOT(ISERROR(SEARCH("Rojo",O16)))</formula>
    </cfRule>
  </conditionalFormatting>
  <conditionalFormatting sqref="O13 O15">
    <cfRule type="containsText" dxfId="373" priority="189" operator="containsText" text="Naranja">
      <formula>NOT(ISERROR(SEARCH("Naranja",O13)))</formula>
    </cfRule>
  </conditionalFormatting>
  <conditionalFormatting sqref="O13 O15">
    <cfRule type="containsText" dxfId="372" priority="188" operator="containsText" text="Verde">
      <formula>NOT(ISERROR(SEARCH("Verde",O13)))</formula>
    </cfRule>
  </conditionalFormatting>
  <conditionalFormatting sqref="O13 O15">
    <cfRule type="containsText" dxfId="371" priority="187" operator="containsText" text="Rojo">
      <formula>NOT(ISERROR(SEARCH("Rojo",O13)))</formula>
    </cfRule>
  </conditionalFormatting>
  <conditionalFormatting sqref="O18:O20">
    <cfRule type="containsText" dxfId="370" priority="186" operator="containsText" text="Naranja">
      <formula>NOT(ISERROR(SEARCH("Naranja",O18)))</formula>
    </cfRule>
  </conditionalFormatting>
  <conditionalFormatting sqref="O18:O20">
    <cfRule type="containsText" dxfId="369" priority="185" operator="containsText" text="Verde">
      <formula>NOT(ISERROR(SEARCH("Verde",O18)))</formula>
    </cfRule>
  </conditionalFormatting>
  <conditionalFormatting sqref="O18:O20">
    <cfRule type="containsText" dxfId="368" priority="184" operator="containsText" text="Rojo">
      <formula>NOT(ISERROR(SEARCH("Rojo",O18)))</formula>
    </cfRule>
  </conditionalFormatting>
  <conditionalFormatting sqref="O36:O37 O71:O72">
    <cfRule type="containsText" dxfId="367" priority="183" operator="containsText" text="Naranja">
      <formula>NOT(ISERROR(SEARCH("Naranja",O36)))</formula>
    </cfRule>
  </conditionalFormatting>
  <conditionalFormatting sqref="O36:O37 O71:O72">
    <cfRule type="containsText" dxfId="366" priority="182" operator="containsText" text="Verde">
      <formula>NOT(ISERROR(SEARCH("Verde",O36)))</formula>
    </cfRule>
  </conditionalFormatting>
  <conditionalFormatting sqref="O36:O37 O71:O72">
    <cfRule type="containsText" dxfId="365" priority="181" operator="containsText" text="Rojo">
      <formula>NOT(ISERROR(SEARCH("Rojo",O36)))</formula>
    </cfRule>
  </conditionalFormatting>
  <conditionalFormatting sqref="O29">
    <cfRule type="containsText" dxfId="364" priority="180" operator="containsText" text="Naranja">
      <formula>NOT(ISERROR(SEARCH("Naranja",O29)))</formula>
    </cfRule>
  </conditionalFormatting>
  <conditionalFormatting sqref="O29">
    <cfRule type="containsText" dxfId="363" priority="179" operator="containsText" text="Verde">
      <formula>NOT(ISERROR(SEARCH("Verde",O29)))</formula>
    </cfRule>
  </conditionalFormatting>
  <conditionalFormatting sqref="O29">
    <cfRule type="containsText" dxfId="362" priority="178" operator="containsText" text="Rojo">
      <formula>NOT(ISERROR(SEARCH("Rojo",O29)))</formula>
    </cfRule>
  </conditionalFormatting>
  <conditionalFormatting sqref="O29">
    <cfRule type="containsText" dxfId="361" priority="177" operator="containsText" text="Naranja">
      <formula>NOT(ISERROR(SEARCH("Naranja",O29)))</formula>
    </cfRule>
  </conditionalFormatting>
  <conditionalFormatting sqref="O29">
    <cfRule type="containsText" dxfId="360" priority="176" operator="containsText" text="Verde">
      <formula>NOT(ISERROR(SEARCH("Verde",O29)))</formula>
    </cfRule>
  </conditionalFormatting>
  <conditionalFormatting sqref="O29">
    <cfRule type="containsText" dxfId="359" priority="175" operator="containsText" text="Rojo">
      <formula>NOT(ISERROR(SEARCH("Rojo",O29)))</formula>
    </cfRule>
  </conditionalFormatting>
  <conditionalFormatting sqref="O28">
    <cfRule type="containsText" dxfId="358" priority="174" operator="containsText" text="Naranja">
      <formula>NOT(ISERROR(SEARCH("Naranja",O28)))</formula>
    </cfRule>
  </conditionalFormatting>
  <conditionalFormatting sqref="O28">
    <cfRule type="containsText" dxfId="357" priority="173" operator="containsText" text="Verde">
      <formula>NOT(ISERROR(SEARCH("Verde",O28)))</formula>
    </cfRule>
  </conditionalFormatting>
  <conditionalFormatting sqref="O28">
    <cfRule type="containsText" dxfId="356" priority="172" operator="containsText" text="Rojo">
      <formula>NOT(ISERROR(SEARCH("Rojo",O28)))</formula>
    </cfRule>
  </conditionalFormatting>
  <conditionalFormatting sqref="O28">
    <cfRule type="containsText" dxfId="355" priority="171" operator="containsText" text="Naranja">
      <formula>NOT(ISERROR(SEARCH("Naranja",O28)))</formula>
    </cfRule>
  </conditionalFormatting>
  <conditionalFormatting sqref="O28">
    <cfRule type="containsText" dxfId="354" priority="170" operator="containsText" text="Verde">
      <formula>NOT(ISERROR(SEARCH("Verde",O28)))</formula>
    </cfRule>
  </conditionalFormatting>
  <conditionalFormatting sqref="O28">
    <cfRule type="containsText" dxfId="353" priority="169" operator="containsText" text="Rojo">
      <formula>NOT(ISERROR(SEARCH("Rojo",O28)))</formula>
    </cfRule>
  </conditionalFormatting>
  <conditionalFormatting sqref="O78">
    <cfRule type="containsText" dxfId="352" priority="168" operator="containsText" text="Naranja">
      <formula>NOT(ISERROR(SEARCH("Naranja",O78)))</formula>
    </cfRule>
  </conditionalFormatting>
  <conditionalFormatting sqref="O78">
    <cfRule type="containsText" dxfId="351" priority="167" operator="containsText" text="Verde">
      <formula>NOT(ISERROR(SEARCH("Verde",O78)))</formula>
    </cfRule>
  </conditionalFormatting>
  <conditionalFormatting sqref="O78">
    <cfRule type="containsText" dxfId="350" priority="166" operator="containsText" text="Rojo">
      <formula>NOT(ISERROR(SEARCH("Rojo",O78)))</formula>
    </cfRule>
  </conditionalFormatting>
  <conditionalFormatting sqref="O80">
    <cfRule type="containsText" dxfId="349" priority="165" operator="containsText" text="Naranja">
      <formula>NOT(ISERROR(SEARCH("Naranja",O80)))</formula>
    </cfRule>
  </conditionalFormatting>
  <conditionalFormatting sqref="O80">
    <cfRule type="containsText" dxfId="348" priority="164" operator="containsText" text="Verde">
      <formula>NOT(ISERROR(SEARCH("Verde",O80)))</formula>
    </cfRule>
  </conditionalFormatting>
  <conditionalFormatting sqref="O80">
    <cfRule type="containsText" dxfId="347" priority="163" operator="containsText" text="Rojo">
      <formula>NOT(ISERROR(SEARCH("Rojo",O80)))</formula>
    </cfRule>
  </conditionalFormatting>
  <conditionalFormatting sqref="O83">
    <cfRule type="containsText" dxfId="346" priority="162" operator="containsText" text="Naranja">
      <formula>NOT(ISERROR(SEARCH("Naranja",O83)))</formula>
    </cfRule>
  </conditionalFormatting>
  <conditionalFormatting sqref="O83">
    <cfRule type="containsText" dxfId="345" priority="161" operator="containsText" text="Verde">
      <formula>NOT(ISERROR(SEARCH("Verde",O83)))</formula>
    </cfRule>
  </conditionalFormatting>
  <conditionalFormatting sqref="O83">
    <cfRule type="containsText" dxfId="344" priority="160" operator="containsText" text="Rojo">
      <formula>NOT(ISERROR(SEARCH("Rojo",O83)))</formula>
    </cfRule>
  </conditionalFormatting>
  <conditionalFormatting sqref="O32">
    <cfRule type="containsText" dxfId="343" priority="159" operator="containsText" text="Naranja">
      <formula>NOT(ISERROR(SEARCH("Naranja",O32)))</formula>
    </cfRule>
  </conditionalFormatting>
  <conditionalFormatting sqref="O32">
    <cfRule type="containsText" dxfId="342" priority="158" operator="containsText" text="Verde">
      <formula>NOT(ISERROR(SEARCH("Verde",O32)))</formula>
    </cfRule>
  </conditionalFormatting>
  <conditionalFormatting sqref="O32">
    <cfRule type="containsText" dxfId="341" priority="157" operator="containsText" text="Rojo">
      <formula>NOT(ISERROR(SEARCH("Rojo",O32)))</formula>
    </cfRule>
  </conditionalFormatting>
  <conditionalFormatting sqref="O89">
    <cfRule type="containsText" dxfId="340" priority="156" operator="containsText" text="Naranja">
      <formula>NOT(ISERROR(SEARCH("Naranja",O89)))</formula>
    </cfRule>
  </conditionalFormatting>
  <conditionalFormatting sqref="O89">
    <cfRule type="containsText" dxfId="339" priority="155" operator="containsText" text="Verde">
      <formula>NOT(ISERROR(SEARCH("Verde",O89)))</formula>
    </cfRule>
  </conditionalFormatting>
  <conditionalFormatting sqref="O89">
    <cfRule type="containsText" dxfId="338" priority="154" operator="containsText" text="Rojo">
      <formula>NOT(ISERROR(SEARCH("Rojo",O89)))</formula>
    </cfRule>
  </conditionalFormatting>
  <conditionalFormatting sqref="O39">
    <cfRule type="containsText" dxfId="337" priority="153" operator="containsText" text="Naranja">
      <formula>NOT(ISERROR(SEARCH("Naranja",O39)))</formula>
    </cfRule>
  </conditionalFormatting>
  <conditionalFormatting sqref="O39">
    <cfRule type="containsText" dxfId="336" priority="152" operator="containsText" text="Verde">
      <formula>NOT(ISERROR(SEARCH("Verde",O39)))</formula>
    </cfRule>
  </conditionalFormatting>
  <conditionalFormatting sqref="O39">
    <cfRule type="containsText" dxfId="335" priority="151" operator="containsText" text="Rojo">
      <formula>NOT(ISERROR(SEARCH("Rojo",O39)))</formula>
    </cfRule>
  </conditionalFormatting>
  <conditionalFormatting sqref="O40">
    <cfRule type="containsText" dxfId="334" priority="150" operator="containsText" text="Naranja">
      <formula>NOT(ISERROR(SEARCH("Naranja",O40)))</formula>
    </cfRule>
  </conditionalFormatting>
  <conditionalFormatting sqref="O40">
    <cfRule type="containsText" dxfId="333" priority="149" operator="containsText" text="Verde">
      <formula>NOT(ISERROR(SEARCH("Verde",O40)))</formula>
    </cfRule>
  </conditionalFormatting>
  <conditionalFormatting sqref="O40">
    <cfRule type="containsText" dxfId="332" priority="148" operator="containsText" text="Rojo">
      <formula>NOT(ISERROR(SEARCH("Rojo",O40)))</formula>
    </cfRule>
  </conditionalFormatting>
  <conditionalFormatting sqref="O79:O81">
    <cfRule type="containsText" dxfId="331" priority="147" operator="containsText" text="Naranja">
      <formula>NOT(ISERROR(SEARCH("Naranja",O79)))</formula>
    </cfRule>
  </conditionalFormatting>
  <conditionalFormatting sqref="O79:O81">
    <cfRule type="containsText" dxfId="330" priority="146" operator="containsText" text="Verde">
      <formula>NOT(ISERROR(SEARCH("Verde",O79)))</formula>
    </cfRule>
  </conditionalFormatting>
  <conditionalFormatting sqref="O79:O81">
    <cfRule type="containsText" dxfId="329" priority="145" operator="containsText" text="Rojo">
      <formula>NOT(ISERROR(SEARCH("Rojo",O79)))</formula>
    </cfRule>
  </conditionalFormatting>
  <conditionalFormatting sqref="O52">
    <cfRule type="containsText" dxfId="328" priority="144" operator="containsText" text="Naranja">
      <formula>NOT(ISERROR(SEARCH("Naranja",O52)))</formula>
    </cfRule>
  </conditionalFormatting>
  <conditionalFormatting sqref="O52">
    <cfRule type="containsText" dxfId="327" priority="143" operator="containsText" text="Verde">
      <formula>NOT(ISERROR(SEARCH("Verde",O52)))</formula>
    </cfRule>
  </conditionalFormatting>
  <conditionalFormatting sqref="O52">
    <cfRule type="containsText" dxfId="326" priority="142" operator="containsText" text="Rojo">
      <formula>NOT(ISERROR(SEARCH("Rojo",O52)))</formula>
    </cfRule>
  </conditionalFormatting>
  <conditionalFormatting sqref="O46">
    <cfRule type="containsText" dxfId="325" priority="141" operator="containsText" text="Naranja">
      <formula>NOT(ISERROR(SEARCH("Naranja",O46)))</formula>
    </cfRule>
  </conditionalFormatting>
  <conditionalFormatting sqref="O46">
    <cfRule type="containsText" dxfId="324" priority="140" operator="containsText" text="Verde">
      <formula>NOT(ISERROR(SEARCH("Verde",O46)))</formula>
    </cfRule>
  </conditionalFormatting>
  <conditionalFormatting sqref="O46">
    <cfRule type="containsText" dxfId="323" priority="139" operator="containsText" text="Rojo">
      <formula>NOT(ISERROR(SEARCH("Rojo",O46)))</formula>
    </cfRule>
  </conditionalFormatting>
  <conditionalFormatting sqref="O90:O91">
    <cfRule type="containsText" dxfId="322" priority="138" operator="containsText" text="Naranja">
      <formula>NOT(ISERROR(SEARCH("Naranja",O90)))</formula>
    </cfRule>
  </conditionalFormatting>
  <conditionalFormatting sqref="O90:O91">
    <cfRule type="containsText" dxfId="321" priority="137" operator="containsText" text="Verde">
      <formula>NOT(ISERROR(SEARCH("Verde",O90)))</formula>
    </cfRule>
  </conditionalFormatting>
  <conditionalFormatting sqref="O90:O91">
    <cfRule type="containsText" dxfId="320" priority="136" operator="containsText" text="Rojo">
      <formula>NOT(ISERROR(SEARCH("Rojo",O90)))</formula>
    </cfRule>
  </conditionalFormatting>
  <conditionalFormatting sqref="O53">
    <cfRule type="containsText" dxfId="319" priority="135" operator="containsText" text="Naranja">
      <formula>NOT(ISERROR(SEARCH("Naranja",O53)))</formula>
    </cfRule>
  </conditionalFormatting>
  <conditionalFormatting sqref="O53">
    <cfRule type="containsText" dxfId="318" priority="134" operator="containsText" text="Verde">
      <formula>NOT(ISERROR(SEARCH("Verde",O53)))</formula>
    </cfRule>
  </conditionalFormatting>
  <conditionalFormatting sqref="O53">
    <cfRule type="containsText" dxfId="317" priority="133" operator="containsText" text="Rojo">
      <formula>NOT(ISERROR(SEARCH("Rojo",O53)))</formula>
    </cfRule>
  </conditionalFormatting>
  <conditionalFormatting sqref="O88">
    <cfRule type="containsText" dxfId="316" priority="132" operator="containsText" text="Naranja">
      <formula>NOT(ISERROR(SEARCH("Naranja",O88)))</formula>
    </cfRule>
  </conditionalFormatting>
  <conditionalFormatting sqref="O88">
    <cfRule type="containsText" dxfId="315" priority="131" operator="containsText" text="Verde">
      <formula>NOT(ISERROR(SEARCH("Verde",O88)))</formula>
    </cfRule>
  </conditionalFormatting>
  <conditionalFormatting sqref="O88">
    <cfRule type="containsText" dxfId="314" priority="130" operator="containsText" text="Rojo">
      <formula>NOT(ISERROR(SEARCH("Rojo",O88)))</formula>
    </cfRule>
  </conditionalFormatting>
  <conditionalFormatting sqref="O55">
    <cfRule type="containsText" dxfId="313" priority="129" operator="containsText" text="Naranja">
      <formula>NOT(ISERROR(SEARCH("Naranja",O55)))</formula>
    </cfRule>
  </conditionalFormatting>
  <conditionalFormatting sqref="O55">
    <cfRule type="containsText" dxfId="312" priority="128" operator="containsText" text="Verde">
      <formula>NOT(ISERROR(SEARCH("Verde",O55)))</formula>
    </cfRule>
  </conditionalFormatting>
  <conditionalFormatting sqref="O55">
    <cfRule type="containsText" dxfId="311" priority="127" operator="containsText" text="Rojo">
      <formula>NOT(ISERROR(SEARCH("Rojo",O55)))</formula>
    </cfRule>
  </conditionalFormatting>
  <conditionalFormatting sqref="O59">
    <cfRule type="containsText" dxfId="310" priority="126" operator="containsText" text="Naranja">
      <formula>NOT(ISERROR(SEARCH("Naranja",O59)))</formula>
    </cfRule>
  </conditionalFormatting>
  <conditionalFormatting sqref="O59">
    <cfRule type="containsText" dxfId="309" priority="125" operator="containsText" text="Verde">
      <formula>NOT(ISERROR(SEARCH("Verde",O59)))</formula>
    </cfRule>
  </conditionalFormatting>
  <conditionalFormatting sqref="O59">
    <cfRule type="containsText" dxfId="308" priority="124" operator="containsText" text="Rojo">
      <formula>NOT(ISERROR(SEARCH("Rojo",O59)))</formula>
    </cfRule>
  </conditionalFormatting>
  <conditionalFormatting sqref="O64">
    <cfRule type="containsText" dxfId="307" priority="123" operator="containsText" text="Naranja">
      <formula>NOT(ISERROR(SEARCH("Naranja",O64)))</formula>
    </cfRule>
  </conditionalFormatting>
  <conditionalFormatting sqref="O64">
    <cfRule type="containsText" dxfId="306" priority="122" operator="containsText" text="Verde">
      <formula>NOT(ISERROR(SEARCH("Verde",O64)))</formula>
    </cfRule>
  </conditionalFormatting>
  <conditionalFormatting sqref="O64">
    <cfRule type="containsText" dxfId="305" priority="121" operator="containsText" text="Rojo">
      <formula>NOT(ISERROR(SEARCH("Rojo",O64)))</formula>
    </cfRule>
  </conditionalFormatting>
  <conditionalFormatting sqref="O92">
    <cfRule type="containsText" dxfId="304" priority="120" operator="containsText" text="Naranja">
      <formula>NOT(ISERROR(SEARCH("Naranja",O92)))</formula>
    </cfRule>
  </conditionalFormatting>
  <conditionalFormatting sqref="O92">
    <cfRule type="containsText" dxfId="303" priority="119" operator="containsText" text="Verde">
      <formula>NOT(ISERROR(SEARCH("Verde",O92)))</formula>
    </cfRule>
  </conditionalFormatting>
  <conditionalFormatting sqref="O92">
    <cfRule type="containsText" dxfId="302" priority="118" operator="containsText" text="Rojo">
      <formula>NOT(ISERROR(SEARCH("Rojo",O92)))</formula>
    </cfRule>
  </conditionalFormatting>
  <conditionalFormatting sqref="O84">
    <cfRule type="containsText" dxfId="301" priority="117" operator="containsText" text="Naranja">
      <formula>NOT(ISERROR(SEARCH("Naranja",O84)))</formula>
    </cfRule>
  </conditionalFormatting>
  <conditionalFormatting sqref="O84">
    <cfRule type="containsText" dxfId="300" priority="116" operator="containsText" text="Verde">
      <formula>NOT(ISERROR(SEARCH("Verde",O84)))</formula>
    </cfRule>
  </conditionalFormatting>
  <conditionalFormatting sqref="O84">
    <cfRule type="containsText" dxfId="299" priority="115" operator="containsText" text="Rojo">
      <formula>NOT(ISERROR(SEARCH("Rojo",O84)))</formula>
    </cfRule>
  </conditionalFormatting>
  <conditionalFormatting sqref="O93">
    <cfRule type="containsText" dxfId="298" priority="114" operator="containsText" text="Naranja">
      <formula>NOT(ISERROR(SEARCH("Naranja",O93)))</formula>
    </cfRule>
  </conditionalFormatting>
  <conditionalFormatting sqref="O93">
    <cfRule type="containsText" dxfId="297" priority="113" operator="containsText" text="Verde">
      <formula>NOT(ISERROR(SEARCH("Verde",O93)))</formula>
    </cfRule>
  </conditionalFormatting>
  <conditionalFormatting sqref="O93">
    <cfRule type="containsText" dxfId="296" priority="112" operator="containsText" text="Rojo">
      <formula>NOT(ISERROR(SEARCH("Rojo",O93)))</formula>
    </cfRule>
  </conditionalFormatting>
  <conditionalFormatting sqref="O77">
    <cfRule type="containsText" dxfId="295" priority="111" operator="containsText" text="Naranja">
      <formula>NOT(ISERROR(SEARCH("Naranja",O77)))</formula>
    </cfRule>
  </conditionalFormatting>
  <conditionalFormatting sqref="O77">
    <cfRule type="containsText" dxfId="294" priority="110" operator="containsText" text="Verde">
      <formula>NOT(ISERROR(SEARCH("Verde",O77)))</formula>
    </cfRule>
  </conditionalFormatting>
  <conditionalFormatting sqref="O77">
    <cfRule type="containsText" dxfId="293" priority="109" operator="containsText" text="Rojo">
      <formula>NOT(ISERROR(SEARCH("Rojo",O77)))</formula>
    </cfRule>
  </conditionalFormatting>
  <conditionalFormatting sqref="O94">
    <cfRule type="containsText" dxfId="292" priority="108" operator="containsText" text="Naranja">
      <formula>NOT(ISERROR(SEARCH("Naranja",O94)))</formula>
    </cfRule>
  </conditionalFormatting>
  <conditionalFormatting sqref="O94">
    <cfRule type="containsText" dxfId="291" priority="107" operator="containsText" text="Verde">
      <formula>NOT(ISERROR(SEARCH("Verde",O94)))</formula>
    </cfRule>
  </conditionalFormatting>
  <conditionalFormatting sqref="O94">
    <cfRule type="containsText" dxfId="290" priority="106" operator="containsText" text="Rojo">
      <formula>NOT(ISERROR(SEARCH("Rojo",O94)))</formula>
    </cfRule>
  </conditionalFormatting>
  <conditionalFormatting sqref="O72">
    <cfRule type="containsText" dxfId="289" priority="105" operator="containsText" text="Naranja">
      <formula>NOT(ISERROR(SEARCH("Naranja",O72)))</formula>
    </cfRule>
  </conditionalFormatting>
  <conditionalFormatting sqref="O72">
    <cfRule type="containsText" dxfId="288" priority="104" operator="containsText" text="Verde">
      <formula>NOT(ISERROR(SEARCH("Verde",O72)))</formula>
    </cfRule>
  </conditionalFormatting>
  <conditionalFormatting sqref="O72">
    <cfRule type="containsText" dxfId="287" priority="103" operator="containsText" text="Rojo">
      <formula>NOT(ISERROR(SEARCH("Rojo",O72)))</formula>
    </cfRule>
  </conditionalFormatting>
  <conditionalFormatting sqref="O47">
    <cfRule type="containsText" dxfId="286" priority="102" operator="containsText" text="Naranja">
      <formula>NOT(ISERROR(SEARCH("Naranja",O47)))</formula>
    </cfRule>
  </conditionalFormatting>
  <conditionalFormatting sqref="O47">
    <cfRule type="containsText" dxfId="285" priority="101" operator="containsText" text="Verde">
      <formula>NOT(ISERROR(SEARCH("Verde",O47)))</formula>
    </cfRule>
  </conditionalFormatting>
  <conditionalFormatting sqref="O47">
    <cfRule type="containsText" dxfId="284" priority="100" operator="containsText" text="Rojo">
      <formula>NOT(ISERROR(SEARCH("Rojo",O47)))</formula>
    </cfRule>
  </conditionalFormatting>
  <conditionalFormatting sqref="O51">
    <cfRule type="containsText" dxfId="283" priority="99" operator="containsText" text="Naranja">
      <formula>NOT(ISERROR(SEARCH("Naranja",O51)))</formula>
    </cfRule>
  </conditionalFormatting>
  <conditionalFormatting sqref="O51">
    <cfRule type="containsText" dxfId="282" priority="98" operator="containsText" text="Verde">
      <formula>NOT(ISERROR(SEARCH("Verde",O51)))</formula>
    </cfRule>
  </conditionalFormatting>
  <conditionalFormatting sqref="O51">
    <cfRule type="containsText" dxfId="281" priority="97" operator="containsText" text="Rojo">
      <formula>NOT(ISERROR(SEARCH("Rojo",O51)))</formula>
    </cfRule>
  </conditionalFormatting>
  <conditionalFormatting sqref="O60:O61">
    <cfRule type="containsText" dxfId="280" priority="96" operator="containsText" text="Naranja">
      <formula>NOT(ISERROR(SEARCH("Naranja",O60)))</formula>
    </cfRule>
  </conditionalFormatting>
  <conditionalFormatting sqref="O60:O61">
    <cfRule type="containsText" dxfId="279" priority="95" operator="containsText" text="Verde">
      <formula>NOT(ISERROR(SEARCH("Verde",O60)))</formula>
    </cfRule>
  </conditionalFormatting>
  <conditionalFormatting sqref="O60:O61">
    <cfRule type="containsText" dxfId="278" priority="94" operator="containsText" text="Rojo">
      <formula>NOT(ISERROR(SEARCH("Rojo",O60)))</formula>
    </cfRule>
  </conditionalFormatting>
  <conditionalFormatting sqref="O25">
    <cfRule type="containsText" dxfId="277" priority="93" operator="containsText" text="Naranja">
      <formula>NOT(ISERROR(SEARCH("Naranja",O25)))</formula>
    </cfRule>
  </conditionalFormatting>
  <conditionalFormatting sqref="O25">
    <cfRule type="containsText" dxfId="276" priority="92" operator="containsText" text="Verde">
      <formula>NOT(ISERROR(SEARCH("Verde",O25)))</formula>
    </cfRule>
  </conditionalFormatting>
  <conditionalFormatting sqref="O25">
    <cfRule type="containsText" dxfId="275" priority="91" operator="containsText" text="Rojo">
      <formula>NOT(ISERROR(SEARCH("Rojo",O25)))</formula>
    </cfRule>
  </conditionalFormatting>
  <conditionalFormatting sqref="O24">
    <cfRule type="containsText" dxfId="274" priority="90" operator="containsText" text="Naranja">
      <formula>NOT(ISERROR(SEARCH("Naranja",O24)))</formula>
    </cfRule>
  </conditionalFormatting>
  <conditionalFormatting sqref="O24">
    <cfRule type="containsText" dxfId="273" priority="89" operator="containsText" text="Verde">
      <formula>NOT(ISERROR(SEARCH("Verde",O24)))</formula>
    </cfRule>
  </conditionalFormatting>
  <conditionalFormatting sqref="O24">
    <cfRule type="containsText" dxfId="272" priority="88" operator="containsText" text="Rojo">
      <formula>NOT(ISERROR(SEARCH("Rojo",O24)))</formula>
    </cfRule>
  </conditionalFormatting>
  <conditionalFormatting sqref="O22">
    <cfRule type="containsText" dxfId="271" priority="87" operator="containsText" text="Naranja">
      <formula>NOT(ISERROR(SEARCH("Naranja",O22)))</formula>
    </cfRule>
  </conditionalFormatting>
  <conditionalFormatting sqref="O22">
    <cfRule type="containsText" dxfId="270" priority="86" operator="containsText" text="Verde">
      <formula>NOT(ISERROR(SEARCH("Verde",O22)))</formula>
    </cfRule>
  </conditionalFormatting>
  <conditionalFormatting sqref="O22">
    <cfRule type="containsText" dxfId="269" priority="85" operator="containsText" text="Rojo">
      <formula>NOT(ISERROR(SEARCH("Rojo",O22)))</formula>
    </cfRule>
  </conditionalFormatting>
  <conditionalFormatting sqref="O26">
    <cfRule type="containsText" dxfId="268" priority="84" operator="containsText" text="Naranja">
      <formula>NOT(ISERROR(SEARCH("Naranja",O26)))</formula>
    </cfRule>
  </conditionalFormatting>
  <conditionalFormatting sqref="O26">
    <cfRule type="containsText" dxfId="267" priority="83" operator="containsText" text="Verde">
      <formula>NOT(ISERROR(SEARCH("Verde",O26)))</formula>
    </cfRule>
  </conditionalFormatting>
  <conditionalFormatting sqref="O26">
    <cfRule type="containsText" dxfId="266" priority="82" operator="containsText" text="Rojo">
      <formula>NOT(ISERROR(SEARCH("Rojo",O26)))</formula>
    </cfRule>
  </conditionalFormatting>
  <conditionalFormatting sqref="O54:O55">
    <cfRule type="containsText" dxfId="265" priority="81" operator="containsText" text="Naranja">
      <formula>NOT(ISERROR(SEARCH("Naranja",O54)))</formula>
    </cfRule>
  </conditionalFormatting>
  <conditionalFormatting sqref="O54:O55">
    <cfRule type="containsText" dxfId="264" priority="80" operator="containsText" text="Verde">
      <formula>NOT(ISERROR(SEARCH("Verde",O54)))</formula>
    </cfRule>
  </conditionalFormatting>
  <conditionalFormatting sqref="O54:O55">
    <cfRule type="containsText" dxfId="263" priority="79" operator="containsText" text="Rojo">
      <formula>NOT(ISERROR(SEARCH("Rojo",O54)))</formula>
    </cfRule>
  </conditionalFormatting>
  <conditionalFormatting sqref="O51">
    <cfRule type="containsText" dxfId="262" priority="78" operator="containsText" text="Naranja">
      <formula>NOT(ISERROR(SEARCH("Naranja",O51)))</formula>
    </cfRule>
  </conditionalFormatting>
  <conditionalFormatting sqref="O51">
    <cfRule type="containsText" dxfId="261" priority="77" operator="containsText" text="Verde">
      <formula>NOT(ISERROR(SEARCH("Verde",O51)))</formula>
    </cfRule>
  </conditionalFormatting>
  <conditionalFormatting sqref="O51">
    <cfRule type="containsText" dxfId="260" priority="76" operator="containsText" text="Rojo">
      <formula>NOT(ISERROR(SEARCH("Rojo",O51)))</formula>
    </cfRule>
  </conditionalFormatting>
  <conditionalFormatting sqref="O56">
    <cfRule type="containsText" dxfId="259" priority="75" operator="containsText" text="Naranja">
      <formula>NOT(ISERROR(SEARCH("Naranja",O56)))</formula>
    </cfRule>
  </conditionalFormatting>
  <conditionalFormatting sqref="O56">
    <cfRule type="containsText" dxfId="258" priority="74" operator="containsText" text="Verde">
      <formula>NOT(ISERROR(SEARCH("Verde",O56)))</formula>
    </cfRule>
  </conditionalFormatting>
  <conditionalFormatting sqref="O56">
    <cfRule type="containsText" dxfId="257" priority="73" operator="containsText" text="Rojo">
      <formula>NOT(ISERROR(SEARCH("Rojo",O56)))</formula>
    </cfRule>
  </conditionalFormatting>
  <conditionalFormatting sqref="O56">
    <cfRule type="containsText" dxfId="256" priority="72" operator="containsText" text="Naranja">
      <formula>NOT(ISERROR(SEARCH("Naranja",O56)))</formula>
    </cfRule>
  </conditionalFormatting>
  <conditionalFormatting sqref="O56">
    <cfRule type="containsText" dxfId="255" priority="71" operator="containsText" text="Verde">
      <formula>NOT(ISERROR(SEARCH("Verde",O56)))</formula>
    </cfRule>
  </conditionalFormatting>
  <conditionalFormatting sqref="O56">
    <cfRule type="containsText" dxfId="254" priority="70" operator="containsText" text="Rojo">
      <formula>NOT(ISERROR(SEARCH("Rojo",O56)))</formula>
    </cfRule>
  </conditionalFormatting>
  <conditionalFormatting sqref="O57">
    <cfRule type="containsText" dxfId="253" priority="69" operator="containsText" text="Naranja">
      <formula>NOT(ISERROR(SEARCH("Naranja",O57)))</formula>
    </cfRule>
  </conditionalFormatting>
  <conditionalFormatting sqref="O57">
    <cfRule type="containsText" dxfId="252" priority="68" operator="containsText" text="Verde">
      <formula>NOT(ISERROR(SEARCH("Verde",O57)))</formula>
    </cfRule>
  </conditionalFormatting>
  <conditionalFormatting sqref="O57">
    <cfRule type="containsText" dxfId="251" priority="67" operator="containsText" text="Rojo">
      <formula>NOT(ISERROR(SEARCH("Rojo",O57)))</formula>
    </cfRule>
  </conditionalFormatting>
  <conditionalFormatting sqref="O57">
    <cfRule type="containsText" dxfId="250" priority="66" operator="containsText" text="Naranja">
      <formula>NOT(ISERROR(SEARCH("Naranja",O57)))</formula>
    </cfRule>
  </conditionalFormatting>
  <conditionalFormatting sqref="O57">
    <cfRule type="containsText" dxfId="249" priority="65" operator="containsText" text="Verde">
      <formula>NOT(ISERROR(SEARCH("Verde",O57)))</formula>
    </cfRule>
  </conditionalFormatting>
  <conditionalFormatting sqref="O57">
    <cfRule type="containsText" dxfId="248" priority="64" operator="containsText" text="Rojo">
      <formula>NOT(ISERROR(SEARCH("Rojo",O57)))</formula>
    </cfRule>
  </conditionalFormatting>
  <conditionalFormatting sqref="O38">
    <cfRule type="containsText" dxfId="247" priority="63" operator="containsText" text="Naranja">
      <formula>NOT(ISERROR(SEARCH("Naranja",O38)))</formula>
    </cfRule>
  </conditionalFormatting>
  <conditionalFormatting sqref="O38">
    <cfRule type="containsText" dxfId="246" priority="62" operator="containsText" text="Verde">
      <formula>NOT(ISERROR(SEARCH("Verde",O38)))</formula>
    </cfRule>
  </conditionalFormatting>
  <conditionalFormatting sqref="O38">
    <cfRule type="containsText" dxfId="245" priority="61" operator="containsText" text="Rojo">
      <formula>NOT(ISERROR(SEARCH("Rojo",O38)))</formula>
    </cfRule>
  </conditionalFormatting>
  <conditionalFormatting sqref="O58">
    <cfRule type="containsText" dxfId="244" priority="60" operator="containsText" text="Naranja">
      <formula>NOT(ISERROR(SEARCH("Naranja",O58)))</formula>
    </cfRule>
  </conditionalFormatting>
  <conditionalFormatting sqref="O58">
    <cfRule type="containsText" dxfId="243" priority="59" operator="containsText" text="Verde">
      <formula>NOT(ISERROR(SEARCH("Verde",O58)))</formula>
    </cfRule>
  </conditionalFormatting>
  <conditionalFormatting sqref="O58">
    <cfRule type="containsText" dxfId="242" priority="58" operator="containsText" text="Rojo">
      <formula>NOT(ISERROR(SEARCH("Rojo",O58)))</formula>
    </cfRule>
  </conditionalFormatting>
  <conditionalFormatting sqref="O48">
    <cfRule type="containsText" dxfId="241" priority="57" operator="containsText" text="Naranja">
      <formula>NOT(ISERROR(SEARCH("Naranja",O48)))</formula>
    </cfRule>
  </conditionalFormatting>
  <conditionalFormatting sqref="O48">
    <cfRule type="containsText" dxfId="240" priority="56" operator="containsText" text="Verde">
      <formula>NOT(ISERROR(SEARCH("Verde",O48)))</formula>
    </cfRule>
  </conditionalFormatting>
  <conditionalFormatting sqref="O48">
    <cfRule type="containsText" dxfId="239" priority="55" operator="containsText" text="Rojo">
      <formula>NOT(ISERROR(SEARCH("Rojo",O48)))</formula>
    </cfRule>
  </conditionalFormatting>
  <conditionalFormatting sqref="O49:O50">
    <cfRule type="containsText" dxfId="238" priority="54" operator="containsText" text="Naranja">
      <formula>NOT(ISERROR(SEARCH("Naranja",O49)))</formula>
    </cfRule>
  </conditionalFormatting>
  <conditionalFormatting sqref="O49:O50">
    <cfRule type="containsText" dxfId="237" priority="53" operator="containsText" text="Verde">
      <formula>NOT(ISERROR(SEARCH("Verde",O49)))</formula>
    </cfRule>
  </conditionalFormatting>
  <conditionalFormatting sqref="O49:O50">
    <cfRule type="containsText" dxfId="236" priority="52" operator="containsText" text="Rojo">
      <formula>NOT(ISERROR(SEARCH("Rojo",O49)))</formula>
    </cfRule>
  </conditionalFormatting>
  <conditionalFormatting sqref="O66:O67">
    <cfRule type="containsText" dxfId="235" priority="51" operator="containsText" text="Naranja">
      <formula>NOT(ISERROR(SEARCH("Naranja",O66)))</formula>
    </cfRule>
  </conditionalFormatting>
  <conditionalFormatting sqref="O66:O67">
    <cfRule type="containsText" dxfId="234" priority="50" operator="containsText" text="Verde">
      <formula>NOT(ISERROR(SEARCH("Verde",O66)))</formula>
    </cfRule>
  </conditionalFormatting>
  <conditionalFormatting sqref="O66:O67">
    <cfRule type="containsText" dxfId="233" priority="49" operator="containsText" text="Rojo">
      <formula>NOT(ISERROR(SEARCH("Rojo",O66)))</formula>
    </cfRule>
  </conditionalFormatting>
  <conditionalFormatting sqref="O33:O34">
    <cfRule type="containsText" dxfId="232" priority="48" operator="containsText" text="Naranja">
      <formula>NOT(ISERROR(SEARCH("Naranja",O33)))</formula>
    </cfRule>
  </conditionalFormatting>
  <conditionalFormatting sqref="O33:O34">
    <cfRule type="containsText" dxfId="231" priority="47" operator="containsText" text="Verde">
      <formula>NOT(ISERROR(SEARCH("Verde",O33)))</formula>
    </cfRule>
  </conditionalFormatting>
  <conditionalFormatting sqref="O33:O34">
    <cfRule type="containsText" dxfId="230" priority="46" operator="containsText" text="Rojo">
      <formula>NOT(ISERROR(SEARCH("Rojo",O33)))</formula>
    </cfRule>
  </conditionalFormatting>
  <conditionalFormatting sqref="O35:O37">
    <cfRule type="containsText" dxfId="229" priority="45" operator="containsText" text="Naranja">
      <formula>NOT(ISERROR(SEARCH("Naranja",O35)))</formula>
    </cfRule>
  </conditionalFormatting>
  <conditionalFormatting sqref="O35:O37">
    <cfRule type="containsText" dxfId="228" priority="44" operator="containsText" text="Verde">
      <formula>NOT(ISERROR(SEARCH("Verde",O35)))</formula>
    </cfRule>
  </conditionalFormatting>
  <conditionalFormatting sqref="O35:O37">
    <cfRule type="containsText" dxfId="227" priority="43" operator="containsText" text="Rojo">
      <formula>NOT(ISERROR(SEARCH("Rojo",O35)))</formula>
    </cfRule>
  </conditionalFormatting>
  <conditionalFormatting sqref="O35:O37">
    <cfRule type="containsText" dxfId="226" priority="42" operator="containsText" text="Naranja">
      <formula>NOT(ISERROR(SEARCH("Naranja",O35)))</formula>
    </cfRule>
  </conditionalFormatting>
  <conditionalFormatting sqref="O35:O37">
    <cfRule type="containsText" dxfId="225" priority="41" operator="containsText" text="Verde">
      <formula>NOT(ISERROR(SEARCH("Verde",O35)))</formula>
    </cfRule>
  </conditionalFormatting>
  <conditionalFormatting sqref="O35:O37">
    <cfRule type="containsText" dxfId="224" priority="40" operator="containsText" text="Rojo">
      <formula>NOT(ISERROR(SEARCH("Rojo",O35)))</formula>
    </cfRule>
  </conditionalFormatting>
  <conditionalFormatting sqref="O70">
    <cfRule type="containsText" dxfId="223" priority="39" operator="containsText" text="Naranja">
      <formula>NOT(ISERROR(SEARCH("Naranja",O70)))</formula>
    </cfRule>
  </conditionalFormatting>
  <conditionalFormatting sqref="O70">
    <cfRule type="containsText" dxfId="222" priority="38" operator="containsText" text="Verde">
      <formula>NOT(ISERROR(SEARCH("Verde",O70)))</formula>
    </cfRule>
  </conditionalFormatting>
  <conditionalFormatting sqref="O70">
    <cfRule type="containsText" dxfId="221" priority="37" operator="containsText" text="Rojo">
      <formula>NOT(ISERROR(SEARCH("Rojo",O70)))</formula>
    </cfRule>
  </conditionalFormatting>
  <conditionalFormatting sqref="O74">
    <cfRule type="containsText" dxfId="220" priority="36" operator="containsText" text="Naranja">
      <formula>NOT(ISERROR(SEARCH("Naranja",O74)))</formula>
    </cfRule>
  </conditionalFormatting>
  <conditionalFormatting sqref="O74">
    <cfRule type="containsText" dxfId="219" priority="35" operator="containsText" text="Verde">
      <formula>NOT(ISERROR(SEARCH("Verde",O74)))</formula>
    </cfRule>
  </conditionalFormatting>
  <conditionalFormatting sqref="O74">
    <cfRule type="containsText" dxfId="218" priority="34" operator="containsText" text="Rojo">
      <formula>NOT(ISERROR(SEARCH("Rojo",O74)))</formula>
    </cfRule>
  </conditionalFormatting>
  <conditionalFormatting sqref="O68">
    <cfRule type="containsText" dxfId="217" priority="33" operator="containsText" text="Naranja">
      <formula>NOT(ISERROR(SEARCH("Naranja",O68)))</formula>
    </cfRule>
  </conditionalFormatting>
  <conditionalFormatting sqref="O68">
    <cfRule type="containsText" dxfId="216" priority="32" operator="containsText" text="Verde">
      <formula>NOT(ISERROR(SEARCH("Verde",O68)))</formula>
    </cfRule>
  </conditionalFormatting>
  <conditionalFormatting sqref="O68">
    <cfRule type="containsText" dxfId="215" priority="31" operator="containsText" text="Rojo">
      <formula>NOT(ISERROR(SEARCH("Rojo",O68)))</formula>
    </cfRule>
  </conditionalFormatting>
  <conditionalFormatting sqref="O95">
    <cfRule type="containsText" dxfId="214" priority="30" operator="containsText" text="Naranja">
      <formula>NOT(ISERROR(SEARCH("Naranja",O95)))</formula>
    </cfRule>
  </conditionalFormatting>
  <conditionalFormatting sqref="O95">
    <cfRule type="containsText" dxfId="213" priority="29" operator="containsText" text="Verde">
      <formula>NOT(ISERROR(SEARCH("Verde",O95)))</formula>
    </cfRule>
  </conditionalFormatting>
  <conditionalFormatting sqref="O95">
    <cfRule type="containsText" dxfId="212" priority="28" operator="containsText" text="Rojo">
      <formula>NOT(ISERROR(SEARCH("Rojo",O95)))</formula>
    </cfRule>
  </conditionalFormatting>
  <conditionalFormatting sqref="O87">
    <cfRule type="containsText" dxfId="211" priority="27" operator="containsText" text="Naranja">
      <formula>NOT(ISERROR(SEARCH("Naranja",O87)))</formula>
    </cfRule>
  </conditionalFormatting>
  <conditionalFormatting sqref="O87">
    <cfRule type="containsText" dxfId="210" priority="26" operator="containsText" text="Verde">
      <formula>NOT(ISERROR(SEARCH("Verde",O87)))</formula>
    </cfRule>
  </conditionalFormatting>
  <conditionalFormatting sqref="O87">
    <cfRule type="containsText" dxfId="209" priority="25" operator="containsText" text="Rojo">
      <formula>NOT(ISERROR(SEARCH("Rojo",O87)))</formula>
    </cfRule>
  </conditionalFormatting>
  <conditionalFormatting sqref="O73">
    <cfRule type="containsText" dxfId="208" priority="24" operator="containsText" text="Naranja">
      <formula>NOT(ISERROR(SEARCH("Naranja",O73)))</formula>
    </cfRule>
  </conditionalFormatting>
  <conditionalFormatting sqref="O73">
    <cfRule type="containsText" dxfId="207" priority="23" operator="containsText" text="Verde">
      <formula>NOT(ISERROR(SEARCH("Verde",O73)))</formula>
    </cfRule>
  </conditionalFormatting>
  <conditionalFormatting sqref="O73">
    <cfRule type="containsText" dxfId="206" priority="22" operator="containsText" text="Rojo">
      <formula>NOT(ISERROR(SEARCH("Rojo",O73)))</formula>
    </cfRule>
  </conditionalFormatting>
  <conditionalFormatting sqref="O14">
    <cfRule type="containsText" dxfId="205" priority="21" operator="containsText" text="Naranja">
      <formula>NOT(ISERROR(SEARCH("Naranja",O14)))</formula>
    </cfRule>
  </conditionalFormatting>
  <conditionalFormatting sqref="O14">
    <cfRule type="containsText" dxfId="204" priority="20" operator="containsText" text="Verde">
      <formula>NOT(ISERROR(SEARCH("Verde",O14)))</formula>
    </cfRule>
  </conditionalFormatting>
  <conditionalFormatting sqref="O14">
    <cfRule type="containsText" dxfId="203" priority="19" operator="containsText" text="Rojo">
      <formula>NOT(ISERROR(SEARCH("Rojo",O14)))</formula>
    </cfRule>
  </conditionalFormatting>
  <conditionalFormatting sqref="O27">
    <cfRule type="containsText" dxfId="202" priority="18" operator="containsText" text="Naranja">
      <formula>NOT(ISERROR(SEARCH("Naranja",O27)))</formula>
    </cfRule>
  </conditionalFormatting>
  <conditionalFormatting sqref="O27">
    <cfRule type="containsText" dxfId="201" priority="17" operator="containsText" text="Verde">
      <formula>NOT(ISERROR(SEARCH("Verde",O27)))</formula>
    </cfRule>
  </conditionalFormatting>
  <conditionalFormatting sqref="O27">
    <cfRule type="containsText" dxfId="200" priority="16" operator="containsText" text="Rojo">
      <formula>NOT(ISERROR(SEARCH("Rojo",O27)))</formula>
    </cfRule>
  </conditionalFormatting>
  <conditionalFormatting sqref="O44">
    <cfRule type="containsText" dxfId="199" priority="15" operator="containsText" text="Naranja">
      <formula>NOT(ISERROR(SEARCH("Naranja",O44)))</formula>
    </cfRule>
  </conditionalFormatting>
  <conditionalFormatting sqref="O44">
    <cfRule type="containsText" dxfId="198" priority="14" operator="containsText" text="Verde">
      <formula>NOT(ISERROR(SEARCH("Verde",O44)))</formula>
    </cfRule>
  </conditionalFormatting>
  <conditionalFormatting sqref="O44">
    <cfRule type="containsText" dxfId="197" priority="13" operator="containsText" text="Rojo">
      <formula>NOT(ISERROR(SEARCH("Rojo",O44)))</formula>
    </cfRule>
  </conditionalFormatting>
  <conditionalFormatting sqref="O85:O86">
    <cfRule type="containsText" dxfId="196" priority="12" operator="containsText" text="Naranja">
      <formula>NOT(ISERROR(SEARCH("Naranja",O85)))</formula>
    </cfRule>
  </conditionalFormatting>
  <conditionalFormatting sqref="O85:O86">
    <cfRule type="containsText" dxfId="195" priority="11" operator="containsText" text="Verde">
      <formula>NOT(ISERROR(SEARCH("Verde",O85)))</formula>
    </cfRule>
  </conditionalFormatting>
  <conditionalFormatting sqref="O85:O86">
    <cfRule type="containsText" dxfId="194" priority="10" operator="containsText" text="Rojo">
      <formula>NOT(ISERROR(SEARCH("Rojo",O85)))</formula>
    </cfRule>
  </conditionalFormatting>
  <conditionalFormatting sqref="O12">
    <cfRule type="containsText" dxfId="193" priority="9" operator="containsText" text="Naranja">
      <formula>NOT(ISERROR(SEARCH("Naranja",O12)))</formula>
    </cfRule>
  </conditionalFormatting>
  <conditionalFormatting sqref="O12">
    <cfRule type="containsText" dxfId="192" priority="8" operator="containsText" text="Verde">
      <formula>NOT(ISERROR(SEARCH("Verde",O12)))</formula>
    </cfRule>
  </conditionalFormatting>
  <conditionalFormatting sqref="O12">
    <cfRule type="containsText" dxfId="191" priority="7" operator="containsText" text="Rojo">
      <formula>NOT(ISERROR(SEARCH("Rojo",O12)))</formula>
    </cfRule>
  </conditionalFormatting>
  <conditionalFormatting sqref="O86">
    <cfRule type="containsText" dxfId="190" priority="6" operator="containsText" text="Naranja">
      <formula>NOT(ISERROR(SEARCH("Naranja",O86)))</formula>
    </cfRule>
  </conditionalFormatting>
  <conditionalFormatting sqref="O86">
    <cfRule type="containsText" dxfId="189" priority="5" operator="containsText" text="Verde">
      <formula>NOT(ISERROR(SEARCH("Verde",O86)))</formula>
    </cfRule>
  </conditionalFormatting>
  <conditionalFormatting sqref="O86">
    <cfRule type="containsText" dxfId="188" priority="4" operator="containsText" text="Rojo">
      <formula>NOT(ISERROR(SEARCH("Rojo",O86)))</formula>
    </cfRule>
  </conditionalFormatting>
  <conditionalFormatting sqref="O62">
    <cfRule type="containsText" dxfId="187" priority="3" operator="containsText" text="Naranja">
      <formula>NOT(ISERROR(SEARCH("Naranja",O62)))</formula>
    </cfRule>
  </conditionalFormatting>
  <conditionalFormatting sqref="O62">
    <cfRule type="containsText" dxfId="186" priority="2" operator="containsText" text="Verde">
      <formula>NOT(ISERROR(SEARCH("Verde",O62)))</formula>
    </cfRule>
  </conditionalFormatting>
  <conditionalFormatting sqref="O62">
    <cfRule type="containsText" dxfId="185" priority="1" operator="containsText" text="Rojo">
      <formula>NOT(ISERROR(SEARCH("Rojo",O62)))</formula>
    </cfRule>
  </conditionalFormatting>
  <dataValidations count="2">
    <dataValidation type="list" allowBlank="1" showInputMessage="1" showErrorMessage="1" sqref="Z2:Z5 K80:K87 K70:K78 K56:K57 K28:K37 K50:K51 K90 K43:K47 K18:K24 K12:K15 K93 K63 K65:K67" xr:uid="{61EC6D27-ED3A-4799-9F46-40AB3996A48D}">
      <formula1>$Z$2:$Z$3</formula1>
    </dataValidation>
    <dataValidation type="list" allowBlank="1" showInputMessage="1" showErrorMessage="1" sqref="AC4:AC5 G7:G96 AC1" xr:uid="{3E981E25-5546-484D-90FB-1960A84FED43}">
      <formula1>$AC$1:$AC$4</formula1>
    </dataValidation>
  </dataValidations>
  <pageMargins left="0.7" right="0.7" top="0.75" bottom="0.75" header="0.3" footer="0.3"/>
  <pageSetup orientation="portrait" r:id="rId1"/>
  <headerFooter>
    <oddFooter>&amp;R&amp;1#&amp;"Calibri"&amp;22&amp;KFF8939RESTRICTED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A5DB9-A193-4B08-AF39-6D98C1543B36}">
  <sheetPr>
    <tabColor theme="9"/>
  </sheetPr>
  <dimension ref="A1:AF109"/>
  <sheetViews>
    <sheetView showGridLines="0" zoomScaleNormal="100" workbookViewId="0">
      <pane xSplit="8" ySplit="5" topLeftCell="I36" activePane="bottomRight" state="frozen"/>
      <selection pane="topRight" activeCell="Z2" sqref="Z2"/>
      <selection pane="bottomLeft" activeCell="Z2" sqref="Z2"/>
      <selection pane="bottomRight" activeCell="Z1" sqref="Z1:Z2"/>
    </sheetView>
  </sheetViews>
  <sheetFormatPr baseColWidth="10" defaultColWidth="8.5703125" defaultRowHeight="15" x14ac:dyDescent="0.25"/>
  <cols>
    <col min="1" max="1" width="1.5703125" customWidth="1"/>
    <col min="2" max="2" width="11.42578125" customWidth="1"/>
    <col min="3" max="3" width="11.5703125" bestFit="1" customWidth="1"/>
    <col min="4" max="4" width="14.42578125" bestFit="1" customWidth="1"/>
    <col min="5" max="5" width="11.42578125" hidden="1" customWidth="1"/>
    <col min="6" max="6" width="12.42578125" hidden="1" customWidth="1"/>
    <col min="7" max="7" width="11.5703125" hidden="1" customWidth="1"/>
    <col min="8" max="8" width="17.5703125" customWidth="1"/>
    <col min="9" max="9" width="15.42578125" customWidth="1"/>
    <col min="10" max="10" width="11.5703125" bestFit="1" customWidth="1"/>
    <col min="11" max="11" width="9.85546875" bestFit="1" customWidth="1"/>
    <col min="12" max="13" width="9.42578125" customWidth="1"/>
    <col min="14" max="14" width="11.5703125" customWidth="1"/>
    <col min="15" max="15" width="9.42578125" customWidth="1"/>
    <col min="16" max="16" width="13" customWidth="1"/>
    <col min="17" max="17" width="13.5703125" customWidth="1"/>
    <col min="18" max="18" width="11.42578125" customWidth="1"/>
    <col min="19" max="19" width="11.5703125" customWidth="1"/>
    <col min="20" max="20" width="12.5703125" hidden="1" customWidth="1"/>
    <col min="21" max="21" width="8.5703125" hidden="1" customWidth="1"/>
    <col min="22" max="22" width="14" hidden="1" customWidth="1"/>
    <col min="23" max="23" width="11.5703125" hidden="1" customWidth="1"/>
    <col min="24" max="24" width="8.42578125" hidden="1" customWidth="1"/>
    <col min="25" max="25" width="11.42578125" hidden="1" customWidth="1"/>
    <col min="26" max="26" width="13.5703125" customWidth="1"/>
    <col min="27" max="27" width="27.140625" bestFit="1" customWidth="1"/>
    <col min="28" max="30" width="5.5703125" customWidth="1"/>
    <col min="31" max="32" width="10" bestFit="1" customWidth="1"/>
  </cols>
  <sheetData>
    <row r="1" spans="1:32" x14ac:dyDescent="0.25">
      <c r="B1" s="1" t="s">
        <v>0</v>
      </c>
      <c r="C1" s="1" t="s">
        <v>1</v>
      </c>
      <c r="D1" s="1">
        <v>3000</v>
      </c>
      <c r="E1" s="1" t="s">
        <v>2</v>
      </c>
      <c r="F1" s="141" t="s">
        <v>196</v>
      </c>
      <c r="G1" s="141"/>
      <c r="H1" s="154">
        <v>30</v>
      </c>
      <c r="I1" t="s">
        <v>197</v>
      </c>
      <c r="J1" s="26">
        <f>SUM(P6:P99)</f>
        <v>3840128.3727272726</v>
      </c>
      <c r="M1" s="2" t="s">
        <v>123</v>
      </c>
      <c r="Z1" s="299" t="s">
        <v>301</v>
      </c>
    </row>
    <row r="2" spans="1:32" x14ac:dyDescent="0.25">
      <c r="B2" s="1"/>
      <c r="C2" s="1" t="s">
        <v>4</v>
      </c>
      <c r="D2" s="1">
        <v>1500</v>
      </c>
      <c r="E2" s="1" t="s">
        <v>2</v>
      </c>
      <c r="F2" s="141" t="s">
        <v>124</v>
      </c>
      <c r="G2" s="141"/>
      <c r="H2" s="155">
        <v>20</v>
      </c>
      <c r="I2" s="254">
        <f>+J2/$J$1</f>
        <v>4.2347803046101293E-2</v>
      </c>
      <c r="J2" s="26">
        <f>SUM(P84:P99)</f>
        <v>162621</v>
      </c>
      <c r="K2" t="s">
        <v>103</v>
      </c>
      <c r="M2" s="2" t="s">
        <v>6</v>
      </c>
      <c r="T2">
        <f>+S2*4</f>
        <v>0</v>
      </c>
      <c r="Z2" s="299" t="s">
        <v>302</v>
      </c>
      <c r="AF2" s="26"/>
    </row>
    <row r="3" spans="1:32" x14ac:dyDescent="0.25">
      <c r="B3" s="1"/>
      <c r="C3" s="4" t="s">
        <v>7</v>
      </c>
      <c r="D3" s="1">
        <v>10000</v>
      </c>
      <c r="E3" s="1" t="s">
        <v>2</v>
      </c>
      <c r="F3" s="1"/>
      <c r="G3" s="1"/>
      <c r="H3" s="3"/>
      <c r="I3" s="254">
        <f>+J3/$J$1</f>
        <v>0.89280900010442599</v>
      </c>
      <c r="J3" s="26">
        <f>SUM(P6:P60)</f>
        <v>3428501.1727272728</v>
      </c>
      <c r="K3" t="s">
        <v>37</v>
      </c>
      <c r="M3" s="2" t="s">
        <v>8</v>
      </c>
      <c r="T3">
        <f>+S3*4</f>
        <v>0</v>
      </c>
      <c r="AE3" s="26"/>
    </row>
    <row r="4" spans="1:32" ht="15.75" thickBot="1" x14ac:dyDescent="0.3">
      <c r="B4" s="1"/>
      <c r="C4" s="1" t="s">
        <v>9</v>
      </c>
      <c r="D4" s="1">
        <v>16500</v>
      </c>
      <c r="E4" s="1" t="s">
        <v>2</v>
      </c>
      <c r="F4" s="1"/>
      <c r="G4" s="1"/>
      <c r="H4" s="3"/>
      <c r="I4" s="254">
        <f>+J4/$J$1</f>
        <v>4.5455824143719861E-2</v>
      </c>
      <c r="J4" s="297">
        <f>SUM(P61:P74)</f>
        <v>174556.2</v>
      </c>
      <c r="K4" t="s">
        <v>200</v>
      </c>
      <c r="M4" s="2"/>
      <c r="P4" s="26">
        <f>SUM(P6:P60)</f>
        <v>3428501.1727272728</v>
      </c>
      <c r="Z4" s="297">
        <f>SUM(Z6:Z60)</f>
        <v>3428501.1727272728</v>
      </c>
    </row>
    <row r="5" spans="1:32" ht="36" customHeight="1" x14ac:dyDescent="0.25">
      <c r="B5" s="5" t="s">
        <v>11</v>
      </c>
      <c r="C5" s="6" t="s">
        <v>12</v>
      </c>
      <c r="D5" s="6" t="s">
        <v>125</v>
      </c>
      <c r="E5" s="6" t="s">
        <v>14</v>
      </c>
      <c r="F5" s="6" t="s">
        <v>15</v>
      </c>
      <c r="G5" s="6" t="s">
        <v>201</v>
      </c>
      <c r="H5" s="7" t="s">
        <v>16</v>
      </c>
      <c r="I5" s="7" t="s">
        <v>126</v>
      </c>
      <c r="J5" s="7" t="s">
        <v>17</v>
      </c>
      <c r="K5" s="7" t="s">
        <v>18</v>
      </c>
      <c r="L5" s="7" t="s">
        <v>19</v>
      </c>
      <c r="M5" s="7" t="s">
        <v>20</v>
      </c>
      <c r="N5" s="8" t="s">
        <v>21</v>
      </c>
      <c r="O5" s="27" t="s">
        <v>22</v>
      </c>
      <c r="P5" s="30" t="s">
        <v>23</v>
      </c>
      <c r="Q5" s="27" t="s">
        <v>24</v>
      </c>
      <c r="R5" s="28" t="s">
        <v>25</v>
      </c>
      <c r="S5" s="9" t="s">
        <v>26</v>
      </c>
      <c r="T5" s="10" t="s">
        <v>27</v>
      </c>
      <c r="U5" s="10" t="s">
        <v>28</v>
      </c>
      <c r="V5" s="29" t="s">
        <v>29</v>
      </c>
      <c r="W5" s="31" t="s">
        <v>30</v>
      </c>
      <c r="X5" s="32" t="s">
        <v>31</v>
      </c>
      <c r="Y5" s="48" t="s">
        <v>32</v>
      </c>
      <c r="Z5" s="29" t="s">
        <v>33</v>
      </c>
      <c r="AA5" s="279" t="s">
        <v>34</v>
      </c>
      <c r="AB5" s="279" t="s">
        <v>202</v>
      </c>
      <c r="AC5" s="279" t="s">
        <v>203</v>
      </c>
      <c r="AD5" s="279"/>
    </row>
    <row r="6" spans="1:32" s="17" customFormat="1" ht="14.1" customHeight="1" x14ac:dyDescent="0.25">
      <c r="A6" s="40"/>
      <c r="B6" s="11" t="s">
        <v>204</v>
      </c>
      <c r="C6" s="35" t="s">
        <v>205</v>
      </c>
      <c r="D6" s="136" t="s">
        <v>127</v>
      </c>
      <c r="E6" s="35">
        <v>2022</v>
      </c>
      <c r="F6" s="35"/>
      <c r="G6" s="35"/>
      <c r="H6" s="289" t="s">
        <v>206</v>
      </c>
      <c r="I6" s="44"/>
      <c r="J6" s="12" t="s">
        <v>207</v>
      </c>
      <c r="K6" s="12" t="s">
        <v>40</v>
      </c>
      <c r="L6" s="12" t="s">
        <v>56</v>
      </c>
      <c r="M6" s="64" t="s">
        <v>57</v>
      </c>
      <c r="N6" s="211" t="s">
        <v>149</v>
      </c>
      <c r="O6" s="18">
        <f>+P6/$D$3+0.5</f>
        <v>2.0082200000000001</v>
      </c>
      <c r="P6" s="36">
        <f>+Q6*1.33</f>
        <v>15082.2</v>
      </c>
      <c r="Q6" s="72">
        <v>11340</v>
      </c>
      <c r="R6" s="73">
        <v>44593</v>
      </c>
      <c r="S6" s="74">
        <f>+R6+O6</f>
        <v>44595.008220000003</v>
      </c>
      <c r="T6" s="75">
        <f>_xlfn.ISOWEEKNUM(R6)</f>
        <v>5</v>
      </c>
      <c r="U6" s="75">
        <f>_xlfn.ISOWEEKNUM(S6)</f>
        <v>5</v>
      </c>
      <c r="V6" s="77">
        <f>+S6+$H$1</f>
        <v>44625.008220000003</v>
      </c>
      <c r="W6" s="71"/>
      <c r="X6" s="34"/>
      <c r="Y6" s="91">
        <f>MONTH(S6)</f>
        <v>2</v>
      </c>
      <c r="Z6" s="78"/>
      <c r="AA6" s="80"/>
      <c r="AB6" s="80"/>
      <c r="AC6" s="80"/>
      <c r="AD6" s="80"/>
    </row>
    <row r="7" spans="1:32" ht="13.5" customHeight="1" x14ac:dyDescent="0.25">
      <c r="A7" s="40"/>
      <c r="B7" s="19" t="s">
        <v>208</v>
      </c>
      <c r="C7" s="288" t="s">
        <v>209</v>
      </c>
      <c r="D7" s="136" t="s">
        <v>127</v>
      </c>
      <c r="E7" s="35">
        <v>2022</v>
      </c>
      <c r="F7" s="35"/>
      <c r="G7" s="35"/>
      <c r="H7" s="290" t="s">
        <v>210</v>
      </c>
      <c r="I7" s="47"/>
      <c r="J7" s="12" t="s">
        <v>211</v>
      </c>
      <c r="K7" s="12" t="s">
        <v>40</v>
      </c>
      <c r="L7" s="12" t="s">
        <v>56</v>
      </c>
      <c r="M7" s="64" t="s">
        <v>57</v>
      </c>
      <c r="N7" s="13" t="s">
        <v>47</v>
      </c>
      <c r="O7" s="18">
        <f t="shared" ref="O7" si="0">+P7/$D$3+0.5</f>
        <v>2.2103799999999998</v>
      </c>
      <c r="P7" s="71">
        <f>+Q7*1.33</f>
        <v>17103.8</v>
      </c>
      <c r="Q7" s="72">
        <v>12860</v>
      </c>
      <c r="R7" s="73">
        <f>+S6</f>
        <v>44595.008220000003</v>
      </c>
      <c r="S7" s="74">
        <f>+R7+O7</f>
        <v>44597.2186</v>
      </c>
      <c r="T7" s="75">
        <f t="shared" ref="T7:U22" si="1">_xlfn.ISOWEEKNUM(R7)</f>
        <v>5</v>
      </c>
      <c r="U7" s="75">
        <f t="shared" si="1"/>
        <v>5</v>
      </c>
      <c r="V7" s="77">
        <f>+S7+$H$1</f>
        <v>44627.2186</v>
      </c>
      <c r="W7" s="71"/>
      <c r="X7" s="34"/>
      <c r="Y7" s="91">
        <f t="shared" ref="Y7:Y60" si="2">MONTH(S7)</f>
        <v>2</v>
      </c>
      <c r="Z7" s="78"/>
      <c r="AA7" s="79"/>
      <c r="AB7" s="79"/>
      <c r="AC7" s="79"/>
      <c r="AD7" s="79"/>
    </row>
    <row r="8" spans="1:32" ht="13.5" customHeight="1" x14ac:dyDescent="0.25">
      <c r="A8" s="40"/>
      <c r="B8" s="11" t="s">
        <v>93</v>
      </c>
      <c r="C8" s="35" t="s">
        <v>36</v>
      </c>
      <c r="D8" s="136" t="s">
        <v>127</v>
      </c>
      <c r="E8" s="35">
        <v>2022</v>
      </c>
      <c r="F8" s="35"/>
      <c r="G8" s="35"/>
      <c r="H8" s="290" t="s">
        <v>212</v>
      </c>
      <c r="I8" s="47"/>
      <c r="J8" s="12" t="s">
        <v>39</v>
      </c>
      <c r="K8" s="12" t="s">
        <v>40</v>
      </c>
      <c r="L8" s="12" t="s">
        <v>56</v>
      </c>
      <c r="M8" s="64" t="s">
        <v>57</v>
      </c>
      <c r="N8" s="13" t="s">
        <v>47</v>
      </c>
      <c r="O8" s="18">
        <f>+P8/$D$3+0.5</f>
        <v>3.2132000000000001</v>
      </c>
      <c r="P8" s="36">
        <f>+Q8*1.33</f>
        <v>27132</v>
      </c>
      <c r="Q8" s="15">
        <v>20400</v>
      </c>
      <c r="R8" s="73">
        <f t="shared" ref="R8:R60" si="3">+S7</f>
        <v>44597.2186</v>
      </c>
      <c r="S8" s="74">
        <f t="shared" ref="S8:S60" si="4">+R8+O8</f>
        <v>44600.431799999998</v>
      </c>
      <c r="T8" s="75">
        <f t="shared" si="1"/>
        <v>5</v>
      </c>
      <c r="U8" s="75">
        <f t="shared" si="1"/>
        <v>6</v>
      </c>
      <c r="V8" s="77">
        <f t="shared" ref="V8:V49" si="5">+S8+$H$1</f>
        <v>44630.431799999998</v>
      </c>
      <c r="W8" s="36"/>
      <c r="X8" s="37"/>
      <c r="Y8" s="91">
        <f t="shared" si="2"/>
        <v>2</v>
      </c>
      <c r="Z8" s="51"/>
      <c r="AA8" s="49"/>
      <c r="AB8" s="49"/>
      <c r="AC8" s="49"/>
      <c r="AD8" s="49"/>
    </row>
    <row r="9" spans="1:32" ht="13.5" customHeight="1" x14ac:dyDescent="0.25">
      <c r="A9" s="40"/>
      <c r="B9" s="11" t="s">
        <v>54</v>
      </c>
      <c r="C9" s="35" t="s">
        <v>36</v>
      </c>
      <c r="D9" s="136" t="s">
        <v>127</v>
      </c>
      <c r="E9" s="35">
        <v>2022</v>
      </c>
      <c r="F9" s="35"/>
      <c r="G9" s="35"/>
      <c r="H9" s="47" t="s">
        <v>55</v>
      </c>
      <c r="I9" s="47"/>
      <c r="J9" s="12" t="s">
        <v>39</v>
      </c>
      <c r="K9" s="12" t="s">
        <v>40</v>
      </c>
      <c r="L9" s="12" t="s">
        <v>56</v>
      </c>
      <c r="M9" s="64" t="s">
        <v>57</v>
      </c>
      <c r="N9" s="13" t="s">
        <v>43</v>
      </c>
      <c r="O9" s="18">
        <f>+P9/$D$3+0.5</f>
        <v>5.4515900000000004</v>
      </c>
      <c r="P9" s="36">
        <f>+Q9*1.33</f>
        <v>49515.9</v>
      </c>
      <c r="Q9" s="15">
        <v>37230</v>
      </c>
      <c r="R9" s="73">
        <f t="shared" si="3"/>
        <v>44600.431799999998</v>
      </c>
      <c r="S9" s="74">
        <f t="shared" si="4"/>
        <v>44605.883389999995</v>
      </c>
      <c r="T9" s="75">
        <f t="shared" si="1"/>
        <v>6</v>
      </c>
      <c r="U9" s="75">
        <f t="shared" si="1"/>
        <v>6</v>
      </c>
      <c r="V9" s="77">
        <f t="shared" si="5"/>
        <v>44635.883389999995</v>
      </c>
      <c r="W9" s="36"/>
      <c r="X9" s="37"/>
      <c r="Y9" s="91">
        <f t="shared" si="2"/>
        <v>2</v>
      </c>
      <c r="Z9" s="51"/>
      <c r="AA9" s="49"/>
      <c r="AB9" s="49">
        <v>0.95</v>
      </c>
      <c r="AC9" s="49"/>
      <c r="AD9" s="49"/>
    </row>
    <row r="10" spans="1:32" s="17" customFormat="1" ht="14.1" customHeight="1" x14ac:dyDescent="0.25">
      <c r="A10" s="40"/>
      <c r="B10" s="11" t="s">
        <v>45</v>
      </c>
      <c r="C10" s="35" t="s">
        <v>36</v>
      </c>
      <c r="D10" s="138" t="s">
        <v>127</v>
      </c>
      <c r="E10" s="35">
        <v>2022</v>
      </c>
      <c r="F10" s="35"/>
      <c r="G10" s="35"/>
      <c r="H10" s="44" t="s">
        <v>140</v>
      </c>
      <c r="I10" s="44"/>
      <c r="J10" s="12" t="s">
        <v>39</v>
      </c>
      <c r="K10" s="12" t="s">
        <v>136</v>
      </c>
      <c r="L10" s="12" t="s">
        <v>41</v>
      </c>
      <c r="M10" s="64" t="s">
        <v>42</v>
      </c>
      <c r="N10" s="13" t="s">
        <v>47</v>
      </c>
      <c r="O10" s="18">
        <f>+P10/$D$3+0.5</f>
        <v>6.1</v>
      </c>
      <c r="P10" s="71">
        <v>56000</v>
      </c>
      <c r="Q10" s="15">
        <f>+P10</f>
        <v>56000</v>
      </c>
      <c r="R10" s="73">
        <f t="shared" si="3"/>
        <v>44605.883389999995</v>
      </c>
      <c r="S10" s="74">
        <f t="shared" si="4"/>
        <v>44611.983389999994</v>
      </c>
      <c r="T10" s="75">
        <f t="shared" si="1"/>
        <v>6</v>
      </c>
      <c r="U10" s="75">
        <f t="shared" si="1"/>
        <v>7</v>
      </c>
      <c r="V10" s="77">
        <f t="shared" si="5"/>
        <v>44641.983389999994</v>
      </c>
      <c r="W10" s="71"/>
      <c r="X10" s="34"/>
      <c r="Y10" s="91">
        <f t="shared" si="2"/>
        <v>2</v>
      </c>
      <c r="Z10" s="78"/>
      <c r="AA10" s="80" t="s">
        <v>213</v>
      </c>
      <c r="AB10" s="80">
        <v>0.8</v>
      </c>
      <c r="AC10" s="80"/>
      <c r="AD10" s="80"/>
    </row>
    <row r="11" spans="1:32" ht="13.5" customHeight="1" x14ac:dyDescent="0.25">
      <c r="A11" s="40"/>
      <c r="B11" s="11" t="s">
        <v>35</v>
      </c>
      <c r="C11" s="35" t="s">
        <v>36</v>
      </c>
      <c r="D11" s="136" t="s">
        <v>127</v>
      </c>
      <c r="E11" s="35">
        <v>2022</v>
      </c>
      <c r="F11" s="35"/>
      <c r="G11" s="35"/>
      <c r="H11" s="47" t="s">
        <v>76</v>
      </c>
      <c r="I11" s="47"/>
      <c r="J11" s="12" t="s">
        <v>39</v>
      </c>
      <c r="K11" s="12" t="s">
        <v>40</v>
      </c>
      <c r="L11" s="12" t="s">
        <v>41</v>
      </c>
      <c r="M11" s="64" t="s">
        <v>42</v>
      </c>
      <c r="N11" s="13" t="s">
        <v>43</v>
      </c>
      <c r="O11" s="18">
        <f>+P11/$D$3</f>
        <v>2.8</v>
      </c>
      <c r="P11" s="36">
        <v>28000</v>
      </c>
      <c r="Q11" s="15">
        <f t="shared" ref="Q11:Q12" si="6">+P11</f>
        <v>28000</v>
      </c>
      <c r="R11" s="73">
        <f t="shared" si="3"/>
        <v>44611.983389999994</v>
      </c>
      <c r="S11" s="74">
        <f t="shared" si="4"/>
        <v>44614.783389999997</v>
      </c>
      <c r="T11" s="75">
        <f t="shared" si="1"/>
        <v>7</v>
      </c>
      <c r="U11" s="75">
        <f t="shared" si="1"/>
        <v>8</v>
      </c>
      <c r="V11" s="77">
        <f t="shared" si="5"/>
        <v>44644.783389999997</v>
      </c>
      <c r="W11" s="36"/>
      <c r="X11" s="37"/>
      <c r="Y11" s="91">
        <f t="shared" si="2"/>
        <v>2</v>
      </c>
      <c r="Z11" s="51"/>
      <c r="AA11" s="49" t="s">
        <v>214</v>
      </c>
      <c r="AB11" s="49">
        <v>0.95</v>
      </c>
      <c r="AC11" s="49"/>
      <c r="AD11" s="49"/>
    </row>
    <row r="12" spans="1:32" ht="13.5" customHeight="1" x14ac:dyDescent="0.25">
      <c r="A12" s="40"/>
      <c r="B12" s="11" t="s">
        <v>35</v>
      </c>
      <c r="C12" s="35" t="s">
        <v>36</v>
      </c>
      <c r="D12" s="138" t="s">
        <v>215</v>
      </c>
      <c r="E12" s="35">
        <v>2022</v>
      </c>
      <c r="F12" s="35"/>
      <c r="G12" s="35"/>
      <c r="H12" s="47" t="s">
        <v>76</v>
      </c>
      <c r="I12" s="47"/>
      <c r="J12" s="12" t="s">
        <v>52</v>
      </c>
      <c r="K12" s="12" t="s">
        <v>40</v>
      </c>
      <c r="L12" s="12" t="s">
        <v>41</v>
      </c>
      <c r="M12" s="64" t="s">
        <v>42</v>
      </c>
      <c r="N12" s="13" t="s">
        <v>43</v>
      </c>
      <c r="O12" s="18">
        <f>+P12/$D$3</f>
        <v>0.05</v>
      </c>
      <c r="P12" s="36">
        <v>500</v>
      </c>
      <c r="Q12" s="15">
        <f t="shared" si="6"/>
        <v>500</v>
      </c>
      <c r="R12" s="73">
        <f t="shared" si="3"/>
        <v>44614.783389999997</v>
      </c>
      <c r="S12" s="74">
        <f t="shared" si="4"/>
        <v>44614.83339</v>
      </c>
      <c r="T12" s="75">
        <f t="shared" si="1"/>
        <v>8</v>
      </c>
      <c r="U12" s="75">
        <f t="shared" si="1"/>
        <v>8</v>
      </c>
      <c r="V12" s="77">
        <f t="shared" si="5"/>
        <v>44644.83339</v>
      </c>
      <c r="W12" s="36"/>
      <c r="X12" s="37"/>
      <c r="Y12" s="91">
        <f t="shared" si="2"/>
        <v>2</v>
      </c>
      <c r="Z12" s="51"/>
      <c r="AA12" s="49"/>
      <c r="AB12" s="49"/>
      <c r="AC12" s="49"/>
      <c r="AD12" s="49"/>
    </row>
    <row r="13" spans="1:32" s="17" customFormat="1" ht="14.1" customHeight="1" x14ac:dyDescent="0.25">
      <c r="A13" s="40"/>
      <c r="B13" s="11" t="s">
        <v>35</v>
      </c>
      <c r="C13" s="35" t="s">
        <v>36</v>
      </c>
      <c r="D13" s="136" t="s">
        <v>127</v>
      </c>
      <c r="E13" s="35">
        <v>2022</v>
      </c>
      <c r="F13" s="35"/>
      <c r="G13" s="35"/>
      <c r="H13" s="44" t="s">
        <v>216</v>
      </c>
      <c r="I13" s="44" t="s">
        <v>217</v>
      </c>
      <c r="J13" s="12" t="s">
        <v>39</v>
      </c>
      <c r="K13" s="12" t="s">
        <v>40</v>
      </c>
      <c r="L13" s="12" t="s">
        <v>41</v>
      </c>
      <c r="M13" s="64" t="s">
        <v>42</v>
      </c>
      <c r="N13" s="13" t="s">
        <v>43</v>
      </c>
      <c r="O13" s="18">
        <f>+P13/$D$3</f>
        <v>0.1</v>
      </c>
      <c r="P13" s="71">
        <v>1000</v>
      </c>
      <c r="Q13" s="72">
        <f>+P13</f>
        <v>1000</v>
      </c>
      <c r="R13" s="73">
        <f t="shared" si="3"/>
        <v>44614.83339</v>
      </c>
      <c r="S13" s="74">
        <f t="shared" si="4"/>
        <v>44614.933389999998</v>
      </c>
      <c r="T13" s="75">
        <f t="shared" si="1"/>
        <v>8</v>
      </c>
      <c r="U13" s="75">
        <f t="shared" si="1"/>
        <v>8</v>
      </c>
      <c r="V13" s="77">
        <f t="shared" si="5"/>
        <v>44644.933389999998</v>
      </c>
      <c r="W13" s="71"/>
      <c r="X13" s="34"/>
      <c r="Y13" s="91">
        <f t="shared" si="2"/>
        <v>2</v>
      </c>
      <c r="Z13" s="78"/>
      <c r="AA13" s="79"/>
      <c r="AB13" s="80"/>
      <c r="AC13" s="80"/>
      <c r="AD13" s="80"/>
    </row>
    <row r="14" spans="1:32" s="17" customFormat="1" ht="14.1" customHeight="1" x14ac:dyDescent="0.25">
      <c r="A14" s="40"/>
      <c r="B14" s="11" t="s">
        <v>35</v>
      </c>
      <c r="C14" s="35" t="s">
        <v>36</v>
      </c>
      <c r="D14" s="138" t="s">
        <v>127</v>
      </c>
      <c r="E14" s="35">
        <v>2022</v>
      </c>
      <c r="F14" s="35"/>
      <c r="G14" s="35"/>
      <c r="H14" s="44" t="s">
        <v>138</v>
      </c>
      <c r="I14" s="44"/>
      <c r="J14" s="12" t="s">
        <v>39</v>
      </c>
      <c r="K14" s="12" t="s">
        <v>136</v>
      </c>
      <c r="L14" s="12" t="s">
        <v>41</v>
      </c>
      <c r="M14" s="64" t="s">
        <v>42</v>
      </c>
      <c r="N14" s="13" t="s">
        <v>43</v>
      </c>
      <c r="O14" s="18">
        <f>+P14/$D$4</f>
        <v>3.6363636363636362</v>
      </c>
      <c r="P14" s="71">
        <v>60000</v>
      </c>
      <c r="Q14" s="15">
        <f>+P14</f>
        <v>60000</v>
      </c>
      <c r="R14" s="73">
        <f t="shared" si="3"/>
        <v>44614.933389999998</v>
      </c>
      <c r="S14" s="74">
        <f t="shared" si="4"/>
        <v>44618.569753636359</v>
      </c>
      <c r="T14" s="75">
        <f t="shared" si="1"/>
        <v>8</v>
      </c>
      <c r="U14" s="75">
        <f t="shared" si="1"/>
        <v>8</v>
      </c>
      <c r="V14" s="77">
        <f t="shared" si="5"/>
        <v>44648.569753636359</v>
      </c>
      <c r="W14" s="71"/>
      <c r="X14" s="34"/>
      <c r="Y14" s="91">
        <f t="shared" si="2"/>
        <v>2</v>
      </c>
      <c r="Z14" s="298">
        <f>SUM(P6:P14)</f>
        <v>254333.9</v>
      </c>
      <c r="AA14" s="49"/>
      <c r="AB14" s="80"/>
      <c r="AC14" s="80"/>
      <c r="AD14" s="80"/>
    </row>
    <row r="15" spans="1:32" s="17" customFormat="1" ht="14.1" customHeight="1" x14ac:dyDescent="0.25">
      <c r="A15" s="40"/>
      <c r="B15" s="11" t="s">
        <v>35</v>
      </c>
      <c r="C15" s="35" t="s">
        <v>36</v>
      </c>
      <c r="D15" s="138" t="s">
        <v>127</v>
      </c>
      <c r="E15" s="35">
        <v>2022</v>
      </c>
      <c r="F15" s="35"/>
      <c r="G15" s="35"/>
      <c r="H15" s="44" t="s">
        <v>77</v>
      </c>
      <c r="I15" s="44"/>
      <c r="J15" s="12" t="s">
        <v>39</v>
      </c>
      <c r="K15" s="12" t="s">
        <v>136</v>
      </c>
      <c r="L15" s="12" t="s">
        <v>41</v>
      </c>
      <c r="M15" s="64" t="s">
        <v>42</v>
      </c>
      <c r="N15" s="13" t="s">
        <v>43</v>
      </c>
      <c r="O15" s="18">
        <f t="shared" ref="O15:O60" si="7">+P15/$D$4</f>
        <v>5.1515151515151514</v>
      </c>
      <c r="P15" s="71">
        <v>85000</v>
      </c>
      <c r="Q15" s="15">
        <f>+P15</f>
        <v>85000</v>
      </c>
      <c r="R15" s="73">
        <f t="shared" si="3"/>
        <v>44618.569753636359</v>
      </c>
      <c r="S15" s="74">
        <f t="shared" si="4"/>
        <v>44623.721268787871</v>
      </c>
      <c r="T15" s="75">
        <f t="shared" si="1"/>
        <v>8</v>
      </c>
      <c r="U15" s="75">
        <f t="shared" si="1"/>
        <v>9</v>
      </c>
      <c r="V15" s="77">
        <f t="shared" si="5"/>
        <v>44653.721268787871</v>
      </c>
      <c r="W15" s="71"/>
      <c r="X15" s="34"/>
      <c r="Y15" s="91">
        <f t="shared" si="2"/>
        <v>3</v>
      </c>
      <c r="Z15" s="298"/>
      <c r="AA15" s="49" t="s">
        <v>213</v>
      </c>
      <c r="AB15" s="80">
        <v>0.9</v>
      </c>
      <c r="AC15" s="80"/>
      <c r="AD15" s="80"/>
    </row>
    <row r="16" spans="1:32" s="17" customFormat="1" ht="14.1" customHeight="1" x14ac:dyDescent="0.25">
      <c r="A16" s="40"/>
      <c r="B16" s="11" t="s">
        <v>82</v>
      </c>
      <c r="C16" s="35" t="s">
        <v>36</v>
      </c>
      <c r="D16" s="138" t="s">
        <v>127</v>
      </c>
      <c r="E16" s="35">
        <v>2022</v>
      </c>
      <c r="F16" s="35"/>
      <c r="G16" s="35"/>
      <c r="H16" s="44" t="s">
        <v>83</v>
      </c>
      <c r="I16" s="44"/>
      <c r="J16" s="12" t="s">
        <v>39</v>
      </c>
      <c r="K16" s="12" t="s">
        <v>40</v>
      </c>
      <c r="L16" s="12" t="s">
        <v>41</v>
      </c>
      <c r="M16" s="64" t="s">
        <v>42</v>
      </c>
      <c r="N16" s="211" t="s">
        <v>47</v>
      </c>
      <c r="O16" s="18">
        <f t="shared" si="7"/>
        <v>3.1656363636363638</v>
      </c>
      <c r="P16" s="71">
        <v>52233</v>
      </c>
      <c r="Q16" s="15">
        <f>+P16</f>
        <v>52233</v>
      </c>
      <c r="R16" s="73">
        <f t="shared" si="3"/>
        <v>44623.721268787871</v>
      </c>
      <c r="S16" s="74">
        <f t="shared" si="4"/>
        <v>44626.886905151507</v>
      </c>
      <c r="T16" s="75">
        <f t="shared" si="1"/>
        <v>9</v>
      </c>
      <c r="U16" s="75">
        <f t="shared" si="1"/>
        <v>9</v>
      </c>
      <c r="V16" s="77">
        <f t="shared" si="5"/>
        <v>44656.886905151507</v>
      </c>
      <c r="W16" s="71"/>
      <c r="X16" s="34"/>
      <c r="Y16" s="91">
        <f t="shared" si="2"/>
        <v>3</v>
      </c>
      <c r="Z16" s="78"/>
      <c r="AA16" s="80" t="s">
        <v>218</v>
      </c>
      <c r="AB16" s="80"/>
      <c r="AC16" s="80"/>
      <c r="AD16" s="80"/>
    </row>
    <row r="17" spans="1:30" ht="13.5" customHeight="1" x14ac:dyDescent="0.25">
      <c r="A17" s="40"/>
      <c r="B17" s="11" t="s">
        <v>35</v>
      </c>
      <c r="C17" s="35" t="s">
        <v>36</v>
      </c>
      <c r="D17" s="136" t="s">
        <v>127</v>
      </c>
      <c r="E17" s="35">
        <v>2022</v>
      </c>
      <c r="F17" s="35"/>
      <c r="G17" s="35"/>
      <c r="H17" s="47" t="s">
        <v>65</v>
      </c>
      <c r="I17" s="47"/>
      <c r="J17" s="12" t="s">
        <v>39</v>
      </c>
      <c r="K17" s="12" t="s">
        <v>66</v>
      </c>
      <c r="L17" s="12" t="s">
        <v>41</v>
      </c>
      <c r="M17" s="64" t="s">
        <v>219</v>
      </c>
      <c r="N17" s="13" t="s">
        <v>129</v>
      </c>
      <c r="O17" s="18">
        <f>+P17/$D$4+0.5</f>
        <v>2.9242424242424243</v>
      </c>
      <c r="P17" s="36">
        <v>40000</v>
      </c>
      <c r="Q17" s="15">
        <f>+P17</f>
        <v>40000</v>
      </c>
      <c r="R17" s="73">
        <f t="shared" si="3"/>
        <v>44626.886905151507</v>
      </c>
      <c r="S17" s="74">
        <f t="shared" si="4"/>
        <v>44629.811147575747</v>
      </c>
      <c r="T17" s="75">
        <f t="shared" si="1"/>
        <v>9</v>
      </c>
      <c r="U17" s="75">
        <f t="shared" si="1"/>
        <v>10</v>
      </c>
      <c r="V17" s="77">
        <f t="shared" si="5"/>
        <v>44659.811147575747</v>
      </c>
      <c r="W17" s="36"/>
      <c r="X17" s="37"/>
      <c r="Y17" s="91">
        <f t="shared" si="2"/>
        <v>3</v>
      </c>
      <c r="Z17" s="51"/>
      <c r="AA17" s="49" t="s">
        <v>213</v>
      </c>
      <c r="AB17" s="49">
        <v>0.7</v>
      </c>
      <c r="AC17" s="49"/>
      <c r="AD17" s="49"/>
    </row>
    <row r="18" spans="1:30" ht="13.5" customHeight="1" x14ac:dyDescent="0.25">
      <c r="A18" s="40"/>
      <c r="B18" s="11" t="s">
        <v>35</v>
      </c>
      <c r="C18" s="35" t="s">
        <v>36</v>
      </c>
      <c r="D18" s="136" t="s">
        <v>127</v>
      </c>
      <c r="E18" s="35">
        <v>2022</v>
      </c>
      <c r="F18" s="35"/>
      <c r="G18" s="35"/>
      <c r="H18" s="47" t="s">
        <v>65</v>
      </c>
      <c r="I18" s="47"/>
      <c r="J18" s="12" t="s">
        <v>39</v>
      </c>
      <c r="K18" s="12" t="s">
        <v>66</v>
      </c>
      <c r="L18" s="12" t="s">
        <v>41</v>
      </c>
      <c r="M18" s="64" t="s">
        <v>42</v>
      </c>
      <c r="N18" s="13" t="s">
        <v>129</v>
      </c>
      <c r="O18" s="18">
        <f t="shared" si="7"/>
        <v>3.6363636363636362</v>
      </c>
      <c r="P18" s="36">
        <v>60000</v>
      </c>
      <c r="Q18" s="15">
        <f t="shared" ref="Q18:Q60" si="8">+P18</f>
        <v>60000</v>
      </c>
      <c r="R18" s="73">
        <f t="shared" si="3"/>
        <v>44629.811147575747</v>
      </c>
      <c r="S18" s="74">
        <f t="shared" si="4"/>
        <v>44633.447511212107</v>
      </c>
      <c r="T18" s="75">
        <f t="shared" si="1"/>
        <v>10</v>
      </c>
      <c r="U18" s="75">
        <f t="shared" si="1"/>
        <v>10</v>
      </c>
      <c r="V18" s="77">
        <f t="shared" si="5"/>
        <v>44663.447511212107</v>
      </c>
      <c r="W18" s="36"/>
      <c r="X18" s="37"/>
      <c r="Y18" s="91">
        <f t="shared" si="2"/>
        <v>3</v>
      </c>
      <c r="Z18" s="51"/>
      <c r="AA18" s="49" t="s">
        <v>213</v>
      </c>
      <c r="AB18" s="49">
        <v>0.7</v>
      </c>
      <c r="AC18" s="49"/>
      <c r="AD18" s="49"/>
    </row>
    <row r="19" spans="1:30" ht="13.5" customHeight="1" x14ac:dyDescent="0.25">
      <c r="A19" s="40"/>
      <c r="B19" s="11" t="s">
        <v>35</v>
      </c>
      <c r="C19" s="35" t="s">
        <v>36</v>
      </c>
      <c r="D19" s="136" t="s">
        <v>127</v>
      </c>
      <c r="E19" s="35">
        <v>2022</v>
      </c>
      <c r="F19" s="35"/>
      <c r="G19" s="35"/>
      <c r="H19" s="47" t="s">
        <v>65</v>
      </c>
      <c r="I19" s="47"/>
      <c r="J19" s="12" t="s">
        <v>52</v>
      </c>
      <c r="K19" s="12" t="s">
        <v>66</v>
      </c>
      <c r="L19" s="12" t="s">
        <v>41</v>
      </c>
      <c r="M19" s="64" t="s">
        <v>42</v>
      </c>
      <c r="N19" s="13" t="s">
        <v>129</v>
      </c>
      <c r="O19" s="18">
        <f t="shared" si="7"/>
        <v>0.18181818181818182</v>
      </c>
      <c r="P19" s="36">
        <v>3000</v>
      </c>
      <c r="Q19" s="15">
        <f t="shared" si="8"/>
        <v>3000</v>
      </c>
      <c r="R19" s="73">
        <f t="shared" si="3"/>
        <v>44633.447511212107</v>
      </c>
      <c r="S19" s="74">
        <f t="shared" si="4"/>
        <v>44633.629329393923</v>
      </c>
      <c r="T19" s="75">
        <f t="shared" si="1"/>
        <v>10</v>
      </c>
      <c r="U19" s="75">
        <f t="shared" si="1"/>
        <v>10</v>
      </c>
      <c r="V19" s="77">
        <f t="shared" si="5"/>
        <v>44663.629329393923</v>
      </c>
      <c r="W19" s="36"/>
      <c r="X19" s="37"/>
      <c r="Y19" s="91">
        <f t="shared" si="2"/>
        <v>3</v>
      </c>
      <c r="Z19" s="51"/>
      <c r="AA19" s="49" t="s">
        <v>213</v>
      </c>
      <c r="AB19" s="49">
        <v>0.7</v>
      </c>
      <c r="AC19" s="49"/>
      <c r="AD19" s="49"/>
    </row>
    <row r="20" spans="1:30" s="17" customFormat="1" ht="14.1" customHeight="1" x14ac:dyDescent="0.25">
      <c r="A20" s="40"/>
      <c r="B20" s="11" t="s">
        <v>35</v>
      </c>
      <c r="C20" s="35" t="s">
        <v>36</v>
      </c>
      <c r="D20" s="136" t="s">
        <v>127</v>
      </c>
      <c r="E20" s="35">
        <v>2022</v>
      </c>
      <c r="F20" s="35"/>
      <c r="G20" s="35"/>
      <c r="H20" s="44" t="s">
        <v>130</v>
      </c>
      <c r="I20" s="44"/>
      <c r="J20" s="12" t="s">
        <v>39</v>
      </c>
      <c r="K20" s="12" t="s">
        <v>66</v>
      </c>
      <c r="L20" s="12" t="s">
        <v>41</v>
      </c>
      <c r="M20" s="64" t="s">
        <v>42</v>
      </c>
      <c r="N20" s="13" t="s">
        <v>129</v>
      </c>
      <c r="O20" s="18">
        <f t="shared" si="7"/>
        <v>5.1515151515151514</v>
      </c>
      <c r="P20" s="71">
        <v>85000</v>
      </c>
      <c r="Q20" s="15">
        <f t="shared" si="8"/>
        <v>85000</v>
      </c>
      <c r="R20" s="73">
        <f t="shared" si="3"/>
        <v>44633.629329393923</v>
      </c>
      <c r="S20" s="74">
        <f t="shared" si="4"/>
        <v>44638.780844545436</v>
      </c>
      <c r="T20" s="75">
        <f t="shared" si="1"/>
        <v>10</v>
      </c>
      <c r="U20" s="75">
        <f t="shared" si="1"/>
        <v>11</v>
      </c>
      <c r="V20" s="77">
        <f t="shared" si="5"/>
        <v>44668.780844545436</v>
      </c>
      <c r="W20" s="71"/>
      <c r="X20" s="34"/>
      <c r="Y20" s="91">
        <f t="shared" si="2"/>
        <v>3</v>
      </c>
      <c r="Z20" s="78"/>
      <c r="AA20" s="80" t="s">
        <v>213</v>
      </c>
      <c r="AB20" s="80">
        <v>0.75</v>
      </c>
      <c r="AC20" s="80"/>
      <c r="AD20" s="80"/>
    </row>
    <row r="21" spans="1:30" s="17" customFormat="1" ht="14.1" customHeight="1" x14ac:dyDescent="0.25">
      <c r="A21" s="40"/>
      <c r="B21" s="11" t="s">
        <v>35</v>
      </c>
      <c r="C21" s="35" t="s">
        <v>36</v>
      </c>
      <c r="D21" s="138" t="s">
        <v>127</v>
      </c>
      <c r="E21" s="35">
        <v>2022</v>
      </c>
      <c r="F21" s="35"/>
      <c r="G21" s="35"/>
      <c r="H21" s="44" t="s">
        <v>53</v>
      </c>
      <c r="I21" s="44"/>
      <c r="J21" s="12" t="s">
        <v>39</v>
      </c>
      <c r="K21" s="12" t="s">
        <v>136</v>
      </c>
      <c r="L21" s="12" t="s">
        <v>41</v>
      </c>
      <c r="M21" s="64" t="s">
        <v>42</v>
      </c>
      <c r="N21" s="13" t="s">
        <v>43</v>
      </c>
      <c r="O21" s="18">
        <f t="shared" si="7"/>
        <v>16.969696969696969</v>
      </c>
      <c r="P21" s="71">
        <v>280000</v>
      </c>
      <c r="Q21" s="15">
        <f t="shared" si="8"/>
        <v>280000</v>
      </c>
      <c r="R21" s="73">
        <f t="shared" si="3"/>
        <v>44638.780844545436</v>
      </c>
      <c r="S21" s="74">
        <f t="shared" si="4"/>
        <v>44655.750541515132</v>
      </c>
      <c r="T21" s="75">
        <f t="shared" si="1"/>
        <v>11</v>
      </c>
      <c r="U21" s="75">
        <f t="shared" si="1"/>
        <v>14</v>
      </c>
      <c r="V21" s="77">
        <f t="shared" si="5"/>
        <v>44685.750541515132</v>
      </c>
      <c r="W21" s="71"/>
      <c r="X21" s="34"/>
      <c r="Y21" s="91">
        <f t="shared" si="2"/>
        <v>4</v>
      </c>
      <c r="Z21" s="298">
        <f>SUM(P15:P20)</f>
        <v>325233</v>
      </c>
      <c r="AA21" s="80" t="s">
        <v>213</v>
      </c>
      <c r="AB21" s="80">
        <v>0.82</v>
      </c>
      <c r="AC21" s="80"/>
      <c r="AD21" s="80"/>
    </row>
    <row r="22" spans="1:30" s="17" customFormat="1" ht="14.1" customHeight="1" x14ac:dyDescent="0.25">
      <c r="A22" s="40"/>
      <c r="B22" s="11" t="s">
        <v>45</v>
      </c>
      <c r="C22" s="35" t="s">
        <v>36</v>
      </c>
      <c r="D22" s="138" t="s">
        <v>127</v>
      </c>
      <c r="E22" s="35">
        <v>2022</v>
      </c>
      <c r="F22" s="35"/>
      <c r="G22" s="35"/>
      <c r="H22" s="44" t="s">
        <v>142</v>
      </c>
      <c r="I22" s="44"/>
      <c r="J22" s="12" t="s">
        <v>39</v>
      </c>
      <c r="K22" s="12" t="s">
        <v>136</v>
      </c>
      <c r="L22" s="12" t="s">
        <v>41</v>
      </c>
      <c r="M22" s="64" t="s">
        <v>42</v>
      </c>
      <c r="N22" s="13" t="s">
        <v>47</v>
      </c>
      <c r="O22" s="18">
        <f t="shared" si="7"/>
        <v>5.4545454545454541</v>
      </c>
      <c r="P22" s="71">
        <v>90000</v>
      </c>
      <c r="Q22" s="15">
        <f t="shared" si="8"/>
        <v>90000</v>
      </c>
      <c r="R22" s="73">
        <f t="shared" si="3"/>
        <v>44655.750541515132</v>
      </c>
      <c r="S22" s="74">
        <f t="shared" si="4"/>
        <v>44661.205086969676</v>
      </c>
      <c r="T22" s="75">
        <f t="shared" si="1"/>
        <v>14</v>
      </c>
      <c r="U22" s="75">
        <f t="shared" si="1"/>
        <v>14</v>
      </c>
      <c r="V22" s="77">
        <f t="shared" si="5"/>
        <v>44691.205086969676</v>
      </c>
      <c r="W22" s="71"/>
      <c r="X22" s="34"/>
      <c r="Y22" s="91">
        <f t="shared" si="2"/>
        <v>4</v>
      </c>
      <c r="Z22" s="78"/>
      <c r="AA22" s="80" t="s">
        <v>213</v>
      </c>
      <c r="AB22" s="80">
        <v>0.8</v>
      </c>
      <c r="AC22" s="80"/>
      <c r="AD22" s="80"/>
    </row>
    <row r="23" spans="1:30" s="17" customFormat="1" ht="14.1" customHeight="1" x14ac:dyDescent="0.25">
      <c r="A23" s="40"/>
      <c r="B23" s="11" t="s">
        <v>45</v>
      </c>
      <c r="C23" s="35" t="s">
        <v>36</v>
      </c>
      <c r="D23" s="138" t="s">
        <v>127</v>
      </c>
      <c r="E23" s="35">
        <v>2022</v>
      </c>
      <c r="F23" s="35"/>
      <c r="G23" s="35"/>
      <c r="H23" s="44" t="s">
        <v>87</v>
      </c>
      <c r="I23" s="44"/>
      <c r="J23" s="12" t="s">
        <v>39</v>
      </c>
      <c r="K23" s="12" t="s">
        <v>40</v>
      </c>
      <c r="L23" s="12" t="s">
        <v>41</v>
      </c>
      <c r="M23" s="64" t="s">
        <v>42</v>
      </c>
      <c r="N23" s="13" t="s">
        <v>47</v>
      </c>
      <c r="O23" s="18">
        <f t="shared" si="7"/>
        <v>4.4242424242424239</v>
      </c>
      <c r="P23" s="71">
        <v>73000</v>
      </c>
      <c r="Q23" s="15">
        <f t="shared" si="8"/>
        <v>73000</v>
      </c>
      <c r="R23" s="73">
        <f t="shared" si="3"/>
        <v>44661.205086969676</v>
      </c>
      <c r="S23" s="74">
        <f t="shared" si="4"/>
        <v>44665.629329393916</v>
      </c>
      <c r="T23" s="75">
        <f t="shared" ref="T23:U49" si="9">_xlfn.ISOWEEKNUM(R23)</f>
        <v>14</v>
      </c>
      <c r="U23" s="75">
        <f t="shared" si="9"/>
        <v>15</v>
      </c>
      <c r="V23" s="77">
        <f t="shared" si="5"/>
        <v>44695.629329393916</v>
      </c>
      <c r="W23" s="71"/>
      <c r="X23" s="34"/>
      <c r="Y23" s="91">
        <f t="shared" si="2"/>
        <v>4</v>
      </c>
      <c r="Z23" s="78"/>
      <c r="AA23" s="80" t="s">
        <v>213</v>
      </c>
      <c r="AB23" s="80">
        <v>0.7</v>
      </c>
      <c r="AC23" s="80"/>
      <c r="AD23" s="80"/>
    </row>
    <row r="24" spans="1:30" s="17" customFormat="1" ht="14.1" customHeight="1" x14ac:dyDescent="0.25">
      <c r="A24" s="40"/>
      <c r="B24" s="11" t="s">
        <v>45</v>
      </c>
      <c r="C24" s="35" t="s">
        <v>36</v>
      </c>
      <c r="D24" s="138" t="s">
        <v>127</v>
      </c>
      <c r="E24" s="35">
        <v>2022</v>
      </c>
      <c r="F24" s="35"/>
      <c r="G24" s="35"/>
      <c r="H24" s="44" t="s">
        <v>88</v>
      </c>
      <c r="I24" s="44"/>
      <c r="J24" s="12" t="s">
        <v>39</v>
      </c>
      <c r="K24" s="12" t="s">
        <v>40</v>
      </c>
      <c r="L24" s="12" t="s">
        <v>41</v>
      </c>
      <c r="M24" s="64" t="s">
        <v>42</v>
      </c>
      <c r="N24" s="13" t="s">
        <v>47</v>
      </c>
      <c r="O24" s="18">
        <f>+P24/$D$4+0.5</f>
        <v>4.7424242424242422</v>
      </c>
      <c r="P24" s="71">
        <v>70000</v>
      </c>
      <c r="Q24" s="15">
        <f t="shared" si="8"/>
        <v>70000</v>
      </c>
      <c r="R24" s="73">
        <f t="shared" si="3"/>
        <v>44665.629329393916</v>
      </c>
      <c r="S24" s="74">
        <f t="shared" si="4"/>
        <v>44670.37175363634</v>
      </c>
      <c r="T24" s="75">
        <f t="shared" si="9"/>
        <v>15</v>
      </c>
      <c r="U24" s="75">
        <f t="shared" si="9"/>
        <v>16</v>
      </c>
      <c r="V24" s="77">
        <f t="shared" si="5"/>
        <v>44700.37175363634</v>
      </c>
      <c r="W24" s="71"/>
      <c r="X24" s="34"/>
      <c r="Y24" s="91">
        <f t="shared" si="2"/>
        <v>4</v>
      </c>
      <c r="Z24" s="78"/>
      <c r="AA24" s="80" t="s">
        <v>213</v>
      </c>
      <c r="AB24" s="80">
        <v>0.7</v>
      </c>
      <c r="AC24" s="80"/>
      <c r="AD24" s="80"/>
    </row>
    <row r="25" spans="1:30" s="17" customFormat="1" ht="14.1" customHeight="1" x14ac:dyDescent="0.25">
      <c r="A25" s="40"/>
      <c r="B25" s="11" t="s">
        <v>35</v>
      </c>
      <c r="C25" s="35" t="s">
        <v>36</v>
      </c>
      <c r="D25" s="138" t="s">
        <v>127</v>
      </c>
      <c r="E25" s="35">
        <v>2022</v>
      </c>
      <c r="F25" s="35"/>
      <c r="G25" s="35"/>
      <c r="H25" s="292" t="s">
        <v>139</v>
      </c>
      <c r="I25" s="44"/>
      <c r="J25" s="12" t="s">
        <v>39</v>
      </c>
      <c r="K25" s="12" t="s">
        <v>136</v>
      </c>
      <c r="L25" s="12" t="s">
        <v>41</v>
      </c>
      <c r="M25" s="64" t="s">
        <v>42</v>
      </c>
      <c r="N25" s="13" t="s">
        <v>43</v>
      </c>
      <c r="O25" s="18">
        <f t="shared" si="7"/>
        <v>2.5348484848484847</v>
      </c>
      <c r="P25" s="71">
        <v>41825</v>
      </c>
      <c r="Q25" s="15">
        <f t="shared" si="8"/>
        <v>41825</v>
      </c>
      <c r="R25" s="73">
        <f t="shared" si="3"/>
        <v>44670.37175363634</v>
      </c>
      <c r="S25" s="74">
        <f t="shared" si="4"/>
        <v>44672.906602121191</v>
      </c>
      <c r="T25" s="75">
        <f t="shared" si="9"/>
        <v>16</v>
      </c>
      <c r="U25" s="75">
        <f t="shared" si="9"/>
        <v>16</v>
      </c>
      <c r="V25" s="77">
        <f t="shared" si="5"/>
        <v>44702.906602121191</v>
      </c>
      <c r="W25" s="71"/>
      <c r="X25" s="34"/>
      <c r="Y25" s="91">
        <f t="shared" si="2"/>
        <v>4</v>
      </c>
      <c r="Z25" s="298"/>
      <c r="AA25" s="80" t="s">
        <v>214</v>
      </c>
      <c r="AB25" s="80">
        <v>0.95</v>
      </c>
      <c r="AC25" s="80"/>
      <c r="AD25" s="80"/>
    </row>
    <row r="26" spans="1:30" ht="13.5" customHeight="1" x14ac:dyDescent="0.25">
      <c r="A26" s="40"/>
      <c r="B26" s="11" t="s">
        <v>35</v>
      </c>
      <c r="C26" s="35" t="s">
        <v>36</v>
      </c>
      <c r="D26" s="136" t="s">
        <v>127</v>
      </c>
      <c r="E26" s="35">
        <v>2022</v>
      </c>
      <c r="F26" s="35"/>
      <c r="G26" s="35"/>
      <c r="H26" s="292" t="s">
        <v>75</v>
      </c>
      <c r="I26" s="47"/>
      <c r="J26" s="12" t="s">
        <v>39</v>
      </c>
      <c r="K26" s="12" t="s">
        <v>40</v>
      </c>
      <c r="L26" s="12" t="s">
        <v>41</v>
      </c>
      <c r="M26" s="64" t="s">
        <v>42</v>
      </c>
      <c r="N26" s="13" t="s">
        <v>43</v>
      </c>
      <c r="O26" s="18">
        <f t="shared" si="7"/>
        <v>5.8181818181818183</v>
      </c>
      <c r="P26" s="71">
        <v>96000</v>
      </c>
      <c r="Q26" s="15">
        <f t="shared" si="8"/>
        <v>96000</v>
      </c>
      <c r="R26" s="73">
        <f t="shared" si="3"/>
        <v>44672.906602121191</v>
      </c>
      <c r="S26" s="74">
        <f t="shared" si="4"/>
        <v>44678.724783939375</v>
      </c>
      <c r="T26" s="75">
        <f t="shared" si="9"/>
        <v>16</v>
      </c>
      <c r="U26" s="75">
        <f t="shared" si="9"/>
        <v>17</v>
      </c>
      <c r="V26" s="77">
        <f t="shared" si="5"/>
        <v>44708.724783939375</v>
      </c>
      <c r="W26" s="36"/>
      <c r="X26" s="37"/>
      <c r="Y26" s="91">
        <f t="shared" si="2"/>
        <v>4</v>
      </c>
      <c r="Z26" s="298"/>
      <c r="AA26" s="49" t="s">
        <v>213</v>
      </c>
      <c r="AB26" s="49">
        <v>0.95</v>
      </c>
      <c r="AC26" s="49"/>
      <c r="AD26" s="49"/>
    </row>
    <row r="27" spans="1:30" s="17" customFormat="1" ht="14.1" customHeight="1" x14ac:dyDescent="0.25">
      <c r="A27" s="40"/>
      <c r="B27" s="11" t="s">
        <v>45</v>
      </c>
      <c r="C27" s="35" t="s">
        <v>36</v>
      </c>
      <c r="D27" s="138" t="s">
        <v>127</v>
      </c>
      <c r="E27" s="35">
        <v>2022</v>
      </c>
      <c r="F27" s="35"/>
      <c r="G27" s="291" t="s">
        <v>220</v>
      </c>
      <c r="H27" s="280" t="s">
        <v>117</v>
      </c>
      <c r="I27" s="44"/>
      <c r="J27" s="12" t="s">
        <v>39</v>
      </c>
      <c r="K27" s="12" t="s">
        <v>66</v>
      </c>
      <c r="L27" s="12" t="s">
        <v>41</v>
      </c>
      <c r="M27" s="64" t="s">
        <v>219</v>
      </c>
      <c r="N27" s="13" t="s">
        <v>71</v>
      </c>
      <c r="O27" s="18">
        <f>+P27/$D$4+0.5</f>
        <v>0.92424242424242431</v>
      </c>
      <c r="P27" s="71">
        <v>7000</v>
      </c>
      <c r="Q27" s="15">
        <f t="shared" si="8"/>
        <v>7000</v>
      </c>
      <c r="R27" s="73">
        <f t="shared" si="3"/>
        <v>44678.724783939375</v>
      </c>
      <c r="S27" s="74">
        <f t="shared" si="4"/>
        <v>44679.649026363615</v>
      </c>
      <c r="T27" s="75">
        <f t="shared" si="9"/>
        <v>17</v>
      </c>
      <c r="U27" s="75">
        <f t="shared" si="9"/>
        <v>17</v>
      </c>
      <c r="V27" s="77">
        <f t="shared" si="5"/>
        <v>44709.649026363615</v>
      </c>
      <c r="W27" s="71"/>
      <c r="X27" s="34"/>
      <c r="Y27" s="91">
        <f t="shared" si="2"/>
        <v>4</v>
      </c>
      <c r="Z27" s="298">
        <f>SUM(P21:P25)</f>
        <v>554825</v>
      </c>
      <c r="AA27" s="49"/>
      <c r="AB27" s="80"/>
      <c r="AC27" s="80"/>
      <c r="AD27" s="80"/>
    </row>
    <row r="28" spans="1:30" s="17" customFormat="1" ht="14.1" customHeight="1" x14ac:dyDescent="0.25">
      <c r="A28" s="40"/>
      <c r="B28" s="11" t="s">
        <v>45</v>
      </c>
      <c r="C28" s="35" t="s">
        <v>36</v>
      </c>
      <c r="D28" s="138" t="s">
        <v>127</v>
      </c>
      <c r="E28" s="35">
        <v>2022</v>
      </c>
      <c r="F28" s="35"/>
      <c r="G28" s="291" t="s">
        <v>220</v>
      </c>
      <c r="H28" s="280" t="s">
        <v>117</v>
      </c>
      <c r="I28" s="44"/>
      <c r="J28" s="12" t="s">
        <v>39</v>
      </c>
      <c r="K28" s="12" t="s">
        <v>66</v>
      </c>
      <c r="L28" s="12" t="s">
        <v>41</v>
      </c>
      <c r="M28" s="64" t="s">
        <v>42</v>
      </c>
      <c r="N28" s="13" t="s">
        <v>71</v>
      </c>
      <c r="O28" s="18">
        <f t="shared" si="7"/>
        <v>1.68</v>
      </c>
      <c r="P28" s="71">
        <f>34720-P27</f>
        <v>27720</v>
      </c>
      <c r="Q28" s="15">
        <f t="shared" si="8"/>
        <v>27720</v>
      </c>
      <c r="R28" s="73">
        <f t="shared" si="3"/>
        <v>44679.649026363615</v>
      </c>
      <c r="S28" s="74">
        <f t="shared" si="4"/>
        <v>44681.329026363615</v>
      </c>
      <c r="T28" s="75">
        <f t="shared" si="9"/>
        <v>17</v>
      </c>
      <c r="U28" s="75">
        <f t="shared" si="9"/>
        <v>17</v>
      </c>
      <c r="V28" s="77">
        <f t="shared" si="5"/>
        <v>44711.329026363615</v>
      </c>
      <c r="W28" s="71"/>
      <c r="X28" s="34"/>
      <c r="Y28" s="91">
        <f t="shared" si="2"/>
        <v>4</v>
      </c>
      <c r="Z28" s="78"/>
      <c r="AA28" s="80" t="s">
        <v>214</v>
      </c>
      <c r="AB28" s="80">
        <v>0.75</v>
      </c>
      <c r="AC28" s="80"/>
      <c r="AD28" s="80"/>
    </row>
    <row r="29" spans="1:30" s="17" customFormat="1" ht="14.1" customHeight="1" x14ac:dyDescent="0.25">
      <c r="A29" s="40"/>
      <c r="B29" s="11" t="s">
        <v>35</v>
      </c>
      <c r="C29" s="35" t="s">
        <v>36</v>
      </c>
      <c r="D29" s="138" t="s">
        <v>127</v>
      </c>
      <c r="E29" s="35">
        <v>2022</v>
      </c>
      <c r="F29" s="35"/>
      <c r="G29" s="35"/>
      <c r="H29" s="292" t="s">
        <v>134</v>
      </c>
      <c r="I29" s="44"/>
      <c r="J29" s="12" t="s">
        <v>39</v>
      </c>
      <c r="K29" s="12" t="s">
        <v>40</v>
      </c>
      <c r="L29" s="12" t="s">
        <v>41</v>
      </c>
      <c r="M29" s="64" t="s">
        <v>42</v>
      </c>
      <c r="N29" s="13" t="s">
        <v>43</v>
      </c>
      <c r="O29" s="18">
        <f t="shared" si="7"/>
        <v>6.666666666666667</v>
      </c>
      <c r="P29" s="71">
        <v>110000</v>
      </c>
      <c r="Q29" s="15">
        <f t="shared" si="8"/>
        <v>110000</v>
      </c>
      <c r="R29" s="73">
        <f t="shared" si="3"/>
        <v>44681.329026363615</v>
      </c>
      <c r="S29" s="74">
        <f t="shared" si="4"/>
        <v>44687.99569303028</v>
      </c>
      <c r="T29" s="75">
        <f t="shared" si="9"/>
        <v>17</v>
      </c>
      <c r="U29" s="75">
        <f t="shared" si="9"/>
        <v>18</v>
      </c>
      <c r="V29" s="77">
        <f t="shared" si="5"/>
        <v>44717.99569303028</v>
      </c>
      <c r="W29" s="71"/>
      <c r="X29" s="34"/>
      <c r="Y29" s="91">
        <f t="shared" si="2"/>
        <v>5</v>
      </c>
      <c r="Z29" s="78"/>
      <c r="AA29" s="49" t="s">
        <v>213</v>
      </c>
      <c r="AB29" s="80">
        <v>0.65</v>
      </c>
      <c r="AC29" s="80"/>
      <c r="AD29" s="80"/>
    </row>
    <row r="30" spans="1:30" s="17" customFormat="1" ht="14.1" customHeight="1" x14ac:dyDescent="0.25">
      <c r="A30" s="40"/>
      <c r="B30" s="11" t="s">
        <v>35</v>
      </c>
      <c r="C30" s="35" t="s">
        <v>36</v>
      </c>
      <c r="D30" s="138" t="s">
        <v>215</v>
      </c>
      <c r="E30" s="35">
        <v>2022</v>
      </c>
      <c r="F30" s="35"/>
      <c r="G30" s="35"/>
      <c r="H30" s="292" t="s">
        <v>134</v>
      </c>
      <c r="I30" s="44"/>
      <c r="J30" s="12" t="s">
        <v>52</v>
      </c>
      <c r="K30" s="12" t="s">
        <v>40</v>
      </c>
      <c r="L30" s="12" t="s">
        <v>41</v>
      </c>
      <c r="M30" s="64" t="s">
        <v>42</v>
      </c>
      <c r="N30" s="13" t="s">
        <v>47</v>
      </c>
      <c r="O30" s="18">
        <f t="shared" si="7"/>
        <v>3.0303030303030304E-2</v>
      </c>
      <c r="P30" s="71">
        <v>500</v>
      </c>
      <c r="Q30" s="15">
        <f t="shared" si="8"/>
        <v>500</v>
      </c>
      <c r="R30" s="73">
        <f t="shared" si="3"/>
        <v>44687.99569303028</v>
      </c>
      <c r="S30" s="74">
        <f t="shared" si="4"/>
        <v>44688.025996060584</v>
      </c>
      <c r="T30" s="75">
        <f t="shared" si="9"/>
        <v>18</v>
      </c>
      <c r="U30" s="75">
        <f t="shared" si="9"/>
        <v>18</v>
      </c>
      <c r="V30" s="77">
        <f t="shared" si="5"/>
        <v>44718.025996060584</v>
      </c>
      <c r="W30" s="71"/>
      <c r="X30" s="34"/>
      <c r="Y30" s="91">
        <f t="shared" si="2"/>
        <v>5</v>
      </c>
      <c r="Z30" s="78"/>
      <c r="AA30" s="49" t="s">
        <v>213</v>
      </c>
      <c r="AB30" s="80">
        <v>0.65</v>
      </c>
      <c r="AC30" s="80"/>
      <c r="AD30" s="80"/>
    </row>
    <row r="31" spans="1:30" s="17" customFormat="1" ht="14.1" customHeight="1" x14ac:dyDescent="0.25">
      <c r="A31" s="40"/>
      <c r="B31" s="11" t="s">
        <v>35</v>
      </c>
      <c r="C31" s="35" t="s">
        <v>36</v>
      </c>
      <c r="D31" s="138" t="s">
        <v>127</v>
      </c>
      <c r="E31" s="35">
        <v>2022</v>
      </c>
      <c r="F31" s="35"/>
      <c r="G31" s="291" t="s">
        <v>220</v>
      </c>
      <c r="H31" s="280" t="s">
        <v>113</v>
      </c>
      <c r="I31" s="44"/>
      <c r="J31" s="12" t="s">
        <v>39</v>
      </c>
      <c r="K31" s="12" t="s">
        <v>136</v>
      </c>
      <c r="L31" s="12" t="s">
        <v>41</v>
      </c>
      <c r="M31" s="64" t="s">
        <v>42</v>
      </c>
      <c r="N31" s="13" t="s">
        <v>43</v>
      </c>
      <c r="O31" s="18">
        <f t="shared" si="7"/>
        <v>3.630060606060606</v>
      </c>
      <c r="P31" s="71">
        <v>59896</v>
      </c>
      <c r="Q31" s="15">
        <f>+P31</f>
        <v>59896</v>
      </c>
      <c r="R31" s="73">
        <f t="shared" si="3"/>
        <v>44688.025996060584</v>
      </c>
      <c r="S31" s="74">
        <f t="shared" si="4"/>
        <v>44691.656056666645</v>
      </c>
      <c r="T31" s="75">
        <f t="shared" si="9"/>
        <v>18</v>
      </c>
      <c r="U31" s="75">
        <f t="shared" si="9"/>
        <v>19</v>
      </c>
      <c r="V31" s="77">
        <f t="shared" si="5"/>
        <v>44721.656056666645</v>
      </c>
      <c r="W31" s="71"/>
      <c r="X31" s="34"/>
      <c r="Y31" s="91">
        <f t="shared" si="2"/>
        <v>5</v>
      </c>
      <c r="Z31" s="78"/>
      <c r="AA31" s="80" t="s">
        <v>214</v>
      </c>
      <c r="AB31" s="80">
        <v>1</v>
      </c>
      <c r="AC31" s="80" t="s">
        <v>103</v>
      </c>
      <c r="AD31" s="80">
        <v>59000</v>
      </c>
    </row>
    <row r="32" spans="1:30" s="17" customFormat="1" ht="14.1" customHeight="1" x14ac:dyDescent="0.25">
      <c r="A32" s="40"/>
      <c r="B32" s="11" t="s">
        <v>35</v>
      </c>
      <c r="C32" s="35" t="s">
        <v>36</v>
      </c>
      <c r="D32" s="136" t="s">
        <v>127</v>
      </c>
      <c r="E32" s="35">
        <v>2022</v>
      </c>
      <c r="F32" s="35"/>
      <c r="G32" s="35"/>
      <c r="H32" s="44" t="s">
        <v>133</v>
      </c>
      <c r="I32" s="44"/>
      <c r="J32" s="12" t="s">
        <v>39</v>
      </c>
      <c r="K32" s="12" t="s">
        <v>40</v>
      </c>
      <c r="L32" s="12" t="s">
        <v>41</v>
      </c>
      <c r="M32" s="64" t="s">
        <v>42</v>
      </c>
      <c r="N32" s="13" t="s">
        <v>43</v>
      </c>
      <c r="O32" s="18">
        <f t="shared" si="7"/>
        <v>5.5532727272727271</v>
      </c>
      <c r="P32" s="71">
        <v>91629</v>
      </c>
      <c r="Q32" s="15">
        <f>+P32</f>
        <v>91629</v>
      </c>
      <c r="R32" s="73">
        <f t="shared" si="3"/>
        <v>44691.656056666645</v>
      </c>
      <c r="S32" s="74">
        <f t="shared" si="4"/>
        <v>44697.209329393918</v>
      </c>
      <c r="T32" s="75">
        <f t="shared" si="9"/>
        <v>19</v>
      </c>
      <c r="U32" s="75">
        <f t="shared" si="9"/>
        <v>20</v>
      </c>
      <c r="V32" s="77">
        <f t="shared" si="5"/>
        <v>44727.209329393918</v>
      </c>
      <c r="W32" s="71"/>
      <c r="X32" s="34"/>
      <c r="Y32" s="91">
        <f t="shared" si="2"/>
        <v>5</v>
      </c>
      <c r="Z32" s="78"/>
      <c r="AA32" s="49" t="s">
        <v>213</v>
      </c>
      <c r="AB32" s="80">
        <v>0.65</v>
      </c>
      <c r="AC32" s="80" t="s">
        <v>103</v>
      </c>
      <c r="AD32" s="80">
        <v>29000</v>
      </c>
    </row>
    <row r="33" spans="1:30" s="17" customFormat="1" ht="14.1" customHeight="1" x14ac:dyDescent="0.25">
      <c r="A33" s="40"/>
      <c r="B33" s="11" t="s">
        <v>35</v>
      </c>
      <c r="C33" s="35" t="s">
        <v>36</v>
      </c>
      <c r="D33" s="136" t="s">
        <v>127</v>
      </c>
      <c r="E33" s="35">
        <v>2022</v>
      </c>
      <c r="F33" s="35"/>
      <c r="G33" s="35"/>
      <c r="H33" s="280" t="s">
        <v>72</v>
      </c>
      <c r="I33" s="44" t="s">
        <v>131</v>
      </c>
      <c r="J33" s="12" t="s">
        <v>39</v>
      </c>
      <c r="K33" s="12" t="s">
        <v>40</v>
      </c>
      <c r="L33" s="12" t="s">
        <v>41</v>
      </c>
      <c r="M33" s="64" t="s">
        <v>42</v>
      </c>
      <c r="N33" s="13" t="s">
        <v>43</v>
      </c>
      <c r="O33" s="18">
        <f t="shared" si="7"/>
        <v>7.6027272727272726</v>
      </c>
      <c r="P33" s="71">
        <v>125445</v>
      </c>
      <c r="Q33" s="15">
        <f t="shared" si="8"/>
        <v>125445</v>
      </c>
      <c r="R33" s="73">
        <f t="shared" si="3"/>
        <v>44697.209329393918</v>
      </c>
      <c r="S33" s="74">
        <f t="shared" si="4"/>
        <v>44704.812056666648</v>
      </c>
      <c r="T33" s="75">
        <f t="shared" si="9"/>
        <v>20</v>
      </c>
      <c r="U33" s="75">
        <f t="shared" si="9"/>
        <v>21</v>
      </c>
      <c r="V33" s="77">
        <f t="shared" si="5"/>
        <v>44734.812056666648</v>
      </c>
      <c r="W33" s="71"/>
      <c r="X33" s="34"/>
      <c r="Y33" s="91">
        <f t="shared" si="2"/>
        <v>5</v>
      </c>
      <c r="Z33" s="298">
        <f>SUM(P26:P32)</f>
        <v>392745</v>
      </c>
      <c r="AA33" s="80" t="s">
        <v>221</v>
      </c>
      <c r="AB33" s="80">
        <v>0.75</v>
      </c>
      <c r="AC33" s="80"/>
      <c r="AD33" s="80"/>
    </row>
    <row r="34" spans="1:30" s="17" customFormat="1" ht="14.1" customHeight="1" x14ac:dyDescent="0.25">
      <c r="A34" s="40"/>
      <c r="B34" s="11" t="s">
        <v>35</v>
      </c>
      <c r="C34" s="35" t="s">
        <v>36</v>
      </c>
      <c r="D34" s="136" t="s">
        <v>127</v>
      </c>
      <c r="E34" s="35">
        <v>2022</v>
      </c>
      <c r="F34" s="35"/>
      <c r="G34" s="35"/>
      <c r="H34" s="280" t="s">
        <v>73</v>
      </c>
      <c r="I34" s="44" t="s">
        <v>131</v>
      </c>
      <c r="J34" s="12" t="s">
        <v>39</v>
      </c>
      <c r="K34" s="12" t="s">
        <v>40</v>
      </c>
      <c r="L34" s="12" t="s">
        <v>41</v>
      </c>
      <c r="M34" s="64" t="s">
        <v>42</v>
      </c>
      <c r="N34" s="13" t="s">
        <v>43</v>
      </c>
      <c r="O34" s="18">
        <f t="shared" si="7"/>
        <v>2.4242424242424243</v>
      </c>
      <c r="P34" s="71">
        <v>40000</v>
      </c>
      <c r="Q34" s="15">
        <f t="shared" si="8"/>
        <v>40000</v>
      </c>
      <c r="R34" s="73">
        <f t="shared" si="3"/>
        <v>44704.812056666648</v>
      </c>
      <c r="S34" s="74">
        <f t="shared" si="4"/>
        <v>44707.236299090888</v>
      </c>
      <c r="T34" s="75">
        <f t="shared" si="9"/>
        <v>21</v>
      </c>
      <c r="U34" s="75">
        <f t="shared" si="9"/>
        <v>21</v>
      </c>
      <c r="V34" s="77">
        <f t="shared" si="5"/>
        <v>44737.236299090888</v>
      </c>
      <c r="W34" s="71"/>
      <c r="X34" s="34"/>
      <c r="Y34" s="91">
        <f t="shared" si="2"/>
        <v>5</v>
      </c>
      <c r="Z34" s="78"/>
      <c r="AA34" s="80" t="s">
        <v>222</v>
      </c>
      <c r="AB34" s="80">
        <v>0.65</v>
      </c>
      <c r="AC34" s="80"/>
      <c r="AD34" s="80"/>
    </row>
    <row r="35" spans="1:30" s="17" customFormat="1" ht="14.1" customHeight="1" x14ac:dyDescent="0.25">
      <c r="A35" s="40"/>
      <c r="B35" s="11" t="s">
        <v>35</v>
      </c>
      <c r="C35" s="35" t="s">
        <v>36</v>
      </c>
      <c r="D35" s="136" t="s">
        <v>127</v>
      </c>
      <c r="E35" s="35">
        <v>2022</v>
      </c>
      <c r="F35" s="35"/>
      <c r="G35" s="35"/>
      <c r="H35" s="280" t="s">
        <v>73</v>
      </c>
      <c r="I35" s="44" t="s">
        <v>131</v>
      </c>
      <c r="J35" s="12" t="s">
        <v>52</v>
      </c>
      <c r="K35" s="12" t="s">
        <v>40</v>
      </c>
      <c r="L35" s="12" t="s">
        <v>41</v>
      </c>
      <c r="M35" s="64" t="s">
        <v>42</v>
      </c>
      <c r="N35" s="13" t="s">
        <v>47</v>
      </c>
      <c r="O35" s="18">
        <f>+P35/$D$4+0.5</f>
        <v>0.92424242424242431</v>
      </c>
      <c r="P35" s="71">
        <v>7000</v>
      </c>
      <c r="Q35" s="15">
        <f t="shared" si="8"/>
        <v>7000</v>
      </c>
      <c r="R35" s="73">
        <f t="shared" si="3"/>
        <v>44707.236299090888</v>
      </c>
      <c r="S35" s="74">
        <f t="shared" si="4"/>
        <v>44708.160541515128</v>
      </c>
      <c r="T35" s="75">
        <f t="shared" si="9"/>
        <v>21</v>
      </c>
      <c r="U35" s="75">
        <f t="shared" si="9"/>
        <v>21</v>
      </c>
      <c r="V35" s="77">
        <f t="shared" si="5"/>
        <v>44738.160541515128</v>
      </c>
      <c r="W35" s="71"/>
      <c r="X35" s="34"/>
      <c r="Y35" s="91">
        <f t="shared" si="2"/>
        <v>5</v>
      </c>
      <c r="Z35" s="78"/>
      <c r="AA35" s="80"/>
      <c r="AB35" s="80"/>
      <c r="AC35" s="80"/>
      <c r="AD35" s="80"/>
    </row>
    <row r="36" spans="1:30" s="17" customFormat="1" ht="14.1" customHeight="1" x14ac:dyDescent="0.25">
      <c r="A36" s="40"/>
      <c r="B36" s="11" t="s">
        <v>45</v>
      </c>
      <c r="C36" s="35" t="s">
        <v>36</v>
      </c>
      <c r="D36" s="138" t="s">
        <v>127</v>
      </c>
      <c r="E36" s="35">
        <v>2022</v>
      </c>
      <c r="F36" s="35"/>
      <c r="G36" s="35"/>
      <c r="H36" s="44" t="s">
        <v>116</v>
      </c>
      <c r="I36" s="44"/>
      <c r="J36" s="12" t="s">
        <v>39</v>
      </c>
      <c r="K36" s="12" t="s">
        <v>40</v>
      </c>
      <c r="L36" s="12" t="s">
        <v>41</v>
      </c>
      <c r="M36" s="64" t="s">
        <v>42</v>
      </c>
      <c r="N36" s="13" t="s">
        <v>47</v>
      </c>
      <c r="O36" s="18">
        <f t="shared" si="7"/>
        <v>3.0303030303030303</v>
      </c>
      <c r="P36" s="71">
        <v>50000</v>
      </c>
      <c r="Q36" s="15">
        <f>+P36</f>
        <v>50000</v>
      </c>
      <c r="R36" s="73">
        <f t="shared" si="3"/>
        <v>44708.160541515128</v>
      </c>
      <c r="S36" s="74">
        <f t="shared" si="4"/>
        <v>44711.190844545432</v>
      </c>
      <c r="T36" s="75">
        <f t="shared" si="9"/>
        <v>21</v>
      </c>
      <c r="U36" s="75">
        <f t="shared" si="9"/>
        <v>22</v>
      </c>
      <c r="V36" s="77">
        <f t="shared" si="5"/>
        <v>44741.190844545432</v>
      </c>
      <c r="W36" s="71"/>
      <c r="X36" s="34"/>
      <c r="Y36" s="91">
        <f t="shared" si="2"/>
        <v>5</v>
      </c>
      <c r="Z36" s="78"/>
      <c r="AA36" s="80" t="s">
        <v>222</v>
      </c>
      <c r="AB36" s="80">
        <v>0.7</v>
      </c>
      <c r="AC36" s="80"/>
      <c r="AD36" s="80"/>
    </row>
    <row r="37" spans="1:30" s="17" customFormat="1" ht="14.1" customHeight="1" x14ac:dyDescent="0.25">
      <c r="A37" s="40"/>
      <c r="B37" s="11" t="s">
        <v>45</v>
      </c>
      <c r="C37" s="35" t="s">
        <v>36</v>
      </c>
      <c r="D37" s="138" t="s">
        <v>127</v>
      </c>
      <c r="E37" s="35">
        <v>2022</v>
      </c>
      <c r="F37" s="35"/>
      <c r="G37" s="35"/>
      <c r="H37" s="44" t="s">
        <v>223</v>
      </c>
      <c r="I37" s="44"/>
      <c r="J37" s="12" t="s">
        <v>39</v>
      </c>
      <c r="K37" s="12" t="s">
        <v>40</v>
      </c>
      <c r="L37" s="12" t="s">
        <v>41</v>
      </c>
      <c r="M37" s="64" t="s">
        <v>42</v>
      </c>
      <c r="N37" s="13" t="s">
        <v>47</v>
      </c>
      <c r="O37" s="18">
        <f t="shared" si="7"/>
        <v>2.7272727272727271</v>
      </c>
      <c r="P37" s="71">
        <v>45000</v>
      </c>
      <c r="Q37" s="15">
        <f t="shared" ref="Q37" si="10">+P37</f>
        <v>45000</v>
      </c>
      <c r="R37" s="73">
        <f t="shared" si="3"/>
        <v>44711.190844545432</v>
      </c>
      <c r="S37" s="74">
        <f t="shared" si="4"/>
        <v>44713.918117272704</v>
      </c>
      <c r="T37" s="75">
        <f t="shared" si="9"/>
        <v>22</v>
      </c>
      <c r="U37" s="75">
        <f t="shared" si="9"/>
        <v>22</v>
      </c>
      <c r="V37" s="77">
        <f t="shared" si="5"/>
        <v>44743.918117272704</v>
      </c>
      <c r="W37" s="71"/>
      <c r="X37" s="34"/>
      <c r="Y37" s="91">
        <f t="shared" si="2"/>
        <v>6</v>
      </c>
      <c r="Z37" s="78"/>
      <c r="AA37" s="80" t="s">
        <v>221</v>
      </c>
      <c r="AB37" s="80">
        <v>0.7</v>
      </c>
      <c r="AC37" s="80"/>
      <c r="AD37" s="80"/>
    </row>
    <row r="38" spans="1:30" s="17" customFormat="1" ht="14.1" customHeight="1" x14ac:dyDescent="0.25">
      <c r="A38" s="40"/>
      <c r="B38" s="11" t="s">
        <v>35</v>
      </c>
      <c r="C38" s="35" t="s">
        <v>36</v>
      </c>
      <c r="D38" s="138" t="s">
        <v>127</v>
      </c>
      <c r="E38" s="35">
        <v>2022</v>
      </c>
      <c r="F38" s="35"/>
      <c r="G38" s="35"/>
      <c r="H38" s="44" t="s">
        <v>138</v>
      </c>
      <c r="I38" s="44"/>
      <c r="J38" s="12" t="s">
        <v>39</v>
      </c>
      <c r="K38" s="12" t="s">
        <v>136</v>
      </c>
      <c r="L38" s="12" t="s">
        <v>41</v>
      </c>
      <c r="M38" s="64" t="s">
        <v>42</v>
      </c>
      <c r="N38" s="13" t="s">
        <v>43</v>
      </c>
      <c r="O38" s="18">
        <f t="shared" si="7"/>
        <v>6.0606060606060606</v>
      </c>
      <c r="P38" s="71">
        <v>100000</v>
      </c>
      <c r="Q38" s="15">
        <f>+P38</f>
        <v>100000</v>
      </c>
      <c r="R38" s="73">
        <f t="shared" si="3"/>
        <v>44713.918117272704</v>
      </c>
      <c r="S38" s="74">
        <f t="shared" si="4"/>
        <v>44719.978723333312</v>
      </c>
      <c r="T38" s="75">
        <f t="shared" si="9"/>
        <v>22</v>
      </c>
      <c r="U38" s="75">
        <f t="shared" si="9"/>
        <v>23</v>
      </c>
      <c r="V38" s="77">
        <f t="shared" si="5"/>
        <v>44749.978723333312</v>
      </c>
      <c r="W38" s="71"/>
      <c r="X38" s="34"/>
      <c r="Y38" s="91">
        <f t="shared" si="2"/>
        <v>6</v>
      </c>
      <c r="Z38" s="78"/>
      <c r="AA38" s="49"/>
      <c r="AB38" s="80"/>
      <c r="AC38" s="80"/>
      <c r="AD38" s="80"/>
    </row>
    <row r="39" spans="1:30" ht="13.5" customHeight="1" x14ac:dyDescent="0.25">
      <c r="A39" s="40"/>
      <c r="B39" s="11" t="s">
        <v>35</v>
      </c>
      <c r="C39" s="35" t="s">
        <v>36</v>
      </c>
      <c r="D39" s="136" t="s">
        <v>127</v>
      </c>
      <c r="E39" s="35">
        <v>2022</v>
      </c>
      <c r="F39" s="35"/>
      <c r="G39" s="35"/>
      <c r="H39" s="47" t="s">
        <v>76</v>
      </c>
      <c r="I39" s="47"/>
      <c r="J39" s="12" t="s">
        <v>39</v>
      </c>
      <c r="K39" s="12" t="s">
        <v>40</v>
      </c>
      <c r="L39" s="12" t="s">
        <v>41</v>
      </c>
      <c r="M39" s="64" t="s">
        <v>42</v>
      </c>
      <c r="N39" s="13" t="s">
        <v>43</v>
      </c>
      <c r="O39" s="18">
        <f t="shared" si="7"/>
        <v>1.945878787878788</v>
      </c>
      <c r="P39" s="36">
        <f>60607-P12-P11</f>
        <v>32107</v>
      </c>
      <c r="Q39" s="15">
        <f>+P39</f>
        <v>32107</v>
      </c>
      <c r="R39" s="73">
        <f t="shared" si="3"/>
        <v>44719.978723333312</v>
      </c>
      <c r="S39" s="74">
        <f t="shared" si="4"/>
        <v>44721.924602121187</v>
      </c>
      <c r="T39" s="75">
        <f t="shared" si="9"/>
        <v>23</v>
      </c>
      <c r="U39" s="75">
        <f t="shared" si="9"/>
        <v>23</v>
      </c>
      <c r="V39" s="77">
        <f t="shared" si="5"/>
        <v>44751.924602121187</v>
      </c>
      <c r="W39" s="36"/>
      <c r="X39" s="37"/>
      <c r="Y39" s="91">
        <f t="shared" si="2"/>
        <v>6</v>
      </c>
      <c r="Z39" s="51"/>
      <c r="AA39" s="49" t="s">
        <v>214</v>
      </c>
      <c r="AB39" s="49">
        <v>0.95</v>
      </c>
      <c r="AC39" s="49"/>
      <c r="AD39" s="49"/>
    </row>
    <row r="40" spans="1:30" ht="13.5" customHeight="1" x14ac:dyDescent="0.25">
      <c r="A40" s="40"/>
      <c r="B40" s="11" t="s">
        <v>35</v>
      </c>
      <c r="C40" s="35" t="s">
        <v>36</v>
      </c>
      <c r="D40" s="136" t="s">
        <v>127</v>
      </c>
      <c r="E40" s="35">
        <v>2022</v>
      </c>
      <c r="F40" s="35"/>
      <c r="G40" s="35"/>
      <c r="H40" s="293" t="s">
        <v>75</v>
      </c>
      <c r="I40" s="47"/>
      <c r="J40" s="12" t="s">
        <v>39</v>
      </c>
      <c r="K40" s="12" t="s">
        <v>40</v>
      </c>
      <c r="L40" s="12" t="s">
        <v>41</v>
      </c>
      <c r="M40" s="64" t="s">
        <v>42</v>
      </c>
      <c r="N40" s="13" t="s">
        <v>43</v>
      </c>
      <c r="O40" s="18">
        <f t="shared" si="7"/>
        <v>3.7769090909090908</v>
      </c>
      <c r="P40" s="36">
        <f>158319-P26</f>
        <v>62319</v>
      </c>
      <c r="Q40" s="15">
        <f>+P40</f>
        <v>62319</v>
      </c>
      <c r="R40" s="73">
        <f t="shared" si="3"/>
        <v>44721.924602121187</v>
      </c>
      <c r="S40" s="74">
        <f t="shared" si="4"/>
        <v>44725.701511212093</v>
      </c>
      <c r="T40" s="75">
        <f t="shared" si="9"/>
        <v>23</v>
      </c>
      <c r="U40" s="75">
        <f t="shared" si="9"/>
        <v>24</v>
      </c>
      <c r="V40" s="77">
        <f t="shared" si="5"/>
        <v>44755.701511212093</v>
      </c>
      <c r="W40" s="213">
        <f>SUM(P6:P41)</f>
        <v>2107007.9</v>
      </c>
      <c r="X40" s="37"/>
      <c r="Y40" s="91">
        <f t="shared" si="2"/>
        <v>6</v>
      </c>
      <c r="Z40" s="51"/>
      <c r="AA40" s="49"/>
      <c r="AB40" s="49"/>
      <c r="AC40" s="49" t="s">
        <v>103</v>
      </c>
      <c r="AD40" s="49">
        <v>28000</v>
      </c>
    </row>
    <row r="41" spans="1:30" s="17" customFormat="1" ht="14.85" customHeight="1" x14ac:dyDescent="0.25">
      <c r="A41" s="40"/>
      <c r="B41" s="11" t="s">
        <v>35</v>
      </c>
      <c r="C41" s="35" t="s">
        <v>36</v>
      </c>
      <c r="D41" s="136" t="s">
        <v>127</v>
      </c>
      <c r="E41" s="35">
        <v>2022</v>
      </c>
      <c r="F41" s="35"/>
      <c r="G41" s="35"/>
      <c r="H41" s="280" t="s">
        <v>58</v>
      </c>
      <c r="I41" s="44"/>
      <c r="J41" s="12" t="s">
        <v>39</v>
      </c>
      <c r="K41" s="12" t="s">
        <v>63</v>
      </c>
      <c r="L41" s="12" t="s">
        <v>41</v>
      </c>
      <c r="M41" s="64" t="s">
        <v>42</v>
      </c>
      <c r="N41" s="13" t="s">
        <v>43</v>
      </c>
      <c r="O41" s="18">
        <f t="shared" si="7"/>
        <v>7.1515151515151514</v>
      </c>
      <c r="P41" s="71">
        <v>118000</v>
      </c>
      <c r="Q41" s="15">
        <f t="shared" ref="Q41:Q43" si="11">+P41</f>
        <v>118000</v>
      </c>
      <c r="R41" s="73">
        <f t="shared" si="3"/>
        <v>44725.701511212093</v>
      </c>
      <c r="S41" s="74">
        <f t="shared" si="4"/>
        <v>44732.853026363606</v>
      </c>
      <c r="T41" s="75">
        <f t="shared" si="9"/>
        <v>24</v>
      </c>
      <c r="U41" s="75">
        <f t="shared" si="9"/>
        <v>25</v>
      </c>
      <c r="V41" s="77">
        <f t="shared" si="5"/>
        <v>44762.853026363606</v>
      </c>
      <c r="W41" s="71"/>
      <c r="X41" s="34"/>
      <c r="Y41" s="91">
        <f t="shared" si="2"/>
        <v>6</v>
      </c>
      <c r="Z41" s="298">
        <f>SUM(P33:P40)</f>
        <v>461871</v>
      </c>
      <c r="AA41" s="80" t="s">
        <v>221</v>
      </c>
      <c r="AB41" s="80">
        <v>0.75</v>
      </c>
      <c r="AC41" s="80"/>
      <c r="AD41" s="80"/>
    </row>
    <row r="42" spans="1:30" s="17" customFormat="1" ht="14.85" customHeight="1" x14ac:dyDescent="0.25">
      <c r="A42" s="40"/>
      <c r="B42" s="11" t="s">
        <v>35</v>
      </c>
      <c r="C42" s="35" t="s">
        <v>36</v>
      </c>
      <c r="D42" s="136" t="s">
        <v>127</v>
      </c>
      <c r="E42" s="35">
        <v>2022</v>
      </c>
      <c r="F42" s="35"/>
      <c r="G42" s="35"/>
      <c r="H42" s="44" t="s">
        <v>60</v>
      </c>
      <c r="I42" s="44"/>
      <c r="J42" s="12" t="s">
        <v>39</v>
      </c>
      <c r="K42" s="12" t="s">
        <v>40</v>
      </c>
      <c r="L42" s="12" t="s">
        <v>41</v>
      </c>
      <c r="M42" s="64" t="s">
        <v>42</v>
      </c>
      <c r="N42" s="13" t="s">
        <v>43</v>
      </c>
      <c r="O42" s="18">
        <f t="shared" si="7"/>
        <v>6.0606060606060606</v>
      </c>
      <c r="P42" s="71">
        <v>100000</v>
      </c>
      <c r="Q42" s="15">
        <f t="shared" si="11"/>
        <v>100000</v>
      </c>
      <c r="R42" s="73">
        <f t="shared" si="3"/>
        <v>44732.853026363606</v>
      </c>
      <c r="S42" s="74">
        <f t="shared" si="4"/>
        <v>44738.913632424214</v>
      </c>
      <c r="T42" s="75">
        <f t="shared" si="9"/>
        <v>25</v>
      </c>
      <c r="U42" s="75">
        <f t="shared" si="9"/>
        <v>25</v>
      </c>
      <c r="V42" s="77">
        <f t="shared" si="5"/>
        <v>44768.913632424214</v>
      </c>
      <c r="W42" s="71"/>
      <c r="X42" s="34"/>
      <c r="Y42" s="91">
        <f t="shared" si="2"/>
        <v>6</v>
      </c>
      <c r="Z42" s="78"/>
      <c r="AA42" s="80" t="s">
        <v>222</v>
      </c>
      <c r="AB42" s="80">
        <v>0.65</v>
      </c>
      <c r="AC42" s="80"/>
      <c r="AD42" s="80"/>
    </row>
    <row r="43" spans="1:30" s="17" customFormat="1" ht="14.1" customHeight="1" x14ac:dyDescent="0.25">
      <c r="A43" s="40"/>
      <c r="B43" s="11" t="s">
        <v>35</v>
      </c>
      <c r="C43" s="35" t="s">
        <v>36</v>
      </c>
      <c r="D43" s="136" t="s">
        <v>127</v>
      </c>
      <c r="E43" s="35">
        <v>2022</v>
      </c>
      <c r="F43" s="35"/>
      <c r="G43" s="35"/>
      <c r="H43" s="44" t="s">
        <v>73</v>
      </c>
      <c r="I43" s="44" t="s">
        <v>131</v>
      </c>
      <c r="J43" s="12" t="s">
        <v>39</v>
      </c>
      <c r="K43" s="12" t="s">
        <v>40</v>
      </c>
      <c r="L43" s="12" t="s">
        <v>41</v>
      </c>
      <c r="M43" s="64" t="s">
        <v>42</v>
      </c>
      <c r="N43" s="13" t="s">
        <v>43</v>
      </c>
      <c r="O43" s="18">
        <f t="shared" si="7"/>
        <v>2.8484848484848486</v>
      </c>
      <c r="P43" s="71">
        <v>47000</v>
      </c>
      <c r="Q43" s="15">
        <f t="shared" si="11"/>
        <v>47000</v>
      </c>
      <c r="R43" s="73">
        <f t="shared" si="3"/>
        <v>44738.913632424214</v>
      </c>
      <c r="S43" s="74">
        <f t="shared" si="4"/>
        <v>44741.762117272701</v>
      </c>
      <c r="T43" s="75">
        <f t="shared" si="9"/>
        <v>25</v>
      </c>
      <c r="U43" s="75">
        <f t="shared" si="9"/>
        <v>26</v>
      </c>
      <c r="V43" s="77">
        <f t="shared" si="5"/>
        <v>44771.762117272701</v>
      </c>
      <c r="W43" s="71"/>
      <c r="X43" s="34"/>
      <c r="Y43" s="91">
        <f t="shared" si="2"/>
        <v>6</v>
      </c>
      <c r="Z43" s="78"/>
      <c r="AA43" s="80" t="s">
        <v>222</v>
      </c>
      <c r="AB43" s="80">
        <v>0.65</v>
      </c>
      <c r="AC43" s="80"/>
      <c r="AD43" s="80"/>
    </row>
    <row r="44" spans="1:30" s="17" customFormat="1" ht="14.1" customHeight="1" x14ac:dyDescent="0.25">
      <c r="A44" s="40"/>
      <c r="B44" s="11" t="s">
        <v>45</v>
      </c>
      <c r="C44" s="35" t="s">
        <v>36</v>
      </c>
      <c r="D44" s="138" t="s">
        <v>127</v>
      </c>
      <c r="E44" s="35">
        <v>2022</v>
      </c>
      <c r="F44" s="35"/>
      <c r="G44" s="35"/>
      <c r="H44" s="44" t="s">
        <v>140</v>
      </c>
      <c r="I44" s="44"/>
      <c r="J44" s="12" t="s">
        <v>39</v>
      </c>
      <c r="K44" s="12" t="s">
        <v>136</v>
      </c>
      <c r="L44" s="12" t="s">
        <v>41</v>
      </c>
      <c r="M44" s="64" t="s">
        <v>42</v>
      </c>
      <c r="N44" s="13" t="s">
        <v>47</v>
      </c>
      <c r="O44" s="18">
        <f t="shared" si="7"/>
        <v>4.123636363636364</v>
      </c>
      <c r="P44" s="71">
        <f>124040-P10</f>
        <v>68040</v>
      </c>
      <c r="Q44" s="15">
        <f>+P44</f>
        <v>68040</v>
      </c>
      <c r="R44" s="73">
        <f t="shared" si="3"/>
        <v>44741.762117272701</v>
      </c>
      <c r="S44" s="74">
        <f t="shared" si="4"/>
        <v>44745.885753636336</v>
      </c>
      <c r="T44" s="75">
        <f t="shared" si="9"/>
        <v>26</v>
      </c>
      <c r="U44" s="75">
        <f t="shared" si="9"/>
        <v>26</v>
      </c>
      <c r="V44" s="77">
        <f t="shared" si="5"/>
        <v>44775.885753636336</v>
      </c>
      <c r="W44" s="71"/>
      <c r="X44" s="34"/>
      <c r="Y44" s="91">
        <f t="shared" si="2"/>
        <v>7</v>
      </c>
      <c r="Z44" s="78"/>
      <c r="AA44" s="80" t="s">
        <v>213</v>
      </c>
      <c r="AB44" s="80">
        <v>0.8</v>
      </c>
      <c r="AC44" s="80"/>
      <c r="AD44" s="80"/>
    </row>
    <row r="45" spans="1:30" s="17" customFormat="1" ht="14.1" customHeight="1" x14ac:dyDescent="0.25">
      <c r="A45" s="40"/>
      <c r="B45" s="11" t="s">
        <v>48</v>
      </c>
      <c r="C45" s="35" t="s">
        <v>36</v>
      </c>
      <c r="D45" s="138" t="s">
        <v>127</v>
      </c>
      <c r="E45" s="35">
        <v>2022</v>
      </c>
      <c r="F45" s="35"/>
      <c r="G45" s="35"/>
      <c r="H45" s="44" t="s">
        <v>49</v>
      </c>
      <c r="I45" s="44"/>
      <c r="J45" s="12" t="s">
        <v>39</v>
      </c>
      <c r="K45" s="12" t="s">
        <v>50</v>
      </c>
      <c r="L45" s="12" t="s">
        <v>41</v>
      </c>
      <c r="M45" s="64" t="s">
        <v>42</v>
      </c>
      <c r="N45" s="13" t="s">
        <v>47</v>
      </c>
      <c r="O45" s="18">
        <f t="shared" si="7"/>
        <v>5.1219393939393942</v>
      </c>
      <c r="P45" s="71">
        <v>84512</v>
      </c>
      <c r="Q45" s="15">
        <f t="shared" si="8"/>
        <v>84512</v>
      </c>
      <c r="R45" s="73">
        <f>+S43</f>
        <v>44741.762117272701</v>
      </c>
      <c r="S45" s="74">
        <f t="shared" si="4"/>
        <v>44746.88405666664</v>
      </c>
      <c r="T45" s="75">
        <f t="shared" si="9"/>
        <v>26</v>
      </c>
      <c r="U45" s="75">
        <f t="shared" si="9"/>
        <v>27</v>
      </c>
      <c r="V45" s="77">
        <f t="shared" si="5"/>
        <v>44776.88405666664</v>
      </c>
      <c r="W45" s="71"/>
      <c r="X45" s="34"/>
      <c r="Y45" s="91">
        <f t="shared" si="2"/>
        <v>7</v>
      </c>
      <c r="Z45" s="78"/>
      <c r="AA45" s="80" t="s">
        <v>218</v>
      </c>
      <c r="AB45" s="80"/>
      <c r="AC45" s="80"/>
      <c r="AD45" s="80"/>
    </row>
    <row r="46" spans="1:30" ht="13.5" customHeight="1" x14ac:dyDescent="0.25">
      <c r="A46" s="40"/>
      <c r="B46" s="11" t="s">
        <v>84</v>
      </c>
      <c r="C46" s="35" t="s">
        <v>36</v>
      </c>
      <c r="D46" s="138" t="s">
        <v>127</v>
      </c>
      <c r="E46" s="35">
        <v>2022</v>
      </c>
      <c r="F46" s="35"/>
      <c r="G46" s="35"/>
      <c r="H46" s="47" t="s">
        <v>85</v>
      </c>
      <c r="I46" s="47" t="s">
        <v>179</v>
      </c>
      <c r="J46" s="12" t="s">
        <v>39</v>
      </c>
      <c r="K46" s="12" t="s">
        <v>40</v>
      </c>
      <c r="L46" s="12" t="s">
        <v>41</v>
      </c>
      <c r="M46" s="64" t="s">
        <v>42</v>
      </c>
      <c r="N46" s="211" t="s">
        <v>47</v>
      </c>
      <c r="O46" s="18">
        <f t="shared" si="7"/>
        <v>1.4138181818181819</v>
      </c>
      <c r="P46" s="36">
        <v>23328</v>
      </c>
      <c r="Q46" s="15">
        <f t="shared" si="8"/>
        <v>23328</v>
      </c>
      <c r="R46" s="73">
        <f t="shared" si="3"/>
        <v>44746.88405666664</v>
      </c>
      <c r="S46" s="74">
        <f t="shared" si="4"/>
        <v>44748.29787484846</v>
      </c>
      <c r="T46" s="75">
        <f t="shared" si="9"/>
        <v>27</v>
      </c>
      <c r="U46" s="75">
        <f t="shared" si="9"/>
        <v>27</v>
      </c>
      <c r="V46" s="77">
        <f t="shared" si="5"/>
        <v>44778.29787484846</v>
      </c>
      <c r="W46" s="36"/>
      <c r="X46" s="37"/>
      <c r="Y46" s="91">
        <f t="shared" si="2"/>
        <v>7</v>
      </c>
      <c r="Z46" s="51"/>
      <c r="AA46" s="49" t="s">
        <v>218</v>
      </c>
      <c r="AB46" s="49"/>
      <c r="AC46" s="49"/>
      <c r="AD46" s="49"/>
    </row>
    <row r="47" spans="1:30" ht="13.5" customHeight="1" x14ac:dyDescent="0.25">
      <c r="A47" s="40"/>
      <c r="B47" s="11" t="s">
        <v>105</v>
      </c>
      <c r="C47" s="35" t="s">
        <v>36</v>
      </c>
      <c r="D47" s="138" t="s">
        <v>127</v>
      </c>
      <c r="E47" s="35">
        <v>2022</v>
      </c>
      <c r="F47" s="35"/>
      <c r="G47" s="35"/>
      <c r="H47" s="47" t="s">
        <v>121</v>
      </c>
      <c r="I47" s="47"/>
      <c r="J47" s="12" t="s">
        <v>39</v>
      </c>
      <c r="K47" s="12" t="s">
        <v>40</v>
      </c>
      <c r="L47" s="12" t="s">
        <v>41</v>
      </c>
      <c r="M47" s="64" t="s">
        <v>42</v>
      </c>
      <c r="N47" s="211" t="s">
        <v>47</v>
      </c>
      <c r="O47" s="18">
        <f t="shared" si="7"/>
        <v>1.8136363636363637</v>
      </c>
      <c r="P47" s="36">
        <v>29925</v>
      </c>
      <c r="Q47" s="15">
        <f>+P47</f>
        <v>29925</v>
      </c>
      <c r="R47" s="73">
        <f t="shared" si="3"/>
        <v>44748.29787484846</v>
      </c>
      <c r="S47" s="74">
        <f t="shared" si="4"/>
        <v>44750.111511212097</v>
      </c>
      <c r="T47" s="75">
        <f t="shared" si="9"/>
        <v>27</v>
      </c>
      <c r="U47" s="75">
        <f t="shared" si="9"/>
        <v>27</v>
      </c>
      <c r="V47" s="77">
        <f t="shared" si="5"/>
        <v>44780.111511212097</v>
      </c>
      <c r="W47" s="36"/>
      <c r="X47" s="37"/>
      <c r="Y47" s="91">
        <f t="shared" si="2"/>
        <v>7</v>
      </c>
      <c r="Z47" s="51"/>
      <c r="AA47" s="49" t="s">
        <v>218</v>
      </c>
      <c r="AB47" s="49"/>
      <c r="AC47" s="49"/>
      <c r="AD47" s="49"/>
    </row>
    <row r="48" spans="1:30" s="17" customFormat="1" ht="14.1" customHeight="1" x14ac:dyDescent="0.25">
      <c r="A48" s="40"/>
      <c r="B48" s="11" t="s">
        <v>35</v>
      </c>
      <c r="C48" s="35" t="s">
        <v>36</v>
      </c>
      <c r="D48" s="138" t="s">
        <v>127</v>
      </c>
      <c r="E48" s="35">
        <v>2022</v>
      </c>
      <c r="F48" s="35"/>
      <c r="G48" s="35"/>
      <c r="H48" s="44" t="s">
        <v>53</v>
      </c>
      <c r="I48" s="44"/>
      <c r="J48" s="12" t="s">
        <v>39</v>
      </c>
      <c r="K48" s="12" t="s">
        <v>136</v>
      </c>
      <c r="L48" s="12" t="s">
        <v>41</v>
      </c>
      <c r="M48" s="64" t="s">
        <v>42</v>
      </c>
      <c r="N48" s="13" t="s">
        <v>43</v>
      </c>
      <c r="O48" s="18">
        <f t="shared" si="7"/>
        <v>6.0606060606060606</v>
      </c>
      <c r="P48" s="71">
        <v>100000</v>
      </c>
      <c r="Q48" s="15">
        <f t="shared" ref="Q48:Q56" si="12">+P48</f>
        <v>100000</v>
      </c>
      <c r="R48" s="73">
        <f t="shared" si="3"/>
        <v>44750.111511212097</v>
      </c>
      <c r="S48" s="74">
        <f t="shared" si="4"/>
        <v>44756.172117272705</v>
      </c>
      <c r="T48" s="75">
        <f t="shared" si="9"/>
        <v>27</v>
      </c>
      <c r="U48" s="75">
        <f t="shared" si="9"/>
        <v>28</v>
      </c>
      <c r="V48" s="77">
        <f t="shared" si="5"/>
        <v>44786.172117272705</v>
      </c>
      <c r="W48" s="71"/>
      <c r="X48" s="34"/>
      <c r="Y48" s="91">
        <f t="shared" si="2"/>
        <v>7</v>
      </c>
      <c r="Z48" s="78"/>
      <c r="AA48" s="49" t="s">
        <v>213</v>
      </c>
      <c r="AB48" s="80">
        <v>0.82</v>
      </c>
      <c r="AC48" s="80"/>
      <c r="AD48" s="80"/>
    </row>
    <row r="49" spans="1:30" s="17" customFormat="1" ht="14.1" customHeight="1" x14ac:dyDescent="0.25">
      <c r="A49" s="40"/>
      <c r="B49" s="11" t="s">
        <v>35</v>
      </c>
      <c r="C49" s="35" t="s">
        <v>36</v>
      </c>
      <c r="D49" s="136" t="s">
        <v>127</v>
      </c>
      <c r="E49" s="35">
        <v>2022</v>
      </c>
      <c r="F49" s="35"/>
      <c r="G49" s="35"/>
      <c r="H49" s="44" t="s">
        <v>73</v>
      </c>
      <c r="I49" s="44" t="s">
        <v>131</v>
      </c>
      <c r="J49" s="12" t="s">
        <v>39</v>
      </c>
      <c r="K49" s="12" t="s">
        <v>40</v>
      </c>
      <c r="L49" s="12" t="s">
        <v>41</v>
      </c>
      <c r="M49" s="64" t="s">
        <v>42</v>
      </c>
      <c r="N49" s="13" t="s">
        <v>43</v>
      </c>
      <c r="O49" s="18">
        <f t="shared" si="7"/>
        <v>4.8569146005509642</v>
      </c>
      <c r="P49" s="71">
        <f>288180-(P33/1.1)-P43-P34-P35</f>
        <v>80139.090909090912</v>
      </c>
      <c r="Q49" s="15">
        <f>+P49</f>
        <v>80139.090909090912</v>
      </c>
      <c r="R49" s="73">
        <f t="shared" si="3"/>
        <v>44756.172117272705</v>
      </c>
      <c r="S49" s="74">
        <f t="shared" si="4"/>
        <v>44761.029031873259</v>
      </c>
      <c r="T49" s="75">
        <f t="shared" si="9"/>
        <v>28</v>
      </c>
      <c r="U49" s="75">
        <f t="shared" si="9"/>
        <v>29</v>
      </c>
      <c r="V49" s="77">
        <f t="shared" si="5"/>
        <v>44791.029031873259</v>
      </c>
      <c r="W49" s="71"/>
      <c r="X49" s="34"/>
      <c r="Y49" s="91">
        <f t="shared" si="2"/>
        <v>7</v>
      </c>
      <c r="Z49" s="298">
        <f>SUM(P41:P48)</f>
        <v>570805</v>
      </c>
      <c r="AA49" s="80"/>
      <c r="AB49" s="80"/>
      <c r="AC49" s="80"/>
      <c r="AD49" s="80"/>
    </row>
    <row r="50" spans="1:30" s="17" customFormat="1" ht="14.1" customHeight="1" x14ac:dyDescent="0.25">
      <c r="A50" s="40"/>
      <c r="B50" s="11" t="s">
        <v>35</v>
      </c>
      <c r="C50" s="35" t="s">
        <v>36</v>
      </c>
      <c r="D50" s="136" t="s">
        <v>127</v>
      </c>
      <c r="E50" s="35">
        <v>2022</v>
      </c>
      <c r="F50" s="35"/>
      <c r="G50" s="35"/>
      <c r="H50" s="44" t="s">
        <v>130</v>
      </c>
      <c r="I50" s="44"/>
      <c r="J50" s="12" t="s">
        <v>39</v>
      </c>
      <c r="K50" s="12" t="s">
        <v>66</v>
      </c>
      <c r="L50" s="12" t="s">
        <v>41</v>
      </c>
      <c r="M50" s="64" t="s">
        <v>42</v>
      </c>
      <c r="N50" s="13" t="s">
        <v>129</v>
      </c>
      <c r="O50" s="18">
        <f>+P50/$D$4+0.5</f>
        <v>5.8691515151515148</v>
      </c>
      <c r="P50" s="71">
        <f>173591-P20</f>
        <v>88591</v>
      </c>
      <c r="Q50" s="15">
        <f>+P50</f>
        <v>88591</v>
      </c>
      <c r="R50" s="73">
        <f t="shared" si="3"/>
        <v>44761.029031873259</v>
      </c>
      <c r="S50" s="74">
        <f t="shared" si="4"/>
        <v>44766.89818338841</v>
      </c>
      <c r="T50" s="75">
        <f>_xlfn.ISOWEEKNUM(R50)</f>
        <v>29</v>
      </c>
      <c r="U50" s="75">
        <f>_xlfn.ISOWEEKNUM(S50)</f>
        <v>29</v>
      </c>
      <c r="V50" s="77">
        <f>+S50+$H$1</f>
        <v>44796.89818338841</v>
      </c>
      <c r="W50" s="71"/>
      <c r="X50" s="34"/>
      <c r="Y50" s="91">
        <f t="shared" si="2"/>
        <v>7</v>
      </c>
      <c r="Z50" s="78"/>
      <c r="AA50" s="80" t="s">
        <v>213</v>
      </c>
      <c r="AB50" s="80">
        <v>0.75</v>
      </c>
      <c r="AC50" s="80"/>
      <c r="AD50" s="80"/>
    </row>
    <row r="51" spans="1:30" ht="13.5" customHeight="1" x14ac:dyDescent="0.25">
      <c r="A51" s="40"/>
      <c r="B51" s="11" t="s">
        <v>35</v>
      </c>
      <c r="C51" s="35" t="s">
        <v>36</v>
      </c>
      <c r="D51" s="136" t="s">
        <v>127</v>
      </c>
      <c r="E51" s="35">
        <v>2022</v>
      </c>
      <c r="F51" s="35"/>
      <c r="G51" s="35"/>
      <c r="H51" s="47" t="s">
        <v>65</v>
      </c>
      <c r="I51" s="47"/>
      <c r="J51" s="12" t="s">
        <v>39</v>
      </c>
      <c r="K51" s="12" t="s">
        <v>66</v>
      </c>
      <c r="L51" s="12" t="s">
        <v>41</v>
      </c>
      <c r="M51" s="64" t="s">
        <v>42</v>
      </c>
      <c r="N51" s="13" t="s">
        <v>129</v>
      </c>
      <c r="O51" s="18">
        <f t="shared" si="7"/>
        <v>2.9079999999999999</v>
      </c>
      <c r="P51" s="36">
        <f>150982-P17-P18-P19</f>
        <v>47982</v>
      </c>
      <c r="Q51" s="15">
        <f t="shared" ref="Q51" si="13">+P51</f>
        <v>47982</v>
      </c>
      <c r="R51" s="73">
        <f t="shared" si="3"/>
        <v>44766.89818338841</v>
      </c>
      <c r="S51" s="74">
        <f t="shared" si="4"/>
        <v>44769.806183388413</v>
      </c>
      <c r="T51" s="75">
        <f>_xlfn.ISOWEEKNUM(R51)</f>
        <v>29</v>
      </c>
      <c r="U51" s="75">
        <f>_xlfn.ISOWEEKNUM(S51)</f>
        <v>30</v>
      </c>
      <c r="V51" s="77">
        <f>+S51+$H$1</f>
        <v>44799.806183388413</v>
      </c>
      <c r="W51" s="36"/>
      <c r="X51" s="37"/>
      <c r="Y51" s="91">
        <f t="shared" si="2"/>
        <v>7</v>
      </c>
      <c r="Z51" s="51"/>
      <c r="AA51" s="49" t="s">
        <v>213</v>
      </c>
      <c r="AB51" s="49">
        <v>0.7</v>
      </c>
      <c r="AC51" s="49"/>
      <c r="AD51" s="49"/>
    </row>
    <row r="52" spans="1:30" s="17" customFormat="1" ht="14.1" customHeight="1" x14ac:dyDescent="0.25">
      <c r="A52" s="40"/>
      <c r="B52" s="11" t="s">
        <v>45</v>
      </c>
      <c r="C52" s="35" t="s">
        <v>36</v>
      </c>
      <c r="D52" s="138" t="s">
        <v>127</v>
      </c>
      <c r="E52" s="35">
        <v>2022</v>
      </c>
      <c r="F52" s="35"/>
      <c r="G52" s="35"/>
      <c r="H52" s="44" t="s">
        <v>142</v>
      </c>
      <c r="I52" s="44"/>
      <c r="J52" s="12" t="s">
        <v>39</v>
      </c>
      <c r="K52" s="12" t="s">
        <v>136</v>
      </c>
      <c r="L52" s="12" t="s">
        <v>41</v>
      </c>
      <c r="M52" s="64" t="s">
        <v>42</v>
      </c>
      <c r="N52" s="13" t="s">
        <v>47</v>
      </c>
      <c r="O52" s="18">
        <f t="shared" si="7"/>
        <v>3.3613939393939396</v>
      </c>
      <c r="P52" s="71">
        <f>145463-P22</f>
        <v>55463</v>
      </c>
      <c r="Q52" s="15">
        <f t="shared" si="12"/>
        <v>55463</v>
      </c>
      <c r="R52" s="73">
        <f t="shared" si="3"/>
        <v>44769.806183388413</v>
      </c>
      <c r="S52" s="74">
        <f t="shared" si="4"/>
        <v>44773.167577327804</v>
      </c>
      <c r="T52" s="75">
        <f t="shared" ref="T52:U67" si="14">_xlfn.ISOWEEKNUM(R52)</f>
        <v>30</v>
      </c>
      <c r="U52" s="75">
        <f t="shared" si="14"/>
        <v>30</v>
      </c>
      <c r="V52" s="77">
        <f t="shared" ref="V52:V84" si="15">+S52+$H$1</f>
        <v>44803.167577327804</v>
      </c>
      <c r="W52" s="71"/>
      <c r="X52" s="34"/>
      <c r="Y52" s="91">
        <f t="shared" si="2"/>
        <v>7</v>
      </c>
      <c r="Z52" s="78"/>
      <c r="AA52" s="80"/>
      <c r="AB52" s="80"/>
      <c r="AC52" s="80"/>
      <c r="AD52" s="80"/>
    </row>
    <row r="53" spans="1:30" s="17" customFormat="1" ht="14.1" customHeight="1" x14ac:dyDescent="0.25">
      <c r="A53" s="40"/>
      <c r="B53" s="11" t="s">
        <v>45</v>
      </c>
      <c r="C53" s="35" t="s">
        <v>36</v>
      </c>
      <c r="D53" s="138" t="s">
        <v>127</v>
      </c>
      <c r="E53" s="35">
        <v>2022</v>
      </c>
      <c r="F53" s="35"/>
      <c r="G53" s="35"/>
      <c r="H53" s="44" t="s">
        <v>116</v>
      </c>
      <c r="I53" s="44"/>
      <c r="J53" s="12" t="s">
        <v>39</v>
      </c>
      <c r="K53" s="12" t="s">
        <v>40</v>
      </c>
      <c r="L53" s="12" t="s">
        <v>41</v>
      </c>
      <c r="M53" s="64" t="s">
        <v>42</v>
      </c>
      <c r="N53" s="13" t="s">
        <v>47</v>
      </c>
      <c r="O53" s="18">
        <f t="shared" si="7"/>
        <v>3.0045399449035814</v>
      </c>
      <c r="P53" s="71">
        <f>140484-P36-(P37/1.1)</f>
        <v>49574.909090909096</v>
      </c>
      <c r="Q53" s="15">
        <f t="shared" si="12"/>
        <v>49574.909090909096</v>
      </c>
      <c r="R53" s="73">
        <f t="shared" si="3"/>
        <v>44773.167577327804</v>
      </c>
      <c r="S53" s="74">
        <f t="shared" si="4"/>
        <v>44776.172117272705</v>
      </c>
      <c r="T53" s="75">
        <f t="shared" si="14"/>
        <v>30</v>
      </c>
      <c r="U53" s="75">
        <f t="shared" si="14"/>
        <v>31</v>
      </c>
      <c r="V53" s="77">
        <f t="shared" si="15"/>
        <v>44806.172117272705</v>
      </c>
      <c r="W53" s="71"/>
      <c r="X53" s="34"/>
      <c r="Y53" s="91">
        <f t="shared" si="2"/>
        <v>8</v>
      </c>
      <c r="Z53" s="78"/>
      <c r="AA53" s="80"/>
      <c r="AB53" s="80"/>
      <c r="AC53" s="80"/>
      <c r="AD53" s="80"/>
    </row>
    <row r="54" spans="1:30" s="17" customFormat="1" ht="14.1" customHeight="1" x14ac:dyDescent="0.25">
      <c r="A54" s="40"/>
      <c r="B54" s="11" t="s">
        <v>45</v>
      </c>
      <c r="C54" s="35" t="s">
        <v>36</v>
      </c>
      <c r="D54" s="138" t="s">
        <v>127</v>
      </c>
      <c r="E54" s="35">
        <v>2022</v>
      </c>
      <c r="F54" s="35"/>
      <c r="G54" s="35"/>
      <c r="H54" s="44" t="s">
        <v>88</v>
      </c>
      <c r="I54" s="44"/>
      <c r="J54" s="12" t="s">
        <v>39</v>
      </c>
      <c r="K54" s="12" t="s">
        <v>40</v>
      </c>
      <c r="L54" s="12" t="s">
        <v>41</v>
      </c>
      <c r="M54" s="64" t="s">
        <v>42</v>
      </c>
      <c r="N54" s="13" t="s">
        <v>47</v>
      </c>
      <c r="O54" s="18">
        <f t="shared" si="7"/>
        <v>3.0863636363636364</v>
      </c>
      <c r="P54" s="71">
        <f>120925-P24</f>
        <v>50925</v>
      </c>
      <c r="Q54" s="15">
        <f t="shared" si="12"/>
        <v>50925</v>
      </c>
      <c r="R54" s="73">
        <f t="shared" si="3"/>
        <v>44776.172117272705</v>
      </c>
      <c r="S54" s="74">
        <f t="shared" si="4"/>
        <v>44779.258480909069</v>
      </c>
      <c r="T54" s="75">
        <f t="shared" si="14"/>
        <v>31</v>
      </c>
      <c r="U54" s="75">
        <f t="shared" si="14"/>
        <v>31</v>
      </c>
      <c r="V54" s="77">
        <f t="shared" si="15"/>
        <v>44809.258480909069</v>
      </c>
      <c r="W54" s="71"/>
      <c r="X54" s="34"/>
      <c r="Y54" s="91">
        <f t="shared" si="2"/>
        <v>8</v>
      </c>
      <c r="Z54" s="78"/>
      <c r="AA54" s="80"/>
      <c r="AB54" s="80"/>
      <c r="AC54" s="80"/>
      <c r="AD54" s="80"/>
    </row>
    <row r="55" spans="1:30" s="17" customFormat="1" ht="14.1" customHeight="1" x14ac:dyDescent="0.25">
      <c r="A55" s="40"/>
      <c r="B55" s="11" t="s">
        <v>45</v>
      </c>
      <c r="C55" s="35" t="s">
        <v>36</v>
      </c>
      <c r="D55" s="138" t="s">
        <v>127</v>
      </c>
      <c r="E55" s="35">
        <v>2022</v>
      </c>
      <c r="F55" s="35"/>
      <c r="G55" s="35"/>
      <c r="H55" s="44" t="s">
        <v>87</v>
      </c>
      <c r="I55" s="44"/>
      <c r="J55" s="12" t="s">
        <v>39</v>
      </c>
      <c r="K55" s="12" t="s">
        <v>40</v>
      </c>
      <c r="L55" s="12" t="s">
        <v>41</v>
      </c>
      <c r="M55" s="64" t="s">
        <v>42</v>
      </c>
      <c r="N55" s="13" t="s">
        <v>47</v>
      </c>
      <c r="O55" s="18">
        <f t="shared" si="7"/>
        <v>1.9681818181818183</v>
      </c>
      <c r="P55" s="71">
        <f>105475-P23</f>
        <v>32475</v>
      </c>
      <c r="Q55" s="15">
        <f t="shared" si="12"/>
        <v>32475</v>
      </c>
      <c r="R55" s="73">
        <f t="shared" si="3"/>
        <v>44779.258480909069</v>
      </c>
      <c r="S55" s="74">
        <f t="shared" si="4"/>
        <v>44781.226662727255</v>
      </c>
      <c r="T55" s="75">
        <f t="shared" si="14"/>
        <v>31</v>
      </c>
      <c r="U55" s="75">
        <f t="shared" si="14"/>
        <v>32</v>
      </c>
      <c r="V55" s="77">
        <f t="shared" si="15"/>
        <v>44811.226662727255</v>
      </c>
      <c r="W55" s="71"/>
      <c r="X55" s="34"/>
      <c r="Y55" s="91">
        <f t="shared" si="2"/>
        <v>8</v>
      </c>
      <c r="Z55" s="78"/>
      <c r="AA55" s="80" t="s">
        <v>213</v>
      </c>
      <c r="AB55" s="80">
        <v>0.7</v>
      </c>
      <c r="AC55" s="80"/>
      <c r="AD55" s="80"/>
    </row>
    <row r="56" spans="1:30" s="17" customFormat="1" ht="14.1" customHeight="1" x14ac:dyDescent="0.25">
      <c r="A56" s="40"/>
      <c r="B56" s="11" t="s">
        <v>35</v>
      </c>
      <c r="C56" s="35" t="s">
        <v>36</v>
      </c>
      <c r="D56" s="138" t="s">
        <v>127</v>
      </c>
      <c r="E56" s="35">
        <v>2022</v>
      </c>
      <c r="F56" s="35"/>
      <c r="G56" s="35"/>
      <c r="H56" s="44" t="s">
        <v>134</v>
      </c>
      <c r="I56" s="44"/>
      <c r="J56" s="12" t="s">
        <v>39</v>
      </c>
      <c r="K56" s="12" t="s">
        <v>40</v>
      </c>
      <c r="L56" s="12" t="s">
        <v>41</v>
      </c>
      <c r="M56" s="64" t="s">
        <v>42</v>
      </c>
      <c r="N56" s="13" t="s">
        <v>43</v>
      </c>
      <c r="O56" s="18">
        <f>+P56/$D$4+0.5</f>
        <v>4.2703030303030305</v>
      </c>
      <c r="P56" s="36">
        <f>172210-P29</f>
        <v>62210</v>
      </c>
      <c r="Q56" s="15">
        <f t="shared" si="12"/>
        <v>62210</v>
      </c>
      <c r="R56" s="73">
        <f t="shared" si="3"/>
        <v>44781.226662727255</v>
      </c>
      <c r="S56" s="74">
        <f t="shared" si="4"/>
        <v>44785.496965757557</v>
      </c>
      <c r="T56" s="75">
        <f t="shared" si="14"/>
        <v>32</v>
      </c>
      <c r="U56" s="75">
        <f t="shared" si="14"/>
        <v>32</v>
      </c>
      <c r="V56" s="77">
        <f t="shared" si="15"/>
        <v>44815.496965757557</v>
      </c>
      <c r="W56" s="36"/>
      <c r="X56" s="37"/>
      <c r="Y56" s="92">
        <f t="shared" si="2"/>
        <v>8</v>
      </c>
      <c r="Z56" s="51"/>
      <c r="AA56" s="50" t="s">
        <v>224</v>
      </c>
      <c r="AB56" s="50"/>
      <c r="AC56" s="50"/>
      <c r="AD56" s="50"/>
    </row>
    <row r="57" spans="1:30" s="17" customFormat="1" ht="14.85" customHeight="1" x14ac:dyDescent="0.25">
      <c r="A57" s="40"/>
      <c r="B57" s="11" t="s">
        <v>35</v>
      </c>
      <c r="C57" s="35" t="s">
        <v>36</v>
      </c>
      <c r="D57" s="136" t="s">
        <v>127</v>
      </c>
      <c r="E57" s="35">
        <v>2022</v>
      </c>
      <c r="F57" s="35"/>
      <c r="G57" s="35"/>
      <c r="H57" s="44" t="s">
        <v>60</v>
      </c>
      <c r="I57" s="44"/>
      <c r="J57" s="12" t="s">
        <v>39</v>
      </c>
      <c r="K57" s="12" t="s">
        <v>40</v>
      </c>
      <c r="L57" s="12" t="s">
        <v>41</v>
      </c>
      <c r="M57" s="64" t="s">
        <v>42</v>
      </c>
      <c r="N57" s="13" t="s">
        <v>43</v>
      </c>
      <c r="O57" s="18">
        <f t="shared" si="7"/>
        <v>9.1654104683195605</v>
      </c>
      <c r="P57" s="71">
        <f>358502-(P41/1.1)-P42</f>
        <v>151229.27272727274</v>
      </c>
      <c r="Q57" s="15">
        <f t="shared" si="8"/>
        <v>151229.27272727274</v>
      </c>
      <c r="R57" s="73">
        <f t="shared" si="3"/>
        <v>44785.496965757557</v>
      </c>
      <c r="S57" s="74">
        <f t="shared" si="4"/>
        <v>44794.662376225875</v>
      </c>
      <c r="T57" s="75">
        <f t="shared" si="14"/>
        <v>32</v>
      </c>
      <c r="U57" s="75">
        <f t="shared" si="14"/>
        <v>33</v>
      </c>
      <c r="V57" s="77">
        <f t="shared" si="15"/>
        <v>44824.662376225875</v>
      </c>
      <c r="W57" s="71"/>
      <c r="X57" s="34"/>
      <c r="Y57" s="91">
        <f t="shared" si="2"/>
        <v>8</v>
      </c>
      <c r="Z57" s="298">
        <f>SUM(P49:P56)</f>
        <v>467360.00000000006</v>
      </c>
      <c r="AA57" s="80"/>
      <c r="AB57" s="80"/>
      <c r="AC57" s="80"/>
      <c r="AD57" s="80"/>
    </row>
    <row r="58" spans="1:30" s="17" customFormat="1" ht="14.1" customHeight="1" x14ac:dyDescent="0.25">
      <c r="A58" s="40"/>
      <c r="B58" s="11" t="s">
        <v>35</v>
      </c>
      <c r="C58" s="35" t="s">
        <v>36</v>
      </c>
      <c r="D58" s="138" t="s">
        <v>127</v>
      </c>
      <c r="E58" s="35">
        <v>2022</v>
      </c>
      <c r="F58" s="35"/>
      <c r="G58" s="35"/>
      <c r="H58" s="44" t="s">
        <v>77</v>
      </c>
      <c r="I58" s="44"/>
      <c r="J58" s="12" t="s">
        <v>39</v>
      </c>
      <c r="K58" s="12" t="s">
        <v>136</v>
      </c>
      <c r="L58" s="12" t="s">
        <v>41</v>
      </c>
      <c r="M58" s="64" t="s">
        <v>42</v>
      </c>
      <c r="N58" s="13" t="s">
        <v>43</v>
      </c>
      <c r="O58" s="18">
        <f t="shared" si="7"/>
        <v>1.6566666666666667</v>
      </c>
      <c r="P58" s="71">
        <f>112335-P15</f>
        <v>27335</v>
      </c>
      <c r="Q58" s="15">
        <f t="shared" si="8"/>
        <v>27335</v>
      </c>
      <c r="R58" s="73">
        <f t="shared" si="3"/>
        <v>44794.662376225875</v>
      </c>
      <c r="S58" s="74">
        <f t="shared" si="4"/>
        <v>44796.319042892545</v>
      </c>
      <c r="T58" s="75">
        <f t="shared" si="14"/>
        <v>33</v>
      </c>
      <c r="U58" s="75">
        <f t="shared" si="14"/>
        <v>34</v>
      </c>
      <c r="V58" s="77">
        <f t="shared" si="15"/>
        <v>44826.319042892545</v>
      </c>
      <c r="W58" s="71"/>
      <c r="X58" s="34"/>
      <c r="Y58" s="91">
        <f t="shared" si="2"/>
        <v>8</v>
      </c>
      <c r="Z58" s="78"/>
      <c r="AA58" s="49" t="s">
        <v>213</v>
      </c>
      <c r="AB58" s="80">
        <v>0.9</v>
      </c>
      <c r="AC58" s="80"/>
      <c r="AD58" s="80"/>
    </row>
    <row r="59" spans="1:30" s="17" customFormat="1" ht="14.1" customHeight="1" x14ac:dyDescent="0.25">
      <c r="A59" s="40"/>
      <c r="B59" s="11" t="s">
        <v>35</v>
      </c>
      <c r="C59" s="35" t="s">
        <v>36</v>
      </c>
      <c r="D59" s="138" t="s">
        <v>127</v>
      </c>
      <c r="E59" s="35">
        <v>2022</v>
      </c>
      <c r="F59" s="35"/>
      <c r="G59" s="35"/>
      <c r="H59" s="44" t="s">
        <v>53</v>
      </c>
      <c r="I59" s="44"/>
      <c r="J59" s="12" t="s">
        <v>39</v>
      </c>
      <c r="K59" s="12" t="s">
        <v>136</v>
      </c>
      <c r="L59" s="12" t="s">
        <v>41</v>
      </c>
      <c r="M59" s="64" t="s">
        <v>42</v>
      </c>
      <c r="N59" s="13" t="s">
        <v>43</v>
      </c>
      <c r="O59" s="18">
        <f t="shared" si="7"/>
        <v>5.7578181818181822</v>
      </c>
      <c r="P59" s="71">
        <f>475004-P48-P21</f>
        <v>95004</v>
      </c>
      <c r="Q59" s="15">
        <f t="shared" si="8"/>
        <v>95004</v>
      </c>
      <c r="R59" s="73">
        <f t="shared" si="3"/>
        <v>44796.319042892545</v>
      </c>
      <c r="S59" s="74">
        <f t="shared" si="4"/>
        <v>44802.076861074362</v>
      </c>
      <c r="T59" s="75">
        <f t="shared" si="14"/>
        <v>34</v>
      </c>
      <c r="U59" s="75">
        <f t="shared" si="14"/>
        <v>35</v>
      </c>
      <c r="V59" s="77">
        <f t="shared" si="15"/>
        <v>44832.076861074362</v>
      </c>
      <c r="W59" s="71"/>
      <c r="X59" s="34"/>
      <c r="Y59" s="91">
        <f t="shared" si="2"/>
        <v>8</v>
      </c>
      <c r="Z59" s="78"/>
      <c r="AA59" s="80"/>
      <c r="AB59" s="80"/>
      <c r="AC59" s="80"/>
      <c r="AD59" s="80"/>
    </row>
    <row r="60" spans="1:30" s="17" customFormat="1" ht="14.1" customHeight="1" thickBot="1" x14ac:dyDescent="0.3">
      <c r="A60" s="40"/>
      <c r="B60" s="11" t="s">
        <v>35</v>
      </c>
      <c r="C60" s="35" t="s">
        <v>36</v>
      </c>
      <c r="D60" s="138" t="s">
        <v>127</v>
      </c>
      <c r="E60" s="35">
        <v>2022</v>
      </c>
      <c r="F60" s="35"/>
      <c r="G60" s="35"/>
      <c r="H60" s="44" t="s">
        <v>138</v>
      </c>
      <c r="I60" s="44"/>
      <c r="J60" s="12" t="s">
        <v>39</v>
      </c>
      <c r="K60" s="12" t="s">
        <v>136</v>
      </c>
      <c r="L60" s="12" t="s">
        <v>41</v>
      </c>
      <c r="M60" s="64" t="s">
        <v>42</v>
      </c>
      <c r="N60" s="13" t="s">
        <v>43</v>
      </c>
      <c r="O60" s="18">
        <f t="shared" si="7"/>
        <v>7.7430303030303032</v>
      </c>
      <c r="P60" s="71">
        <f>287760-P38-P14</f>
        <v>127760</v>
      </c>
      <c r="Q60" s="15">
        <f t="shared" si="8"/>
        <v>127760</v>
      </c>
      <c r="R60" s="73">
        <f t="shared" si="3"/>
        <v>44802.076861074362</v>
      </c>
      <c r="S60" s="74">
        <f t="shared" si="4"/>
        <v>44809.819891377389</v>
      </c>
      <c r="T60" s="75">
        <f t="shared" si="14"/>
        <v>35</v>
      </c>
      <c r="U60" s="75">
        <f t="shared" si="14"/>
        <v>36</v>
      </c>
      <c r="V60" s="77">
        <f t="shared" si="15"/>
        <v>44839.819891377389</v>
      </c>
      <c r="W60" s="295">
        <f>SUM(P6:P60)</f>
        <v>3428501.1727272728</v>
      </c>
      <c r="X60" s="34"/>
      <c r="Y60" s="91">
        <f t="shared" si="2"/>
        <v>9</v>
      </c>
      <c r="Z60" s="298">
        <f>SUM(P57:P60)</f>
        <v>401328.27272727271</v>
      </c>
      <c r="AA60" s="80"/>
      <c r="AB60" s="80"/>
      <c r="AC60" s="80"/>
      <c r="AD60" s="80"/>
    </row>
    <row r="61" spans="1:30" ht="13.5" customHeight="1" x14ac:dyDescent="0.25">
      <c r="A61" s="40"/>
      <c r="B61" s="129" t="s">
        <v>204</v>
      </c>
      <c r="C61" s="130" t="s">
        <v>205</v>
      </c>
      <c r="D61" s="146" t="s">
        <v>89</v>
      </c>
      <c r="E61" s="130">
        <v>2022</v>
      </c>
      <c r="F61" s="130"/>
      <c r="G61" s="130"/>
      <c r="H61" s="282" t="s">
        <v>225</v>
      </c>
      <c r="I61" s="282"/>
      <c r="J61" s="147" t="s">
        <v>226</v>
      </c>
      <c r="K61" s="147" t="s">
        <v>227</v>
      </c>
      <c r="L61" s="147" t="s">
        <v>56</v>
      </c>
      <c r="M61" s="148" t="s">
        <v>57</v>
      </c>
      <c r="N61" s="149" t="s">
        <v>149</v>
      </c>
      <c r="O61" s="283">
        <f>+P61/$D$2+0.5</f>
        <v>3.4260000000000002</v>
      </c>
      <c r="P61" s="56">
        <f>+Q61*1.33</f>
        <v>4389</v>
      </c>
      <c r="Q61" s="150">
        <v>3300</v>
      </c>
      <c r="R61" s="57">
        <v>44593</v>
      </c>
      <c r="S61" s="58">
        <f>+R61+O61</f>
        <v>44596.425999999999</v>
      </c>
      <c r="T61" s="59">
        <f t="shared" si="14"/>
        <v>5</v>
      </c>
      <c r="U61" s="151">
        <f t="shared" si="14"/>
        <v>5</v>
      </c>
      <c r="V61" s="60">
        <f t="shared" si="15"/>
        <v>44626.425999999999</v>
      </c>
      <c r="W61" s="56"/>
      <c r="X61" s="61"/>
      <c r="Y61" s="93"/>
      <c r="Z61" s="62"/>
      <c r="AA61" s="284"/>
      <c r="AB61" s="284"/>
      <c r="AC61" s="284"/>
      <c r="AD61" s="284"/>
    </row>
    <row r="62" spans="1:30" ht="13.5" customHeight="1" x14ac:dyDescent="0.25">
      <c r="A62" s="40"/>
      <c r="B62" s="19" t="s">
        <v>204</v>
      </c>
      <c r="C62" s="35" t="s">
        <v>205</v>
      </c>
      <c r="D62" s="103" t="s">
        <v>89</v>
      </c>
      <c r="E62" s="35">
        <v>2022</v>
      </c>
      <c r="F62" s="35"/>
      <c r="G62" s="35"/>
      <c r="H62" s="47" t="s">
        <v>228</v>
      </c>
      <c r="I62" s="47"/>
      <c r="J62" s="12" t="s">
        <v>229</v>
      </c>
      <c r="K62" s="12" t="s">
        <v>227</v>
      </c>
      <c r="L62" s="12" t="s">
        <v>56</v>
      </c>
      <c r="M62" s="64" t="s">
        <v>57</v>
      </c>
      <c r="N62" s="13" t="s">
        <v>149</v>
      </c>
      <c r="O62" s="18">
        <f t="shared" ref="O62:O83" si="16">+P62/$D$2+0.5</f>
        <v>6.0904333333333334</v>
      </c>
      <c r="P62" s="36">
        <f>+Q62*1.33</f>
        <v>8385.65</v>
      </c>
      <c r="Q62" s="15">
        <v>6305</v>
      </c>
      <c r="R62" s="73">
        <f>+S61</f>
        <v>44596.425999999999</v>
      </c>
      <c r="S62" s="74">
        <f>+R62+O62</f>
        <v>44602.51643333333</v>
      </c>
      <c r="T62" s="75">
        <f t="shared" si="14"/>
        <v>5</v>
      </c>
      <c r="U62" s="76">
        <f t="shared" si="14"/>
        <v>6</v>
      </c>
      <c r="V62" s="77">
        <f t="shared" si="15"/>
        <v>44632.51643333333</v>
      </c>
      <c r="W62" s="36"/>
      <c r="X62" s="37"/>
      <c r="Y62" s="91"/>
      <c r="Z62" s="51"/>
      <c r="AA62" s="49"/>
      <c r="AB62" s="49"/>
      <c r="AC62" s="49"/>
      <c r="AD62" s="49"/>
    </row>
    <row r="63" spans="1:30" ht="13.5" customHeight="1" x14ac:dyDescent="0.25">
      <c r="A63" s="40"/>
      <c r="B63" s="19" t="s">
        <v>204</v>
      </c>
      <c r="C63" s="35" t="s">
        <v>205</v>
      </c>
      <c r="D63" s="103" t="s">
        <v>89</v>
      </c>
      <c r="E63" s="35">
        <v>2022</v>
      </c>
      <c r="F63" s="35"/>
      <c r="G63" s="35"/>
      <c r="H63" s="47" t="s">
        <v>230</v>
      </c>
      <c r="I63" s="47"/>
      <c r="J63" s="12" t="s">
        <v>226</v>
      </c>
      <c r="K63" s="12" t="s">
        <v>66</v>
      </c>
      <c r="L63" s="12" t="s">
        <v>56</v>
      </c>
      <c r="M63" s="64" t="s">
        <v>57</v>
      </c>
      <c r="N63" s="13" t="s">
        <v>149</v>
      </c>
      <c r="O63" s="18">
        <f t="shared" si="16"/>
        <v>1.3866666666666667</v>
      </c>
      <c r="P63" s="36">
        <f>+Q63*1.33</f>
        <v>1330</v>
      </c>
      <c r="Q63" s="15">
        <v>1000</v>
      </c>
      <c r="R63" s="73">
        <f t="shared" ref="R63:R73" si="17">+S62</f>
        <v>44602.51643333333</v>
      </c>
      <c r="S63" s="74">
        <f t="shared" ref="S63:S73" si="18">+R63+O63</f>
        <v>44603.903099999996</v>
      </c>
      <c r="T63" s="75">
        <f t="shared" si="14"/>
        <v>6</v>
      </c>
      <c r="U63" s="76">
        <f t="shared" si="14"/>
        <v>6</v>
      </c>
      <c r="V63" s="77">
        <f t="shared" si="15"/>
        <v>44633.903099999996</v>
      </c>
      <c r="W63" s="36"/>
      <c r="X63" s="37"/>
      <c r="Y63" s="91"/>
      <c r="Z63" s="51"/>
      <c r="AA63" s="49"/>
      <c r="AB63" s="49"/>
      <c r="AC63" s="49"/>
      <c r="AD63" s="49"/>
    </row>
    <row r="64" spans="1:30" ht="13.5" customHeight="1" x14ac:dyDescent="0.25">
      <c r="A64" s="40"/>
      <c r="B64" s="19" t="s">
        <v>204</v>
      </c>
      <c r="C64" s="35" t="s">
        <v>205</v>
      </c>
      <c r="D64" s="103" t="s">
        <v>89</v>
      </c>
      <c r="E64" s="35">
        <v>2022</v>
      </c>
      <c r="F64" s="35"/>
      <c r="G64" s="35"/>
      <c r="H64" s="47" t="s">
        <v>231</v>
      </c>
      <c r="I64" s="47"/>
      <c r="J64" s="12" t="s">
        <v>229</v>
      </c>
      <c r="K64" s="12" t="s">
        <v>40</v>
      </c>
      <c r="L64" s="12" t="s">
        <v>56</v>
      </c>
      <c r="M64" s="64" t="s">
        <v>57</v>
      </c>
      <c r="N64" s="13" t="s">
        <v>149</v>
      </c>
      <c r="O64" s="18">
        <f t="shared" si="16"/>
        <v>4.4944333333333333</v>
      </c>
      <c r="P64" s="36">
        <f>+Q64*1.33</f>
        <v>5991.6500000000005</v>
      </c>
      <c r="Q64" s="15">
        <v>4505</v>
      </c>
      <c r="R64" s="73">
        <f t="shared" si="17"/>
        <v>44603.903099999996</v>
      </c>
      <c r="S64" s="74">
        <f t="shared" si="18"/>
        <v>44608.397533333329</v>
      </c>
      <c r="T64" s="75">
        <f t="shared" si="14"/>
        <v>6</v>
      </c>
      <c r="U64" s="76">
        <f t="shared" si="14"/>
        <v>7</v>
      </c>
      <c r="V64" s="77">
        <f t="shared" si="15"/>
        <v>44638.397533333329</v>
      </c>
      <c r="W64" s="36"/>
      <c r="X64" s="37"/>
      <c r="Y64" s="91"/>
      <c r="Z64" s="51"/>
      <c r="AA64" s="49"/>
      <c r="AB64" s="49"/>
      <c r="AC64" s="49"/>
      <c r="AD64" s="49"/>
    </row>
    <row r="65" spans="1:30" s="17" customFormat="1" ht="14.1" customHeight="1" x14ac:dyDescent="0.25">
      <c r="A65" s="40"/>
      <c r="B65" s="11" t="s">
        <v>93</v>
      </c>
      <c r="C65" s="35" t="s">
        <v>36</v>
      </c>
      <c r="D65" s="103" t="s">
        <v>89</v>
      </c>
      <c r="E65" s="35">
        <v>2022</v>
      </c>
      <c r="F65" s="35"/>
      <c r="G65" s="35"/>
      <c r="H65" s="44" t="s">
        <v>150</v>
      </c>
      <c r="I65" s="44"/>
      <c r="J65" s="12" t="s">
        <v>39</v>
      </c>
      <c r="K65" s="12" t="s">
        <v>66</v>
      </c>
      <c r="L65" s="12" t="s">
        <v>56</v>
      </c>
      <c r="M65" s="64" t="s">
        <v>57</v>
      </c>
      <c r="N65" s="13" t="s">
        <v>71</v>
      </c>
      <c r="O65" s="18">
        <f t="shared" si="16"/>
        <v>3.5856000000000003</v>
      </c>
      <c r="P65" s="71">
        <f>+Q65*1.33</f>
        <v>4628.4000000000005</v>
      </c>
      <c r="Q65" s="72">
        <v>3480</v>
      </c>
      <c r="R65" s="73">
        <f t="shared" si="17"/>
        <v>44608.397533333329</v>
      </c>
      <c r="S65" s="74">
        <f t="shared" si="18"/>
        <v>44611.983133333328</v>
      </c>
      <c r="T65" s="75">
        <f t="shared" si="14"/>
        <v>7</v>
      </c>
      <c r="U65" s="76">
        <f t="shared" si="14"/>
        <v>7</v>
      </c>
      <c r="V65" s="77">
        <f t="shared" si="15"/>
        <v>44641.983133333328</v>
      </c>
      <c r="W65" s="71"/>
      <c r="X65" s="34"/>
      <c r="Y65" s="91"/>
      <c r="Z65" s="78"/>
      <c r="AA65" s="80"/>
      <c r="AB65" s="80">
        <v>0.95</v>
      </c>
      <c r="AC65" s="80"/>
      <c r="AD65" s="80"/>
    </row>
    <row r="66" spans="1:30" s="17" customFormat="1" ht="14.1" customHeight="1" x14ac:dyDescent="0.25">
      <c r="A66" s="40"/>
      <c r="B66" s="11" t="s">
        <v>45</v>
      </c>
      <c r="C66" s="35" t="s">
        <v>36</v>
      </c>
      <c r="D66" s="103" t="s">
        <v>89</v>
      </c>
      <c r="E66" s="35">
        <v>2022</v>
      </c>
      <c r="F66" s="35"/>
      <c r="G66" s="35"/>
      <c r="H66" s="44" t="s">
        <v>70</v>
      </c>
      <c r="I66" s="44"/>
      <c r="J66" s="12" t="s">
        <v>39</v>
      </c>
      <c r="K66" s="12" t="s">
        <v>66</v>
      </c>
      <c r="L66" s="12" t="s">
        <v>41</v>
      </c>
      <c r="M66" s="64" t="s">
        <v>42</v>
      </c>
      <c r="N66" s="13" t="s">
        <v>71</v>
      </c>
      <c r="O66" s="18">
        <f t="shared" si="16"/>
        <v>30.466666666666665</v>
      </c>
      <c r="P66" s="71">
        <v>44950</v>
      </c>
      <c r="Q66" s="72">
        <v>12761</v>
      </c>
      <c r="R66" s="73">
        <f t="shared" si="17"/>
        <v>44611.983133333328</v>
      </c>
      <c r="S66" s="74">
        <f t="shared" si="18"/>
        <v>44642.449799999995</v>
      </c>
      <c r="T66" s="75">
        <f t="shared" si="14"/>
        <v>7</v>
      </c>
      <c r="U66" s="76">
        <f t="shared" si="14"/>
        <v>12</v>
      </c>
      <c r="V66" s="77">
        <f t="shared" si="15"/>
        <v>44672.449799999995</v>
      </c>
      <c r="W66" s="71"/>
      <c r="X66" s="34"/>
      <c r="Y66" s="91"/>
      <c r="Z66" s="78"/>
      <c r="AA66" s="80" t="s">
        <v>214</v>
      </c>
      <c r="AB66" s="80">
        <v>0.75</v>
      </c>
      <c r="AC66" s="80"/>
      <c r="AD66" s="80"/>
    </row>
    <row r="67" spans="1:30" ht="13.5" customHeight="1" x14ac:dyDescent="0.25">
      <c r="A67" s="40"/>
      <c r="B67" s="11" t="s">
        <v>35</v>
      </c>
      <c r="C67" s="35" t="s">
        <v>36</v>
      </c>
      <c r="D67" s="103" t="s">
        <v>89</v>
      </c>
      <c r="E67" s="35">
        <v>2022</v>
      </c>
      <c r="F67" s="35"/>
      <c r="G67" s="35"/>
      <c r="H67" s="47" t="s">
        <v>51</v>
      </c>
      <c r="I67" s="47"/>
      <c r="J67" s="12" t="s">
        <v>52</v>
      </c>
      <c r="K67" s="12" t="s">
        <v>40</v>
      </c>
      <c r="L67" s="12" t="s">
        <v>41</v>
      </c>
      <c r="M67" s="64" t="s">
        <v>42</v>
      </c>
      <c r="N67" s="13" t="s">
        <v>47</v>
      </c>
      <c r="O67" s="18">
        <f t="shared" si="16"/>
        <v>10.523333333333333</v>
      </c>
      <c r="P67" s="36">
        <v>15035</v>
      </c>
      <c r="Q67" s="15">
        <f>+P67</f>
        <v>15035</v>
      </c>
      <c r="R67" s="73">
        <f t="shared" si="17"/>
        <v>44642.449799999995</v>
      </c>
      <c r="S67" s="74">
        <f t="shared" si="18"/>
        <v>44652.973133333326</v>
      </c>
      <c r="T67" s="75">
        <f t="shared" si="14"/>
        <v>12</v>
      </c>
      <c r="U67" s="76">
        <f t="shared" si="14"/>
        <v>13</v>
      </c>
      <c r="V67" s="77">
        <f t="shared" si="15"/>
        <v>44682.973133333326</v>
      </c>
      <c r="W67" s="36"/>
      <c r="X67" s="37"/>
      <c r="Y67" s="91"/>
      <c r="Z67" s="51"/>
      <c r="AA67" s="49"/>
      <c r="AB67" s="49"/>
      <c r="AC67" s="49"/>
      <c r="AD67" s="49"/>
    </row>
    <row r="68" spans="1:30" ht="13.5" customHeight="1" x14ac:dyDescent="0.25">
      <c r="A68" s="40"/>
      <c r="B68" s="11" t="s">
        <v>105</v>
      </c>
      <c r="C68" s="35" t="s">
        <v>36</v>
      </c>
      <c r="D68" s="103" t="s">
        <v>89</v>
      </c>
      <c r="E68" s="35">
        <v>2022</v>
      </c>
      <c r="F68" s="35"/>
      <c r="G68" s="35"/>
      <c r="H68" s="47" t="s">
        <v>106</v>
      </c>
      <c r="I68" s="47"/>
      <c r="J68" s="12" t="s">
        <v>39</v>
      </c>
      <c r="K68" s="12" t="s">
        <v>40</v>
      </c>
      <c r="L68" s="12" t="s">
        <v>41</v>
      </c>
      <c r="M68" s="64" t="s">
        <v>42</v>
      </c>
      <c r="N68" s="13" t="s">
        <v>47</v>
      </c>
      <c r="O68" s="18">
        <f t="shared" si="16"/>
        <v>7.78</v>
      </c>
      <c r="P68" s="36">
        <v>10920</v>
      </c>
      <c r="Q68" s="15">
        <v>20000</v>
      </c>
      <c r="R68" s="73">
        <f t="shared" si="17"/>
        <v>44652.973133333326</v>
      </c>
      <c r="S68" s="74">
        <f t="shared" si="18"/>
        <v>44660.753133333325</v>
      </c>
      <c r="T68" s="75">
        <f t="shared" ref="T68:U84" si="19">_xlfn.ISOWEEKNUM(R68)</f>
        <v>13</v>
      </c>
      <c r="U68" s="76">
        <f t="shared" si="19"/>
        <v>14</v>
      </c>
      <c r="V68" s="77">
        <f t="shared" si="15"/>
        <v>44690.753133333325</v>
      </c>
      <c r="W68" s="213"/>
      <c r="X68" s="37"/>
      <c r="Y68" s="91"/>
      <c r="Z68" s="51"/>
      <c r="AA68" s="49" t="s">
        <v>218</v>
      </c>
      <c r="AB68" s="49"/>
      <c r="AC68" s="49"/>
      <c r="AD68" s="49"/>
    </row>
    <row r="69" spans="1:30" ht="13.5" customHeight="1" x14ac:dyDescent="0.25">
      <c r="A69" s="40"/>
      <c r="B69" s="11" t="s">
        <v>182</v>
      </c>
      <c r="C69" s="35" t="s">
        <v>36</v>
      </c>
      <c r="D69" s="103" t="s">
        <v>89</v>
      </c>
      <c r="E69" s="35">
        <v>2022</v>
      </c>
      <c r="F69" s="35"/>
      <c r="G69" s="35"/>
      <c r="H69" s="47" t="s">
        <v>183</v>
      </c>
      <c r="I69" s="47" t="s">
        <v>109</v>
      </c>
      <c r="J69" s="12" t="s">
        <v>39</v>
      </c>
      <c r="K69" s="12" t="s">
        <v>40</v>
      </c>
      <c r="L69" s="12" t="s">
        <v>41</v>
      </c>
      <c r="M69" s="64" t="s">
        <v>42</v>
      </c>
      <c r="N69" s="13" t="s">
        <v>47</v>
      </c>
      <c r="O69" s="18">
        <f t="shared" si="16"/>
        <v>10.84</v>
      </c>
      <c r="P69" s="36">
        <v>15510</v>
      </c>
      <c r="Q69" s="15">
        <v>15000</v>
      </c>
      <c r="R69" s="73">
        <f t="shared" si="17"/>
        <v>44660.753133333325</v>
      </c>
      <c r="S69" s="74">
        <f t="shared" si="18"/>
        <v>44671.593133333321</v>
      </c>
      <c r="T69" s="75">
        <f t="shared" si="19"/>
        <v>14</v>
      </c>
      <c r="U69" s="76">
        <f t="shared" si="19"/>
        <v>16</v>
      </c>
      <c r="V69" s="77">
        <f t="shared" si="15"/>
        <v>44701.593133333321</v>
      </c>
      <c r="W69" s="36"/>
      <c r="X69" s="37"/>
      <c r="Y69" s="91"/>
      <c r="Z69" s="51"/>
      <c r="AA69" s="49" t="s">
        <v>218</v>
      </c>
      <c r="AB69" s="49"/>
      <c r="AC69" s="49"/>
      <c r="AD69" s="49"/>
    </row>
    <row r="70" spans="1:30" s="17" customFormat="1" ht="14.1" customHeight="1" x14ac:dyDescent="0.25">
      <c r="A70" s="40"/>
      <c r="B70" s="11" t="s">
        <v>35</v>
      </c>
      <c r="C70" s="35" t="s">
        <v>36</v>
      </c>
      <c r="D70" s="103" t="s">
        <v>89</v>
      </c>
      <c r="E70" s="35">
        <v>2022</v>
      </c>
      <c r="F70" s="35"/>
      <c r="G70" s="35"/>
      <c r="H70" s="44" t="s">
        <v>156</v>
      </c>
      <c r="I70" s="44" t="s">
        <v>157</v>
      </c>
      <c r="J70" s="12" t="s">
        <v>39</v>
      </c>
      <c r="K70" s="12" t="s">
        <v>158</v>
      </c>
      <c r="L70" s="12" t="s">
        <v>41</v>
      </c>
      <c r="M70" s="64" t="s">
        <v>42</v>
      </c>
      <c r="N70" s="13" t="s">
        <v>43</v>
      </c>
      <c r="O70" s="18">
        <f t="shared" si="16"/>
        <v>3.9486666666666665</v>
      </c>
      <c r="P70" s="71">
        <v>5173</v>
      </c>
      <c r="Q70" s="72">
        <v>5000</v>
      </c>
      <c r="R70" s="73">
        <f t="shared" si="17"/>
        <v>44671.593133333321</v>
      </c>
      <c r="S70" s="74">
        <f t="shared" si="18"/>
        <v>44675.541799999985</v>
      </c>
      <c r="T70" s="75">
        <f t="shared" si="19"/>
        <v>16</v>
      </c>
      <c r="U70" s="76">
        <f t="shared" si="19"/>
        <v>16</v>
      </c>
      <c r="V70" s="77">
        <f t="shared" si="15"/>
        <v>44705.541799999985</v>
      </c>
      <c r="W70" s="71"/>
      <c r="X70" s="34"/>
      <c r="Y70" s="91"/>
      <c r="Z70" s="78"/>
      <c r="AA70" s="79" t="s">
        <v>232</v>
      </c>
      <c r="AB70" s="80"/>
      <c r="AC70" s="80"/>
      <c r="AD70" s="80"/>
    </row>
    <row r="71" spans="1:30" ht="13.5" customHeight="1" x14ac:dyDescent="0.25">
      <c r="A71" s="40"/>
      <c r="B71" s="11" t="s">
        <v>48</v>
      </c>
      <c r="C71" s="35" t="s">
        <v>36</v>
      </c>
      <c r="D71" s="103" t="s">
        <v>89</v>
      </c>
      <c r="E71" s="35">
        <v>2022</v>
      </c>
      <c r="F71" s="35"/>
      <c r="G71" s="35"/>
      <c r="H71" s="47" t="s">
        <v>173</v>
      </c>
      <c r="I71" s="47" t="s">
        <v>99</v>
      </c>
      <c r="J71" s="12" t="s">
        <v>39</v>
      </c>
      <c r="K71" s="12" t="s">
        <v>40</v>
      </c>
      <c r="L71" s="12" t="s">
        <v>41</v>
      </c>
      <c r="M71" s="64" t="s">
        <v>42</v>
      </c>
      <c r="N71" s="13" t="s">
        <v>47</v>
      </c>
      <c r="O71" s="18">
        <f t="shared" si="16"/>
        <v>13.976000000000001</v>
      </c>
      <c r="P71" s="36">
        <v>20214</v>
      </c>
      <c r="Q71" s="15">
        <f t="shared" ref="Q71" si="20">+P71</f>
        <v>20214</v>
      </c>
      <c r="R71" s="73">
        <f t="shared" si="17"/>
        <v>44675.541799999985</v>
      </c>
      <c r="S71" s="74">
        <f t="shared" si="18"/>
        <v>44689.517799999987</v>
      </c>
      <c r="T71" s="75">
        <f t="shared" si="19"/>
        <v>16</v>
      </c>
      <c r="U71" s="76">
        <f t="shared" si="19"/>
        <v>18</v>
      </c>
      <c r="V71" s="77">
        <f t="shared" si="15"/>
        <v>44719.517799999987</v>
      </c>
      <c r="W71" s="36"/>
      <c r="X71" s="37"/>
      <c r="Y71" s="91"/>
      <c r="Z71" s="51"/>
      <c r="AA71" s="49" t="s">
        <v>218</v>
      </c>
      <c r="AB71" s="49"/>
      <c r="AC71" s="49"/>
      <c r="AD71" s="49"/>
    </row>
    <row r="72" spans="1:30" ht="13.5" customHeight="1" x14ac:dyDescent="0.25">
      <c r="A72" s="40"/>
      <c r="B72" s="11" t="s">
        <v>95</v>
      </c>
      <c r="C72" s="35" t="s">
        <v>36</v>
      </c>
      <c r="D72" s="103" t="s">
        <v>89</v>
      </c>
      <c r="E72" s="35">
        <v>2022</v>
      </c>
      <c r="F72" s="35"/>
      <c r="G72" s="35"/>
      <c r="H72" s="47" t="s">
        <v>181</v>
      </c>
      <c r="I72" s="47" t="s">
        <v>96</v>
      </c>
      <c r="J72" s="12" t="s">
        <v>39</v>
      </c>
      <c r="K72" s="12" t="s">
        <v>40</v>
      </c>
      <c r="L72" s="12" t="s">
        <v>41</v>
      </c>
      <c r="M72" s="64" t="s">
        <v>42</v>
      </c>
      <c r="N72" s="13" t="s">
        <v>47</v>
      </c>
      <c r="O72" s="18">
        <f t="shared" si="16"/>
        <v>17.736666666666668</v>
      </c>
      <c r="P72" s="36">
        <f>27855-P73</f>
        <v>25855</v>
      </c>
      <c r="Q72" s="15">
        <f>+P72</f>
        <v>25855</v>
      </c>
      <c r="R72" s="73">
        <f t="shared" si="17"/>
        <v>44689.517799999987</v>
      </c>
      <c r="S72" s="74">
        <f t="shared" si="18"/>
        <v>44707.254466666651</v>
      </c>
      <c r="T72" s="75">
        <f t="shared" si="19"/>
        <v>18</v>
      </c>
      <c r="U72" s="76">
        <f t="shared" si="19"/>
        <v>21</v>
      </c>
      <c r="V72" s="77">
        <f t="shared" si="15"/>
        <v>44737.254466666651</v>
      </c>
      <c r="W72" s="36"/>
      <c r="X72" s="37"/>
      <c r="Y72" s="91"/>
      <c r="Z72" s="51"/>
      <c r="AA72" s="49" t="s">
        <v>218</v>
      </c>
      <c r="AB72" s="49"/>
      <c r="AC72" s="49"/>
      <c r="AD72" s="49"/>
    </row>
    <row r="73" spans="1:30" ht="13.5" customHeight="1" x14ac:dyDescent="0.25">
      <c r="A73" s="40"/>
      <c r="B73" s="11" t="s">
        <v>95</v>
      </c>
      <c r="C73" s="35" t="s">
        <v>36</v>
      </c>
      <c r="D73" s="103" t="s">
        <v>89</v>
      </c>
      <c r="E73" s="35">
        <v>2022</v>
      </c>
      <c r="F73" s="35"/>
      <c r="G73" s="35"/>
      <c r="H73" s="47" t="s">
        <v>181</v>
      </c>
      <c r="I73" s="47" t="s">
        <v>96</v>
      </c>
      <c r="J73" s="12" t="s">
        <v>52</v>
      </c>
      <c r="K73" s="12" t="s">
        <v>40</v>
      </c>
      <c r="L73" s="12" t="s">
        <v>41</v>
      </c>
      <c r="M73" s="64" t="s">
        <v>42</v>
      </c>
      <c r="N73" s="13" t="s">
        <v>47</v>
      </c>
      <c r="O73" s="18">
        <f t="shared" si="16"/>
        <v>1.8333333333333333</v>
      </c>
      <c r="P73" s="36">
        <v>2000</v>
      </c>
      <c r="Q73" s="15">
        <f>+P73</f>
        <v>2000</v>
      </c>
      <c r="R73" s="73">
        <f t="shared" si="17"/>
        <v>44707.254466666651</v>
      </c>
      <c r="S73" s="74">
        <f t="shared" si="18"/>
        <v>44709.087799999987</v>
      </c>
      <c r="T73" s="75">
        <f t="shared" si="19"/>
        <v>21</v>
      </c>
      <c r="U73" s="76">
        <f t="shared" si="19"/>
        <v>21</v>
      </c>
      <c r="V73" s="77">
        <f t="shared" si="15"/>
        <v>44739.087799999987</v>
      </c>
      <c r="W73" s="36"/>
      <c r="X73" s="37"/>
      <c r="Y73" s="91"/>
      <c r="Z73" s="51"/>
      <c r="AA73" s="49" t="s">
        <v>218</v>
      </c>
      <c r="AB73" s="49"/>
      <c r="AC73" s="49"/>
      <c r="AD73" s="49"/>
    </row>
    <row r="74" spans="1:30" ht="13.5" customHeight="1" x14ac:dyDescent="0.25">
      <c r="A74" s="40"/>
      <c r="B74" s="11" t="s">
        <v>54</v>
      </c>
      <c r="C74" s="35" t="s">
        <v>36</v>
      </c>
      <c r="D74" s="103" t="s">
        <v>89</v>
      </c>
      <c r="E74" s="35">
        <v>2022</v>
      </c>
      <c r="F74" s="35"/>
      <c r="G74" s="35"/>
      <c r="H74" s="47" t="s">
        <v>233</v>
      </c>
      <c r="I74" s="47" t="s">
        <v>145</v>
      </c>
      <c r="J74" s="12" t="s">
        <v>39</v>
      </c>
      <c r="K74" s="12" t="s">
        <v>136</v>
      </c>
      <c r="L74" s="12" t="s">
        <v>56</v>
      </c>
      <c r="M74" s="64" t="s">
        <v>57</v>
      </c>
      <c r="N74" s="13" t="s">
        <v>43</v>
      </c>
      <c r="O74" s="18">
        <f>+P74/$D$2+0.5</f>
        <v>7.2830000000000004</v>
      </c>
      <c r="P74" s="36">
        <f>+Q74*1.33</f>
        <v>10174.5</v>
      </c>
      <c r="Q74" s="15">
        <v>7650</v>
      </c>
      <c r="R74" s="287">
        <v>44378</v>
      </c>
      <c r="S74" s="74">
        <f>+R74+O74</f>
        <v>44385.283000000003</v>
      </c>
      <c r="T74" s="75">
        <f>_xlfn.ISOWEEKNUM(R74)</f>
        <v>26</v>
      </c>
      <c r="U74" s="76">
        <f>_xlfn.ISOWEEKNUM(S74)</f>
        <v>27</v>
      </c>
      <c r="V74" s="77">
        <f>+S74+$H$1</f>
        <v>44415.283000000003</v>
      </c>
      <c r="W74" s="213"/>
      <c r="X74" s="37"/>
      <c r="Y74" s="91"/>
      <c r="Z74" s="51"/>
      <c r="AA74" s="49"/>
      <c r="AB74" s="49"/>
      <c r="AC74" s="49"/>
      <c r="AD74" s="49"/>
    </row>
    <row r="75" spans="1:30" s="17" customFormat="1" ht="14.1" customHeight="1" x14ac:dyDescent="0.25">
      <c r="A75" s="40"/>
      <c r="B75" s="11"/>
      <c r="C75" s="35" t="s">
        <v>36</v>
      </c>
      <c r="D75" s="103" t="s">
        <v>89</v>
      </c>
      <c r="E75" s="35">
        <v>2022</v>
      </c>
      <c r="F75" s="35"/>
      <c r="G75" s="35"/>
      <c r="H75" s="44" t="s">
        <v>234</v>
      </c>
      <c r="I75" s="44" t="s">
        <v>235</v>
      </c>
      <c r="J75" s="12"/>
      <c r="K75" s="12"/>
      <c r="L75" s="12"/>
      <c r="M75" s="64"/>
      <c r="N75" s="13"/>
      <c r="O75" s="18">
        <f>+P75/$D$2+0.5</f>
        <v>8.1286666666666676</v>
      </c>
      <c r="P75" s="71">
        <v>11443</v>
      </c>
      <c r="Q75" s="72">
        <f>+P75</f>
        <v>11443</v>
      </c>
      <c r="R75" s="73">
        <v>44379</v>
      </c>
      <c r="S75" s="74">
        <f t="shared" ref="S75:S83" si="21">+R75+O75</f>
        <v>44387.128666666664</v>
      </c>
      <c r="T75" s="75">
        <f>_xlfn.ISOWEEKNUM(R75)</f>
        <v>26</v>
      </c>
      <c r="U75" s="76">
        <f>_xlfn.ISOWEEKNUM(S75)</f>
        <v>27</v>
      </c>
      <c r="V75" s="77">
        <f>+S75+$H$1</f>
        <v>44417.128666666664</v>
      </c>
      <c r="W75" s="71"/>
      <c r="X75" s="34"/>
      <c r="Y75" s="91"/>
      <c r="Z75" s="78"/>
      <c r="AA75" s="79"/>
      <c r="AB75" s="80"/>
      <c r="AC75" s="80"/>
      <c r="AD75" s="80"/>
    </row>
    <row r="76" spans="1:30" ht="13.5" customHeight="1" x14ac:dyDescent="0.25">
      <c r="A76" s="40"/>
      <c r="B76" s="11" t="s">
        <v>35</v>
      </c>
      <c r="C76" s="35" t="s">
        <v>36</v>
      </c>
      <c r="D76" s="103" t="s">
        <v>89</v>
      </c>
      <c r="E76" s="35">
        <v>2022</v>
      </c>
      <c r="F76" s="35"/>
      <c r="G76" s="35"/>
      <c r="H76" s="47" t="s">
        <v>165</v>
      </c>
      <c r="I76" s="47" t="s">
        <v>166</v>
      </c>
      <c r="J76" s="12" t="s">
        <v>39</v>
      </c>
      <c r="K76" s="12" t="s">
        <v>158</v>
      </c>
      <c r="L76" s="12" t="s">
        <v>41</v>
      </c>
      <c r="M76" s="64" t="s">
        <v>42</v>
      </c>
      <c r="N76" s="13" t="s">
        <v>43</v>
      </c>
      <c r="O76" s="18">
        <f t="shared" si="16"/>
        <v>6.6533333333333333</v>
      </c>
      <c r="P76" s="36">
        <v>9230</v>
      </c>
      <c r="Q76" s="15">
        <v>10000</v>
      </c>
      <c r="R76" s="73">
        <v>44380</v>
      </c>
      <c r="S76" s="74">
        <f t="shared" si="21"/>
        <v>44386.653333333335</v>
      </c>
      <c r="T76" s="75">
        <f t="shared" si="19"/>
        <v>26</v>
      </c>
      <c r="U76" s="76">
        <f t="shared" si="19"/>
        <v>27</v>
      </c>
      <c r="V76" s="77">
        <f t="shared" si="15"/>
        <v>44416.653333333335</v>
      </c>
      <c r="W76" s="36"/>
      <c r="X76" s="37"/>
      <c r="Y76" s="91"/>
      <c r="Z76" s="51"/>
      <c r="AA76" s="79" t="s">
        <v>232</v>
      </c>
      <c r="AB76" s="49"/>
      <c r="AC76" s="49"/>
      <c r="AD76" s="49"/>
    </row>
    <row r="77" spans="1:30" ht="13.5" customHeight="1" x14ac:dyDescent="0.25">
      <c r="A77" s="40"/>
      <c r="B77" s="11" t="s">
        <v>54</v>
      </c>
      <c r="C77" s="35" t="s">
        <v>36</v>
      </c>
      <c r="D77" s="103" t="s">
        <v>89</v>
      </c>
      <c r="E77" s="35">
        <v>2022</v>
      </c>
      <c r="F77" s="35"/>
      <c r="G77" s="35"/>
      <c r="H77" s="47" t="s">
        <v>146</v>
      </c>
      <c r="I77" s="47" t="s">
        <v>147</v>
      </c>
      <c r="J77" s="12" t="s">
        <v>39</v>
      </c>
      <c r="K77" s="12" t="s">
        <v>148</v>
      </c>
      <c r="L77" s="12" t="s">
        <v>56</v>
      </c>
      <c r="M77" s="64" t="s">
        <v>57</v>
      </c>
      <c r="N77" s="13" t="s">
        <v>43</v>
      </c>
      <c r="O77" s="18">
        <f t="shared" si="16"/>
        <v>7.9480000000000004</v>
      </c>
      <c r="P77" s="71">
        <f>+Q77*1.33</f>
        <v>11172</v>
      </c>
      <c r="Q77" s="72">
        <v>8400</v>
      </c>
      <c r="R77" s="73">
        <v>44381</v>
      </c>
      <c r="S77" s="74">
        <f t="shared" si="21"/>
        <v>44388.947999999997</v>
      </c>
      <c r="T77" s="75">
        <f t="shared" si="19"/>
        <v>26</v>
      </c>
      <c r="U77" s="76">
        <f t="shared" si="19"/>
        <v>27</v>
      </c>
      <c r="V77" s="77">
        <f t="shared" si="15"/>
        <v>44418.947999999997</v>
      </c>
      <c r="W77" s="71"/>
      <c r="X77" s="34"/>
      <c r="Y77" s="91"/>
      <c r="Z77" s="78"/>
      <c r="AA77" s="79" t="s">
        <v>232</v>
      </c>
      <c r="AB77" s="79"/>
      <c r="AC77" s="79"/>
      <c r="AD77" s="79"/>
    </row>
    <row r="78" spans="1:30" s="17" customFormat="1" ht="14.1" customHeight="1" x14ac:dyDescent="0.25">
      <c r="A78" s="40"/>
      <c r="B78" s="11" t="s">
        <v>35</v>
      </c>
      <c r="C78" s="35" t="s">
        <v>36</v>
      </c>
      <c r="D78" s="103" t="s">
        <v>89</v>
      </c>
      <c r="E78" s="35">
        <v>2022</v>
      </c>
      <c r="F78" s="35"/>
      <c r="G78" s="35"/>
      <c r="H78" s="44" t="s">
        <v>159</v>
      </c>
      <c r="I78" s="44" t="s">
        <v>160</v>
      </c>
      <c r="J78" s="12" t="s">
        <v>39</v>
      </c>
      <c r="K78" s="12" t="s">
        <v>158</v>
      </c>
      <c r="L78" s="12" t="s">
        <v>41</v>
      </c>
      <c r="M78" s="64" t="s">
        <v>42</v>
      </c>
      <c r="N78" s="13" t="s">
        <v>43</v>
      </c>
      <c r="O78" s="18">
        <f t="shared" si="16"/>
        <v>8.4266666666666659</v>
      </c>
      <c r="P78" s="71">
        <v>11890</v>
      </c>
      <c r="Q78" s="72">
        <v>10000</v>
      </c>
      <c r="R78" s="73">
        <v>44382</v>
      </c>
      <c r="S78" s="74">
        <f t="shared" si="21"/>
        <v>44390.426666666666</v>
      </c>
      <c r="T78" s="75">
        <f t="shared" si="19"/>
        <v>27</v>
      </c>
      <c r="U78" s="76">
        <f t="shared" si="19"/>
        <v>28</v>
      </c>
      <c r="V78" s="77">
        <f t="shared" si="15"/>
        <v>44420.426666666666</v>
      </c>
      <c r="W78" s="71"/>
      <c r="X78" s="34"/>
      <c r="Y78" s="91"/>
      <c r="Z78" s="78"/>
      <c r="AA78" s="80" t="s">
        <v>236</v>
      </c>
      <c r="AB78" s="80"/>
      <c r="AC78" s="80"/>
      <c r="AD78" s="80"/>
    </row>
    <row r="79" spans="1:30" s="17" customFormat="1" ht="14.1" customHeight="1" x14ac:dyDescent="0.25">
      <c r="A79" s="40"/>
      <c r="B79" s="11" t="s">
        <v>35</v>
      </c>
      <c r="C79" s="35" t="s">
        <v>36</v>
      </c>
      <c r="D79" s="103" t="s">
        <v>89</v>
      </c>
      <c r="E79" s="35">
        <v>2022</v>
      </c>
      <c r="F79" s="35"/>
      <c r="G79" s="35"/>
      <c r="H79" s="44" t="s">
        <v>163</v>
      </c>
      <c r="I79" s="44" t="s">
        <v>164</v>
      </c>
      <c r="J79" s="12" t="s">
        <v>39</v>
      </c>
      <c r="K79" s="12" t="s">
        <v>158</v>
      </c>
      <c r="L79" s="12" t="s">
        <v>41</v>
      </c>
      <c r="M79" s="64" t="s">
        <v>42</v>
      </c>
      <c r="N79" s="13" t="s">
        <v>43</v>
      </c>
      <c r="O79" s="18">
        <f t="shared" si="16"/>
        <v>3.8</v>
      </c>
      <c r="P79" s="71">
        <v>4950</v>
      </c>
      <c r="Q79" s="72">
        <v>5000</v>
      </c>
      <c r="R79" s="73">
        <v>44383</v>
      </c>
      <c r="S79" s="74">
        <f t="shared" si="21"/>
        <v>44386.8</v>
      </c>
      <c r="T79" s="75">
        <f t="shared" si="19"/>
        <v>27</v>
      </c>
      <c r="U79" s="76">
        <f t="shared" si="19"/>
        <v>27</v>
      </c>
      <c r="V79" s="77">
        <f t="shared" si="15"/>
        <v>44416.800000000003</v>
      </c>
      <c r="W79" s="71"/>
      <c r="X79" s="34"/>
      <c r="Y79" s="91"/>
      <c r="Z79" s="78"/>
      <c r="AA79" s="79" t="s">
        <v>232</v>
      </c>
      <c r="AB79" s="80"/>
      <c r="AC79" s="80"/>
      <c r="AD79" s="80"/>
    </row>
    <row r="80" spans="1:30" ht="13.5" customHeight="1" x14ac:dyDescent="0.25">
      <c r="A80" s="40"/>
      <c r="B80" s="11" t="s">
        <v>54</v>
      </c>
      <c r="C80" s="35" t="s">
        <v>36</v>
      </c>
      <c r="D80" s="103" t="s">
        <v>89</v>
      </c>
      <c r="E80" s="35">
        <v>2022</v>
      </c>
      <c r="F80" s="35"/>
      <c r="G80" s="35"/>
      <c r="H80" s="47" t="s">
        <v>102</v>
      </c>
      <c r="I80" s="47"/>
      <c r="J80" s="12" t="s">
        <v>39</v>
      </c>
      <c r="K80" s="12" t="s">
        <v>40</v>
      </c>
      <c r="L80" s="12" t="s">
        <v>41</v>
      </c>
      <c r="M80" s="64" t="s">
        <v>57</v>
      </c>
      <c r="N80" s="13" t="s">
        <v>43</v>
      </c>
      <c r="O80" s="18">
        <f t="shared" si="16"/>
        <v>1.8333333333333333</v>
      </c>
      <c r="P80" s="36">
        <v>2000</v>
      </c>
      <c r="Q80" s="15">
        <v>2000</v>
      </c>
      <c r="R80" s="287">
        <v>44805</v>
      </c>
      <c r="S80" s="74">
        <f t="shared" si="21"/>
        <v>44806.833333333336</v>
      </c>
      <c r="T80" s="75">
        <f t="shared" si="19"/>
        <v>35</v>
      </c>
      <c r="U80" s="76">
        <f t="shared" si="19"/>
        <v>35</v>
      </c>
      <c r="V80" s="77">
        <f t="shared" si="15"/>
        <v>44836.833333333336</v>
      </c>
      <c r="W80" s="36"/>
      <c r="X80" s="37"/>
      <c r="Y80" s="91"/>
      <c r="Z80" s="51"/>
      <c r="AA80" s="79"/>
      <c r="AB80" s="49"/>
      <c r="AC80" s="49"/>
      <c r="AD80" s="49"/>
    </row>
    <row r="81" spans="1:30" ht="13.5" customHeight="1" x14ac:dyDescent="0.25">
      <c r="A81" s="40"/>
      <c r="B81" s="11" t="s">
        <v>54</v>
      </c>
      <c r="C81" s="35" t="s">
        <v>36</v>
      </c>
      <c r="D81" s="103" t="s">
        <v>89</v>
      </c>
      <c r="E81" s="35">
        <v>2022</v>
      </c>
      <c r="F81" s="35"/>
      <c r="G81" s="35"/>
      <c r="H81" s="47" t="s">
        <v>102</v>
      </c>
      <c r="I81" s="47"/>
      <c r="J81" s="12" t="s">
        <v>39</v>
      </c>
      <c r="K81" s="12" t="s">
        <v>40</v>
      </c>
      <c r="L81" s="12"/>
      <c r="M81" s="64"/>
      <c r="N81" s="13" t="s">
        <v>47</v>
      </c>
      <c r="O81" s="18">
        <f t="shared" si="16"/>
        <v>1.8333333333333333</v>
      </c>
      <c r="P81" s="36">
        <v>2000</v>
      </c>
      <c r="Q81" s="15">
        <v>2000</v>
      </c>
      <c r="R81" s="73">
        <f>+S80</f>
        <v>44806.833333333336</v>
      </c>
      <c r="S81" s="74">
        <f t="shared" si="21"/>
        <v>44808.666666666672</v>
      </c>
      <c r="T81" s="75">
        <f t="shared" si="19"/>
        <v>35</v>
      </c>
      <c r="U81" s="76">
        <f t="shared" si="19"/>
        <v>35</v>
      </c>
      <c r="V81" s="77">
        <f t="shared" si="15"/>
        <v>44838.666666666672</v>
      </c>
      <c r="W81" s="36"/>
      <c r="X81" s="37"/>
      <c r="Y81" s="91"/>
      <c r="Z81" s="51"/>
      <c r="AA81" s="79"/>
      <c r="AB81" s="49"/>
      <c r="AC81" s="49"/>
      <c r="AD81" s="49"/>
    </row>
    <row r="82" spans="1:30" s="17" customFormat="1" ht="14.1" customHeight="1" x14ac:dyDescent="0.25">
      <c r="A82" s="40"/>
      <c r="B82" s="11" t="s">
        <v>45</v>
      </c>
      <c r="C82" s="35" t="s">
        <v>36</v>
      </c>
      <c r="D82" s="103" t="s">
        <v>89</v>
      </c>
      <c r="E82" s="35">
        <v>2022</v>
      </c>
      <c r="F82" s="35"/>
      <c r="G82" s="35"/>
      <c r="H82" s="44" t="s">
        <v>135</v>
      </c>
      <c r="I82" s="44"/>
      <c r="J82" s="12" t="s">
        <v>39</v>
      </c>
      <c r="K82" s="12" t="s">
        <v>40</v>
      </c>
      <c r="L82" s="12" t="s">
        <v>41</v>
      </c>
      <c r="M82" s="64" t="s">
        <v>42</v>
      </c>
      <c r="N82" s="13" t="s">
        <v>47</v>
      </c>
      <c r="O82" s="18">
        <f t="shared" si="16"/>
        <v>7.166666666666667</v>
      </c>
      <c r="P82" s="71">
        <v>10000</v>
      </c>
      <c r="Q82" s="72">
        <v>10000</v>
      </c>
      <c r="R82" s="73">
        <f t="shared" ref="R82:R83" si="22">+S81</f>
        <v>44808.666666666672</v>
      </c>
      <c r="S82" s="74">
        <f t="shared" si="21"/>
        <v>44815.833333333336</v>
      </c>
      <c r="T82" s="75">
        <f t="shared" si="19"/>
        <v>35</v>
      </c>
      <c r="U82" s="76">
        <f t="shared" si="19"/>
        <v>36</v>
      </c>
      <c r="V82" s="77">
        <f t="shared" si="15"/>
        <v>44845.833333333336</v>
      </c>
      <c r="W82" s="71"/>
      <c r="X82" s="34"/>
      <c r="Y82" s="91"/>
      <c r="Z82" s="78"/>
      <c r="AA82" s="79"/>
      <c r="AB82" s="80"/>
      <c r="AC82" s="80"/>
      <c r="AD82" s="80"/>
    </row>
    <row r="83" spans="1:30" ht="13.5" customHeight="1" thickBot="1" x14ac:dyDescent="0.3">
      <c r="A83" s="40"/>
      <c r="B83" s="83" t="s">
        <v>35</v>
      </c>
      <c r="C83" s="23" t="s">
        <v>36</v>
      </c>
      <c r="D83" s="152" t="s">
        <v>89</v>
      </c>
      <c r="E83" s="23">
        <v>2022</v>
      </c>
      <c r="F83" s="23"/>
      <c r="G83" s="23"/>
      <c r="H83" s="212" t="s">
        <v>135</v>
      </c>
      <c r="I83" s="212"/>
      <c r="J83" s="24" t="s">
        <v>39</v>
      </c>
      <c r="K83" s="24" t="s">
        <v>40</v>
      </c>
      <c r="L83" s="24" t="s">
        <v>41</v>
      </c>
      <c r="M83" s="85" t="s">
        <v>42</v>
      </c>
      <c r="N83" s="286" t="s">
        <v>43</v>
      </c>
      <c r="O83" s="82">
        <f t="shared" si="16"/>
        <v>8.3433333333333337</v>
      </c>
      <c r="P83" s="88">
        <v>11765</v>
      </c>
      <c r="Q83" s="96">
        <v>11765</v>
      </c>
      <c r="R83" s="111">
        <f t="shared" si="22"/>
        <v>44815.833333333336</v>
      </c>
      <c r="S83" s="112">
        <f t="shared" si="21"/>
        <v>44824.176666666666</v>
      </c>
      <c r="T83" s="75">
        <f t="shared" si="19"/>
        <v>36</v>
      </c>
      <c r="U83" s="114">
        <f t="shared" si="19"/>
        <v>38</v>
      </c>
      <c r="V83" s="115">
        <f t="shared" si="15"/>
        <v>44854.176666666666</v>
      </c>
      <c r="W83" s="214">
        <f>SUM(P61:P79)</f>
        <v>223241.2</v>
      </c>
      <c r="X83" s="89"/>
      <c r="Y83" s="153"/>
      <c r="Z83" s="90"/>
      <c r="AA83" s="95"/>
      <c r="AB83" s="95"/>
      <c r="AC83" s="95"/>
      <c r="AD83" s="95"/>
    </row>
    <row r="84" spans="1:30" ht="13.5" customHeight="1" x14ac:dyDescent="0.25">
      <c r="A84" s="40"/>
      <c r="B84" s="145" t="s">
        <v>48</v>
      </c>
      <c r="C84" s="130" t="s">
        <v>36</v>
      </c>
      <c r="D84" s="281" t="s">
        <v>103</v>
      </c>
      <c r="E84" s="130">
        <v>2022</v>
      </c>
      <c r="F84" s="130"/>
      <c r="G84" s="130"/>
      <c r="H84" s="282" t="s">
        <v>169</v>
      </c>
      <c r="I84" s="282"/>
      <c r="J84" s="147" t="s">
        <v>39</v>
      </c>
      <c r="K84" s="147" t="s">
        <v>66</v>
      </c>
      <c r="L84" s="147" t="s">
        <v>41</v>
      </c>
      <c r="M84" s="148" t="s">
        <v>42</v>
      </c>
      <c r="N84" s="149" t="s">
        <v>71</v>
      </c>
      <c r="O84" s="283">
        <f t="shared" ref="O84:O99" si="23">+P84/$D$1+0.5</f>
        <v>5.833333333333333</v>
      </c>
      <c r="P84" s="56">
        <v>16000</v>
      </c>
      <c r="Q84" s="150">
        <f t="shared" ref="Q84:Q99" si="24">+P84</f>
        <v>16000</v>
      </c>
      <c r="R84" s="57">
        <v>44682</v>
      </c>
      <c r="S84" s="58">
        <f>+R84+O84</f>
        <v>44687.833333333336</v>
      </c>
      <c r="T84" s="59">
        <f>_xlfn.ISOWEEKNUM(R84)</f>
        <v>17</v>
      </c>
      <c r="U84" s="151">
        <f t="shared" si="19"/>
        <v>18</v>
      </c>
      <c r="V84" s="60">
        <f t="shared" si="15"/>
        <v>44717.833333333336</v>
      </c>
      <c r="W84" s="56"/>
      <c r="X84" s="61"/>
      <c r="Y84" s="93"/>
      <c r="Z84" s="62"/>
      <c r="AA84" s="284" t="s">
        <v>218</v>
      </c>
      <c r="AB84" s="284"/>
      <c r="AC84" s="284"/>
      <c r="AD84" s="284"/>
    </row>
    <row r="85" spans="1:30" ht="13.5" customHeight="1" x14ac:dyDescent="0.25">
      <c r="A85" s="40"/>
      <c r="B85" s="11"/>
      <c r="C85" s="35" t="s">
        <v>36</v>
      </c>
      <c r="D85" s="269" t="s">
        <v>103</v>
      </c>
      <c r="E85" s="35">
        <v>2022</v>
      </c>
      <c r="F85" s="35"/>
      <c r="G85" s="35"/>
      <c r="H85" s="47" t="s">
        <v>237</v>
      </c>
      <c r="I85" s="47"/>
      <c r="J85" s="12"/>
      <c r="K85" s="12"/>
      <c r="L85" s="12"/>
      <c r="M85" s="64"/>
      <c r="N85" s="13"/>
      <c r="O85" s="18">
        <f t="shared" si="23"/>
        <v>5.5540000000000003</v>
      </c>
      <c r="P85" s="71">
        <v>15162</v>
      </c>
      <c r="Q85" s="72">
        <f t="shared" si="24"/>
        <v>15162</v>
      </c>
      <c r="R85" s="73">
        <f>+S84</f>
        <v>44687.833333333336</v>
      </c>
      <c r="S85" s="74">
        <f>+R85+O85</f>
        <v>44693.387333333332</v>
      </c>
      <c r="T85" s="75">
        <f>_xlfn.ISOWEEKNUM(R85)</f>
        <v>18</v>
      </c>
      <c r="U85" s="76">
        <f>_xlfn.ISOWEEKNUM(S85)</f>
        <v>19</v>
      </c>
      <c r="V85" s="77">
        <f>+S85+$H$1</f>
        <v>44723.387333333332</v>
      </c>
      <c r="W85" s="71"/>
      <c r="X85" s="34"/>
      <c r="Y85" s="91"/>
      <c r="Z85" s="78"/>
      <c r="AA85" s="49" t="s">
        <v>238</v>
      </c>
      <c r="AB85" s="79"/>
      <c r="AC85" s="79"/>
      <c r="AD85" s="79"/>
    </row>
    <row r="86" spans="1:30" s="17" customFormat="1" ht="14.1" customHeight="1" x14ac:dyDescent="0.25">
      <c r="A86" s="40"/>
      <c r="B86" s="11" t="s">
        <v>45</v>
      </c>
      <c r="C86" s="35" t="s">
        <v>36</v>
      </c>
      <c r="D86" s="269" t="s">
        <v>103</v>
      </c>
      <c r="E86" s="35">
        <v>2022</v>
      </c>
      <c r="F86" s="35"/>
      <c r="G86" s="35"/>
      <c r="H86" s="44" t="s">
        <v>239</v>
      </c>
      <c r="I86" s="44" t="s">
        <v>240</v>
      </c>
      <c r="J86" s="12" t="s">
        <v>39</v>
      </c>
      <c r="K86" s="12" t="s">
        <v>40</v>
      </c>
      <c r="L86" s="12" t="s">
        <v>41</v>
      </c>
      <c r="M86" s="64" t="s">
        <v>42</v>
      </c>
      <c r="N86" s="13" t="s">
        <v>47</v>
      </c>
      <c r="O86" s="18">
        <f t="shared" si="23"/>
        <v>4.1266666666666669</v>
      </c>
      <c r="P86" s="71">
        <v>10880</v>
      </c>
      <c r="Q86" s="72">
        <f t="shared" si="24"/>
        <v>10880</v>
      </c>
      <c r="R86" s="73">
        <f t="shared" ref="R86:R96" si="25">+S85</f>
        <v>44693.387333333332</v>
      </c>
      <c r="S86" s="74">
        <f t="shared" ref="S86:S96" si="26">+R86+O86</f>
        <v>44697.513999999996</v>
      </c>
      <c r="T86" s="75">
        <f t="shared" ref="T86:U96" si="27">_xlfn.ISOWEEKNUM(R86)</f>
        <v>19</v>
      </c>
      <c r="U86" s="76">
        <f t="shared" si="27"/>
        <v>20</v>
      </c>
      <c r="V86" s="77">
        <f t="shared" ref="V86:V96" si="28">+S86+$H$1</f>
        <v>44727.513999999996</v>
      </c>
      <c r="W86" s="71"/>
      <c r="X86" s="34"/>
      <c r="Y86" s="91"/>
      <c r="Z86" s="78"/>
      <c r="AA86" s="80"/>
      <c r="AB86" s="80"/>
      <c r="AC86" s="80"/>
      <c r="AD86" s="80"/>
    </row>
    <row r="87" spans="1:30" s="17" customFormat="1" ht="14.1" customHeight="1" x14ac:dyDescent="0.25">
      <c r="A87" s="40"/>
      <c r="B87" s="11"/>
      <c r="C87" s="35" t="s">
        <v>36</v>
      </c>
      <c r="D87" s="269" t="s">
        <v>103</v>
      </c>
      <c r="E87" s="35">
        <v>2022</v>
      </c>
      <c r="F87" s="35"/>
      <c r="G87" s="35"/>
      <c r="H87" s="44" t="s">
        <v>241</v>
      </c>
      <c r="I87" s="44"/>
      <c r="J87" s="12"/>
      <c r="K87" s="12"/>
      <c r="L87" s="12"/>
      <c r="M87" s="64"/>
      <c r="N87" s="13"/>
      <c r="O87" s="18">
        <f t="shared" si="23"/>
        <v>4.1576666666666666</v>
      </c>
      <c r="P87" s="71">
        <v>10973</v>
      </c>
      <c r="Q87" s="72">
        <f t="shared" si="24"/>
        <v>10973</v>
      </c>
      <c r="R87" s="73">
        <f t="shared" si="25"/>
        <v>44697.513999999996</v>
      </c>
      <c r="S87" s="74">
        <f t="shared" si="26"/>
        <v>44701.671666666662</v>
      </c>
      <c r="T87" s="75">
        <f t="shared" si="27"/>
        <v>20</v>
      </c>
      <c r="U87" s="76">
        <f t="shared" si="27"/>
        <v>20</v>
      </c>
      <c r="V87" s="77">
        <f t="shared" si="28"/>
        <v>44731.671666666662</v>
      </c>
      <c r="W87" s="71"/>
      <c r="X87" s="34"/>
      <c r="Y87" s="91"/>
      <c r="Z87" s="78"/>
      <c r="AA87" s="80"/>
      <c r="AB87" s="80"/>
      <c r="AC87" s="80"/>
      <c r="AD87" s="80"/>
    </row>
    <row r="88" spans="1:30" s="17" customFormat="1" ht="14.1" customHeight="1" x14ac:dyDescent="0.25">
      <c r="A88" s="40"/>
      <c r="B88" s="11" t="s">
        <v>35</v>
      </c>
      <c r="C88" s="35" t="s">
        <v>36</v>
      </c>
      <c r="D88" s="269" t="s">
        <v>103</v>
      </c>
      <c r="E88" s="35">
        <v>2022</v>
      </c>
      <c r="F88" s="35"/>
      <c r="G88" s="35"/>
      <c r="H88" s="296" t="s">
        <v>134</v>
      </c>
      <c r="I88" s="44"/>
      <c r="J88" s="12" t="s">
        <v>39</v>
      </c>
      <c r="K88" s="12" t="s">
        <v>40</v>
      </c>
      <c r="L88" s="12" t="s">
        <v>41</v>
      </c>
      <c r="M88" s="64" t="s">
        <v>42</v>
      </c>
      <c r="N88" s="211" t="s">
        <v>43</v>
      </c>
      <c r="O88" s="18">
        <f t="shared" si="23"/>
        <v>4.8066666666666666</v>
      </c>
      <c r="P88" s="71">
        <v>12920</v>
      </c>
      <c r="Q88" s="72">
        <f t="shared" si="24"/>
        <v>12920</v>
      </c>
      <c r="R88" s="73">
        <f t="shared" si="25"/>
        <v>44701.671666666662</v>
      </c>
      <c r="S88" s="74">
        <f t="shared" si="26"/>
        <v>44706.478333333325</v>
      </c>
      <c r="T88" s="75">
        <f t="shared" si="27"/>
        <v>20</v>
      </c>
      <c r="U88" s="76">
        <f t="shared" si="27"/>
        <v>21</v>
      </c>
      <c r="V88" s="77">
        <f t="shared" si="28"/>
        <v>44736.478333333325</v>
      </c>
      <c r="W88" s="71"/>
      <c r="X88" s="34"/>
      <c r="Y88" s="91"/>
      <c r="Z88" s="78"/>
      <c r="AA88" s="80" t="s">
        <v>213</v>
      </c>
      <c r="AB88" s="80">
        <v>0.65</v>
      </c>
      <c r="AC88" s="80"/>
      <c r="AD88" s="80"/>
    </row>
    <row r="89" spans="1:30" s="17" customFormat="1" ht="14.1" customHeight="1" x14ac:dyDescent="0.25">
      <c r="A89" s="40"/>
      <c r="B89" s="11" t="s">
        <v>35</v>
      </c>
      <c r="C89" s="35" t="s">
        <v>36</v>
      </c>
      <c r="D89" s="269" t="s">
        <v>103</v>
      </c>
      <c r="E89" s="35">
        <v>2022</v>
      </c>
      <c r="F89" s="35"/>
      <c r="G89" s="35"/>
      <c r="H89" s="296" t="s">
        <v>134</v>
      </c>
      <c r="I89" s="44"/>
      <c r="J89" s="12" t="s">
        <v>52</v>
      </c>
      <c r="K89" s="12" t="s">
        <v>40</v>
      </c>
      <c r="L89" s="12" t="s">
        <v>41</v>
      </c>
      <c r="M89" s="64" t="s">
        <v>42</v>
      </c>
      <c r="N89" s="211" t="s">
        <v>43</v>
      </c>
      <c r="O89" s="18">
        <f t="shared" si="23"/>
        <v>0.66666666666666663</v>
      </c>
      <c r="P89" s="71">
        <v>500</v>
      </c>
      <c r="Q89" s="72">
        <f t="shared" si="24"/>
        <v>500</v>
      </c>
      <c r="R89" s="73">
        <f t="shared" si="25"/>
        <v>44706.478333333325</v>
      </c>
      <c r="S89" s="74">
        <f t="shared" si="26"/>
        <v>44707.14499999999</v>
      </c>
      <c r="T89" s="75">
        <f t="shared" si="27"/>
        <v>21</v>
      </c>
      <c r="U89" s="76">
        <f t="shared" si="27"/>
        <v>21</v>
      </c>
      <c r="V89" s="77">
        <f t="shared" si="28"/>
        <v>44737.14499999999</v>
      </c>
      <c r="W89" s="71"/>
      <c r="X89" s="34"/>
      <c r="Y89" s="91"/>
      <c r="Z89" s="78"/>
      <c r="AA89" s="80" t="s">
        <v>213</v>
      </c>
      <c r="AB89" s="80">
        <v>0.65</v>
      </c>
      <c r="AC89" s="80"/>
      <c r="AD89" s="80"/>
    </row>
    <row r="90" spans="1:30" s="17" customFormat="1" ht="14.1" customHeight="1" x14ac:dyDescent="0.25">
      <c r="A90" s="40"/>
      <c r="B90" s="11" t="s">
        <v>35</v>
      </c>
      <c r="C90" s="35" t="s">
        <v>36</v>
      </c>
      <c r="D90" s="269" t="s">
        <v>103</v>
      </c>
      <c r="E90" s="35">
        <v>2022</v>
      </c>
      <c r="F90" s="35"/>
      <c r="G90" s="35"/>
      <c r="H90" s="296" t="s">
        <v>53</v>
      </c>
      <c r="I90" s="44"/>
      <c r="J90" s="12" t="s">
        <v>39</v>
      </c>
      <c r="K90" s="12" t="s">
        <v>136</v>
      </c>
      <c r="L90" s="12" t="s">
        <v>41</v>
      </c>
      <c r="M90" s="64" t="s">
        <v>42</v>
      </c>
      <c r="N90" s="13" t="s">
        <v>43</v>
      </c>
      <c r="O90" s="18">
        <f t="shared" si="23"/>
        <v>3.91</v>
      </c>
      <c r="P90" s="71">
        <v>10230</v>
      </c>
      <c r="Q90" s="72">
        <f t="shared" si="24"/>
        <v>10230</v>
      </c>
      <c r="R90" s="73">
        <f t="shared" si="25"/>
        <v>44707.14499999999</v>
      </c>
      <c r="S90" s="74">
        <f t="shared" si="26"/>
        <v>44711.054999999993</v>
      </c>
      <c r="T90" s="75">
        <f t="shared" si="27"/>
        <v>21</v>
      </c>
      <c r="U90" s="76">
        <f t="shared" si="27"/>
        <v>22</v>
      </c>
      <c r="V90" s="77">
        <f t="shared" si="28"/>
        <v>44741.054999999993</v>
      </c>
      <c r="W90" s="71"/>
      <c r="X90" s="34"/>
      <c r="Y90" s="91"/>
      <c r="Z90" s="78"/>
      <c r="AA90" s="80"/>
      <c r="AB90" s="80"/>
      <c r="AC90" s="80"/>
      <c r="AD90" s="80"/>
    </row>
    <row r="91" spans="1:30" s="17" customFormat="1" ht="14.1" customHeight="1" x14ac:dyDescent="0.25">
      <c r="A91" s="40"/>
      <c r="B91" s="11" t="s">
        <v>95</v>
      </c>
      <c r="C91" s="35" t="s">
        <v>36</v>
      </c>
      <c r="D91" s="269" t="s">
        <v>103</v>
      </c>
      <c r="E91" s="35">
        <v>2022</v>
      </c>
      <c r="F91" s="35"/>
      <c r="G91" s="35"/>
      <c r="H91" s="44" t="s">
        <v>180</v>
      </c>
      <c r="I91" s="44" t="s">
        <v>112</v>
      </c>
      <c r="J91" s="12" t="s">
        <v>39</v>
      </c>
      <c r="K91" s="12" t="s">
        <v>40</v>
      </c>
      <c r="L91" s="12" t="s">
        <v>41</v>
      </c>
      <c r="M91" s="64" t="s">
        <v>42</v>
      </c>
      <c r="N91" s="13" t="s">
        <v>47</v>
      </c>
      <c r="O91" s="18">
        <f t="shared" si="23"/>
        <v>8.8870000000000005</v>
      </c>
      <c r="P91" s="71">
        <f>27161-P92</f>
        <v>25161</v>
      </c>
      <c r="Q91" s="72">
        <f t="shared" si="24"/>
        <v>25161</v>
      </c>
      <c r="R91" s="73">
        <f t="shared" si="25"/>
        <v>44711.054999999993</v>
      </c>
      <c r="S91" s="74">
        <f t="shared" si="26"/>
        <v>44719.941999999995</v>
      </c>
      <c r="T91" s="75">
        <f t="shared" si="27"/>
        <v>22</v>
      </c>
      <c r="U91" s="76">
        <f t="shared" si="27"/>
        <v>23</v>
      </c>
      <c r="V91" s="77">
        <f t="shared" si="28"/>
        <v>44749.941999999995</v>
      </c>
      <c r="W91" s="71"/>
      <c r="X91" s="34"/>
      <c r="Y91" s="91"/>
      <c r="Z91" s="78"/>
      <c r="AA91" s="80" t="s">
        <v>218</v>
      </c>
      <c r="AB91" s="80"/>
      <c r="AC91" s="80"/>
      <c r="AD91" s="80"/>
    </row>
    <row r="92" spans="1:30" ht="13.5" customHeight="1" x14ac:dyDescent="0.25">
      <c r="A92" s="40"/>
      <c r="B92" s="11" t="s">
        <v>95</v>
      </c>
      <c r="C92" s="35" t="s">
        <v>36</v>
      </c>
      <c r="D92" s="269" t="s">
        <v>103</v>
      </c>
      <c r="E92" s="35">
        <v>2022</v>
      </c>
      <c r="F92" s="35"/>
      <c r="G92" s="35"/>
      <c r="H92" s="47" t="s">
        <v>180</v>
      </c>
      <c r="I92" s="47" t="s">
        <v>112</v>
      </c>
      <c r="J92" s="12" t="s">
        <v>52</v>
      </c>
      <c r="K92" s="12" t="s">
        <v>40</v>
      </c>
      <c r="L92" s="12" t="s">
        <v>41</v>
      </c>
      <c r="M92" s="64" t="s">
        <v>42</v>
      </c>
      <c r="N92" s="13" t="s">
        <v>47</v>
      </c>
      <c r="O92" s="18">
        <f t="shared" si="23"/>
        <v>1.1666666666666665</v>
      </c>
      <c r="P92" s="36">
        <v>2000</v>
      </c>
      <c r="Q92" s="15">
        <f t="shared" si="24"/>
        <v>2000</v>
      </c>
      <c r="R92" s="73">
        <f t="shared" si="25"/>
        <v>44719.941999999995</v>
      </c>
      <c r="S92" s="74">
        <f t="shared" si="26"/>
        <v>44721.10866666666</v>
      </c>
      <c r="T92" s="75">
        <f t="shared" si="27"/>
        <v>23</v>
      </c>
      <c r="U92" s="76">
        <f t="shared" si="27"/>
        <v>23</v>
      </c>
      <c r="V92" s="77">
        <f t="shared" si="28"/>
        <v>44751.10866666666</v>
      </c>
      <c r="W92" s="36"/>
      <c r="X92" s="37"/>
      <c r="Y92" s="91"/>
      <c r="Z92" s="51"/>
      <c r="AA92" s="49" t="s">
        <v>218</v>
      </c>
      <c r="AB92" s="49"/>
      <c r="AC92" s="49"/>
      <c r="AD92" s="49"/>
    </row>
    <row r="93" spans="1:30" ht="13.5" customHeight="1" x14ac:dyDescent="0.25">
      <c r="A93" s="40"/>
      <c r="B93" s="11" t="s">
        <v>82</v>
      </c>
      <c r="C93" s="35" t="s">
        <v>36</v>
      </c>
      <c r="D93" s="269" t="s">
        <v>103</v>
      </c>
      <c r="E93" s="35">
        <v>2022</v>
      </c>
      <c r="F93" s="35"/>
      <c r="G93" s="35"/>
      <c r="H93" s="47" t="s">
        <v>110</v>
      </c>
      <c r="I93" s="47"/>
      <c r="J93" s="12" t="s">
        <v>39</v>
      </c>
      <c r="K93" s="12" t="s">
        <v>66</v>
      </c>
      <c r="L93" s="12" t="s">
        <v>41</v>
      </c>
      <c r="M93" s="64" t="s">
        <v>42</v>
      </c>
      <c r="N93" s="13" t="s">
        <v>71</v>
      </c>
      <c r="O93" s="18">
        <f t="shared" si="23"/>
        <v>2.82</v>
      </c>
      <c r="P93" s="36">
        <v>6960</v>
      </c>
      <c r="Q93" s="15">
        <f t="shared" si="24"/>
        <v>6960</v>
      </c>
      <c r="R93" s="73">
        <f t="shared" si="25"/>
        <v>44721.10866666666</v>
      </c>
      <c r="S93" s="74">
        <f t="shared" si="26"/>
        <v>44723.928666666659</v>
      </c>
      <c r="T93" s="75">
        <f t="shared" si="27"/>
        <v>23</v>
      </c>
      <c r="U93" s="76">
        <f t="shared" si="27"/>
        <v>23</v>
      </c>
      <c r="V93" s="77">
        <f t="shared" si="28"/>
        <v>44753.928666666659</v>
      </c>
      <c r="W93" s="36"/>
      <c r="X93" s="37"/>
      <c r="Y93" s="91"/>
      <c r="Z93" s="51"/>
      <c r="AA93" s="49" t="s">
        <v>218</v>
      </c>
      <c r="AB93" s="49"/>
      <c r="AC93" s="49"/>
      <c r="AD93" s="49"/>
    </row>
    <row r="94" spans="1:30" ht="13.5" customHeight="1" x14ac:dyDescent="0.25">
      <c r="A94" s="40"/>
      <c r="B94" s="11" t="s">
        <v>105</v>
      </c>
      <c r="C94" s="35" t="s">
        <v>36</v>
      </c>
      <c r="D94" s="269" t="s">
        <v>103</v>
      </c>
      <c r="E94" s="35">
        <v>2022</v>
      </c>
      <c r="F94" s="35"/>
      <c r="G94" s="35"/>
      <c r="H94" s="47" t="s">
        <v>178</v>
      </c>
      <c r="I94" s="47" t="s">
        <v>107</v>
      </c>
      <c r="J94" s="12" t="s">
        <v>39</v>
      </c>
      <c r="K94" s="12" t="s">
        <v>40</v>
      </c>
      <c r="L94" s="12" t="s">
        <v>41</v>
      </c>
      <c r="M94" s="64" t="s">
        <v>42</v>
      </c>
      <c r="N94" s="13" t="s">
        <v>47</v>
      </c>
      <c r="O94" s="18">
        <f t="shared" si="23"/>
        <v>3.7933333333333334</v>
      </c>
      <c r="P94" s="36">
        <v>9880</v>
      </c>
      <c r="Q94" s="15">
        <f t="shared" si="24"/>
        <v>9880</v>
      </c>
      <c r="R94" s="73">
        <f t="shared" si="25"/>
        <v>44723.928666666659</v>
      </c>
      <c r="S94" s="74">
        <f t="shared" si="26"/>
        <v>44727.721999999994</v>
      </c>
      <c r="T94" s="75">
        <f t="shared" si="27"/>
        <v>23</v>
      </c>
      <c r="U94" s="76">
        <f t="shared" si="27"/>
        <v>24</v>
      </c>
      <c r="V94" s="77">
        <f t="shared" si="28"/>
        <v>44757.721999999994</v>
      </c>
      <c r="W94" s="36"/>
      <c r="X94" s="37"/>
      <c r="Y94" s="91"/>
      <c r="Z94" s="51"/>
      <c r="AA94" s="49" t="s">
        <v>218</v>
      </c>
      <c r="AB94" s="49"/>
      <c r="AC94" s="49"/>
      <c r="AD94" s="49"/>
    </row>
    <row r="95" spans="1:30" ht="13.5" customHeight="1" x14ac:dyDescent="0.25">
      <c r="A95" s="40"/>
      <c r="B95" s="11" t="s">
        <v>242</v>
      </c>
      <c r="C95" s="35" t="s">
        <v>36</v>
      </c>
      <c r="D95" s="269" t="s">
        <v>103</v>
      </c>
      <c r="E95" s="35">
        <v>2022</v>
      </c>
      <c r="F95" s="35"/>
      <c r="G95" s="35"/>
      <c r="H95" s="47" t="s">
        <v>243</v>
      </c>
      <c r="I95" s="47"/>
      <c r="J95" s="12" t="s">
        <v>39</v>
      </c>
      <c r="K95" s="12" t="s">
        <v>40</v>
      </c>
      <c r="L95" s="12" t="s">
        <v>41</v>
      </c>
      <c r="M95" s="64" t="s">
        <v>42</v>
      </c>
      <c r="N95" s="13" t="s">
        <v>47</v>
      </c>
      <c r="O95" s="18">
        <f>+P95/$D$1+0.5</f>
        <v>3.8716666666666666</v>
      </c>
      <c r="P95" s="36">
        <v>10115</v>
      </c>
      <c r="Q95" s="15">
        <f>+P95</f>
        <v>10115</v>
      </c>
      <c r="R95" s="73">
        <f t="shared" si="25"/>
        <v>44727.721999999994</v>
      </c>
      <c r="S95" s="74">
        <f t="shared" si="26"/>
        <v>44731.59366666666</v>
      </c>
      <c r="T95" s="75">
        <f t="shared" si="27"/>
        <v>24</v>
      </c>
      <c r="U95" s="76">
        <f t="shared" si="27"/>
        <v>24</v>
      </c>
      <c r="V95" s="77">
        <f t="shared" si="28"/>
        <v>44761.59366666666</v>
      </c>
      <c r="W95" s="36"/>
      <c r="X95" s="37"/>
      <c r="Y95" s="92"/>
      <c r="Z95" s="51"/>
      <c r="AA95" s="49" t="s">
        <v>238</v>
      </c>
      <c r="AB95" s="49"/>
      <c r="AC95" s="49"/>
      <c r="AD95" s="49"/>
    </row>
    <row r="96" spans="1:30" ht="13.5" customHeight="1" x14ac:dyDescent="0.25">
      <c r="A96" s="40"/>
      <c r="B96" s="11" t="s">
        <v>35</v>
      </c>
      <c r="C96" s="35" t="s">
        <v>36</v>
      </c>
      <c r="D96" s="269" t="s">
        <v>103</v>
      </c>
      <c r="E96" s="35">
        <v>2022</v>
      </c>
      <c r="F96" s="35"/>
      <c r="G96" s="35"/>
      <c r="H96" s="47" t="s">
        <v>161</v>
      </c>
      <c r="I96" s="47" t="s">
        <v>158</v>
      </c>
      <c r="J96" s="12" t="s">
        <v>52</v>
      </c>
      <c r="K96" s="12" t="s">
        <v>158</v>
      </c>
      <c r="L96" s="12" t="s">
        <v>41</v>
      </c>
      <c r="M96" s="64" t="s">
        <v>42</v>
      </c>
      <c r="N96" s="13" t="s">
        <v>47</v>
      </c>
      <c r="O96" s="18">
        <f t="shared" ref="O96:O97" si="29">+P96/$D$1+0.5</f>
        <v>0.66666666666666663</v>
      </c>
      <c r="P96" s="71">
        <v>500</v>
      </c>
      <c r="Q96" s="72">
        <f t="shared" ref="Q96:Q97" si="30">+P96</f>
        <v>500</v>
      </c>
      <c r="R96" s="73">
        <f t="shared" si="25"/>
        <v>44731.59366666666</v>
      </c>
      <c r="S96" s="74">
        <f t="shared" si="26"/>
        <v>44732.260333333325</v>
      </c>
      <c r="T96" s="75">
        <f t="shared" si="27"/>
        <v>24</v>
      </c>
      <c r="U96" s="76">
        <f t="shared" si="27"/>
        <v>25</v>
      </c>
      <c r="V96" s="77">
        <f t="shared" si="28"/>
        <v>44762.260333333325</v>
      </c>
      <c r="W96" s="71"/>
      <c r="X96" s="34"/>
      <c r="Y96" s="91"/>
      <c r="Z96" s="78"/>
      <c r="AA96" s="49" t="s">
        <v>244</v>
      </c>
      <c r="AB96" s="79"/>
      <c r="AC96" s="79"/>
      <c r="AD96" s="79"/>
    </row>
    <row r="97" spans="1:30" ht="13.5" customHeight="1" x14ac:dyDescent="0.25">
      <c r="A97" s="40"/>
      <c r="B97" s="11" t="s">
        <v>35</v>
      </c>
      <c r="C97" s="35" t="s">
        <v>36</v>
      </c>
      <c r="D97" s="269" t="s">
        <v>103</v>
      </c>
      <c r="E97" s="35">
        <v>2022</v>
      </c>
      <c r="F97" s="35"/>
      <c r="G97" s="35"/>
      <c r="H97" s="293" t="s">
        <v>161</v>
      </c>
      <c r="I97" s="47" t="s">
        <v>158</v>
      </c>
      <c r="J97" s="12" t="s">
        <v>39</v>
      </c>
      <c r="K97" s="12" t="s">
        <v>158</v>
      </c>
      <c r="L97" s="12" t="s">
        <v>41</v>
      </c>
      <c r="M97" s="64" t="s">
        <v>42</v>
      </c>
      <c r="N97" s="13" t="s">
        <v>43</v>
      </c>
      <c r="O97" s="18">
        <f t="shared" si="29"/>
        <v>4.1666666666666661</v>
      </c>
      <c r="P97" s="36">
        <f>11500-P96</f>
        <v>11000</v>
      </c>
      <c r="Q97" s="15">
        <f t="shared" si="30"/>
        <v>11000</v>
      </c>
      <c r="R97" s="42"/>
      <c r="S97" s="41"/>
      <c r="T97" s="16"/>
      <c r="U97" s="38"/>
      <c r="V97" s="39"/>
      <c r="W97" s="213">
        <f>SUM(P84:P99)</f>
        <v>162621</v>
      </c>
      <c r="X97" s="37"/>
      <c r="Y97" s="92"/>
      <c r="Z97" s="51"/>
      <c r="AA97" s="49" t="s">
        <v>245</v>
      </c>
      <c r="AB97" s="49"/>
      <c r="AC97" s="49"/>
      <c r="AD97" s="49"/>
    </row>
    <row r="98" spans="1:30" ht="13.5" customHeight="1" x14ac:dyDescent="0.25">
      <c r="A98" s="40"/>
      <c r="B98" s="11" t="s">
        <v>82</v>
      </c>
      <c r="C98" s="35" t="s">
        <v>36</v>
      </c>
      <c r="D98" s="269" t="s">
        <v>103</v>
      </c>
      <c r="E98" s="35">
        <v>2022</v>
      </c>
      <c r="F98" s="35"/>
      <c r="G98" s="35"/>
      <c r="H98" s="293" t="s">
        <v>246</v>
      </c>
      <c r="I98" s="47" t="s">
        <v>177</v>
      </c>
      <c r="J98" s="12" t="s">
        <v>39</v>
      </c>
      <c r="K98" s="12" t="s">
        <v>158</v>
      </c>
      <c r="L98" s="12" t="s">
        <v>41</v>
      </c>
      <c r="M98" s="64" t="s">
        <v>42</v>
      </c>
      <c r="N98" s="13" t="s">
        <v>47</v>
      </c>
      <c r="O98" s="18">
        <f t="shared" si="23"/>
        <v>3.86</v>
      </c>
      <c r="P98" s="36">
        <v>10080</v>
      </c>
      <c r="Q98" s="15">
        <f t="shared" si="24"/>
        <v>10080</v>
      </c>
      <c r="R98" s="73"/>
      <c r="S98" s="74"/>
      <c r="T98" s="75"/>
      <c r="U98" s="76"/>
      <c r="V98" s="77"/>
      <c r="W98" s="36"/>
      <c r="X98" s="37"/>
      <c r="Y98" s="91"/>
      <c r="Z98" s="51"/>
      <c r="AA98" s="49" t="s">
        <v>245</v>
      </c>
      <c r="AB98" s="49"/>
      <c r="AC98" s="49"/>
      <c r="AD98" s="49"/>
    </row>
    <row r="99" spans="1:30" ht="13.5" customHeight="1" thickBot="1" x14ac:dyDescent="0.3">
      <c r="A99" s="40"/>
      <c r="B99" s="83" t="s">
        <v>48</v>
      </c>
      <c r="C99" s="23" t="s">
        <v>36</v>
      </c>
      <c r="D99" s="285" t="s">
        <v>103</v>
      </c>
      <c r="E99" s="23">
        <v>2022</v>
      </c>
      <c r="F99" s="23"/>
      <c r="G99" s="23"/>
      <c r="H99" s="294" t="s">
        <v>247</v>
      </c>
      <c r="I99" s="212" t="s">
        <v>175</v>
      </c>
      <c r="J99" s="24" t="s">
        <v>39</v>
      </c>
      <c r="K99" s="24" t="s">
        <v>158</v>
      </c>
      <c r="L99" s="24" t="s">
        <v>41</v>
      </c>
      <c r="M99" s="85" t="s">
        <v>42</v>
      </c>
      <c r="N99" s="86" t="s">
        <v>47</v>
      </c>
      <c r="O99" s="82">
        <f t="shared" si="23"/>
        <v>3.92</v>
      </c>
      <c r="P99" s="88">
        <v>10260</v>
      </c>
      <c r="Q99" s="96">
        <f t="shared" si="24"/>
        <v>10260</v>
      </c>
      <c r="R99" s="111"/>
      <c r="S99" s="112"/>
      <c r="T99" s="113"/>
      <c r="U99" s="114"/>
      <c r="V99" s="115"/>
      <c r="W99" s="88"/>
      <c r="X99" s="89"/>
      <c r="Y99" s="153"/>
      <c r="Z99" s="90"/>
      <c r="AA99" s="95" t="s">
        <v>245</v>
      </c>
      <c r="AB99" s="95"/>
      <c r="AC99" s="95"/>
      <c r="AD99" s="95"/>
    </row>
    <row r="100" spans="1:30" ht="15.75" thickBot="1" x14ac:dyDescent="0.3">
      <c r="A100" s="40"/>
      <c r="N100" s="357" t="s">
        <v>248</v>
      </c>
      <c r="O100" s="358"/>
      <c r="P100" s="122">
        <f>SUM(P6:P99)</f>
        <v>3840128.3727272726</v>
      </c>
      <c r="Q100" s="122">
        <f>SUM(Q6:Q99)</f>
        <v>3776831.2727272729</v>
      </c>
      <c r="X100" s="122"/>
    </row>
    <row r="102" spans="1:30" x14ac:dyDescent="0.25">
      <c r="B102" t="s">
        <v>185</v>
      </c>
    </row>
    <row r="103" spans="1:30" x14ac:dyDescent="0.25">
      <c r="B103" s="19" t="s">
        <v>186</v>
      </c>
      <c r="C103" s="44" t="s">
        <v>187</v>
      </c>
      <c r="D103" s="44"/>
      <c r="E103" s="210">
        <v>9669</v>
      </c>
    </row>
    <row r="104" spans="1:30" x14ac:dyDescent="0.25">
      <c r="B104" s="11" t="s">
        <v>186</v>
      </c>
      <c r="C104" s="44" t="s">
        <v>188</v>
      </c>
      <c r="D104" s="44"/>
      <c r="E104" s="210">
        <v>38678</v>
      </c>
    </row>
    <row r="105" spans="1:30" x14ac:dyDescent="0.25">
      <c r="B105" s="11" t="s">
        <v>186</v>
      </c>
      <c r="C105" s="44" t="s">
        <v>189</v>
      </c>
      <c r="D105" s="44"/>
      <c r="E105" s="210">
        <v>51570</v>
      </c>
    </row>
    <row r="106" spans="1:30" x14ac:dyDescent="0.25">
      <c r="B106" s="19" t="s">
        <v>186</v>
      </c>
      <c r="C106" s="44" t="s">
        <v>190</v>
      </c>
      <c r="D106" s="44" t="s">
        <v>191</v>
      </c>
      <c r="E106" s="210">
        <v>38678</v>
      </c>
    </row>
    <row r="107" spans="1:30" x14ac:dyDescent="0.25">
      <c r="B107" s="66" t="s">
        <v>186</v>
      </c>
      <c r="C107" s="44" t="s">
        <v>192</v>
      </c>
      <c r="D107" s="44" t="s">
        <v>193</v>
      </c>
      <c r="E107" s="210">
        <v>10000</v>
      </c>
    </row>
    <row r="108" spans="1:30" x14ac:dyDescent="0.25">
      <c r="B108" s="66" t="s">
        <v>186</v>
      </c>
      <c r="C108" s="44" t="s">
        <v>194</v>
      </c>
      <c r="D108" s="44" t="s">
        <v>195</v>
      </c>
      <c r="E108" s="210">
        <v>7500</v>
      </c>
    </row>
    <row r="109" spans="1:30" x14ac:dyDescent="0.25">
      <c r="B109" s="66" t="s">
        <v>208</v>
      </c>
      <c r="C109" s="44" t="s">
        <v>210</v>
      </c>
      <c r="D109" s="44" t="s">
        <v>249</v>
      </c>
      <c r="E109" s="210">
        <v>25720</v>
      </c>
      <c r="F109">
        <f>+E109/2</f>
        <v>12860</v>
      </c>
    </row>
  </sheetData>
  <autoFilter ref="B5:AA100" xr:uid="{4410091C-2170-42F3-BAD6-E1D32F7EFF69}"/>
  <mergeCells count="1">
    <mergeCell ref="N100:O100"/>
  </mergeCells>
  <conditionalFormatting sqref="N6:O8 N9:N10 N12:N17 N93:O96 N61:O88 N99:O99 O52:O60 O9:O22 N20:N22 N23:O32 N36:O43 N52:N56 N45:O51">
    <cfRule type="containsText" dxfId="184" priority="126" operator="containsText" text="Naranja">
      <formula>NOT(ISERROR(SEARCH("Naranja",N6)))</formula>
    </cfRule>
  </conditionalFormatting>
  <conditionalFormatting sqref="N6:O8 N9:N10 N12:N17 N93:O96 N61:O88 N99:O99 O52:O60 O9:O22 N20:N22 N23:O32 N36:O43 N52:N56 N45:O51">
    <cfRule type="containsText" dxfId="183" priority="125" operator="containsText" text="Verde">
      <formula>NOT(ISERROR(SEARCH("Verde",N6)))</formula>
    </cfRule>
  </conditionalFormatting>
  <conditionalFormatting sqref="N6:O8 N9:N10 N12:N17 N93:O96 N61:O88 N99:O99 O52:O60 O9:O22 N20:N22 N23:O32 N36:O43 N52:N56 N45:O51">
    <cfRule type="containsText" dxfId="182" priority="124" operator="containsText" text="Rojo">
      <formula>NOT(ISERROR(SEARCH("Rojo",N6)))</formula>
    </cfRule>
  </conditionalFormatting>
  <conditionalFormatting sqref="N81:O81">
    <cfRule type="containsText" dxfId="181" priority="123" operator="containsText" text="Naranja">
      <formula>NOT(ISERROR(SEARCH("Naranja",N81)))</formula>
    </cfRule>
  </conditionalFormatting>
  <conditionalFormatting sqref="N81:O81">
    <cfRule type="containsText" dxfId="180" priority="122" operator="containsText" text="Verde">
      <formula>NOT(ISERROR(SEARCH("Verde",N81)))</formula>
    </cfRule>
  </conditionalFormatting>
  <conditionalFormatting sqref="N81:O81">
    <cfRule type="containsText" dxfId="179" priority="121" operator="containsText" text="Rojo">
      <formula>NOT(ISERROR(SEARCH("Rojo",N81)))</formula>
    </cfRule>
  </conditionalFormatting>
  <conditionalFormatting sqref="N18">
    <cfRule type="containsText" dxfId="178" priority="120" operator="containsText" text="Naranja">
      <formula>NOT(ISERROR(SEARCH("Naranja",N18)))</formula>
    </cfRule>
  </conditionalFormatting>
  <conditionalFormatting sqref="N18">
    <cfRule type="containsText" dxfId="177" priority="119" operator="containsText" text="Verde">
      <formula>NOT(ISERROR(SEARCH("Verde",N18)))</formula>
    </cfRule>
  </conditionalFormatting>
  <conditionalFormatting sqref="N18">
    <cfRule type="containsText" dxfId="176" priority="118" operator="containsText" text="Rojo">
      <formula>NOT(ISERROR(SEARCH("Rojo",N18)))</formula>
    </cfRule>
  </conditionalFormatting>
  <conditionalFormatting sqref="N57">
    <cfRule type="containsText" dxfId="175" priority="117" operator="containsText" text="Naranja">
      <formula>NOT(ISERROR(SEARCH("Naranja",N57)))</formula>
    </cfRule>
  </conditionalFormatting>
  <conditionalFormatting sqref="N57">
    <cfRule type="containsText" dxfId="174" priority="116" operator="containsText" text="Verde">
      <formula>NOT(ISERROR(SEARCH("Verde",N57)))</formula>
    </cfRule>
  </conditionalFormatting>
  <conditionalFormatting sqref="N57">
    <cfRule type="containsText" dxfId="173" priority="115" operator="containsText" text="Rojo">
      <formula>NOT(ISERROR(SEARCH("Rojo",N57)))</formula>
    </cfRule>
  </conditionalFormatting>
  <conditionalFormatting sqref="N56">
    <cfRule type="containsText" dxfId="172" priority="114" operator="containsText" text="Naranja">
      <formula>NOT(ISERROR(SEARCH("Naranja",N56)))</formula>
    </cfRule>
  </conditionalFormatting>
  <conditionalFormatting sqref="N56">
    <cfRule type="containsText" dxfId="171" priority="113" operator="containsText" text="Verde">
      <formula>NOT(ISERROR(SEARCH("Verde",N56)))</formula>
    </cfRule>
  </conditionalFormatting>
  <conditionalFormatting sqref="N56">
    <cfRule type="containsText" dxfId="170" priority="112" operator="containsText" text="Rojo">
      <formula>NOT(ISERROR(SEARCH("Rojo",N56)))</formula>
    </cfRule>
  </conditionalFormatting>
  <conditionalFormatting sqref="N36">
    <cfRule type="containsText" dxfId="169" priority="106" operator="containsText" text="Rojo">
      <formula>NOT(ISERROR(SEARCH("Rojo",N36)))</formula>
    </cfRule>
  </conditionalFormatting>
  <conditionalFormatting sqref="N36">
    <cfRule type="containsText" dxfId="168" priority="108" operator="containsText" text="Naranja">
      <formula>NOT(ISERROR(SEARCH("Naranja",N36)))</formula>
    </cfRule>
  </conditionalFormatting>
  <conditionalFormatting sqref="N36">
    <cfRule type="containsText" dxfId="167" priority="107" operator="containsText" text="Verde">
      <formula>NOT(ISERROR(SEARCH("Verde",N36)))</formula>
    </cfRule>
  </conditionalFormatting>
  <conditionalFormatting sqref="N24">
    <cfRule type="containsText" dxfId="166" priority="111" operator="containsText" text="Naranja">
      <formula>NOT(ISERROR(SEARCH("Naranja",N24)))</formula>
    </cfRule>
  </conditionalFormatting>
  <conditionalFormatting sqref="N24">
    <cfRule type="containsText" dxfId="165" priority="110" operator="containsText" text="Verde">
      <formula>NOT(ISERROR(SEARCH("Verde",N24)))</formula>
    </cfRule>
  </conditionalFormatting>
  <conditionalFormatting sqref="N24">
    <cfRule type="containsText" dxfId="164" priority="109" operator="containsText" text="Rojo">
      <formula>NOT(ISERROR(SEARCH("Rojo",N24)))</formula>
    </cfRule>
  </conditionalFormatting>
  <conditionalFormatting sqref="N19">
    <cfRule type="containsText" dxfId="163" priority="105" operator="containsText" text="Naranja">
      <formula>NOT(ISERROR(SEARCH("Naranja",N19)))</formula>
    </cfRule>
  </conditionalFormatting>
  <conditionalFormatting sqref="N19">
    <cfRule type="containsText" dxfId="162" priority="104" operator="containsText" text="Verde">
      <formula>NOT(ISERROR(SEARCH("Verde",N19)))</formula>
    </cfRule>
  </conditionalFormatting>
  <conditionalFormatting sqref="N19">
    <cfRule type="containsText" dxfId="161" priority="103" operator="containsText" text="Rojo">
      <formula>NOT(ISERROR(SEARCH("Rojo",N19)))</formula>
    </cfRule>
  </conditionalFormatting>
  <conditionalFormatting sqref="N50">
    <cfRule type="containsText" dxfId="160" priority="102" operator="containsText" text="Naranja">
      <formula>NOT(ISERROR(SEARCH("Naranja",N50)))</formula>
    </cfRule>
  </conditionalFormatting>
  <conditionalFormatting sqref="N50">
    <cfRule type="containsText" dxfId="159" priority="101" operator="containsText" text="Verde">
      <formula>NOT(ISERROR(SEARCH("Verde",N50)))</formula>
    </cfRule>
  </conditionalFormatting>
  <conditionalFormatting sqref="N50">
    <cfRule type="containsText" dxfId="158" priority="100" operator="containsText" text="Rojo">
      <formula>NOT(ISERROR(SEARCH("Rojo",N50)))</formula>
    </cfRule>
  </conditionalFormatting>
  <conditionalFormatting sqref="N50">
    <cfRule type="containsText" dxfId="157" priority="99" operator="containsText" text="Naranja">
      <formula>NOT(ISERROR(SEARCH("Naranja",N50)))</formula>
    </cfRule>
  </conditionalFormatting>
  <conditionalFormatting sqref="N50">
    <cfRule type="containsText" dxfId="156" priority="98" operator="containsText" text="Verde">
      <formula>NOT(ISERROR(SEARCH("Verde",N50)))</formula>
    </cfRule>
  </conditionalFormatting>
  <conditionalFormatting sqref="N50">
    <cfRule type="containsText" dxfId="155" priority="97" operator="containsText" text="Rojo">
      <formula>NOT(ISERROR(SEARCH("Rojo",N50)))</formula>
    </cfRule>
  </conditionalFormatting>
  <conditionalFormatting sqref="N51">
    <cfRule type="containsText" dxfId="154" priority="96" operator="containsText" text="Naranja">
      <formula>NOT(ISERROR(SEARCH("Naranja",N51)))</formula>
    </cfRule>
  </conditionalFormatting>
  <conditionalFormatting sqref="N51">
    <cfRule type="containsText" dxfId="153" priority="95" operator="containsText" text="Verde">
      <formula>NOT(ISERROR(SEARCH("Verde",N51)))</formula>
    </cfRule>
  </conditionalFormatting>
  <conditionalFormatting sqref="N51">
    <cfRule type="containsText" dxfId="152" priority="94" operator="containsText" text="Rojo">
      <formula>NOT(ISERROR(SEARCH("Rojo",N51)))</formula>
    </cfRule>
  </conditionalFormatting>
  <conditionalFormatting sqref="N37">
    <cfRule type="containsText" dxfId="151" priority="91" operator="containsText" text="Rojo">
      <formula>NOT(ISERROR(SEARCH("Rojo",N37)))</formula>
    </cfRule>
  </conditionalFormatting>
  <conditionalFormatting sqref="N37">
    <cfRule type="containsText" dxfId="150" priority="93" operator="containsText" text="Naranja">
      <formula>NOT(ISERROR(SEARCH("Naranja",N37)))</formula>
    </cfRule>
  </conditionalFormatting>
  <conditionalFormatting sqref="N37">
    <cfRule type="containsText" dxfId="149" priority="92" operator="containsText" text="Verde">
      <formula>NOT(ISERROR(SEARCH("Verde",N37)))</formula>
    </cfRule>
  </conditionalFormatting>
  <conditionalFormatting sqref="N86:N87">
    <cfRule type="containsText" dxfId="148" priority="90" operator="containsText" text="Naranja">
      <formula>NOT(ISERROR(SEARCH("Naranja",N86)))</formula>
    </cfRule>
  </conditionalFormatting>
  <conditionalFormatting sqref="N86:N87">
    <cfRule type="containsText" dxfId="147" priority="89" operator="containsText" text="Verde">
      <formula>NOT(ISERROR(SEARCH("Verde",N86)))</formula>
    </cfRule>
  </conditionalFormatting>
  <conditionalFormatting sqref="N86:N87">
    <cfRule type="containsText" dxfId="146" priority="88" operator="containsText" text="Rojo">
      <formula>NOT(ISERROR(SEARCH("Rojo",N86)))</formula>
    </cfRule>
  </conditionalFormatting>
  <conditionalFormatting sqref="N71">
    <cfRule type="containsText" dxfId="145" priority="87" operator="containsText" text="Naranja">
      <formula>NOT(ISERROR(SEARCH("Naranja",N71)))</formula>
    </cfRule>
  </conditionalFormatting>
  <conditionalFormatting sqref="N71">
    <cfRule type="containsText" dxfId="144" priority="86" operator="containsText" text="Verde">
      <formula>NOT(ISERROR(SEARCH("Verde",N71)))</formula>
    </cfRule>
  </conditionalFormatting>
  <conditionalFormatting sqref="N71">
    <cfRule type="containsText" dxfId="143" priority="85" operator="containsText" text="Rojo">
      <formula>NOT(ISERROR(SEARCH("Rojo",N71)))</formula>
    </cfRule>
  </conditionalFormatting>
  <conditionalFormatting sqref="N88">
    <cfRule type="containsText" dxfId="142" priority="84" operator="containsText" text="Naranja">
      <formula>NOT(ISERROR(SEARCH("Naranja",N88)))</formula>
    </cfRule>
  </conditionalFormatting>
  <conditionalFormatting sqref="N88">
    <cfRule type="containsText" dxfId="141" priority="83" operator="containsText" text="Verde">
      <formula>NOT(ISERROR(SEARCH("Verde",N88)))</formula>
    </cfRule>
  </conditionalFormatting>
  <conditionalFormatting sqref="N88">
    <cfRule type="containsText" dxfId="140" priority="82" operator="containsText" text="Rojo">
      <formula>NOT(ISERROR(SEARCH("Rojo",N88)))</formula>
    </cfRule>
  </conditionalFormatting>
  <conditionalFormatting sqref="N7:N8">
    <cfRule type="containsText" dxfId="139" priority="81" operator="containsText" text="Naranja">
      <formula>NOT(ISERROR(SEARCH("Naranja",N7)))</formula>
    </cfRule>
  </conditionalFormatting>
  <conditionalFormatting sqref="N7:N8">
    <cfRule type="containsText" dxfId="138" priority="80" operator="containsText" text="Verde">
      <formula>NOT(ISERROR(SEARCH("Verde",N7)))</formula>
    </cfRule>
  </conditionalFormatting>
  <conditionalFormatting sqref="N7:N8">
    <cfRule type="containsText" dxfId="137" priority="79" operator="containsText" text="Rojo">
      <formula>NOT(ISERROR(SEARCH("Rojo",N7)))</formula>
    </cfRule>
  </conditionalFormatting>
  <conditionalFormatting sqref="N45">
    <cfRule type="containsText" dxfId="136" priority="78" operator="containsText" text="Naranja">
      <formula>NOT(ISERROR(SEARCH("Naranja",N45)))</formula>
    </cfRule>
  </conditionalFormatting>
  <conditionalFormatting sqref="N45">
    <cfRule type="containsText" dxfId="135" priority="77" operator="containsText" text="Verde">
      <formula>NOT(ISERROR(SEARCH("Verde",N45)))</formula>
    </cfRule>
  </conditionalFormatting>
  <conditionalFormatting sqref="N45">
    <cfRule type="containsText" dxfId="134" priority="76" operator="containsText" text="Rojo">
      <formula>NOT(ISERROR(SEARCH("Rojo",N45)))</formula>
    </cfRule>
  </conditionalFormatting>
  <conditionalFormatting sqref="N58:N59">
    <cfRule type="containsText" dxfId="133" priority="75" operator="containsText" text="Naranja">
      <formula>NOT(ISERROR(SEARCH("Naranja",N58)))</formula>
    </cfRule>
  </conditionalFormatting>
  <conditionalFormatting sqref="N58:N59">
    <cfRule type="containsText" dxfId="132" priority="74" operator="containsText" text="Verde">
      <formula>NOT(ISERROR(SEARCH("Verde",N58)))</formula>
    </cfRule>
  </conditionalFormatting>
  <conditionalFormatting sqref="N58:N59">
    <cfRule type="containsText" dxfId="131" priority="73" operator="containsText" text="Rojo">
      <formula>NOT(ISERROR(SEARCH("Rojo",N58)))</formula>
    </cfRule>
  </conditionalFormatting>
  <conditionalFormatting sqref="N58:N59">
    <cfRule type="containsText" dxfId="130" priority="72" operator="containsText" text="Naranja">
      <formula>NOT(ISERROR(SEARCH("Naranja",N58)))</formula>
    </cfRule>
  </conditionalFormatting>
  <conditionalFormatting sqref="N58:N59">
    <cfRule type="containsText" dxfId="129" priority="71" operator="containsText" text="Verde">
      <formula>NOT(ISERROR(SEARCH("Verde",N58)))</formula>
    </cfRule>
  </conditionalFormatting>
  <conditionalFormatting sqref="N58:N59">
    <cfRule type="containsText" dxfId="128" priority="70" operator="containsText" text="Rojo">
      <formula>NOT(ISERROR(SEARCH("Rojo",N58)))</formula>
    </cfRule>
  </conditionalFormatting>
  <conditionalFormatting sqref="N60">
    <cfRule type="containsText" dxfId="127" priority="69" operator="containsText" text="Naranja">
      <formula>NOT(ISERROR(SEARCH("Naranja",N60)))</formula>
    </cfRule>
  </conditionalFormatting>
  <conditionalFormatting sqref="N60">
    <cfRule type="containsText" dxfId="126" priority="68" operator="containsText" text="Verde">
      <formula>NOT(ISERROR(SEARCH("Verde",N60)))</formula>
    </cfRule>
  </conditionalFormatting>
  <conditionalFormatting sqref="N60">
    <cfRule type="containsText" dxfId="125" priority="67" operator="containsText" text="Rojo">
      <formula>NOT(ISERROR(SEARCH("Rojo",N60)))</formula>
    </cfRule>
  </conditionalFormatting>
  <conditionalFormatting sqref="N60">
    <cfRule type="containsText" dxfId="124" priority="66" operator="containsText" text="Naranja">
      <formula>NOT(ISERROR(SEARCH("Naranja",N60)))</formula>
    </cfRule>
  </conditionalFormatting>
  <conditionalFormatting sqref="N60">
    <cfRule type="containsText" dxfId="123" priority="65" operator="containsText" text="Verde">
      <formula>NOT(ISERROR(SEARCH("Verde",N60)))</formula>
    </cfRule>
  </conditionalFormatting>
  <conditionalFormatting sqref="N60">
    <cfRule type="containsText" dxfId="122" priority="64" operator="containsText" text="Rojo">
      <formula>NOT(ISERROR(SEARCH("Rojo",N60)))</formula>
    </cfRule>
  </conditionalFormatting>
  <conditionalFormatting sqref="N22:N24">
    <cfRule type="containsText" dxfId="121" priority="58" operator="containsText" text="Rojo">
      <formula>NOT(ISERROR(SEARCH("Rojo",N22)))</formula>
    </cfRule>
  </conditionalFormatting>
  <conditionalFormatting sqref="N10">
    <cfRule type="containsText" dxfId="120" priority="63" operator="containsText" text="Naranja">
      <formula>NOT(ISERROR(SEARCH("Naranja",N10)))</formula>
    </cfRule>
  </conditionalFormatting>
  <conditionalFormatting sqref="N10">
    <cfRule type="containsText" dxfId="119" priority="62" operator="containsText" text="Verde">
      <formula>NOT(ISERROR(SEARCH("Verde",N10)))</formula>
    </cfRule>
  </conditionalFormatting>
  <conditionalFormatting sqref="N10">
    <cfRule type="containsText" dxfId="118" priority="61" operator="containsText" text="Rojo">
      <formula>NOT(ISERROR(SEARCH("Rojo",N10)))</formula>
    </cfRule>
  </conditionalFormatting>
  <conditionalFormatting sqref="N22:N24">
    <cfRule type="containsText" dxfId="117" priority="60" operator="containsText" text="Naranja">
      <formula>NOT(ISERROR(SEARCH("Naranja",N22)))</formula>
    </cfRule>
  </conditionalFormatting>
  <conditionalFormatting sqref="N22:N24">
    <cfRule type="containsText" dxfId="116" priority="59" operator="containsText" text="Verde">
      <formula>NOT(ISERROR(SEARCH("Verde",N22)))</formula>
    </cfRule>
  </conditionalFormatting>
  <conditionalFormatting sqref="N27 N31">
    <cfRule type="containsText" dxfId="115" priority="57" operator="containsText" text="Naranja">
      <formula>NOT(ISERROR(SEARCH("Naranja",N27)))</formula>
    </cfRule>
  </conditionalFormatting>
  <conditionalFormatting sqref="N27 N31">
    <cfRule type="containsText" dxfId="114" priority="56" operator="containsText" text="Verde">
      <formula>NOT(ISERROR(SEARCH("Verde",N27)))</formula>
    </cfRule>
  </conditionalFormatting>
  <conditionalFormatting sqref="N27 N31">
    <cfRule type="containsText" dxfId="113" priority="55" operator="containsText" text="Rojo">
      <formula>NOT(ISERROR(SEARCH("Rojo",N27)))</formula>
    </cfRule>
  </conditionalFormatting>
  <conditionalFormatting sqref="N27 N31">
    <cfRule type="containsText" dxfId="112" priority="54" operator="containsText" text="Naranja">
      <formula>NOT(ISERROR(SEARCH("Naranja",N27)))</formula>
    </cfRule>
  </conditionalFormatting>
  <conditionalFormatting sqref="N27 N31">
    <cfRule type="containsText" dxfId="111" priority="53" operator="containsText" text="Verde">
      <formula>NOT(ISERROR(SEARCH("Verde",N27)))</formula>
    </cfRule>
  </conditionalFormatting>
  <conditionalFormatting sqref="N27 N31">
    <cfRule type="containsText" dxfId="110" priority="52" operator="containsText" text="Rojo">
      <formula>NOT(ISERROR(SEARCH("Rojo",N27)))</formula>
    </cfRule>
  </conditionalFormatting>
  <conditionalFormatting sqref="N11">
    <cfRule type="containsText" dxfId="109" priority="51" operator="containsText" text="Naranja">
      <formula>NOT(ISERROR(SEARCH("Naranja",N11)))</formula>
    </cfRule>
  </conditionalFormatting>
  <conditionalFormatting sqref="N11">
    <cfRule type="containsText" dxfId="108" priority="50" operator="containsText" text="Verde">
      <formula>NOT(ISERROR(SEARCH("Verde",N11)))</formula>
    </cfRule>
  </conditionalFormatting>
  <conditionalFormatting sqref="N11">
    <cfRule type="containsText" dxfId="107" priority="49" operator="containsText" text="Rojo">
      <formula>NOT(ISERROR(SEARCH("Rojo",N11)))</formula>
    </cfRule>
  </conditionalFormatting>
  <conditionalFormatting sqref="O96">
    <cfRule type="containsText" dxfId="106" priority="48" operator="containsText" text="Naranja">
      <formula>NOT(ISERROR(SEARCH("Naranja",O96)))</formula>
    </cfRule>
  </conditionalFormatting>
  <conditionalFormatting sqref="O96">
    <cfRule type="containsText" dxfId="105" priority="47" operator="containsText" text="Verde">
      <formula>NOT(ISERROR(SEARCH("Verde",O96)))</formula>
    </cfRule>
  </conditionalFormatting>
  <conditionalFormatting sqref="O96">
    <cfRule type="containsText" dxfId="104" priority="46" operator="containsText" text="Rojo">
      <formula>NOT(ISERROR(SEARCH("Rojo",O96)))</formula>
    </cfRule>
  </conditionalFormatting>
  <conditionalFormatting sqref="N96">
    <cfRule type="containsText" dxfId="103" priority="45" operator="containsText" text="Naranja">
      <formula>NOT(ISERROR(SEARCH("Naranja",N96)))</formula>
    </cfRule>
  </conditionalFormatting>
  <conditionalFormatting sqref="N96">
    <cfRule type="containsText" dxfId="102" priority="44" operator="containsText" text="Verde">
      <formula>NOT(ISERROR(SEARCH("Verde",N96)))</formula>
    </cfRule>
  </conditionalFormatting>
  <conditionalFormatting sqref="N96">
    <cfRule type="containsText" dxfId="101" priority="43" operator="containsText" text="Rojo">
      <formula>NOT(ISERROR(SEARCH("Rojo",N96)))</formula>
    </cfRule>
  </conditionalFormatting>
  <conditionalFormatting sqref="N92:O92">
    <cfRule type="containsText" dxfId="100" priority="42" operator="containsText" text="Naranja">
      <formula>NOT(ISERROR(SEARCH("Naranja",N92)))</formula>
    </cfRule>
  </conditionalFormatting>
  <conditionalFormatting sqref="N92:O92">
    <cfRule type="containsText" dxfId="99" priority="41" operator="containsText" text="Verde">
      <formula>NOT(ISERROR(SEARCH("Verde",N92)))</formula>
    </cfRule>
  </conditionalFormatting>
  <conditionalFormatting sqref="N92:O92">
    <cfRule type="containsText" dxfId="98" priority="40" operator="containsText" text="Rojo">
      <formula>NOT(ISERROR(SEARCH("Rojo",N92)))</formula>
    </cfRule>
  </conditionalFormatting>
  <conditionalFormatting sqref="N73">
    <cfRule type="containsText" dxfId="97" priority="39" operator="containsText" text="Naranja">
      <formula>NOT(ISERROR(SEARCH("Naranja",N73)))</formula>
    </cfRule>
  </conditionalFormatting>
  <conditionalFormatting sqref="N73">
    <cfRule type="containsText" dxfId="96" priority="38" operator="containsText" text="Verde">
      <formula>NOT(ISERROR(SEARCH("Verde",N73)))</formula>
    </cfRule>
  </conditionalFormatting>
  <conditionalFormatting sqref="N73">
    <cfRule type="containsText" dxfId="95" priority="37" operator="containsText" text="Rojo">
      <formula>NOT(ISERROR(SEARCH("Rojo",N73)))</formula>
    </cfRule>
  </conditionalFormatting>
  <conditionalFormatting sqref="N33:N34 O33:O37">
    <cfRule type="containsText" dxfId="94" priority="36" operator="containsText" text="Naranja">
      <formula>NOT(ISERROR(SEARCH("Naranja",N33)))</formula>
    </cfRule>
  </conditionalFormatting>
  <conditionalFormatting sqref="N33:N34 O33:O37">
    <cfRule type="containsText" dxfId="93" priority="35" operator="containsText" text="Verde">
      <formula>NOT(ISERROR(SEARCH("Verde",N33)))</formula>
    </cfRule>
  </conditionalFormatting>
  <conditionalFormatting sqref="N33:N34 O33:O37">
    <cfRule type="containsText" dxfId="92" priority="34" operator="containsText" text="Rojo">
      <formula>NOT(ISERROR(SEARCH("Rojo",N33)))</formula>
    </cfRule>
  </conditionalFormatting>
  <conditionalFormatting sqref="N33">
    <cfRule type="containsText" dxfId="91" priority="33" operator="containsText" text="Naranja">
      <formula>NOT(ISERROR(SEARCH("Naranja",N33)))</formula>
    </cfRule>
  </conditionalFormatting>
  <conditionalFormatting sqref="N33">
    <cfRule type="containsText" dxfId="90" priority="32" operator="containsText" text="Verde">
      <formula>NOT(ISERROR(SEARCH("Verde",N33)))</formula>
    </cfRule>
  </conditionalFormatting>
  <conditionalFormatting sqref="N33">
    <cfRule type="containsText" dxfId="89" priority="31" operator="containsText" text="Rojo">
      <formula>NOT(ISERROR(SEARCH("Rojo",N33)))</formula>
    </cfRule>
  </conditionalFormatting>
  <conditionalFormatting sqref="N35:N37">
    <cfRule type="containsText" dxfId="88" priority="27" operator="containsText" text="Naranja">
      <formula>NOT(ISERROR(SEARCH("Naranja",N35)))</formula>
    </cfRule>
  </conditionalFormatting>
  <conditionalFormatting sqref="N35:N37">
    <cfRule type="containsText" dxfId="87" priority="26" operator="containsText" text="Verde">
      <formula>NOT(ISERROR(SEARCH("Verde",N35)))</formula>
    </cfRule>
  </conditionalFormatting>
  <conditionalFormatting sqref="N35:N37">
    <cfRule type="containsText" dxfId="86" priority="25" operator="containsText" text="Rojo">
      <formula>NOT(ISERROR(SEARCH("Rojo",N35)))</formula>
    </cfRule>
  </conditionalFormatting>
  <conditionalFormatting sqref="N35:N37">
    <cfRule type="containsText" dxfId="85" priority="30" operator="containsText" text="Naranja">
      <formula>NOT(ISERROR(SEARCH("Naranja",N35)))</formula>
    </cfRule>
  </conditionalFormatting>
  <conditionalFormatting sqref="N35:N37">
    <cfRule type="containsText" dxfId="84" priority="29" operator="containsText" text="Verde">
      <formula>NOT(ISERROR(SEARCH("Verde",N35)))</formula>
    </cfRule>
  </conditionalFormatting>
  <conditionalFormatting sqref="N35:N37">
    <cfRule type="containsText" dxfId="83" priority="28" operator="containsText" text="Rojo">
      <formula>NOT(ISERROR(SEARCH("Rojo",N35)))</formula>
    </cfRule>
  </conditionalFormatting>
  <conditionalFormatting sqref="N90:O91">
    <cfRule type="containsText" dxfId="82" priority="24" operator="containsText" text="Naranja">
      <formula>NOT(ISERROR(SEARCH("Naranja",N90)))</formula>
    </cfRule>
  </conditionalFormatting>
  <conditionalFormatting sqref="N90:O91">
    <cfRule type="containsText" dxfId="81" priority="23" operator="containsText" text="Verde">
      <formula>NOT(ISERROR(SEARCH("Verde",N90)))</formula>
    </cfRule>
  </conditionalFormatting>
  <conditionalFormatting sqref="N90:O91">
    <cfRule type="containsText" dxfId="80" priority="22" operator="containsText" text="Rojo">
      <formula>NOT(ISERROR(SEARCH("Rojo",N90)))</formula>
    </cfRule>
  </conditionalFormatting>
  <conditionalFormatting sqref="N90:N91">
    <cfRule type="containsText" dxfId="79" priority="21" operator="containsText" text="Naranja">
      <formula>NOT(ISERROR(SEARCH("Naranja",N90)))</formula>
    </cfRule>
  </conditionalFormatting>
  <conditionalFormatting sqref="N90:N91">
    <cfRule type="containsText" dxfId="78" priority="20" operator="containsText" text="Verde">
      <formula>NOT(ISERROR(SEARCH("Verde",N90)))</formula>
    </cfRule>
  </conditionalFormatting>
  <conditionalFormatting sqref="N90:N91">
    <cfRule type="containsText" dxfId="77" priority="19" operator="containsText" text="Rojo">
      <formula>NOT(ISERROR(SEARCH("Rojo",N90)))</formula>
    </cfRule>
  </conditionalFormatting>
  <conditionalFormatting sqref="N89:O89">
    <cfRule type="containsText" dxfId="76" priority="18" operator="containsText" text="Naranja">
      <formula>NOT(ISERROR(SEARCH("Naranja",N89)))</formula>
    </cfRule>
  </conditionalFormatting>
  <conditionalFormatting sqref="N89:O89">
    <cfRule type="containsText" dxfId="75" priority="17" operator="containsText" text="Verde">
      <formula>NOT(ISERROR(SEARCH("Verde",N89)))</formula>
    </cfRule>
  </conditionalFormatting>
  <conditionalFormatting sqref="N89:O89">
    <cfRule type="containsText" dxfId="74" priority="16" operator="containsText" text="Rojo">
      <formula>NOT(ISERROR(SEARCH("Rojo",N89)))</formula>
    </cfRule>
  </conditionalFormatting>
  <conditionalFormatting sqref="N89">
    <cfRule type="containsText" dxfId="73" priority="15" operator="containsText" text="Naranja">
      <formula>NOT(ISERROR(SEARCH("Naranja",N89)))</formula>
    </cfRule>
  </conditionalFormatting>
  <conditionalFormatting sqref="N89">
    <cfRule type="containsText" dxfId="72" priority="14" operator="containsText" text="Verde">
      <formula>NOT(ISERROR(SEARCH("Verde",N89)))</formula>
    </cfRule>
  </conditionalFormatting>
  <conditionalFormatting sqref="N89">
    <cfRule type="containsText" dxfId="71" priority="13" operator="containsText" text="Rojo">
      <formula>NOT(ISERROR(SEARCH("Rojo",N89)))</formula>
    </cfRule>
  </conditionalFormatting>
  <conditionalFormatting sqref="N97:O98">
    <cfRule type="containsText" dxfId="70" priority="12" operator="containsText" text="Naranja">
      <formula>NOT(ISERROR(SEARCH("Naranja",N97)))</formula>
    </cfRule>
  </conditionalFormatting>
  <conditionalFormatting sqref="N97:O98">
    <cfRule type="containsText" dxfId="69" priority="11" operator="containsText" text="Verde">
      <formula>NOT(ISERROR(SEARCH("Verde",N97)))</formula>
    </cfRule>
  </conditionalFormatting>
  <conditionalFormatting sqref="N97:O98">
    <cfRule type="containsText" dxfId="68" priority="10" operator="containsText" text="Rojo">
      <formula>NOT(ISERROR(SEARCH("Rojo",N97)))</formula>
    </cfRule>
  </conditionalFormatting>
  <conditionalFormatting sqref="O44">
    <cfRule type="containsText" dxfId="67" priority="9" operator="containsText" text="Naranja">
      <formula>NOT(ISERROR(SEARCH("Naranja",O44)))</formula>
    </cfRule>
  </conditionalFormatting>
  <conditionalFormatting sqref="O44">
    <cfRule type="containsText" dxfId="66" priority="8" operator="containsText" text="Verde">
      <formula>NOT(ISERROR(SEARCH("Verde",O44)))</formula>
    </cfRule>
  </conditionalFormatting>
  <conditionalFormatting sqref="O44">
    <cfRule type="containsText" dxfId="65" priority="7" operator="containsText" text="Rojo">
      <formula>NOT(ISERROR(SEARCH("Rojo",O44)))</formula>
    </cfRule>
  </conditionalFormatting>
  <conditionalFormatting sqref="N44">
    <cfRule type="containsText" dxfId="64" priority="6" operator="containsText" text="Naranja">
      <formula>NOT(ISERROR(SEARCH("Naranja",N44)))</formula>
    </cfRule>
  </conditionalFormatting>
  <conditionalFormatting sqref="N44">
    <cfRule type="containsText" dxfId="63" priority="5" operator="containsText" text="Verde">
      <formula>NOT(ISERROR(SEARCH("Verde",N44)))</formula>
    </cfRule>
  </conditionalFormatting>
  <conditionalFormatting sqref="N44">
    <cfRule type="containsText" dxfId="62" priority="4" operator="containsText" text="Rojo">
      <formula>NOT(ISERROR(SEARCH("Rojo",N44)))</formula>
    </cfRule>
  </conditionalFormatting>
  <conditionalFormatting sqref="N44">
    <cfRule type="containsText" dxfId="61" priority="3" operator="containsText" text="Naranja">
      <formula>NOT(ISERROR(SEARCH("Naranja",N44)))</formula>
    </cfRule>
  </conditionalFormatting>
  <conditionalFormatting sqref="N44">
    <cfRule type="containsText" dxfId="60" priority="2" operator="containsText" text="Verde">
      <formula>NOT(ISERROR(SEARCH("Verde",N44)))</formula>
    </cfRule>
  </conditionalFormatting>
  <conditionalFormatting sqref="N44">
    <cfRule type="containsText" dxfId="59" priority="1" operator="containsText" text="Rojo">
      <formula>NOT(ISERROR(SEARCH("Rojo",N44)))</formula>
    </cfRule>
  </conditionalFormatting>
  <pageMargins left="0.7" right="0.7" top="0.75" bottom="0.75" header="0.3" footer="0.3"/>
  <pageSetup orientation="portrait" r:id="rId1"/>
  <headerFooter>
    <oddFooter>&amp;R&amp;1#&amp;"Calibri"&amp;22&amp;KFF8939RESTRICTED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EF4F0-4B98-4FE8-B8FD-D2D7E6BCBCA8}">
  <sheetPr filterMode="1"/>
  <dimension ref="A1:Z78"/>
  <sheetViews>
    <sheetView showGridLines="0" zoomScale="115" zoomScaleNormal="115" workbookViewId="0">
      <pane xSplit="7" ySplit="5" topLeftCell="H6" activePane="bottomRight" state="frozen"/>
      <selection pane="topRight" activeCell="G1" sqref="G1"/>
      <selection pane="bottomLeft" activeCell="A6" sqref="A6"/>
      <selection pane="bottomRight" activeCell="G14" sqref="G14:O43"/>
    </sheetView>
  </sheetViews>
  <sheetFormatPr baseColWidth="10" defaultColWidth="8.5703125" defaultRowHeight="15" x14ac:dyDescent="0.25"/>
  <cols>
    <col min="1" max="1" width="1.5703125" customWidth="1"/>
    <col min="2" max="2" width="11.42578125" customWidth="1"/>
    <col min="3" max="3" width="9.5703125" customWidth="1"/>
    <col min="4" max="4" width="10.5703125" customWidth="1"/>
    <col min="5" max="5" width="7.5703125" customWidth="1"/>
    <col min="6" max="6" width="6.5703125" customWidth="1"/>
    <col min="7" max="7" width="13.5703125" customWidth="1"/>
    <col min="8" max="8" width="16.42578125" customWidth="1"/>
    <col min="9" max="9" width="8" hidden="1" customWidth="1"/>
    <col min="10" max="12" width="9.42578125" hidden="1" customWidth="1"/>
    <col min="13" max="13" width="11.5703125" hidden="1" customWidth="1"/>
    <col min="14" max="14" width="9.42578125" hidden="1" customWidth="1"/>
    <col min="15" max="15" width="12.42578125" customWidth="1"/>
    <col min="16" max="17" width="11.42578125" customWidth="1"/>
    <col min="18" max="18" width="11.5703125" customWidth="1"/>
    <col min="19" max="20" width="8.5703125" customWidth="1"/>
    <col min="21" max="21" width="14" customWidth="1"/>
    <col min="22" max="23" width="8.42578125" customWidth="1"/>
    <col min="24" max="24" width="11.42578125" customWidth="1"/>
    <col min="25" max="25" width="13.5703125" customWidth="1"/>
    <col min="26" max="26" width="18.5703125" bestFit="1" customWidth="1"/>
  </cols>
  <sheetData>
    <row r="1" spans="1:26" x14ac:dyDescent="0.25">
      <c r="B1" s="1" t="s">
        <v>0</v>
      </c>
      <c r="C1" s="1" t="s">
        <v>1</v>
      </c>
      <c r="D1" s="1">
        <v>1500</v>
      </c>
      <c r="E1" s="1" t="s">
        <v>2</v>
      </c>
      <c r="F1" s="141" t="s">
        <v>122</v>
      </c>
      <c r="G1" s="154">
        <v>30</v>
      </c>
      <c r="H1" s="154"/>
      <c r="L1" s="2" t="s">
        <v>123</v>
      </c>
    </row>
    <row r="2" spans="1:26" x14ac:dyDescent="0.25">
      <c r="B2" s="1"/>
      <c r="C2" s="1" t="s">
        <v>4</v>
      </c>
      <c r="D2" s="1">
        <v>1000</v>
      </c>
      <c r="E2" s="1" t="s">
        <v>2</v>
      </c>
      <c r="F2" s="141" t="s">
        <v>124</v>
      </c>
      <c r="G2" s="155">
        <v>20</v>
      </c>
      <c r="H2" s="155"/>
      <c r="L2" s="2" t="s">
        <v>6</v>
      </c>
      <c r="P2" s="26"/>
    </row>
    <row r="3" spans="1:26" x14ac:dyDescent="0.25">
      <c r="B3" s="1"/>
      <c r="C3" s="4" t="s">
        <v>7</v>
      </c>
      <c r="D3" s="1">
        <v>10000</v>
      </c>
      <c r="E3" s="1" t="s">
        <v>2</v>
      </c>
      <c r="F3" s="1"/>
      <c r="G3" s="3"/>
      <c r="H3" s="3"/>
      <c r="L3" s="2" t="s">
        <v>8</v>
      </c>
      <c r="P3" s="26"/>
    </row>
    <row r="4" spans="1:26" ht="15.75" thickBot="1" x14ac:dyDescent="0.3">
      <c r="B4" s="1"/>
      <c r="C4" s="1" t="s">
        <v>9</v>
      </c>
      <c r="D4" s="1">
        <v>15000</v>
      </c>
      <c r="E4" s="1" t="s">
        <v>2</v>
      </c>
      <c r="F4" s="1"/>
      <c r="G4" s="3"/>
      <c r="H4" s="3"/>
      <c r="L4" s="2"/>
      <c r="P4" s="46"/>
    </row>
    <row r="5" spans="1:26" ht="36" customHeight="1" thickBot="1" x14ac:dyDescent="0.3">
      <c r="B5" s="5" t="s">
        <v>11</v>
      </c>
      <c r="C5" s="6" t="s">
        <v>12</v>
      </c>
      <c r="D5" s="6" t="s">
        <v>125</v>
      </c>
      <c r="E5" s="6" t="s">
        <v>14</v>
      </c>
      <c r="F5" s="6" t="s">
        <v>15</v>
      </c>
      <c r="G5" s="7" t="s">
        <v>16</v>
      </c>
      <c r="H5" s="7" t="s">
        <v>126</v>
      </c>
      <c r="I5" s="7" t="s">
        <v>17</v>
      </c>
      <c r="J5" s="7" t="s">
        <v>18</v>
      </c>
      <c r="K5" s="7" t="s">
        <v>19</v>
      </c>
      <c r="L5" s="7" t="s">
        <v>20</v>
      </c>
      <c r="M5" s="8" t="s">
        <v>21</v>
      </c>
      <c r="N5" s="27" t="s">
        <v>22</v>
      </c>
      <c r="O5" s="30" t="s">
        <v>23</v>
      </c>
      <c r="P5" s="27" t="s">
        <v>24</v>
      </c>
      <c r="Q5" s="28" t="s">
        <v>25</v>
      </c>
      <c r="R5" s="9" t="s">
        <v>26</v>
      </c>
      <c r="S5" s="10" t="s">
        <v>27</v>
      </c>
      <c r="T5" s="10" t="s">
        <v>28</v>
      </c>
      <c r="U5" s="29" t="s">
        <v>29</v>
      </c>
      <c r="V5" s="31" t="s">
        <v>30</v>
      </c>
      <c r="W5" s="32" t="s">
        <v>31</v>
      </c>
      <c r="X5" s="48" t="s">
        <v>32</v>
      </c>
      <c r="Y5" s="29" t="s">
        <v>33</v>
      </c>
      <c r="Z5" s="52" t="s">
        <v>34</v>
      </c>
    </row>
    <row r="6" spans="1:26" s="17" customFormat="1" ht="14.1" customHeight="1" x14ac:dyDescent="0.25">
      <c r="A6" s="40"/>
      <c r="B6" s="19"/>
      <c r="C6" s="35"/>
      <c r="D6" s="35"/>
      <c r="E6" s="35"/>
      <c r="F6" s="35"/>
      <c r="G6" s="43"/>
      <c r="H6" s="43"/>
      <c r="I6" s="35"/>
      <c r="J6" s="12"/>
      <c r="K6" s="12"/>
      <c r="L6" s="12"/>
      <c r="M6" s="20"/>
      <c r="N6" s="18"/>
      <c r="O6" s="36"/>
      <c r="P6" s="37"/>
      <c r="Q6" s="57"/>
      <c r="R6" s="58"/>
      <c r="S6" s="59"/>
      <c r="T6" s="59"/>
      <c r="U6" s="60"/>
      <c r="V6" s="56"/>
      <c r="W6" s="61"/>
      <c r="X6" s="93"/>
      <c r="Y6" s="62"/>
      <c r="Z6" s="63"/>
    </row>
    <row r="7" spans="1:26" ht="13.5" customHeight="1" x14ac:dyDescent="0.25">
      <c r="A7" s="40"/>
      <c r="B7" s="11" t="s">
        <v>54</v>
      </c>
      <c r="C7" s="35" t="s">
        <v>36</v>
      </c>
      <c r="D7" s="35" t="s">
        <v>127</v>
      </c>
      <c r="E7" s="35">
        <v>2022</v>
      </c>
      <c r="F7" s="35">
        <v>12697644</v>
      </c>
      <c r="G7" s="47" t="s">
        <v>55</v>
      </c>
      <c r="H7" s="47"/>
      <c r="I7" s="12" t="s">
        <v>39</v>
      </c>
      <c r="J7" s="12" t="s">
        <v>40</v>
      </c>
      <c r="K7" s="12" t="s">
        <v>56</v>
      </c>
      <c r="L7" s="64" t="s">
        <v>57</v>
      </c>
      <c r="M7" s="13" t="s">
        <v>43</v>
      </c>
      <c r="N7" s="18"/>
      <c r="O7" s="36">
        <v>33333</v>
      </c>
      <c r="P7" s="15">
        <v>25000</v>
      </c>
      <c r="Q7" s="73">
        <v>44263.058100000002</v>
      </c>
      <c r="R7" s="74">
        <v>44270.902099999999</v>
      </c>
      <c r="S7" s="75">
        <v>10</v>
      </c>
      <c r="T7" s="76">
        <v>11</v>
      </c>
      <c r="U7" s="77">
        <v>44292.902099999999</v>
      </c>
      <c r="V7" s="36"/>
      <c r="W7" s="37"/>
      <c r="X7" s="91">
        <v>286021</v>
      </c>
      <c r="Y7" s="51"/>
      <c r="Z7" s="49"/>
    </row>
    <row r="8" spans="1:26" ht="13.5" hidden="1" customHeight="1" x14ac:dyDescent="0.25">
      <c r="A8" s="40"/>
      <c r="B8" s="11" t="s">
        <v>54</v>
      </c>
      <c r="C8" s="35" t="s">
        <v>36</v>
      </c>
      <c r="D8" s="35" t="s">
        <v>143</v>
      </c>
      <c r="E8" s="35">
        <v>2022</v>
      </c>
      <c r="F8" s="35"/>
      <c r="G8" s="47" t="s">
        <v>144</v>
      </c>
      <c r="H8" s="47" t="s">
        <v>145</v>
      </c>
      <c r="I8" s="12" t="s">
        <v>39</v>
      </c>
      <c r="J8" s="12" t="s">
        <v>136</v>
      </c>
      <c r="K8" s="12" t="s">
        <v>56</v>
      </c>
      <c r="L8" s="64" t="s">
        <v>57</v>
      </c>
      <c r="M8" s="211" t="s">
        <v>137</v>
      </c>
      <c r="N8" s="18"/>
      <c r="O8" s="36">
        <v>8000</v>
      </c>
      <c r="P8" s="15">
        <v>6000</v>
      </c>
      <c r="Q8" s="73"/>
      <c r="R8" s="74"/>
      <c r="S8" s="75"/>
      <c r="T8" s="76"/>
      <c r="U8" s="77"/>
      <c r="V8" s="36"/>
      <c r="W8" s="37"/>
      <c r="X8" s="91"/>
      <c r="Y8" s="51"/>
      <c r="Z8" s="49"/>
    </row>
    <row r="9" spans="1:26" s="17" customFormat="1" ht="14.1" hidden="1" customHeight="1" x14ac:dyDescent="0.25">
      <c r="A9" s="40"/>
      <c r="B9" s="11" t="s">
        <v>54</v>
      </c>
      <c r="C9" s="35" t="s">
        <v>36</v>
      </c>
      <c r="D9" s="35" t="s">
        <v>143</v>
      </c>
      <c r="E9" s="35">
        <v>2022</v>
      </c>
      <c r="F9" s="35"/>
      <c r="G9" s="44" t="s">
        <v>146</v>
      </c>
      <c r="H9" s="44" t="s">
        <v>147</v>
      </c>
      <c r="I9" s="12" t="s">
        <v>39</v>
      </c>
      <c r="J9" s="12" t="s">
        <v>148</v>
      </c>
      <c r="K9" s="12" t="s">
        <v>56</v>
      </c>
      <c r="L9" s="64" t="s">
        <v>57</v>
      </c>
      <c r="M9" s="13" t="s">
        <v>149</v>
      </c>
      <c r="N9" s="18"/>
      <c r="O9" s="71">
        <v>10667</v>
      </c>
      <c r="P9" s="72">
        <v>8000</v>
      </c>
      <c r="Q9" s="73"/>
      <c r="R9" s="74"/>
      <c r="S9" s="75"/>
      <c r="T9" s="76"/>
      <c r="U9" s="77"/>
      <c r="V9" s="71"/>
      <c r="W9" s="34"/>
      <c r="X9" s="91"/>
      <c r="Y9" s="78"/>
      <c r="Z9" s="80"/>
    </row>
    <row r="10" spans="1:26" ht="13.5" hidden="1" customHeight="1" x14ac:dyDescent="0.25">
      <c r="A10" s="40"/>
      <c r="B10" s="11" t="s">
        <v>54</v>
      </c>
      <c r="C10" s="35" t="s">
        <v>36</v>
      </c>
      <c r="D10" s="35" t="s">
        <v>89</v>
      </c>
      <c r="E10" s="35">
        <v>2022</v>
      </c>
      <c r="F10" s="35"/>
      <c r="G10" s="47" t="s">
        <v>102</v>
      </c>
      <c r="H10" s="47" t="s">
        <v>303</v>
      </c>
      <c r="I10" s="12" t="s">
        <v>39</v>
      </c>
      <c r="J10" s="12" t="s">
        <v>40</v>
      </c>
      <c r="K10" s="12" t="s">
        <v>56</v>
      </c>
      <c r="L10" s="64" t="s">
        <v>57</v>
      </c>
      <c r="M10" s="13" t="s">
        <v>43</v>
      </c>
      <c r="N10" s="18"/>
      <c r="O10" s="36">
        <v>2667</v>
      </c>
      <c r="P10" s="15">
        <v>2000</v>
      </c>
      <c r="Q10" s="73"/>
      <c r="R10" s="74"/>
      <c r="S10" s="75"/>
      <c r="T10" s="76"/>
      <c r="U10" s="77"/>
      <c r="V10" s="36"/>
      <c r="W10" s="37"/>
      <c r="X10" s="91"/>
      <c r="Y10" s="51"/>
      <c r="Z10" s="49"/>
    </row>
    <row r="11" spans="1:26" ht="13.5" hidden="1" customHeight="1" x14ac:dyDescent="0.25">
      <c r="A11" s="40"/>
      <c r="B11" s="11" t="s">
        <v>54</v>
      </c>
      <c r="C11" s="35" t="s">
        <v>36</v>
      </c>
      <c r="D11" s="35" t="s">
        <v>89</v>
      </c>
      <c r="E11" s="35">
        <v>2022</v>
      </c>
      <c r="F11" s="35"/>
      <c r="G11" s="47" t="s">
        <v>102</v>
      </c>
      <c r="H11" s="47" t="s">
        <v>304</v>
      </c>
      <c r="I11" s="12"/>
      <c r="J11" s="12"/>
      <c r="K11" s="12"/>
      <c r="L11" s="64"/>
      <c r="M11" s="13"/>
      <c r="N11" s="18"/>
      <c r="O11" s="71">
        <v>2667</v>
      </c>
      <c r="P11" s="15">
        <v>2000</v>
      </c>
      <c r="Q11" s="73"/>
      <c r="R11" s="74"/>
      <c r="S11" s="75"/>
      <c r="T11" s="76"/>
      <c r="U11" s="77"/>
      <c r="V11" s="71"/>
      <c r="W11" s="34"/>
      <c r="X11" s="91"/>
      <c r="Y11" s="78"/>
      <c r="Z11" s="79"/>
    </row>
    <row r="12" spans="1:26" s="17" customFormat="1" ht="14.1" hidden="1" customHeight="1" x14ac:dyDescent="0.25">
      <c r="A12" s="40"/>
      <c r="B12" s="11" t="s">
        <v>93</v>
      </c>
      <c r="C12" s="35" t="s">
        <v>36</v>
      </c>
      <c r="D12" s="35" t="s">
        <v>143</v>
      </c>
      <c r="E12" s="35">
        <v>2022</v>
      </c>
      <c r="F12" s="35"/>
      <c r="G12" s="44" t="s">
        <v>150</v>
      </c>
      <c r="H12" s="44"/>
      <c r="I12" s="12" t="s">
        <v>39</v>
      </c>
      <c r="J12" s="12" t="s">
        <v>66</v>
      </c>
      <c r="K12" s="12" t="s">
        <v>56</v>
      </c>
      <c r="L12" s="64" t="s">
        <v>57</v>
      </c>
      <c r="M12" s="13" t="s">
        <v>71</v>
      </c>
      <c r="N12" s="18"/>
      <c r="O12" s="71">
        <v>4667</v>
      </c>
      <c r="P12" s="72">
        <v>3500</v>
      </c>
      <c r="Q12" s="73"/>
      <c r="R12" s="74"/>
      <c r="S12" s="75"/>
      <c r="T12" s="76"/>
      <c r="U12" s="77"/>
      <c r="V12" s="71"/>
      <c r="W12" s="34"/>
      <c r="X12" s="91"/>
      <c r="Y12" s="78"/>
      <c r="Z12" s="80"/>
    </row>
    <row r="13" spans="1:26" ht="13.5" customHeight="1" x14ac:dyDescent="0.25">
      <c r="A13" s="40"/>
      <c r="B13" s="11" t="s">
        <v>93</v>
      </c>
      <c r="C13" s="35" t="s">
        <v>36</v>
      </c>
      <c r="D13" s="35" t="s">
        <v>143</v>
      </c>
      <c r="E13" s="35">
        <v>2022</v>
      </c>
      <c r="F13" s="35"/>
      <c r="G13" s="47" t="s">
        <v>212</v>
      </c>
      <c r="H13" s="47" t="s">
        <v>151</v>
      </c>
      <c r="I13" s="12" t="s">
        <v>39</v>
      </c>
      <c r="J13" s="12" t="s">
        <v>40</v>
      </c>
      <c r="K13" s="12" t="s">
        <v>56</v>
      </c>
      <c r="L13" s="64" t="s">
        <v>57</v>
      </c>
      <c r="M13" s="13" t="s">
        <v>47</v>
      </c>
      <c r="N13" s="18"/>
      <c r="O13" s="36">
        <v>22667</v>
      </c>
      <c r="P13" s="15">
        <v>17000</v>
      </c>
      <c r="Q13" s="73"/>
      <c r="R13" s="74"/>
      <c r="S13" s="75"/>
      <c r="T13" s="76"/>
      <c r="U13" s="77"/>
      <c r="V13" s="36"/>
      <c r="W13" s="37"/>
      <c r="X13" s="91"/>
      <c r="Y13" s="51"/>
      <c r="Z13" s="49"/>
    </row>
    <row r="14" spans="1:26" ht="13.5" customHeight="1" x14ac:dyDescent="0.25">
      <c r="A14" s="40"/>
      <c r="B14" s="11" t="s">
        <v>35</v>
      </c>
      <c r="C14" s="35" t="s">
        <v>36</v>
      </c>
      <c r="D14" s="35" t="s">
        <v>127</v>
      </c>
      <c r="E14" s="35">
        <v>2022</v>
      </c>
      <c r="F14" s="35"/>
      <c r="G14" s="273" t="s">
        <v>65</v>
      </c>
      <c r="H14" s="273"/>
      <c r="I14" s="12" t="s">
        <v>128</v>
      </c>
      <c r="J14" s="12" t="s">
        <v>66</v>
      </c>
      <c r="K14" s="12" t="s">
        <v>41</v>
      </c>
      <c r="L14" s="64" t="s">
        <v>42</v>
      </c>
      <c r="M14" s="13" t="s">
        <v>129</v>
      </c>
      <c r="N14" s="18"/>
      <c r="O14" s="274">
        <v>180000</v>
      </c>
      <c r="P14" s="15">
        <f t="shared" ref="P14:P28" si="0">+O14</f>
        <v>180000</v>
      </c>
      <c r="Q14" s="73"/>
      <c r="R14" s="74"/>
      <c r="S14" s="75"/>
      <c r="T14" s="76"/>
      <c r="U14" s="77"/>
      <c r="V14" s="36"/>
      <c r="W14" s="37"/>
      <c r="X14" s="91"/>
      <c r="Y14" s="51"/>
      <c r="Z14" s="49"/>
    </row>
    <row r="15" spans="1:26" ht="13.5" customHeight="1" x14ac:dyDescent="0.25">
      <c r="A15" s="40"/>
      <c r="B15" s="11" t="s">
        <v>35</v>
      </c>
      <c r="C15" s="35" t="s">
        <v>36</v>
      </c>
      <c r="D15" s="35" t="s">
        <v>127</v>
      </c>
      <c r="E15" s="35">
        <v>2022</v>
      </c>
      <c r="F15" s="35"/>
      <c r="G15" s="273" t="s">
        <v>60</v>
      </c>
      <c r="H15" s="273"/>
      <c r="I15" s="12" t="s">
        <v>39</v>
      </c>
      <c r="J15" s="12" t="s">
        <v>61</v>
      </c>
      <c r="K15" s="12" t="s">
        <v>41</v>
      </c>
      <c r="L15" s="64" t="s">
        <v>42</v>
      </c>
      <c r="M15" s="13" t="s">
        <v>43</v>
      </c>
      <c r="N15" s="18"/>
      <c r="O15" s="274">
        <v>200334</v>
      </c>
      <c r="P15" s="15">
        <f t="shared" si="0"/>
        <v>200334</v>
      </c>
      <c r="Q15" s="73"/>
      <c r="R15" s="74"/>
      <c r="S15" s="75"/>
      <c r="T15" s="76"/>
      <c r="U15" s="77"/>
      <c r="V15" s="36"/>
      <c r="W15" s="37"/>
      <c r="X15" s="91"/>
      <c r="Y15" s="51"/>
      <c r="Z15" s="49"/>
    </row>
    <row r="16" spans="1:26" s="17" customFormat="1" ht="14.1" customHeight="1" x14ac:dyDescent="0.25">
      <c r="A16" s="40"/>
      <c r="B16" s="11" t="s">
        <v>35</v>
      </c>
      <c r="C16" s="35" t="s">
        <v>36</v>
      </c>
      <c r="D16" s="35" t="s">
        <v>127</v>
      </c>
      <c r="E16" s="35">
        <v>2022</v>
      </c>
      <c r="F16" s="35"/>
      <c r="G16" s="44" t="s">
        <v>68</v>
      </c>
      <c r="H16" s="44" t="s">
        <v>305</v>
      </c>
      <c r="I16" s="12" t="s">
        <v>39</v>
      </c>
      <c r="J16" s="12" t="s">
        <v>66</v>
      </c>
      <c r="K16" s="12" t="s">
        <v>41</v>
      </c>
      <c r="L16" s="64" t="s">
        <v>42</v>
      </c>
      <c r="M16" s="13" t="s">
        <v>129</v>
      </c>
      <c r="N16" s="18"/>
      <c r="O16" s="71">
        <v>23467</v>
      </c>
      <c r="P16" s="72">
        <f t="shared" si="0"/>
        <v>23467</v>
      </c>
      <c r="Q16" s="73"/>
      <c r="R16" s="74"/>
      <c r="S16" s="75"/>
      <c r="T16" s="76"/>
      <c r="U16" s="77"/>
      <c r="V16" s="71"/>
      <c r="W16" s="34"/>
      <c r="X16" s="91"/>
      <c r="Y16" s="78"/>
      <c r="Z16" s="80"/>
    </row>
    <row r="17" spans="1:26" ht="13.5" customHeight="1" x14ac:dyDescent="0.25">
      <c r="A17" s="40"/>
      <c r="B17" s="11" t="s">
        <v>35</v>
      </c>
      <c r="C17" s="35" t="s">
        <v>36</v>
      </c>
      <c r="D17" s="35" t="s">
        <v>127</v>
      </c>
      <c r="E17" s="35">
        <v>2022</v>
      </c>
      <c r="F17" s="35"/>
      <c r="G17" s="47" t="s">
        <v>130</v>
      </c>
      <c r="H17" s="47"/>
      <c r="I17" s="12" t="s">
        <v>39</v>
      </c>
      <c r="J17" s="12" t="s">
        <v>66</v>
      </c>
      <c r="K17" s="12" t="s">
        <v>41</v>
      </c>
      <c r="L17" s="64" t="s">
        <v>42</v>
      </c>
      <c r="M17" s="13" t="s">
        <v>129</v>
      </c>
      <c r="N17" s="18"/>
      <c r="O17" s="36">
        <v>79070</v>
      </c>
      <c r="P17" s="15">
        <f t="shared" si="0"/>
        <v>79070</v>
      </c>
      <c r="Q17" s="73"/>
      <c r="R17" s="74"/>
      <c r="S17" s="75"/>
      <c r="T17" s="76"/>
      <c r="U17" s="77"/>
      <c r="V17" s="36"/>
      <c r="W17" s="37"/>
      <c r="X17" s="91"/>
      <c r="Y17" s="51"/>
      <c r="Z17" s="49"/>
    </row>
    <row r="18" spans="1:26" s="17" customFormat="1" ht="14.1" customHeight="1" x14ac:dyDescent="0.25">
      <c r="A18" s="40"/>
      <c r="B18" s="11" t="s">
        <v>35</v>
      </c>
      <c r="C18" s="35" t="s">
        <v>36</v>
      </c>
      <c r="D18" s="35" t="s">
        <v>127</v>
      </c>
      <c r="E18" s="35">
        <v>2022</v>
      </c>
      <c r="F18" s="35"/>
      <c r="G18" s="271" t="s">
        <v>73</v>
      </c>
      <c r="H18" s="271" t="s">
        <v>131</v>
      </c>
      <c r="I18" s="12" t="s">
        <v>39</v>
      </c>
      <c r="J18" s="12" t="s">
        <v>40</v>
      </c>
      <c r="K18" s="12" t="s">
        <v>41</v>
      </c>
      <c r="L18" s="64" t="s">
        <v>42</v>
      </c>
      <c r="M18" s="13" t="s">
        <v>43</v>
      </c>
      <c r="N18" s="18"/>
      <c r="O18" s="272">
        <v>378562</v>
      </c>
      <c r="P18" s="72">
        <f t="shared" si="0"/>
        <v>378562</v>
      </c>
      <c r="Q18" s="73"/>
      <c r="R18" s="74"/>
      <c r="S18" s="75"/>
      <c r="T18" s="76"/>
      <c r="U18" s="77"/>
      <c r="V18" s="71"/>
      <c r="W18" s="34"/>
      <c r="X18" s="91"/>
      <c r="Y18" s="78"/>
      <c r="Z18" s="80"/>
    </row>
    <row r="19" spans="1:26" s="17" customFormat="1" ht="14.1" customHeight="1" x14ac:dyDescent="0.25">
      <c r="A19" s="40"/>
      <c r="B19" s="11" t="s">
        <v>35</v>
      </c>
      <c r="C19" s="35" t="s">
        <v>36</v>
      </c>
      <c r="D19" s="35" t="s">
        <v>127</v>
      </c>
      <c r="E19" s="35">
        <v>2022</v>
      </c>
      <c r="F19" s="35"/>
      <c r="G19" s="275" t="s">
        <v>75</v>
      </c>
      <c r="H19" s="275"/>
      <c r="I19" s="12" t="s">
        <v>39</v>
      </c>
      <c r="J19" s="12" t="s">
        <v>40</v>
      </c>
      <c r="K19" s="12" t="s">
        <v>41</v>
      </c>
      <c r="L19" s="64" t="s">
        <v>42</v>
      </c>
      <c r="M19" s="13" t="s">
        <v>43</v>
      </c>
      <c r="N19" s="18"/>
      <c r="O19" s="276">
        <v>142105</v>
      </c>
      <c r="P19" s="72">
        <f t="shared" si="0"/>
        <v>142105</v>
      </c>
      <c r="Q19" s="73"/>
      <c r="R19" s="74"/>
      <c r="S19" s="75"/>
      <c r="T19" s="76"/>
      <c r="U19" s="77"/>
      <c r="V19" s="71"/>
      <c r="W19" s="34"/>
      <c r="X19" s="91"/>
      <c r="Y19" s="78"/>
      <c r="Z19" s="80"/>
    </row>
    <row r="20" spans="1:26" ht="13.5" customHeight="1" x14ac:dyDescent="0.25">
      <c r="A20" s="40"/>
      <c r="B20" s="11" t="s">
        <v>35</v>
      </c>
      <c r="C20" s="35" t="s">
        <v>36</v>
      </c>
      <c r="D20" s="35" t="s">
        <v>127</v>
      </c>
      <c r="E20" s="35">
        <v>2022</v>
      </c>
      <c r="F20" s="35"/>
      <c r="G20" s="277" t="s">
        <v>76</v>
      </c>
      <c r="H20" s="277"/>
      <c r="I20" s="12" t="s">
        <v>39</v>
      </c>
      <c r="J20" s="12" t="s">
        <v>40</v>
      </c>
      <c r="K20" s="12" t="s">
        <v>41</v>
      </c>
      <c r="L20" s="64" t="s">
        <v>42</v>
      </c>
      <c r="M20" s="13" t="s">
        <v>43</v>
      </c>
      <c r="N20" s="18"/>
      <c r="O20" s="278">
        <v>93392</v>
      </c>
      <c r="P20" s="15">
        <f t="shared" si="0"/>
        <v>93392</v>
      </c>
      <c r="Q20" s="73"/>
      <c r="R20" s="74"/>
      <c r="S20" s="75"/>
      <c r="T20" s="76"/>
      <c r="U20" s="77"/>
      <c r="V20" s="36"/>
      <c r="W20" s="37"/>
      <c r="X20" s="91"/>
      <c r="Y20" s="51"/>
      <c r="Z20" s="49" t="s">
        <v>132</v>
      </c>
    </row>
    <row r="21" spans="1:26" ht="13.5" customHeight="1" x14ac:dyDescent="0.25">
      <c r="A21" s="40"/>
      <c r="B21" s="11" t="s">
        <v>35</v>
      </c>
      <c r="C21" s="35" t="s">
        <v>36</v>
      </c>
      <c r="D21" s="35" t="s">
        <v>127</v>
      </c>
      <c r="E21" s="35">
        <v>2022</v>
      </c>
      <c r="F21" s="35"/>
      <c r="G21" s="277" t="s">
        <v>133</v>
      </c>
      <c r="H21" s="277"/>
      <c r="I21" s="12" t="s">
        <v>39</v>
      </c>
      <c r="J21" s="12" t="s">
        <v>40</v>
      </c>
      <c r="K21" s="12" t="s">
        <v>41</v>
      </c>
      <c r="L21" s="64" t="s">
        <v>42</v>
      </c>
      <c r="M21" s="13" t="s">
        <v>43</v>
      </c>
      <c r="N21" s="18"/>
      <c r="O21" s="278">
        <v>100000</v>
      </c>
      <c r="P21" s="15">
        <f t="shared" si="0"/>
        <v>100000</v>
      </c>
      <c r="Q21" s="73"/>
      <c r="R21" s="74"/>
      <c r="S21" s="75"/>
      <c r="T21" s="76"/>
      <c r="U21" s="77"/>
      <c r="V21" s="36"/>
      <c r="W21" s="37"/>
      <c r="X21" s="91"/>
      <c r="Y21" s="51"/>
      <c r="Z21" s="49"/>
    </row>
    <row r="22" spans="1:26" s="17" customFormat="1" ht="14.1" customHeight="1" x14ac:dyDescent="0.25">
      <c r="A22" s="40"/>
      <c r="B22" s="11" t="s">
        <v>35</v>
      </c>
      <c r="C22" s="35" t="s">
        <v>36</v>
      </c>
      <c r="D22" s="65" t="s">
        <v>127</v>
      </c>
      <c r="E22" s="35">
        <v>2022</v>
      </c>
      <c r="F22" s="35"/>
      <c r="G22" s="275" t="s">
        <v>134</v>
      </c>
      <c r="H22" s="275"/>
      <c r="I22" s="12" t="s">
        <v>39</v>
      </c>
      <c r="J22" s="12" t="s">
        <v>40</v>
      </c>
      <c r="K22" s="12" t="s">
        <v>41</v>
      </c>
      <c r="L22" s="64" t="s">
        <v>42</v>
      </c>
      <c r="M22" s="13" t="s">
        <v>43</v>
      </c>
      <c r="N22" s="18"/>
      <c r="O22" s="276">
        <v>160000</v>
      </c>
      <c r="P22" s="72">
        <f t="shared" si="0"/>
        <v>160000</v>
      </c>
      <c r="Q22" s="73"/>
      <c r="R22" s="74"/>
      <c r="S22" s="75"/>
      <c r="T22" s="76"/>
      <c r="U22" s="77"/>
      <c r="V22" s="71"/>
      <c r="W22" s="34"/>
      <c r="X22" s="91"/>
      <c r="Y22" s="78"/>
      <c r="Z22" s="80"/>
    </row>
    <row r="23" spans="1:26" ht="13.5" hidden="1" customHeight="1" x14ac:dyDescent="0.25">
      <c r="A23" s="40"/>
      <c r="B23" s="11" t="s">
        <v>35</v>
      </c>
      <c r="C23" s="35" t="s">
        <v>36</v>
      </c>
      <c r="D23" s="35" t="s">
        <v>127</v>
      </c>
      <c r="E23" s="35">
        <v>2022</v>
      </c>
      <c r="F23" s="35"/>
      <c r="G23" s="47" t="s">
        <v>135</v>
      </c>
      <c r="H23" s="47"/>
      <c r="I23" s="12" t="s">
        <v>39</v>
      </c>
      <c r="J23" s="12" t="s">
        <v>40</v>
      </c>
      <c r="K23" s="12" t="s">
        <v>41</v>
      </c>
      <c r="L23" s="64" t="s">
        <v>42</v>
      </c>
      <c r="M23" s="13" t="s">
        <v>43</v>
      </c>
      <c r="N23" s="18"/>
      <c r="O23" s="36">
        <v>11765</v>
      </c>
      <c r="P23" s="15">
        <f t="shared" si="0"/>
        <v>11765</v>
      </c>
      <c r="Q23" s="73"/>
      <c r="R23" s="74"/>
      <c r="S23" s="75"/>
      <c r="T23" s="76"/>
      <c r="U23" s="77"/>
      <c r="V23" s="36"/>
      <c r="W23" s="37"/>
      <c r="X23" s="91"/>
      <c r="Y23" s="51"/>
      <c r="Z23" s="49"/>
    </row>
    <row r="24" spans="1:26" s="17" customFormat="1" ht="14.1" customHeight="1" x14ac:dyDescent="0.25">
      <c r="A24" s="40"/>
      <c r="B24" s="11" t="s">
        <v>35</v>
      </c>
      <c r="C24" s="35" t="s">
        <v>36</v>
      </c>
      <c r="D24" s="65" t="s">
        <v>127</v>
      </c>
      <c r="E24" s="35">
        <v>2022</v>
      </c>
      <c r="F24" s="35"/>
      <c r="G24" s="44" t="s">
        <v>113</v>
      </c>
      <c r="H24" s="44"/>
      <c r="I24" s="12" t="s">
        <v>39</v>
      </c>
      <c r="J24" s="12" t="s">
        <v>136</v>
      </c>
      <c r="K24" s="12" t="s">
        <v>41</v>
      </c>
      <c r="L24" s="64" t="s">
        <v>42</v>
      </c>
      <c r="M24" s="211" t="s">
        <v>137</v>
      </c>
      <c r="N24" s="18"/>
      <c r="O24" s="71">
        <v>39792</v>
      </c>
      <c r="P24" s="72">
        <f t="shared" si="0"/>
        <v>39792</v>
      </c>
      <c r="Q24" s="73"/>
      <c r="R24" s="74"/>
      <c r="S24" s="75"/>
      <c r="T24" s="76"/>
      <c r="U24" s="77"/>
      <c r="V24" s="71"/>
      <c r="W24" s="34"/>
      <c r="X24" s="91"/>
      <c r="Y24" s="78"/>
      <c r="Z24" s="80"/>
    </row>
    <row r="25" spans="1:26" ht="13.5" customHeight="1" x14ac:dyDescent="0.25">
      <c r="A25" s="40"/>
      <c r="B25" s="11" t="s">
        <v>35</v>
      </c>
      <c r="C25" s="35" t="s">
        <v>36</v>
      </c>
      <c r="D25" s="65" t="s">
        <v>127</v>
      </c>
      <c r="E25" s="35">
        <v>2022</v>
      </c>
      <c r="F25" s="35"/>
      <c r="G25" s="273" t="s">
        <v>77</v>
      </c>
      <c r="H25" s="273"/>
      <c r="I25" s="12" t="s">
        <v>39</v>
      </c>
      <c r="J25" s="12" t="s">
        <v>136</v>
      </c>
      <c r="K25" s="12" t="s">
        <v>41</v>
      </c>
      <c r="L25" s="64" t="s">
        <v>42</v>
      </c>
      <c r="M25" s="211" t="s">
        <v>137</v>
      </c>
      <c r="N25" s="18"/>
      <c r="O25" s="274">
        <v>211314</v>
      </c>
      <c r="P25" s="15">
        <f t="shared" si="0"/>
        <v>211314</v>
      </c>
      <c r="Q25" s="73"/>
      <c r="R25" s="74"/>
      <c r="S25" s="75"/>
      <c r="T25" s="76"/>
      <c r="U25" s="77"/>
      <c r="V25" s="36"/>
      <c r="W25" s="37"/>
      <c r="X25" s="91"/>
      <c r="Y25" s="51"/>
      <c r="Z25" s="49"/>
    </row>
    <row r="26" spans="1:26" s="17" customFormat="1" ht="14.1" customHeight="1" x14ac:dyDescent="0.25">
      <c r="A26" s="40"/>
      <c r="B26" s="11" t="s">
        <v>35</v>
      </c>
      <c r="C26" s="35" t="s">
        <v>36</v>
      </c>
      <c r="D26" s="65" t="s">
        <v>127</v>
      </c>
      <c r="E26" s="35">
        <v>2022</v>
      </c>
      <c r="F26" s="35"/>
      <c r="G26" s="271" t="s">
        <v>53</v>
      </c>
      <c r="H26" s="271"/>
      <c r="I26" s="12" t="s">
        <v>39</v>
      </c>
      <c r="J26" s="12" t="s">
        <v>136</v>
      </c>
      <c r="K26" s="12" t="s">
        <v>41</v>
      </c>
      <c r="L26" s="64" t="s">
        <v>42</v>
      </c>
      <c r="M26" s="211" t="s">
        <v>137</v>
      </c>
      <c r="N26" s="18"/>
      <c r="O26" s="272">
        <v>455000</v>
      </c>
      <c r="P26" s="72">
        <f t="shared" si="0"/>
        <v>455000</v>
      </c>
      <c r="Q26" s="73"/>
      <c r="R26" s="74"/>
      <c r="S26" s="75"/>
      <c r="T26" s="76"/>
      <c r="U26" s="77"/>
      <c r="V26" s="71"/>
      <c r="W26" s="34"/>
      <c r="X26" s="91"/>
      <c r="Y26" s="78"/>
      <c r="Z26" s="80"/>
    </row>
    <row r="27" spans="1:26" ht="13.5" customHeight="1" x14ac:dyDescent="0.25">
      <c r="A27" s="40"/>
      <c r="B27" s="11" t="s">
        <v>35</v>
      </c>
      <c r="C27" s="35" t="s">
        <v>36</v>
      </c>
      <c r="D27" s="65" t="s">
        <v>127</v>
      </c>
      <c r="E27" s="35">
        <v>2022</v>
      </c>
      <c r="F27" s="35"/>
      <c r="G27" s="273" t="s">
        <v>138</v>
      </c>
      <c r="H27" s="273"/>
      <c r="I27" s="12" t="s">
        <v>39</v>
      </c>
      <c r="J27" s="12" t="s">
        <v>136</v>
      </c>
      <c r="K27" s="12" t="s">
        <v>41</v>
      </c>
      <c r="L27" s="64" t="s">
        <v>42</v>
      </c>
      <c r="M27" s="211" t="s">
        <v>137</v>
      </c>
      <c r="N27" s="18"/>
      <c r="O27" s="274">
        <v>209997</v>
      </c>
      <c r="P27" s="15">
        <f t="shared" si="0"/>
        <v>209997</v>
      </c>
      <c r="Q27" s="73"/>
      <c r="R27" s="74"/>
      <c r="S27" s="75"/>
      <c r="T27" s="76"/>
      <c r="U27" s="77"/>
      <c r="V27" s="36"/>
      <c r="W27" s="37"/>
      <c r="X27" s="91"/>
      <c r="Y27" s="51"/>
      <c r="Z27" s="49"/>
    </row>
    <row r="28" spans="1:26" s="17" customFormat="1" ht="14.1" customHeight="1" x14ac:dyDescent="0.25">
      <c r="A28" s="40"/>
      <c r="B28" s="11" t="s">
        <v>35</v>
      </c>
      <c r="C28" s="35" t="s">
        <v>36</v>
      </c>
      <c r="D28" s="65" t="s">
        <v>127</v>
      </c>
      <c r="E28" s="35">
        <v>2022</v>
      </c>
      <c r="F28" s="35"/>
      <c r="G28" s="270" t="s">
        <v>139</v>
      </c>
      <c r="H28" s="270"/>
      <c r="I28" s="12" t="s">
        <v>39</v>
      </c>
      <c r="J28" s="12" t="s">
        <v>136</v>
      </c>
      <c r="K28" s="12" t="s">
        <v>41</v>
      </c>
      <c r="L28" s="64" t="s">
        <v>42</v>
      </c>
      <c r="M28" s="211" t="s">
        <v>137</v>
      </c>
      <c r="N28" s="18"/>
      <c r="O28" s="144">
        <v>93023</v>
      </c>
      <c r="P28" s="72">
        <f t="shared" si="0"/>
        <v>93023</v>
      </c>
      <c r="Q28" s="73"/>
      <c r="R28" s="74"/>
      <c r="S28" s="75"/>
      <c r="T28" s="76"/>
      <c r="U28" s="77"/>
      <c r="V28" s="71"/>
      <c r="W28" s="34"/>
      <c r="X28" s="91"/>
      <c r="Y28" s="78"/>
      <c r="Z28" s="80"/>
    </row>
    <row r="29" spans="1:26" ht="13.5" hidden="1" customHeight="1" x14ac:dyDescent="0.25">
      <c r="A29" s="40"/>
      <c r="B29" s="11" t="s">
        <v>35</v>
      </c>
      <c r="C29" s="35" t="s">
        <v>36</v>
      </c>
      <c r="D29" s="35" t="s">
        <v>143</v>
      </c>
      <c r="E29" s="35">
        <v>2022</v>
      </c>
      <c r="F29" s="35"/>
      <c r="G29" s="47" t="s">
        <v>156</v>
      </c>
      <c r="H29" s="47" t="s">
        <v>157</v>
      </c>
      <c r="I29" s="12" t="s">
        <v>39</v>
      </c>
      <c r="J29" s="12" t="s">
        <v>158</v>
      </c>
      <c r="K29" s="12" t="s">
        <v>41</v>
      </c>
      <c r="L29" s="64" t="s">
        <v>42</v>
      </c>
      <c r="M29" s="13" t="s">
        <v>149</v>
      </c>
      <c r="N29" s="18"/>
      <c r="O29" s="36">
        <v>5000</v>
      </c>
      <c r="P29" s="15">
        <v>5000</v>
      </c>
      <c r="Q29" s="73"/>
      <c r="R29" s="74"/>
      <c r="S29" s="75"/>
      <c r="T29" s="76"/>
      <c r="U29" s="77"/>
      <c r="V29" s="36"/>
      <c r="W29" s="37"/>
      <c r="X29" s="91"/>
      <c r="Y29" s="51"/>
      <c r="Z29" s="49"/>
    </row>
    <row r="30" spans="1:26" s="17" customFormat="1" ht="14.1" hidden="1" customHeight="1" x14ac:dyDescent="0.25">
      <c r="A30" s="40"/>
      <c r="B30" s="11" t="s">
        <v>35</v>
      </c>
      <c r="C30" s="35" t="s">
        <v>36</v>
      </c>
      <c r="D30" s="35" t="s">
        <v>143</v>
      </c>
      <c r="E30" s="35">
        <v>2022</v>
      </c>
      <c r="F30" s="35"/>
      <c r="G30" s="44" t="s">
        <v>159</v>
      </c>
      <c r="H30" s="44" t="s">
        <v>160</v>
      </c>
      <c r="I30" s="12" t="s">
        <v>39</v>
      </c>
      <c r="J30" s="12" t="s">
        <v>158</v>
      </c>
      <c r="K30" s="12" t="s">
        <v>41</v>
      </c>
      <c r="L30" s="64" t="s">
        <v>42</v>
      </c>
      <c r="M30" s="13" t="s">
        <v>149</v>
      </c>
      <c r="N30" s="18"/>
      <c r="O30" s="71">
        <v>10000</v>
      </c>
      <c r="P30" s="72">
        <v>10000</v>
      </c>
      <c r="Q30" s="73"/>
      <c r="R30" s="74"/>
      <c r="S30" s="75"/>
      <c r="T30" s="76"/>
      <c r="U30" s="77"/>
      <c r="V30" s="71"/>
      <c r="W30" s="34"/>
      <c r="X30" s="91"/>
      <c r="Y30" s="78"/>
      <c r="Z30" s="80"/>
    </row>
    <row r="31" spans="1:26" ht="13.5" hidden="1" customHeight="1" x14ac:dyDescent="0.25">
      <c r="A31" s="40"/>
      <c r="B31" s="11" t="s">
        <v>35</v>
      </c>
      <c r="C31" s="35" t="s">
        <v>36</v>
      </c>
      <c r="D31" s="35" t="s">
        <v>143</v>
      </c>
      <c r="E31" s="35">
        <v>2022</v>
      </c>
      <c r="F31" s="35"/>
      <c r="G31" s="47" t="s">
        <v>161</v>
      </c>
      <c r="H31" s="47" t="s">
        <v>162</v>
      </c>
      <c r="I31" s="12" t="s">
        <v>39</v>
      </c>
      <c r="J31" s="12" t="s">
        <v>158</v>
      </c>
      <c r="K31" s="12" t="s">
        <v>41</v>
      </c>
      <c r="L31" s="64" t="s">
        <v>42</v>
      </c>
      <c r="M31" s="13" t="s">
        <v>149</v>
      </c>
      <c r="N31" s="18"/>
      <c r="O31" s="36">
        <v>10000</v>
      </c>
      <c r="P31" s="15">
        <v>10000</v>
      </c>
      <c r="Q31" s="73"/>
      <c r="R31" s="74"/>
      <c r="S31" s="75"/>
      <c r="T31" s="76"/>
      <c r="U31" s="77"/>
      <c r="V31" s="36"/>
      <c r="W31" s="37"/>
      <c r="X31" s="91"/>
      <c r="Y31" s="51"/>
      <c r="Z31" s="49"/>
    </row>
    <row r="32" spans="1:26" s="17" customFormat="1" ht="14.1" hidden="1" customHeight="1" x14ac:dyDescent="0.25">
      <c r="A32" s="40"/>
      <c r="B32" s="11" t="s">
        <v>35</v>
      </c>
      <c r="C32" s="35" t="s">
        <v>36</v>
      </c>
      <c r="D32" s="35" t="s">
        <v>143</v>
      </c>
      <c r="E32" s="35">
        <v>2022</v>
      </c>
      <c r="F32" s="35"/>
      <c r="G32" s="44" t="s">
        <v>163</v>
      </c>
      <c r="H32" s="44" t="s">
        <v>164</v>
      </c>
      <c r="I32" s="12" t="s">
        <v>39</v>
      </c>
      <c r="J32" s="12" t="s">
        <v>158</v>
      </c>
      <c r="K32" s="12" t="s">
        <v>41</v>
      </c>
      <c r="L32" s="64" t="s">
        <v>42</v>
      </c>
      <c r="M32" s="13" t="s">
        <v>149</v>
      </c>
      <c r="N32" s="18"/>
      <c r="O32" s="71">
        <v>5000</v>
      </c>
      <c r="P32" s="72">
        <v>5000</v>
      </c>
      <c r="Q32" s="73"/>
      <c r="R32" s="74"/>
      <c r="S32" s="75"/>
      <c r="T32" s="76"/>
      <c r="U32" s="77"/>
      <c r="V32" s="71"/>
      <c r="W32" s="34"/>
      <c r="X32" s="91"/>
      <c r="Y32" s="78"/>
      <c r="Z32" s="80"/>
    </row>
    <row r="33" spans="1:26" ht="13.5" hidden="1" customHeight="1" x14ac:dyDescent="0.25">
      <c r="A33" s="40"/>
      <c r="B33" s="11" t="s">
        <v>35</v>
      </c>
      <c r="C33" s="35" t="s">
        <v>36</v>
      </c>
      <c r="D33" s="35" t="s">
        <v>143</v>
      </c>
      <c r="E33" s="35">
        <v>2022</v>
      </c>
      <c r="F33" s="35"/>
      <c r="G33" s="47" t="s">
        <v>165</v>
      </c>
      <c r="H33" s="47" t="s">
        <v>166</v>
      </c>
      <c r="I33" s="12" t="s">
        <v>39</v>
      </c>
      <c r="J33" s="12" t="s">
        <v>158</v>
      </c>
      <c r="K33" s="12" t="s">
        <v>41</v>
      </c>
      <c r="L33" s="64" t="s">
        <v>42</v>
      </c>
      <c r="M33" s="13" t="s">
        <v>149</v>
      </c>
      <c r="N33" s="18"/>
      <c r="O33" s="36">
        <v>10000</v>
      </c>
      <c r="P33" s="15">
        <v>10000</v>
      </c>
      <c r="Q33" s="73"/>
      <c r="R33" s="74"/>
      <c r="S33" s="75"/>
      <c r="T33" s="76"/>
      <c r="U33" s="77"/>
      <c r="V33" s="36"/>
      <c r="W33" s="37"/>
      <c r="X33" s="91"/>
      <c r="Y33" s="51"/>
      <c r="Z33" s="49"/>
    </row>
    <row r="34" spans="1:26" ht="13.5" customHeight="1" x14ac:dyDescent="0.25">
      <c r="A34" s="40"/>
      <c r="B34" s="11" t="s">
        <v>45</v>
      </c>
      <c r="C34" s="35" t="s">
        <v>36</v>
      </c>
      <c r="D34" s="35" t="s">
        <v>127</v>
      </c>
      <c r="E34" s="35">
        <v>2022</v>
      </c>
      <c r="F34" s="35"/>
      <c r="G34" s="277" t="s">
        <v>116</v>
      </c>
      <c r="H34" s="277"/>
      <c r="I34" s="12" t="s">
        <v>39</v>
      </c>
      <c r="J34" s="12" t="s">
        <v>40</v>
      </c>
      <c r="K34" s="12" t="s">
        <v>41</v>
      </c>
      <c r="L34" s="64" t="s">
        <v>42</v>
      </c>
      <c r="M34" s="13" t="s">
        <v>47</v>
      </c>
      <c r="N34" s="18"/>
      <c r="O34" s="278">
        <v>128571</v>
      </c>
      <c r="P34" s="15">
        <f t="shared" ref="P34:P39" si="1">+O34</f>
        <v>128571</v>
      </c>
      <c r="Q34" s="73"/>
      <c r="R34" s="74"/>
      <c r="S34" s="75"/>
      <c r="T34" s="76"/>
      <c r="U34" s="77"/>
      <c r="V34" s="36"/>
      <c r="W34" s="37"/>
      <c r="X34" s="91"/>
      <c r="Y34" s="51"/>
      <c r="Z34" s="49"/>
    </row>
    <row r="35" spans="1:26" ht="13.5" customHeight="1" x14ac:dyDescent="0.25">
      <c r="A35" s="40"/>
      <c r="B35" s="11" t="s">
        <v>45</v>
      </c>
      <c r="C35" s="35" t="s">
        <v>36</v>
      </c>
      <c r="D35" s="35" t="s">
        <v>127</v>
      </c>
      <c r="E35" s="35">
        <v>2022</v>
      </c>
      <c r="F35" s="35"/>
      <c r="G35" s="47" t="s">
        <v>117</v>
      </c>
      <c r="H35" s="47"/>
      <c r="I35" s="12" t="s">
        <v>39</v>
      </c>
      <c r="J35" s="12" t="s">
        <v>66</v>
      </c>
      <c r="K35" s="12" t="s">
        <v>41</v>
      </c>
      <c r="L35" s="64" t="s">
        <v>42</v>
      </c>
      <c r="M35" s="13" t="s">
        <v>71</v>
      </c>
      <c r="N35" s="18"/>
      <c r="O35" s="36">
        <v>21212</v>
      </c>
      <c r="P35" s="15">
        <f t="shared" si="1"/>
        <v>21212</v>
      </c>
      <c r="Q35" s="73"/>
      <c r="R35" s="74"/>
      <c r="S35" s="75"/>
      <c r="T35" s="76"/>
      <c r="U35" s="77"/>
      <c r="V35" s="36"/>
      <c r="W35" s="37"/>
      <c r="X35" s="91"/>
      <c r="Y35" s="51"/>
      <c r="Z35" s="49"/>
    </row>
    <row r="36" spans="1:26" ht="13.5" hidden="1" customHeight="1" x14ac:dyDescent="0.25">
      <c r="A36" s="40"/>
      <c r="B36" s="11" t="s">
        <v>45</v>
      </c>
      <c r="C36" s="35" t="s">
        <v>36</v>
      </c>
      <c r="D36" s="35" t="s">
        <v>143</v>
      </c>
      <c r="E36" s="35">
        <v>2022</v>
      </c>
      <c r="F36" s="35"/>
      <c r="G36" s="47" t="s">
        <v>70</v>
      </c>
      <c r="H36" s="47"/>
      <c r="I36" s="12" t="s">
        <v>39</v>
      </c>
      <c r="J36" s="12" t="s">
        <v>40</v>
      </c>
      <c r="K36" s="12" t="s">
        <v>41</v>
      </c>
      <c r="L36" s="64" t="s">
        <v>42</v>
      </c>
      <c r="M36" s="13" t="s">
        <v>47</v>
      </c>
      <c r="N36" s="18"/>
      <c r="O36" s="36">
        <v>12761</v>
      </c>
      <c r="P36" s="15">
        <f t="shared" si="1"/>
        <v>12761</v>
      </c>
      <c r="Q36" s="73"/>
      <c r="R36" s="74"/>
      <c r="S36" s="75"/>
      <c r="T36" s="76"/>
      <c r="U36" s="77"/>
      <c r="V36" s="36"/>
      <c r="W36" s="37"/>
      <c r="X36" s="91"/>
      <c r="Y36" s="51"/>
      <c r="Z36" s="49"/>
    </row>
    <row r="37" spans="1:26" ht="13.5" customHeight="1" x14ac:dyDescent="0.25">
      <c r="A37" s="40"/>
      <c r="B37" s="11" t="s">
        <v>45</v>
      </c>
      <c r="C37" s="35" t="s">
        <v>36</v>
      </c>
      <c r="D37" s="35" t="s">
        <v>127</v>
      </c>
      <c r="E37" s="35">
        <v>2022</v>
      </c>
      <c r="F37" s="35"/>
      <c r="G37" s="277" t="s">
        <v>88</v>
      </c>
      <c r="H37" s="277"/>
      <c r="I37" s="12" t="s">
        <v>39</v>
      </c>
      <c r="J37" s="12" t="s">
        <v>40</v>
      </c>
      <c r="K37" s="12" t="s">
        <v>41</v>
      </c>
      <c r="L37" s="64" t="s">
        <v>42</v>
      </c>
      <c r="M37" s="13" t="s">
        <v>47</v>
      </c>
      <c r="N37" s="18"/>
      <c r="O37" s="278">
        <v>113626</v>
      </c>
      <c r="P37" s="15">
        <f t="shared" si="1"/>
        <v>113626</v>
      </c>
      <c r="Q37" s="73"/>
      <c r="R37" s="74"/>
      <c r="S37" s="75"/>
      <c r="T37" s="76"/>
      <c r="U37" s="77"/>
      <c r="V37" s="36"/>
      <c r="W37" s="37"/>
      <c r="X37" s="91"/>
      <c r="Y37" s="51"/>
      <c r="Z37" s="49"/>
    </row>
    <row r="38" spans="1:26" ht="13.5" hidden="1" customHeight="1" x14ac:dyDescent="0.25">
      <c r="A38" s="40"/>
      <c r="B38" s="11" t="s">
        <v>45</v>
      </c>
      <c r="C38" s="35" t="s">
        <v>36</v>
      </c>
      <c r="D38" s="35" t="s">
        <v>143</v>
      </c>
      <c r="E38" s="35">
        <v>2022</v>
      </c>
      <c r="F38" s="35"/>
      <c r="G38" s="47" t="s">
        <v>167</v>
      </c>
      <c r="H38" s="47" t="s">
        <v>168</v>
      </c>
      <c r="I38" s="12" t="s">
        <v>39</v>
      </c>
      <c r="J38" s="12" t="s">
        <v>66</v>
      </c>
      <c r="K38" s="12" t="s">
        <v>41</v>
      </c>
      <c r="L38" s="64" t="s">
        <v>42</v>
      </c>
      <c r="M38" s="13" t="s">
        <v>71</v>
      </c>
      <c r="N38" s="18"/>
      <c r="O38" s="36">
        <v>13333</v>
      </c>
      <c r="P38" s="15">
        <f t="shared" si="1"/>
        <v>13333</v>
      </c>
      <c r="Q38" s="73"/>
      <c r="R38" s="74"/>
      <c r="S38" s="75"/>
      <c r="T38" s="76"/>
      <c r="U38" s="77"/>
      <c r="V38" s="36"/>
      <c r="W38" s="37"/>
      <c r="X38" s="91"/>
      <c r="Y38" s="51"/>
      <c r="Z38" s="49"/>
    </row>
    <row r="39" spans="1:26" ht="13.5" customHeight="1" x14ac:dyDescent="0.25">
      <c r="A39" s="40"/>
      <c r="B39" s="11" t="s">
        <v>45</v>
      </c>
      <c r="C39" s="35" t="s">
        <v>36</v>
      </c>
      <c r="D39" s="35" t="s">
        <v>127</v>
      </c>
      <c r="E39" s="35">
        <v>2022</v>
      </c>
      <c r="F39" s="35"/>
      <c r="G39" s="277" t="s">
        <v>87</v>
      </c>
      <c r="H39" s="277"/>
      <c r="I39" s="12" t="s">
        <v>39</v>
      </c>
      <c r="J39" s="12" t="s">
        <v>40</v>
      </c>
      <c r="K39" s="12" t="s">
        <v>41</v>
      </c>
      <c r="L39" s="64" t="s">
        <v>42</v>
      </c>
      <c r="M39" s="13" t="s">
        <v>47</v>
      </c>
      <c r="N39" s="18"/>
      <c r="O39" s="278">
        <v>92299</v>
      </c>
      <c r="P39" s="15">
        <f t="shared" si="1"/>
        <v>92299</v>
      </c>
      <c r="Q39" s="73"/>
      <c r="R39" s="74"/>
      <c r="S39" s="75"/>
      <c r="T39" s="76"/>
      <c r="U39" s="77"/>
      <c r="V39" s="36"/>
      <c r="W39" s="37"/>
      <c r="X39" s="91"/>
      <c r="Y39" s="51"/>
      <c r="Z39" s="49"/>
    </row>
    <row r="40" spans="1:26" ht="13.5" hidden="1" customHeight="1" x14ac:dyDescent="0.25">
      <c r="A40" s="40"/>
      <c r="B40" s="11" t="s">
        <v>45</v>
      </c>
      <c r="C40" s="35" t="s">
        <v>36</v>
      </c>
      <c r="D40" s="35" t="s">
        <v>127</v>
      </c>
      <c r="E40" s="35">
        <v>2022</v>
      </c>
      <c r="F40" s="35"/>
      <c r="G40" s="47" t="s">
        <v>135</v>
      </c>
      <c r="H40" s="47"/>
      <c r="I40" s="12" t="s">
        <v>39</v>
      </c>
      <c r="J40" s="12" t="s">
        <v>40</v>
      </c>
      <c r="K40" s="12" t="s">
        <v>41</v>
      </c>
      <c r="L40" s="64" t="s">
        <v>42</v>
      </c>
      <c r="M40" s="13" t="s">
        <v>47</v>
      </c>
      <c r="N40" s="18"/>
      <c r="O40" s="36">
        <v>10000</v>
      </c>
      <c r="P40" s="15">
        <v>10000</v>
      </c>
      <c r="Q40" s="73"/>
      <c r="R40" s="74"/>
      <c r="S40" s="75"/>
      <c r="T40" s="76"/>
      <c r="U40" s="77"/>
      <c r="V40" s="36"/>
      <c r="W40" s="37"/>
      <c r="X40" s="91"/>
      <c r="Y40" s="51"/>
      <c r="Z40" s="49"/>
    </row>
    <row r="41" spans="1:26" ht="13.5" customHeight="1" x14ac:dyDescent="0.25">
      <c r="A41" s="40"/>
      <c r="B41" s="11" t="s">
        <v>45</v>
      </c>
      <c r="C41" s="35" t="s">
        <v>36</v>
      </c>
      <c r="D41" s="35" t="s">
        <v>127</v>
      </c>
      <c r="E41" s="35">
        <v>2022</v>
      </c>
      <c r="F41" s="35"/>
      <c r="G41" s="273" t="s">
        <v>140</v>
      </c>
      <c r="H41" s="273"/>
      <c r="I41" s="12" t="s">
        <v>39</v>
      </c>
      <c r="J41" s="12" t="s">
        <v>136</v>
      </c>
      <c r="K41" s="12" t="s">
        <v>41</v>
      </c>
      <c r="L41" s="64" t="s">
        <v>42</v>
      </c>
      <c r="M41" s="211" t="s">
        <v>141</v>
      </c>
      <c r="N41" s="18"/>
      <c r="O41" s="274">
        <v>142857</v>
      </c>
      <c r="P41" s="15">
        <v>142857</v>
      </c>
      <c r="Q41" s="73"/>
      <c r="R41" s="74"/>
      <c r="S41" s="75"/>
      <c r="T41" s="76"/>
      <c r="U41" s="77"/>
      <c r="V41" s="36"/>
      <c r="W41" s="37"/>
      <c r="X41" s="91"/>
      <c r="Y41" s="51"/>
      <c r="Z41" s="49"/>
    </row>
    <row r="42" spans="1:26" ht="13.5" customHeight="1" x14ac:dyDescent="0.25">
      <c r="A42" s="40"/>
      <c r="B42" s="11" t="s">
        <v>45</v>
      </c>
      <c r="C42" s="35" t="s">
        <v>36</v>
      </c>
      <c r="D42" s="35" t="s">
        <v>127</v>
      </c>
      <c r="E42" s="35">
        <v>2022</v>
      </c>
      <c r="F42" s="35"/>
      <c r="G42" s="277" t="s">
        <v>142</v>
      </c>
      <c r="H42" s="277"/>
      <c r="I42" s="12" t="s">
        <v>39</v>
      </c>
      <c r="J42" s="12" t="s">
        <v>136</v>
      </c>
      <c r="K42" s="12" t="s">
        <v>41</v>
      </c>
      <c r="L42" s="64" t="s">
        <v>42</v>
      </c>
      <c r="M42" s="211" t="s">
        <v>141</v>
      </c>
      <c r="N42" s="18"/>
      <c r="O42" s="278">
        <v>100000</v>
      </c>
      <c r="P42" s="15">
        <v>100000</v>
      </c>
      <c r="Q42" s="73"/>
      <c r="R42" s="74"/>
      <c r="S42" s="75"/>
      <c r="T42" s="76"/>
      <c r="U42" s="77"/>
      <c r="V42" s="36"/>
      <c r="W42" s="37"/>
      <c r="X42" s="91"/>
      <c r="Y42" s="51"/>
      <c r="Z42" s="49"/>
    </row>
    <row r="43" spans="1:26" ht="13.5" customHeight="1" x14ac:dyDescent="0.25">
      <c r="A43" s="40"/>
      <c r="B43" s="11" t="s">
        <v>48</v>
      </c>
      <c r="C43" s="35" t="s">
        <v>36</v>
      </c>
      <c r="D43" s="35" t="s">
        <v>127</v>
      </c>
      <c r="E43" s="35">
        <v>2022</v>
      </c>
      <c r="F43" s="35"/>
      <c r="G43" s="277" t="s">
        <v>49</v>
      </c>
      <c r="H43" s="277"/>
      <c r="I43" s="12" t="s">
        <v>39</v>
      </c>
      <c r="J43" s="12" t="s">
        <v>50</v>
      </c>
      <c r="K43" s="12" t="s">
        <v>41</v>
      </c>
      <c r="L43" s="64" t="s">
        <v>42</v>
      </c>
      <c r="M43" s="13" t="s">
        <v>47</v>
      </c>
      <c r="N43" s="18"/>
      <c r="O43" s="278">
        <v>115000</v>
      </c>
      <c r="P43" s="15">
        <f>+O43</f>
        <v>115000</v>
      </c>
      <c r="Q43" s="73"/>
      <c r="R43" s="74"/>
      <c r="S43" s="75"/>
      <c r="T43" s="76"/>
      <c r="U43" s="77"/>
      <c r="V43" s="36"/>
      <c r="W43" s="37"/>
      <c r="X43" s="91"/>
      <c r="Y43" s="51"/>
      <c r="Z43" s="49"/>
    </row>
    <row r="44" spans="1:26" ht="13.5" hidden="1" customHeight="1" x14ac:dyDescent="0.25">
      <c r="A44" s="40"/>
      <c r="B44" s="11" t="s">
        <v>48</v>
      </c>
      <c r="C44" s="35" t="s">
        <v>36</v>
      </c>
      <c r="D44" s="35" t="s">
        <v>143</v>
      </c>
      <c r="E44" s="35">
        <v>2022</v>
      </c>
      <c r="F44" s="35"/>
      <c r="G44" s="47" t="s">
        <v>169</v>
      </c>
      <c r="H44" s="47"/>
      <c r="I44" s="12" t="s">
        <v>39</v>
      </c>
      <c r="J44" s="12" t="s">
        <v>66</v>
      </c>
      <c r="K44" s="12" t="s">
        <v>41</v>
      </c>
      <c r="L44" s="64" t="s">
        <v>42</v>
      </c>
      <c r="M44" s="13" t="s">
        <v>71</v>
      </c>
      <c r="N44" s="18"/>
      <c r="O44" s="36">
        <v>15000</v>
      </c>
      <c r="P44" s="15">
        <f>+O44</f>
        <v>15000</v>
      </c>
      <c r="Q44" s="73"/>
      <c r="R44" s="74"/>
      <c r="S44" s="75"/>
      <c r="T44" s="76"/>
      <c r="U44" s="77"/>
      <c r="V44" s="36"/>
      <c r="W44" s="37"/>
      <c r="X44" s="91"/>
      <c r="Y44" s="51"/>
      <c r="Z44" s="49"/>
    </row>
    <row r="45" spans="1:26" ht="13.5" hidden="1" customHeight="1" x14ac:dyDescent="0.25">
      <c r="A45" s="40"/>
      <c r="B45" s="11" t="s">
        <v>48</v>
      </c>
      <c r="C45" s="35" t="s">
        <v>36</v>
      </c>
      <c r="D45" s="35" t="s">
        <v>143</v>
      </c>
      <c r="E45" s="35">
        <v>2022</v>
      </c>
      <c r="F45" s="35"/>
      <c r="G45" s="47" t="s">
        <v>170</v>
      </c>
      <c r="H45" s="47" t="s">
        <v>171</v>
      </c>
      <c r="I45" s="12" t="s">
        <v>39</v>
      </c>
      <c r="J45" s="12" t="s">
        <v>66</v>
      </c>
      <c r="K45" s="12" t="s">
        <v>41</v>
      </c>
      <c r="L45" s="64" t="s">
        <v>42</v>
      </c>
      <c r="M45" s="13" t="s">
        <v>71</v>
      </c>
      <c r="N45" s="18"/>
      <c r="O45" s="36">
        <v>5000</v>
      </c>
      <c r="P45" s="15">
        <f>+O45</f>
        <v>5000</v>
      </c>
      <c r="Q45" s="73"/>
      <c r="R45" s="74"/>
      <c r="S45" s="75"/>
      <c r="T45" s="76"/>
      <c r="U45" s="77"/>
      <c r="V45" s="36"/>
      <c r="W45" s="37"/>
      <c r="X45" s="91"/>
      <c r="Y45" s="51"/>
      <c r="Z45" s="49"/>
    </row>
    <row r="46" spans="1:26" ht="13.5" customHeight="1" x14ac:dyDescent="0.25">
      <c r="A46" s="40"/>
      <c r="B46" s="11" t="s">
        <v>48</v>
      </c>
      <c r="C46" s="35" t="s">
        <v>36</v>
      </c>
      <c r="D46" s="35" t="s">
        <v>143</v>
      </c>
      <c r="E46" s="35">
        <v>2022</v>
      </c>
      <c r="F46" s="35"/>
      <c r="G46" s="47" t="s">
        <v>173</v>
      </c>
      <c r="H46" s="47" t="s">
        <v>99</v>
      </c>
      <c r="I46" s="12" t="s">
        <v>39</v>
      </c>
      <c r="J46" s="12" t="s">
        <v>40</v>
      </c>
      <c r="K46" s="12" t="s">
        <v>41</v>
      </c>
      <c r="L46" s="64" t="s">
        <v>42</v>
      </c>
      <c r="M46" s="13" t="s">
        <v>47</v>
      </c>
      <c r="N46" s="18"/>
      <c r="O46" s="36">
        <v>40000</v>
      </c>
      <c r="P46" s="15">
        <f>+O46</f>
        <v>40000</v>
      </c>
      <c r="Q46" s="73"/>
      <c r="R46" s="74"/>
      <c r="S46" s="75"/>
      <c r="T46" s="76"/>
      <c r="U46" s="77"/>
      <c r="V46" s="36"/>
      <c r="W46" s="37"/>
      <c r="X46" s="91"/>
      <c r="Y46" s="51"/>
      <c r="Z46" s="49"/>
    </row>
    <row r="47" spans="1:26" ht="13.5" hidden="1" customHeight="1" x14ac:dyDescent="0.25">
      <c r="A47" s="40"/>
      <c r="B47" s="11" t="s">
        <v>48</v>
      </c>
      <c r="C47" s="35" t="s">
        <v>36</v>
      </c>
      <c r="D47" s="35" t="s">
        <v>143</v>
      </c>
      <c r="E47" s="35">
        <v>2022</v>
      </c>
      <c r="F47" s="35"/>
      <c r="G47" s="47" t="s">
        <v>174</v>
      </c>
      <c r="H47" s="47" t="s">
        <v>175</v>
      </c>
      <c r="I47" s="12" t="s">
        <v>39</v>
      </c>
      <c r="J47" s="12" t="s">
        <v>158</v>
      </c>
      <c r="K47" s="12" t="s">
        <v>41</v>
      </c>
      <c r="L47" s="64" t="s">
        <v>42</v>
      </c>
      <c r="M47" s="13" t="s">
        <v>149</v>
      </c>
      <c r="N47" s="18"/>
      <c r="O47" s="36">
        <v>10000</v>
      </c>
      <c r="P47" s="15">
        <v>10000</v>
      </c>
      <c r="Q47" s="73"/>
      <c r="R47" s="74"/>
      <c r="S47" s="75"/>
      <c r="T47" s="76"/>
      <c r="U47" s="77"/>
      <c r="V47" s="36"/>
      <c r="W47" s="37"/>
      <c r="X47" s="91"/>
      <c r="Y47" s="51"/>
      <c r="Z47" s="49"/>
    </row>
    <row r="48" spans="1:26" ht="13.5" hidden="1" customHeight="1" x14ac:dyDescent="0.25">
      <c r="A48" s="40"/>
      <c r="B48" s="19" t="s">
        <v>82</v>
      </c>
      <c r="C48" s="35" t="s">
        <v>36</v>
      </c>
      <c r="D48" s="35" t="s">
        <v>143</v>
      </c>
      <c r="E48" s="35">
        <v>2022</v>
      </c>
      <c r="F48" s="35"/>
      <c r="G48" s="47" t="s">
        <v>110</v>
      </c>
      <c r="H48" s="47"/>
      <c r="I48" s="12" t="s">
        <v>39</v>
      </c>
      <c r="J48" s="12" t="s">
        <v>66</v>
      </c>
      <c r="K48" s="12" t="s">
        <v>41</v>
      </c>
      <c r="L48" s="64" t="s">
        <v>42</v>
      </c>
      <c r="M48" s="13" t="s">
        <v>71</v>
      </c>
      <c r="N48" s="18"/>
      <c r="O48" s="36">
        <v>5000</v>
      </c>
      <c r="P48" s="15">
        <f t="shared" ref="P48:P57" si="2">+O48</f>
        <v>5000</v>
      </c>
      <c r="Q48" s="73"/>
      <c r="R48" s="74"/>
      <c r="S48" s="75"/>
      <c r="T48" s="76"/>
      <c r="U48" s="77"/>
      <c r="V48" s="36"/>
      <c r="W48" s="37"/>
      <c r="X48" s="91"/>
      <c r="Y48" s="51"/>
      <c r="Z48" s="49"/>
    </row>
    <row r="49" spans="1:26" ht="13.5" customHeight="1" x14ac:dyDescent="0.25">
      <c r="A49" s="40"/>
      <c r="B49" s="19" t="s">
        <v>82</v>
      </c>
      <c r="C49" s="35" t="s">
        <v>36</v>
      </c>
      <c r="D49" s="35" t="s">
        <v>143</v>
      </c>
      <c r="E49" s="35">
        <v>2022</v>
      </c>
      <c r="F49" s="35"/>
      <c r="G49" s="47" t="s">
        <v>83</v>
      </c>
      <c r="H49" s="47"/>
      <c r="I49" s="12" t="s">
        <v>39</v>
      </c>
      <c r="J49" s="12" t="s">
        <v>40</v>
      </c>
      <c r="K49" s="12" t="s">
        <v>41</v>
      </c>
      <c r="L49" s="64" t="s">
        <v>42</v>
      </c>
      <c r="M49" s="13" t="s">
        <v>47</v>
      </c>
      <c r="N49" s="18"/>
      <c r="O49" s="36">
        <v>50000</v>
      </c>
      <c r="P49" s="15">
        <f t="shared" si="2"/>
        <v>50000</v>
      </c>
      <c r="Q49" s="73"/>
      <c r="R49" s="74"/>
      <c r="S49" s="75"/>
      <c r="T49" s="76"/>
      <c r="U49" s="77"/>
      <c r="V49" s="36"/>
      <c r="W49" s="37"/>
      <c r="X49" s="91"/>
      <c r="Y49" s="51"/>
      <c r="Z49" s="49"/>
    </row>
    <row r="50" spans="1:26" ht="13.5" hidden="1" customHeight="1" x14ac:dyDescent="0.25">
      <c r="A50" s="40"/>
      <c r="B50" s="19" t="s">
        <v>82</v>
      </c>
      <c r="C50" s="35" t="s">
        <v>36</v>
      </c>
      <c r="D50" s="35" t="s">
        <v>143</v>
      </c>
      <c r="E50" s="35">
        <v>2022</v>
      </c>
      <c r="F50" s="35"/>
      <c r="G50" s="47" t="s">
        <v>176</v>
      </c>
      <c r="H50" s="47" t="s">
        <v>177</v>
      </c>
      <c r="I50" s="12" t="s">
        <v>39</v>
      </c>
      <c r="J50" s="12" t="s">
        <v>158</v>
      </c>
      <c r="K50" s="12" t="s">
        <v>41</v>
      </c>
      <c r="L50" s="64" t="s">
        <v>42</v>
      </c>
      <c r="M50" s="13" t="s">
        <v>149</v>
      </c>
      <c r="N50" s="18"/>
      <c r="O50" s="36">
        <v>10000</v>
      </c>
      <c r="P50" s="15">
        <f t="shared" si="2"/>
        <v>10000</v>
      </c>
      <c r="Q50" s="73"/>
      <c r="R50" s="74"/>
      <c r="S50" s="75"/>
      <c r="T50" s="76"/>
      <c r="U50" s="77"/>
      <c r="V50" s="36"/>
      <c r="W50" s="37"/>
      <c r="X50" s="91"/>
      <c r="Y50" s="51"/>
      <c r="Z50" s="49"/>
    </row>
    <row r="51" spans="1:26" ht="13.5" hidden="1" customHeight="1" x14ac:dyDescent="0.25">
      <c r="A51" s="40"/>
      <c r="B51" s="11" t="s">
        <v>105</v>
      </c>
      <c r="C51" s="35" t="s">
        <v>36</v>
      </c>
      <c r="D51" s="35" t="s">
        <v>143</v>
      </c>
      <c r="E51" s="35">
        <v>2022</v>
      </c>
      <c r="F51" s="35"/>
      <c r="G51" s="47" t="s">
        <v>106</v>
      </c>
      <c r="H51" s="47"/>
      <c r="I51" s="12" t="s">
        <v>39</v>
      </c>
      <c r="J51" s="12" t="s">
        <v>40</v>
      </c>
      <c r="K51" s="12" t="s">
        <v>41</v>
      </c>
      <c r="L51" s="64" t="s">
        <v>42</v>
      </c>
      <c r="M51" s="13" t="s">
        <v>47</v>
      </c>
      <c r="N51" s="18"/>
      <c r="O51" s="36">
        <v>20000</v>
      </c>
      <c r="P51" s="15">
        <f t="shared" si="2"/>
        <v>20000</v>
      </c>
      <c r="Q51" s="73"/>
      <c r="R51" s="74"/>
      <c r="S51" s="75"/>
      <c r="T51" s="76"/>
      <c r="U51" s="77"/>
      <c r="V51" s="36"/>
      <c r="W51" s="37"/>
      <c r="X51" s="91"/>
      <c r="Y51" s="51"/>
      <c r="Z51" s="49"/>
    </row>
    <row r="52" spans="1:26" ht="13.5" hidden="1" customHeight="1" x14ac:dyDescent="0.25">
      <c r="A52" s="40"/>
      <c r="B52" s="11" t="s">
        <v>105</v>
      </c>
      <c r="C52" s="35" t="s">
        <v>36</v>
      </c>
      <c r="D52" s="35" t="s">
        <v>143</v>
      </c>
      <c r="E52" s="35">
        <v>2022</v>
      </c>
      <c r="F52" s="35"/>
      <c r="G52" s="47" t="s">
        <v>178</v>
      </c>
      <c r="H52" s="47" t="s">
        <v>107</v>
      </c>
      <c r="I52" s="12" t="s">
        <v>39</v>
      </c>
      <c r="J52" s="12" t="s">
        <v>40</v>
      </c>
      <c r="K52" s="12" t="s">
        <v>41</v>
      </c>
      <c r="L52" s="64" t="s">
        <v>42</v>
      </c>
      <c r="M52" s="13" t="s">
        <v>47</v>
      </c>
      <c r="N52" s="18"/>
      <c r="O52" s="36">
        <v>15000</v>
      </c>
      <c r="P52" s="15">
        <f t="shared" si="2"/>
        <v>15000</v>
      </c>
      <c r="Q52" s="73"/>
      <c r="R52" s="74"/>
      <c r="S52" s="75"/>
      <c r="T52" s="76"/>
      <c r="U52" s="77"/>
      <c r="V52" s="36"/>
      <c r="W52" s="37"/>
      <c r="X52" s="91"/>
      <c r="Y52" s="51"/>
      <c r="Z52" s="49"/>
    </row>
    <row r="53" spans="1:26" ht="13.5" customHeight="1" x14ac:dyDescent="0.25">
      <c r="A53" s="40"/>
      <c r="B53" s="19" t="s">
        <v>84</v>
      </c>
      <c r="C53" s="35" t="s">
        <v>36</v>
      </c>
      <c r="D53" s="35" t="s">
        <v>143</v>
      </c>
      <c r="E53" s="35">
        <v>2022</v>
      </c>
      <c r="F53" s="35"/>
      <c r="G53" s="47" t="s">
        <v>85</v>
      </c>
      <c r="H53" s="47" t="s">
        <v>179</v>
      </c>
      <c r="I53" s="12" t="s">
        <v>39</v>
      </c>
      <c r="J53" s="12" t="s">
        <v>40</v>
      </c>
      <c r="K53" s="12" t="s">
        <v>41</v>
      </c>
      <c r="L53" s="64" t="s">
        <v>42</v>
      </c>
      <c r="M53" s="13" t="s">
        <v>47</v>
      </c>
      <c r="N53" s="18"/>
      <c r="O53" s="36">
        <v>40000</v>
      </c>
      <c r="P53" s="15">
        <f t="shared" si="2"/>
        <v>40000</v>
      </c>
      <c r="Q53" s="73"/>
      <c r="R53" s="74"/>
      <c r="S53" s="75"/>
      <c r="T53" s="76"/>
      <c r="U53" s="77"/>
      <c r="V53" s="36"/>
      <c r="W53" s="37"/>
      <c r="X53" s="91"/>
      <c r="Y53" s="51"/>
      <c r="Z53" s="49"/>
    </row>
    <row r="54" spans="1:26" ht="13.5" hidden="1" customHeight="1" x14ac:dyDescent="0.25">
      <c r="A54" s="40"/>
      <c r="B54" s="66" t="s">
        <v>95</v>
      </c>
      <c r="C54" s="35" t="s">
        <v>36</v>
      </c>
      <c r="D54" s="35" t="s">
        <v>143</v>
      </c>
      <c r="E54" s="35">
        <v>2022</v>
      </c>
      <c r="F54" s="35"/>
      <c r="G54" s="47" t="s">
        <v>112</v>
      </c>
      <c r="H54" s="47" t="s">
        <v>180</v>
      </c>
      <c r="I54" s="12" t="s">
        <v>39</v>
      </c>
      <c r="J54" s="12" t="s">
        <v>40</v>
      </c>
      <c r="K54" s="12" t="s">
        <v>41</v>
      </c>
      <c r="L54" s="64" t="s">
        <v>42</v>
      </c>
      <c r="M54" s="13" t="s">
        <v>47</v>
      </c>
      <c r="N54" s="18"/>
      <c r="O54" s="36">
        <v>20000</v>
      </c>
      <c r="P54" s="15">
        <f t="shared" si="2"/>
        <v>20000</v>
      </c>
      <c r="Q54" s="73"/>
      <c r="R54" s="74"/>
      <c r="S54" s="75"/>
      <c r="T54" s="76"/>
      <c r="U54" s="77"/>
      <c r="V54" s="36"/>
      <c r="W54" s="37"/>
      <c r="X54" s="91"/>
      <c r="Y54" s="51"/>
      <c r="Z54" s="49"/>
    </row>
    <row r="55" spans="1:26" ht="13.5" hidden="1" customHeight="1" x14ac:dyDescent="0.25">
      <c r="A55" s="40"/>
      <c r="B55" s="66" t="s">
        <v>95</v>
      </c>
      <c r="C55" s="35" t="s">
        <v>36</v>
      </c>
      <c r="D55" s="35" t="s">
        <v>143</v>
      </c>
      <c r="E55" s="35">
        <v>2022</v>
      </c>
      <c r="F55" s="35"/>
      <c r="G55" s="47" t="s">
        <v>96</v>
      </c>
      <c r="H55" s="47" t="s">
        <v>181</v>
      </c>
      <c r="I55" s="12" t="s">
        <v>39</v>
      </c>
      <c r="J55" s="12" t="s">
        <v>40</v>
      </c>
      <c r="K55" s="12" t="s">
        <v>41</v>
      </c>
      <c r="L55" s="64" t="s">
        <v>42</v>
      </c>
      <c r="M55" s="13" t="s">
        <v>47</v>
      </c>
      <c r="N55" s="18"/>
      <c r="O55" s="36">
        <v>20000</v>
      </c>
      <c r="P55" s="15">
        <f t="shared" si="2"/>
        <v>20000</v>
      </c>
      <c r="Q55" s="73"/>
      <c r="R55" s="74"/>
      <c r="S55" s="75"/>
      <c r="T55" s="76"/>
      <c r="U55" s="77"/>
      <c r="V55" s="36"/>
      <c r="W55" s="37"/>
      <c r="X55" s="91"/>
      <c r="Y55" s="51"/>
      <c r="Z55" s="49"/>
    </row>
    <row r="56" spans="1:26" ht="13.5" hidden="1" customHeight="1" x14ac:dyDescent="0.25">
      <c r="A56" s="40"/>
      <c r="B56" s="11" t="s">
        <v>182</v>
      </c>
      <c r="C56" s="35" t="s">
        <v>36</v>
      </c>
      <c r="D56" s="35" t="s">
        <v>143</v>
      </c>
      <c r="E56" s="35">
        <v>2022</v>
      </c>
      <c r="F56" s="35"/>
      <c r="G56" s="47" t="s">
        <v>109</v>
      </c>
      <c r="H56" s="47" t="s">
        <v>183</v>
      </c>
      <c r="I56" s="12" t="s">
        <v>39</v>
      </c>
      <c r="J56" s="12" t="s">
        <v>40</v>
      </c>
      <c r="K56" s="12" t="s">
        <v>41</v>
      </c>
      <c r="L56" s="64" t="s">
        <v>42</v>
      </c>
      <c r="M56" s="13" t="s">
        <v>47</v>
      </c>
      <c r="N56" s="18"/>
      <c r="O56" s="36">
        <v>15000</v>
      </c>
      <c r="P56" s="15">
        <f t="shared" si="2"/>
        <v>15000</v>
      </c>
      <c r="Q56" s="73"/>
      <c r="R56" s="74"/>
      <c r="S56" s="75"/>
      <c r="T56" s="76"/>
      <c r="U56" s="77"/>
      <c r="V56" s="36"/>
      <c r="W56" s="37"/>
      <c r="X56" s="91"/>
      <c r="Y56" s="51"/>
      <c r="Z56" s="49"/>
    </row>
    <row r="57" spans="1:26" ht="13.5" hidden="1" customHeight="1" x14ac:dyDescent="0.25">
      <c r="A57" s="40"/>
      <c r="B57" s="11" t="s">
        <v>242</v>
      </c>
      <c r="C57" s="35" t="s">
        <v>36</v>
      </c>
      <c r="D57" s="35" t="s">
        <v>143</v>
      </c>
      <c r="E57" s="35">
        <v>2022</v>
      </c>
      <c r="F57" s="35"/>
      <c r="G57" s="47" t="s">
        <v>243</v>
      </c>
      <c r="H57" s="47"/>
      <c r="I57" s="12" t="s">
        <v>39</v>
      </c>
      <c r="J57" s="12" t="s">
        <v>40</v>
      </c>
      <c r="K57" s="12" t="s">
        <v>41</v>
      </c>
      <c r="L57" s="64" t="s">
        <v>42</v>
      </c>
      <c r="M57" s="13" t="s">
        <v>47</v>
      </c>
      <c r="N57" s="18"/>
      <c r="O57" s="36">
        <v>10000</v>
      </c>
      <c r="P57" s="15">
        <f t="shared" si="2"/>
        <v>10000</v>
      </c>
      <c r="Q57" s="73"/>
      <c r="R57" s="74"/>
      <c r="S57" s="75"/>
      <c r="T57" s="76"/>
      <c r="U57" s="77"/>
      <c r="V57" s="36"/>
      <c r="W57" s="37"/>
      <c r="X57" s="91"/>
      <c r="Y57" s="51"/>
      <c r="Z57" s="49"/>
    </row>
    <row r="58" spans="1:26" ht="13.5" hidden="1" customHeight="1" x14ac:dyDescent="0.25">
      <c r="A58" s="40"/>
      <c r="B58" s="11" t="s">
        <v>204</v>
      </c>
      <c r="C58" s="35" t="s">
        <v>205</v>
      </c>
      <c r="D58" s="35" t="s">
        <v>143</v>
      </c>
      <c r="E58" s="35">
        <v>2022</v>
      </c>
      <c r="F58" s="35"/>
      <c r="G58" s="47" t="s">
        <v>225</v>
      </c>
      <c r="H58" s="47"/>
      <c r="I58" s="12" t="s">
        <v>226</v>
      </c>
      <c r="J58" s="12" t="s">
        <v>227</v>
      </c>
      <c r="K58" s="12" t="s">
        <v>56</v>
      </c>
      <c r="L58" s="64" t="s">
        <v>57</v>
      </c>
      <c r="M58" s="13" t="s">
        <v>149</v>
      </c>
      <c r="N58" s="18"/>
      <c r="O58" s="36">
        <v>4400</v>
      </c>
      <c r="P58" s="15">
        <v>3300</v>
      </c>
      <c r="Q58" s="73"/>
      <c r="R58" s="74"/>
      <c r="S58" s="75"/>
      <c r="T58" s="76"/>
      <c r="U58" s="77"/>
      <c r="V58" s="36"/>
      <c r="W58" s="37"/>
      <c r="X58" s="91"/>
      <c r="Y58" s="51"/>
      <c r="Z58" s="49"/>
    </row>
    <row r="59" spans="1:26" ht="13.5" hidden="1" customHeight="1" x14ac:dyDescent="0.25">
      <c r="A59" s="40"/>
      <c r="B59" s="11" t="s">
        <v>204</v>
      </c>
      <c r="C59" s="35" t="s">
        <v>205</v>
      </c>
      <c r="D59" s="35" t="s">
        <v>143</v>
      </c>
      <c r="E59" s="35">
        <v>2022</v>
      </c>
      <c r="F59" s="35"/>
      <c r="G59" s="47" t="s">
        <v>228</v>
      </c>
      <c r="H59" s="47"/>
      <c r="I59" s="12" t="s">
        <v>229</v>
      </c>
      <c r="J59" s="12" t="s">
        <v>227</v>
      </c>
      <c r="K59" s="12" t="s">
        <v>56</v>
      </c>
      <c r="L59" s="64" t="s">
        <v>57</v>
      </c>
      <c r="M59" s="13" t="s">
        <v>149</v>
      </c>
      <c r="N59" s="18"/>
      <c r="O59" s="36">
        <v>9066.6666666666661</v>
      </c>
      <c r="P59" s="15">
        <v>6800</v>
      </c>
      <c r="Q59" s="73"/>
      <c r="R59" s="74"/>
      <c r="S59" s="75"/>
      <c r="T59" s="76"/>
      <c r="U59" s="77"/>
      <c r="V59" s="36"/>
      <c r="W59" s="37"/>
      <c r="X59" s="91"/>
      <c r="Y59" s="51"/>
      <c r="Z59" s="49"/>
    </row>
    <row r="60" spans="1:26" ht="13.5" customHeight="1" x14ac:dyDescent="0.25">
      <c r="A60" s="40"/>
      <c r="B60" s="11" t="s">
        <v>204</v>
      </c>
      <c r="C60" s="35" t="s">
        <v>205</v>
      </c>
      <c r="D60" s="35"/>
      <c r="E60" s="35">
        <v>2022</v>
      </c>
      <c r="F60" s="35"/>
      <c r="G60" s="47" t="s">
        <v>206</v>
      </c>
      <c r="H60" s="47"/>
      <c r="I60" s="12" t="s">
        <v>207</v>
      </c>
      <c r="J60" s="12" t="s">
        <v>40</v>
      </c>
      <c r="K60" s="12" t="s">
        <v>56</v>
      </c>
      <c r="L60" s="64" t="s">
        <v>57</v>
      </c>
      <c r="M60" s="13" t="s">
        <v>149</v>
      </c>
      <c r="N60" s="18"/>
      <c r="O60" s="36">
        <v>21733.333333333332</v>
      </c>
      <c r="P60" s="15">
        <v>16300</v>
      </c>
      <c r="Q60" s="73"/>
      <c r="R60" s="74"/>
      <c r="S60" s="75"/>
      <c r="T60" s="76"/>
      <c r="U60" s="77"/>
      <c r="V60" s="36"/>
      <c r="W60" s="37"/>
      <c r="X60" s="91"/>
      <c r="Y60" s="51"/>
      <c r="Z60" s="49"/>
    </row>
    <row r="61" spans="1:26" ht="13.5" hidden="1" customHeight="1" x14ac:dyDescent="0.25">
      <c r="A61" s="40"/>
      <c r="B61" s="11" t="s">
        <v>204</v>
      </c>
      <c r="C61" s="35" t="s">
        <v>205</v>
      </c>
      <c r="D61" s="35" t="s">
        <v>143</v>
      </c>
      <c r="E61" s="35">
        <v>2022</v>
      </c>
      <c r="F61" s="35"/>
      <c r="G61" s="47" t="s">
        <v>230</v>
      </c>
      <c r="H61" s="47"/>
      <c r="I61" s="12" t="s">
        <v>226</v>
      </c>
      <c r="J61" s="12" t="s">
        <v>66</v>
      </c>
      <c r="K61" s="12" t="s">
        <v>56</v>
      </c>
      <c r="L61" s="64" t="s">
        <v>57</v>
      </c>
      <c r="M61" s="13" t="s">
        <v>149</v>
      </c>
      <c r="N61" s="18"/>
      <c r="O61" s="36">
        <v>1466.6666666666667</v>
      </c>
      <c r="P61" s="15">
        <v>1100</v>
      </c>
      <c r="Q61" s="73"/>
      <c r="R61" s="74"/>
      <c r="S61" s="75"/>
      <c r="T61" s="76"/>
      <c r="U61" s="77"/>
      <c r="V61" s="36"/>
      <c r="W61" s="37"/>
      <c r="X61" s="91"/>
      <c r="Y61" s="51"/>
      <c r="Z61" s="49"/>
    </row>
    <row r="62" spans="1:26" ht="13.5" hidden="1" customHeight="1" x14ac:dyDescent="0.25">
      <c r="A62" s="40"/>
      <c r="B62" s="19" t="s">
        <v>204</v>
      </c>
      <c r="C62" s="35" t="s">
        <v>205</v>
      </c>
      <c r="D62" s="35" t="s">
        <v>143</v>
      </c>
      <c r="E62" s="35">
        <v>2022</v>
      </c>
      <c r="F62" s="35"/>
      <c r="G62" s="47" t="s">
        <v>231</v>
      </c>
      <c r="H62" s="47"/>
      <c r="I62" s="12" t="s">
        <v>229</v>
      </c>
      <c r="J62" s="12" t="s">
        <v>40</v>
      </c>
      <c r="K62" s="12" t="s">
        <v>56</v>
      </c>
      <c r="L62" s="64" t="s">
        <v>57</v>
      </c>
      <c r="M62" s="13" t="s">
        <v>149</v>
      </c>
      <c r="N62" s="18"/>
      <c r="O62" s="36">
        <v>6533.333333333333</v>
      </c>
      <c r="P62" s="15">
        <v>4900</v>
      </c>
      <c r="Q62" s="73"/>
      <c r="R62" s="74"/>
      <c r="S62" s="75"/>
      <c r="T62" s="76"/>
      <c r="U62" s="77"/>
      <c r="V62" s="36"/>
      <c r="W62" s="37"/>
      <c r="X62" s="91"/>
      <c r="Y62" s="51"/>
      <c r="Z62" s="49"/>
    </row>
    <row r="63" spans="1:26" ht="13.5" customHeight="1" x14ac:dyDescent="0.25">
      <c r="A63" s="40"/>
      <c r="B63" s="11" t="s">
        <v>208</v>
      </c>
      <c r="C63" s="35" t="s">
        <v>205</v>
      </c>
      <c r="D63" s="35"/>
      <c r="E63" s="35">
        <v>2022</v>
      </c>
      <c r="F63" s="35"/>
      <c r="G63" s="47" t="s">
        <v>210</v>
      </c>
      <c r="H63" s="47"/>
      <c r="I63" s="12" t="s">
        <v>306</v>
      </c>
      <c r="J63" s="12"/>
      <c r="K63" s="12" t="s">
        <v>56</v>
      </c>
      <c r="L63" s="64" t="s">
        <v>249</v>
      </c>
      <c r="M63" s="13"/>
      <c r="N63" s="18"/>
      <c r="O63" s="36">
        <v>32000</v>
      </c>
      <c r="P63" s="15">
        <v>24000</v>
      </c>
      <c r="Q63" s="73"/>
      <c r="R63" s="74"/>
      <c r="S63" s="75"/>
      <c r="T63" s="76"/>
      <c r="U63" s="77"/>
      <c r="V63" s="36"/>
      <c r="W63" s="37"/>
      <c r="X63" s="91"/>
      <c r="Y63" s="51"/>
      <c r="Z63" s="49"/>
    </row>
    <row r="64" spans="1:26" x14ac:dyDescent="0.25">
      <c r="O64" s="26">
        <f>SUM(O7:O63)</f>
        <v>3602348</v>
      </c>
      <c r="P64" s="26">
        <f>SUM(P7:P63)</f>
        <v>3562380</v>
      </c>
    </row>
    <row r="72" spans="2:5" x14ac:dyDescent="0.25">
      <c r="B72" t="s">
        <v>185</v>
      </c>
    </row>
    <row r="73" spans="2:5" x14ac:dyDescent="0.25">
      <c r="B73" s="19" t="s">
        <v>186</v>
      </c>
      <c r="C73" s="44" t="s">
        <v>187</v>
      </c>
      <c r="D73" s="44"/>
      <c r="E73" s="210">
        <v>8000</v>
      </c>
    </row>
    <row r="74" spans="2:5" x14ac:dyDescent="0.25">
      <c r="B74" s="11" t="s">
        <v>186</v>
      </c>
      <c r="C74" s="44" t="s">
        <v>188</v>
      </c>
      <c r="D74" s="44"/>
      <c r="E74" s="210">
        <v>0</v>
      </c>
    </row>
    <row r="75" spans="2:5" x14ac:dyDescent="0.25">
      <c r="B75" s="11" t="s">
        <v>186</v>
      </c>
      <c r="C75" s="44" t="s">
        <v>189</v>
      </c>
      <c r="D75" s="44"/>
      <c r="E75" s="210">
        <v>30000</v>
      </c>
    </row>
    <row r="76" spans="2:5" x14ac:dyDescent="0.25">
      <c r="B76" s="19" t="s">
        <v>186</v>
      </c>
      <c r="C76" s="44" t="s">
        <v>190</v>
      </c>
      <c r="D76" s="44" t="s">
        <v>191</v>
      </c>
      <c r="E76" s="210">
        <v>700000</v>
      </c>
    </row>
    <row r="77" spans="2:5" x14ac:dyDescent="0.25">
      <c r="B77" s="66" t="s">
        <v>186</v>
      </c>
      <c r="C77" s="44" t="s">
        <v>192</v>
      </c>
      <c r="D77" s="44" t="s">
        <v>193</v>
      </c>
      <c r="E77" s="210">
        <v>10000</v>
      </c>
    </row>
    <row r="78" spans="2:5" x14ac:dyDescent="0.25">
      <c r="B78" s="66" t="s">
        <v>186</v>
      </c>
      <c r="C78" s="44" t="s">
        <v>194</v>
      </c>
      <c r="D78" s="44" t="s">
        <v>195</v>
      </c>
      <c r="E78" s="210">
        <v>10000</v>
      </c>
    </row>
  </sheetData>
  <autoFilter ref="B5:Z63" xr:uid="{4410091C-2170-42F3-BAD6-E1D32F7EFF69}">
    <filterColumn colId="13">
      <filters blank="1">
        <filter val="100.000"/>
        <filter val="113.626"/>
        <filter val="115.000"/>
        <filter val="128.571"/>
        <filter val="142.105"/>
        <filter val="142.857"/>
        <filter val="160.000"/>
        <filter val="180.000"/>
        <filter val="200.334"/>
        <filter val="209.997"/>
        <filter val="21.212"/>
        <filter val="21.733"/>
        <filter val="211.314"/>
        <filter val="22.667"/>
        <filter val="23.467"/>
        <filter val="32.000"/>
        <filter val="33.333"/>
        <filter val="378.562"/>
        <filter val="39.792"/>
        <filter val="40.000"/>
        <filter val="455.000"/>
        <filter val="50.000"/>
        <filter val="79.070"/>
        <filter val="92.299"/>
        <filter val="93.023"/>
        <filter val="93.392"/>
      </filters>
    </filterColumn>
  </autoFilter>
  <conditionalFormatting sqref="N57:N62 M43:N56 M6:N40">
    <cfRule type="containsText" dxfId="58" priority="30" operator="containsText" text="Naranja">
      <formula>NOT(ISERROR(SEARCH("Naranja",M6)))</formula>
    </cfRule>
  </conditionalFormatting>
  <conditionalFormatting sqref="N57:N62 M43:N56 M6:N40">
    <cfRule type="containsText" dxfId="57" priority="29" operator="containsText" text="Verde">
      <formula>NOT(ISERROR(SEARCH("Verde",M6)))</formula>
    </cfRule>
  </conditionalFormatting>
  <conditionalFormatting sqref="N57:N62 M43:N56 M6:N40">
    <cfRule type="containsText" dxfId="56" priority="28" operator="containsText" text="Rojo">
      <formula>NOT(ISERROR(SEARCH("Rojo",M6)))</formula>
    </cfRule>
  </conditionalFormatting>
  <conditionalFormatting sqref="M6">
    <cfRule type="containsText" dxfId="55" priority="27" operator="containsText" text="Naranja">
      <formula>NOT(ISERROR(SEARCH("Naranja",M6)))</formula>
    </cfRule>
  </conditionalFormatting>
  <conditionalFormatting sqref="M6">
    <cfRule type="containsText" dxfId="54" priority="26" operator="containsText" text="Verde">
      <formula>NOT(ISERROR(SEARCH("Verde",M6)))</formula>
    </cfRule>
  </conditionalFormatting>
  <conditionalFormatting sqref="M6">
    <cfRule type="containsText" dxfId="53" priority="25" operator="containsText" text="Rojo">
      <formula>NOT(ISERROR(SEARCH("Rojo",M6)))</formula>
    </cfRule>
  </conditionalFormatting>
  <conditionalFormatting sqref="N6">
    <cfRule type="containsText" dxfId="52" priority="24" operator="containsText" text="Naranja">
      <formula>NOT(ISERROR(SEARCH("Naranja",N6)))</formula>
    </cfRule>
  </conditionalFormatting>
  <conditionalFormatting sqref="N6">
    <cfRule type="containsText" dxfId="51" priority="23" operator="containsText" text="Verde">
      <formula>NOT(ISERROR(SEARCH("Verde",N6)))</formula>
    </cfRule>
  </conditionalFormatting>
  <conditionalFormatting sqref="N6">
    <cfRule type="containsText" dxfId="50" priority="22" operator="containsText" text="Rojo">
      <formula>NOT(ISERROR(SEARCH("Rojo",N6)))</formula>
    </cfRule>
  </conditionalFormatting>
  <conditionalFormatting sqref="N41:N42">
    <cfRule type="containsText" dxfId="49" priority="18" operator="containsText" text="Naranja">
      <formula>NOT(ISERROR(SEARCH("Naranja",N41)))</formula>
    </cfRule>
  </conditionalFormatting>
  <conditionalFormatting sqref="N41:N42">
    <cfRule type="containsText" dxfId="48" priority="17" operator="containsText" text="Verde">
      <formula>NOT(ISERROR(SEARCH("Verde",N41)))</formula>
    </cfRule>
  </conditionalFormatting>
  <conditionalFormatting sqref="N41:N42">
    <cfRule type="containsText" dxfId="47" priority="16" operator="containsText" text="Rojo">
      <formula>NOT(ISERROR(SEARCH("Rojo",N41)))</formula>
    </cfRule>
  </conditionalFormatting>
  <conditionalFormatting sqref="M41">
    <cfRule type="containsText" dxfId="46" priority="15" operator="containsText" text="Naranja">
      <formula>NOT(ISERROR(SEARCH("Naranja",M41)))</formula>
    </cfRule>
  </conditionalFormatting>
  <conditionalFormatting sqref="M41">
    <cfRule type="containsText" dxfId="45" priority="14" operator="containsText" text="Verde">
      <formula>NOT(ISERROR(SEARCH("Verde",M41)))</formula>
    </cfRule>
  </conditionalFormatting>
  <conditionalFormatting sqref="M41">
    <cfRule type="containsText" dxfId="44" priority="13" operator="containsText" text="Rojo">
      <formula>NOT(ISERROR(SEARCH("Rojo",M41)))</formula>
    </cfRule>
  </conditionalFormatting>
  <conditionalFormatting sqref="M42">
    <cfRule type="containsText" dxfId="43" priority="12" operator="containsText" text="Naranja">
      <formula>NOT(ISERROR(SEARCH("Naranja",M42)))</formula>
    </cfRule>
  </conditionalFormatting>
  <conditionalFormatting sqref="M42">
    <cfRule type="containsText" dxfId="42" priority="11" operator="containsText" text="Verde">
      <formula>NOT(ISERROR(SEARCH("Verde",M42)))</formula>
    </cfRule>
  </conditionalFormatting>
  <conditionalFormatting sqref="M42">
    <cfRule type="containsText" dxfId="41" priority="10" operator="containsText" text="Rojo">
      <formula>NOT(ISERROR(SEARCH("Rojo",M42)))</formula>
    </cfRule>
  </conditionalFormatting>
  <conditionalFormatting sqref="N63">
    <cfRule type="containsText" dxfId="40" priority="9" operator="containsText" text="Naranja">
      <formula>NOT(ISERROR(SEARCH("Naranja",N63)))</formula>
    </cfRule>
  </conditionalFormatting>
  <conditionalFormatting sqref="N63">
    <cfRule type="containsText" dxfId="39" priority="8" operator="containsText" text="Verde">
      <formula>NOT(ISERROR(SEARCH("Verde",N63)))</formula>
    </cfRule>
  </conditionalFormatting>
  <conditionalFormatting sqref="N63">
    <cfRule type="containsText" dxfId="38" priority="7" operator="containsText" text="Rojo">
      <formula>NOT(ISERROR(SEARCH("Rojo",N63)))</formula>
    </cfRule>
  </conditionalFormatting>
  <conditionalFormatting sqref="M58:M63">
    <cfRule type="containsText" dxfId="37" priority="6" operator="containsText" text="Naranja">
      <formula>NOT(ISERROR(SEARCH("Naranja",M58)))</formula>
    </cfRule>
  </conditionalFormatting>
  <conditionalFormatting sqref="M58:M63">
    <cfRule type="containsText" dxfId="36" priority="5" operator="containsText" text="Verde">
      <formula>NOT(ISERROR(SEARCH("Verde",M58)))</formula>
    </cfRule>
  </conditionalFormatting>
  <conditionalFormatting sqref="M58:M63">
    <cfRule type="containsText" dxfId="35" priority="4" operator="containsText" text="Rojo">
      <formula>NOT(ISERROR(SEARCH("Rojo",M58)))</formula>
    </cfRule>
  </conditionalFormatting>
  <conditionalFormatting sqref="M57">
    <cfRule type="containsText" dxfId="34" priority="3" operator="containsText" text="Naranja">
      <formula>NOT(ISERROR(SEARCH("Naranja",M57)))</formula>
    </cfRule>
  </conditionalFormatting>
  <conditionalFormatting sqref="M57">
    <cfRule type="containsText" dxfId="33" priority="2" operator="containsText" text="Verde">
      <formula>NOT(ISERROR(SEARCH("Verde",M57)))</formula>
    </cfRule>
  </conditionalFormatting>
  <conditionalFormatting sqref="M57">
    <cfRule type="containsText" dxfId="32" priority="1" operator="containsText" text="Rojo">
      <formula>NOT(ISERROR(SEARCH("Rojo",M57)))</formula>
    </cfRule>
  </conditionalFormatting>
  <pageMargins left="0.7" right="0.7" top="0.75" bottom="0.75" header="0.3" footer="0.3"/>
  <pageSetup orientation="portrait" r:id="rId1"/>
  <headerFooter>
    <oddFooter>&amp;R&amp;1#&amp;"Calibri"&amp;22&amp;KFF8939RESTRICTED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C4D17-5B49-4989-9D52-0AD685B463B5}">
  <dimension ref="A1:V80"/>
  <sheetViews>
    <sheetView topLeftCell="A34" workbookViewId="0">
      <selection activeCell="G67" sqref="G67"/>
    </sheetView>
  </sheetViews>
  <sheetFormatPr baseColWidth="10" defaultColWidth="8.85546875" defaultRowHeight="15" x14ac:dyDescent="0.25"/>
  <sheetData>
    <row r="1" spans="1:21" x14ac:dyDescent="0.25">
      <c r="A1" s="157"/>
      <c r="B1" s="156"/>
      <c r="C1" s="156"/>
      <c r="D1" s="156"/>
      <c r="R1" s="195"/>
      <c r="S1" s="195"/>
    </row>
    <row r="2" spans="1:21" x14ac:dyDescent="0.25">
      <c r="A2" s="157"/>
      <c r="B2" s="157"/>
      <c r="C2" s="157"/>
      <c r="D2" s="157"/>
      <c r="E2" s="158"/>
      <c r="F2" s="159"/>
      <c r="G2" s="159"/>
      <c r="H2" s="159"/>
      <c r="I2" s="159"/>
      <c r="J2" s="159"/>
      <c r="K2" s="159"/>
      <c r="L2" s="159"/>
      <c r="M2" s="159"/>
      <c r="N2" s="159"/>
      <c r="O2" s="159"/>
      <c r="P2" s="159"/>
      <c r="Q2" s="159"/>
      <c r="R2" s="195"/>
      <c r="S2" s="195"/>
      <c r="T2" s="359" t="s">
        <v>307</v>
      </c>
      <c r="U2" s="360"/>
    </row>
    <row r="3" spans="1:21" ht="33.75" x14ac:dyDescent="0.25">
      <c r="A3" s="160" t="s">
        <v>308</v>
      </c>
      <c r="B3" s="160" t="s">
        <v>309</v>
      </c>
      <c r="C3" s="160" t="s">
        <v>310</v>
      </c>
      <c r="D3" s="160" t="s">
        <v>311</v>
      </c>
      <c r="E3" s="160" t="s">
        <v>312</v>
      </c>
      <c r="F3" s="160" t="s">
        <v>17</v>
      </c>
      <c r="G3" s="160" t="s">
        <v>313</v>
      </c>
      <c r="H3" s="160" t="s">
        <v>314</v>
      </c>
      <c r="I3" s="160" t="s">
        <v>315</v>
      </c>
      <c r="J3" s="160" t="s">
        <v>316</v>
      </c>
      <c r="K3" s="160" t="s">
        <v>317</v>
      </c>
      <c r="L3" s="160" t="s">
        <v>318</v>
      </c>
      <c r="M3" s="160" t="s">
        <v>253</v>
      </c>
      <c r="N3" s="160" t="s">
        <v>319</v>
      </c>
      <c r="O3" s="160" t="s">
        <v>320</v>
      </c>
      <c r="P3" s="160" t="s">
        <v>321</v>
      </c>
      <c r="Q3" s="160" t="s">
        <v>322</v>
      </c>
      <c r="R3" s="196" t="s">
        <v>323</v>
      </c>
      <c r="S3" s="196" t="s">
        <v>324</v>
      </c>
      <c r="T3" s="197" t="s">
        <v>325</v>
      </c>
      <c r="U3" s="197" t="s">
        <v>326</v>
      </c>
    </row>
    <row r="4" spans="1:21" x14ac:dyDescent="0.25">
      <c r="A4" s="161" t="s">
        <v>327</v>
      </c>
      <c r="B4" s="161" t="s">
        <v>56</v>
      </c>
      <c r="C4" s="161" t="s">
        <v>328</v>
      </c>
      <c r="D4" s="161" t="s">
        <v>55</v>
      </c>
      <c r="E4" s="162"/>
      <c r="F4" s="161" t="s">
        <v>39</v>
      </c>
      <c r="G4" s="161" t="s">
        <v>329</v>
      </c>
      <c r="H4" s="161" t="s">
        <v>40</v>
      </c>
      <c r="I4" s="161">
        <v>3</v>
      </c>
      <c r="J4" s="161" t="s">
        <v>330</v>
      </c>
      <c r="K4" s="161" t="s">
        <v>57</v>
      </c>
      <c r="L4" s="161" t="s">
        <v>36</v>
      </c>
      <c r="M4" s="161" t="s">
        <v>331</v>
      </c>
      <c r="N4" s="161" t="s">
        <v>332</v>
      </c>
      <c r="O4" s="164" t="s">
        <v>47</v>
      </c>
      <c r="P4" s="161" t="s">
        <v>333</v>
      </c>
      <c r="Q4" s="161" t="s">
        <v>334</v>
      </c>
      <c r="R4" s="198">
        <v>0</v>
      </c>
      <c r="S4" s="199">
        <v>0</v>
      </c>
      <c r="T4" s="200">
        <v>80760.526315789481</v>
      </c>
      <c r="U4" s="200">
        <v>60570.394736842107</v>
      </c>
    </row>
    <row r="5" spans="1:21" x14ac:dyDescent="0.25">
      <c r="A5" s="161" t="s">
        <v>327</v>
      </c>
      <c r="B5" s="161" t="s">
        <v>56</v>
      </c>
      <c r="C5" s="161" t="s">
        <v>328</v>
      </c>
      <c r="D5" s="161" t="s">
        <v>90</v>
      </c>
      <c r="E5" s="162"/>
      <c r="F5" s="161" t="s">
        <v>39</v>
      </c>
      <c r="G5" s="161" t="s">
        <v>329</v>
      </c>
      <c r="H5" s="161" t="s">
        <v>66</v>
      </c>
      <c r="I5" s="161">
        <v>3</v>
      </c>
      <c r="J5" s="161" t="s">
        <v>330</v>
      </c>
      <c r="K5" s="161" t="s">
        <v>57</v>
      </c>
      <c r="L5" s="161" t="s">
        <v>36</v>
      </c>
      <c r="M5" s="161" t="s">
        <v>331</v>
      </c>
      <c r="N5" s="161" t="s">
        <v>332</v>
      </c>
      <c r="O5" s="163" t="s">
        <v>71</v>
      </c>
      <c r="P5" s="161" t="s">
        <v>335</v>
      </c>
      <c r="Q5" s="161" t="s">
        <v>334</v>
      </c>
      <c r="R5" s="198">
        <v>0</v>
      </c>
      <c r="S5" s="199">
        <v>0</v>
      </c>
      <c r="T5" s="200">
        <v>10000</v>
      </c>
      <c r="U5" s="200">
        <v>7500</v>
      </c>
    </row>
    <row r="6" spans="1:21" x14ac:dyDescent="0.25">
      <c r="A6" s="165" t="s">
        <v>327</v>
      </c>
      <c r="B6" s="165" t="s">
        <v>56</v>
      </c>
      <c r="C6" s="165" t="s">
        <v>328</v>
      </c>
      <c r="D6" s="165" t="s">
        <v>144</v>
      </c>
      <c r="E6" s="166" t="s">
        <v>145</v>
      </c>
      <c r="F6" s="165" t="s">
        <v>39</v>
      </c>
      <c r="G6" s="165" t="s">
        <v>329</v>
      </c>
      <c r="H6" s="167" t="s">
        <v>136</v>
      </c>
      <c r="I6" s="167">
        <v>3</v>
      </c>
      <c r="J6" s="167" t="s">
        <v>330</v>
      </c>
      <c r="K6" s="165" t="s">
        <v>57</v>
      </c>
      <c r="L6" s="165" t="s">
        <v>36</v>
      </c>
      <c r="M6" s="165" t="s">
        <v>336</v>
      </c>
      <c r="N6" s="165" t="s">
        <v>332</v>
      </c>
      <c r="O6" s="168" t="s">
        <v>47</v>
      </c>
      <c r="P6" s="165" t="s">
        <v>337</v>
      </c>
      <c r="Q6" s="165" t="s">
        <v>338</v>
      </c>
      <c r="R6" s="198">
        <v>0</v>
      </c>
      <c r="S6" s="201">
        <v>0</v>
      </c>
      <c r="T6" s="201">
        <v>10666.666666666666</v>
      </c>
      <c r="U6" s="201">
        <v>8000</v>
      </c>
    </row>
    <row r="7" spans="1:21" x14ac:dyDescent="0.25">
      <c r="A7" s="169" t="s">
        <v>327</v>
      </c>
      <c r="B7" s="169" t="s">
        <v>56</v>
      </c>
      <c r="C7" s="169" t="s">
        <v>328</v>
      </c>
      <c r="D7" s="169" t="s">
        <v>146</v>
      </c>
      <c r="E7" s="170" t="s">
        <v>147</v>
      </c>
      <c r="F7" s="169" t="s">
        <v>39</v>
      </c>
      <c r="G7" s="169" t="s">
        <v>339</v>
      </c>
      <c r="H7" s="171" t="s">
        <v>148</v>
      </c>
      <c r="I7" s="171">
        <v>3</v>
      </c>
      <c r="J7" s="169" t="s">
        <v>330</v>
      </c>
      <c r="K7" s="169" t="s">
        <v>42</v>
      </c>
      <c r="L7" s="169" t="s">
        <v>36</v>
      </c>
      <c r="M7" s="169" t="s">
        <v>336</v>
      </c>
      <c r="N7" s="169" t="s">
        <v>340</v>
      </c>
      <c r="O7" s="172" t="s">
        <v>47</v>
      </c>
      <c r="P7" s="169" t="s">
        <v>341</v>
      </c>
      <c r="Q7" s="169" t="s">
        <v>342</v>
      </c>
      <c r="R7" s="198">
        <v>0</v>
      </c>
      <c r="S7" s="202">
        <v>0</v>
      </c>
      <c r="T7" s="202">
        <v>10000</v>
      </c>
      <c r="U7" s="202">
        <v>7500</v>
      </c>
    </row>
    <row r="8" spans="1:21" x14ac:dyDescent="0.25">
      <c r="A8" s="173"/>
      <c r="B8" s="173"/>
      <c r="C8" s="173" t="s">
        <v>54</v>
      </c>
      <c r="D8" s="173" t="s">
        <v>343</v>
      </c>
      <c r="E8" s="174"/>
      <c r="F8" s="175"/>
      <c r="G8" s="175"/>
      <c r="H8" s="175"/>
      <c r="I8" s="175"/>
      <c r="J8" s="175"/>
      <c r="K8" s="175"/>
      <c r="L8" s="175"/>
      <c r="M8" s="175"/>
      <c r="N8" s="175"/>
      <c r="O8" s="175"/>
      <c r="P8" s="175"/>
      <c r="Q8" s="175"/>
      <c r="R8" s="203">
        <v>0</v>
      </c>
      <c r="S8" s="203">
        <v>0</v>
      </c>
      <c r="T8" s="203">
        <v>111427.19298245615</v>
      </c>
      <c r="U8" s="203">
        <v>83570.394736842107</v>
      </c>
    </row>
    <row r="9" spans="1:21" x14ac:dyDescent="0.25">
      <c r="A9" s="161" t="s">
        <v>327</v>
      </c>
      <c r="B9" s="161" t="s">
        <v>56</v>
      </c>
      <c r="C9" s="161" t="s">
        <v>344</v>
      </c>
      <c r="D9" s="161"/>
      <c r="E9" s="162"/>
      <c r="F9" s="161" t="s">
        <v>39</v>
      </c>
      <c r="G9" s="161" t="s">
        <v>209</v>
      </c>
      <c r="H9" s="161" t="s">
        <v>40</v>
      </c>
      <c r="I9" s="161">
        <v>3</v>
      </c>
      <c r="J9" s="161" t="s">
        <v>330</v>
      </c>
      <c r="K9" s="161" t="s">
        <v>57</v>
      </c>
      <c r="L9" s="161" t="s">
        <v>36</v>
      </c>
      <c r="M9" s="161" t="s">
        <v>336</v>
      </c>
      <c r="N9" s="161" t="s">
        <v>332</v>
      </c>
      <c r="O9" s="164" t="s">
        <v>47</v>
      </c>
      <c r="P9" s="161"/>
      <c r="Q9" s="161"/>
      <c r="R9" s="198">
        <v>0</v>
      </c>
      <c r="S9" s="199">
        <v>0</v>
      </c>
      <c r="T9" s="200">
        <v>533.33333333333337</v>
      </c>
      <c r="U9" s="200">
        <v>400</v>
      </c>
    </row>
    <row r="10" spans="1:21" ht="33.75" x14ac:dyDescent="0.25">
      <c r="A10" s="173"/>
      <c r="B10" s="173"/>
      <c r="C10" s="173" t="s">
        <v>345</v>
      </c>
      <c r="D10" s="173" t="s">
        <v>343</v>
      </c>
      <c r="E10" s="177"/>
      <c r="F10" s="178"/>
      <c r="G10" s="178"/>
      <c r="H10" s="178"/>
      <c r="I10" s="178"/>
      <c r="J10" s="178"/>
      <c r="K10" s="178"/>
      <c r="L10" s="178"/>
      <c r="M10" s="178"/>
      <c r="N10" s="178"/>
      <c r="O10" s="178"/>
      <c r="P10" s="178"/>
      <c r="Q10" s="178"/>
      <c r="R10" s="203"/>
      <c r="S10" s="203">
        <v>0</v>
      </c>
      <c r="T10" s="203">
        <v>533.33333333333337</v>
      </c>
      <c r="U10" s="203">
        <v>400</v>
      </c>
    </row>
    <row r="11" spans="1:21" x14ac:dyDescent="0.25">
      <c r="A11" s="161" t="s">
        <v>327</v>
      </c>
      <c r="B11" s="161" t="s">
        <v>56</v>
      </c>
      <c r="C11" s="161" t="s">
        <v>346</v>
      </c>
      <c r="D11" s="161" t="s">
        <v>150</v>
      </c>
      <c r="E11" s="162"/>
      <c r="F11" s="161" t="s">
        <v>39</v>
      </c>
      <c r="G11" s="161" t="s">
        <v>347</v>
      </c>
      <c r="H11" s="161" t="s">
        <v>66</v>
      </c>
      <c r="I11" s="161">
        <v>3</v>
      </c>
      <c r="J11" s="161" t="s">
        <v>330</v>
      </c>
      <c r="K11" s="161" t="s">
        <v>57</v>
      </c>
      <c r="L11" s="161" t="s">
        <v>36</v>
      </c>
      <c r="M11" s="161" t="s">
        <v>331</v>
      </c>
      <c r="N11" s="179" t="s">
        <v>340</v>
      </c>
      <c r="O11" s="163" t="s">
        <v>71</v>
      </c>
      <c r="P11" s="161" t="s">
        <v>335</v>
      </c>
      <c r="Q11" s="161" t="s">
        <v>348</v>
      </c>
      <c r="R11" s="198">
        <v>0</v>
      </c>
      <c r="S11" s="199">
        <v>0</v>
      </c>
      <c r="T11" s="200">
        <v>5000</v>
      </c>
      <c r="U11" s="200">
        <v>3750</v>
      </c>
    </row>
    <row r="12" spans="1:21" x14ac:dyDescent="0.25">
      <c r="A12" s="161" t="s">
        <v>327</v>
      </c>
      <c r="B12" s="161" t="s">
        <v>56</v>
      </c>
      <c r="C12" s="161" t="s">
        <v>346</v>
      </c>
      <c r="D12" s="161" t="s">
        <v>151</v>
      </c>
      <c r="E12" s="161" t="s">
        <v>152</v>
      </c>
      <c r="F12" s="161" t="s">
        <v>39</v>
      </c>
      <c r="G12" s="161" t="s">
        <v>349</v>
      </c>
      <c r="H12" s="161" t="s">
        <v>40</v>
      </c>
      <c r="I12" s="161">
        <v>3</v>
      </c>
      <c r="J12" s="161" t="s">
        <v>330</v>
      </c>
      <c r="K12" s="161" t="s">
        <v>57</v>
      </c>
      <c r="L12" s="161" t="s">
        <v>36</v>
      </c>
      <c r="M12" s="161" t="s">
        <v>336</v>
      </c>
      <c r="N12" s="161" t="s">
        <v>332</v>
      </c>
      <c r="O12" s="164" t="s">
        <v>47</v>
      </c>
      <c r="P12" s="161" t="s">
        <v>350</v>
      </c>
      <c r="Q12" s="161" t="s">
        <v>351</v>
      </c>
      <c r="R12" s="198">
        <v>0</v>
      </c>
      <c r="S12" s="199">
        <v>0</v>
      </c>
      <c r="T12" s="200">
        <v>20000</v>
      </c>
      <c r="U12" s="200">
        <v>15000</v>
      </c>
    </row>
    <row r="13" spans="1:21" x14ac:dyDescent="0.25">
      <c r="A13" s="173"/>
      <c r="B13" s="173"/>
      <c r="C13" s="173" t="s">
        <v>93</v>
      </c>
      <c r="D13" s="173" t="s">
        <v>343</v>
      </c>
      <c r="E13" s="180"/>
      <c r="F13" s="173"/>
      <c r="G13" s="173"/>
      <c r="H13" s="173"/>
      <c r="I13" s="173"/>
      <c r="J13" s="173"/>
      <c r="K13" s="173"/>
      <c r="L13" s="173"/>
      <c r="M13" s="173"/>
      <c r="N13" s="173"/>
      <c r="O13" s="173"/>
      <c r="P13" s="173"/>
      <c r="Q13" s="173"/>
      <c r="R13" s="203">
        <v>0</v>
      </c>
      <c r="S13" s="203">
        <v>0</v>
      </c>
      <c r="T13" s="203">
        <v>25000</v>
      </c>
      <c r="U13" s="203">
        <v>18750</v>
      </c>
    </row>
    <row r="14" spans="1:21" ht="22.5" x14ac:dyDescent="0.25">
      <c r="A14" s="181"/>
      <c r="B14" s="181"/>
      <c r="C14" s="181" t="s">
        <v>352</v>
      </c>
      <c r="D14" s="181"/>
      <c r="E14" s="182"/>
      <c r="F14" s="181"/>
      <c r="G14" s="181"/>
      <c r="H14" s="181"/>
      <c r="I14" s="181"/>
      <c r="J14" s="181"/>
      <c r="K14" s="181"/>
      <c r="L14" s="181"/>
      <c r="M14" s="181"/>
      <c r="N14" s="181"/>
      <c r="O14" s="181"/>
      <c r="P14" s="181"/>
      <c r="Q14" s="181"/>
      <c r="R14" s="204">
        <v>0</v>
      </c>
      <c r="S14" s="204">
        <v>0</v>
      </c>
      <c r="T14" s="204">
        <v>136960.5263157895</v>
      </c>
      <c r="U14" s="204">
        <v>102720.39473684211</v>
      </c>
    </row>
    <row r="15" spans="1:21" x14ac:dyDescent="0.25">
      <c r="A15" s="161" t="s">
        <v>327</v>
      </c>
      <c r="B15" s="161" t="s">
        <v>41</v>
      </c>
      <c r="C15" s="161" t="s">
        <v>328</v>
      </c>
      <c r="D15" s="161" t="s">
        <v>65</v>
      </c>
      <c r="E15" s="162"/>
      <c r="F15" s="161" t="s">
        <v>128</v>
      </c>
      <c r="G15" s="161" t="s">
        <v>353</v>
      </c>
      <c r="H15" s="161" t="s">
        <v>66</v>
      </c>
      <c r="I15" s="161">
        <v>3</v>
      </c>
      <c r="J15" s="161" t="s">
        <v>330</v>
      </c>
      <c r="K15" s="161" t="s">
        <v>42</v>
      </c>
      <c r="L15" s="161" t="s">
        <v>36</v>
      </c>
      <c r="M15" s="161" t="s">
        <v>331</v>
      </c>
      <c r="N15" s="161" t="s">
        <v>332</v>
      </c>
      <c r="O15" s="164" t="s">
        <v>47</v>
      </c>
      <c r="P15" s="161" t="s">
        <v>354</v>
      </c>
      <c r="Q15" s="161" t="s">
        <v>355</v>
      </c>
      <c r="R15" s="198">
        <v>0</v>
      </c>
      <c r="S15" s="199">
        <v>0</v>
      </c>
      <c r="T15" s="205">
        <v>140000</v>
      </c>
      <c r="U15" s="205">
        <v>140000</v>
      </c>
    </row>
    <row r="16" spans="1:21" x14ac:dyDescent="0.25">
      <c r="A16" s="161" t="s">
        <v>327</v>
      </c>
      <c r="B16" s="161" t="s">
        <v>41</v>
      </c>
      <c r="C16" s="161" t="s">
        <v>328</v>
      </c>
      <c r="D16" s="161" t="s">
        <v>51</v>
      </c>
      <c r="E16" s="162"/>
      <c r="F16" s="161" t="s">
        <v>39</v>
      </c>
      <c r="G16" s="161" t="s">
        <v>353</v>
      </c>
      <c r="H16" s="161" t="s">
        <v>40</v>
      </c>
      <c r="I16" s="161">
        <v>3</v>
      </c>
      <c r="J16" s="161" t="s">
        <v>330</v>
      </c>
      <c r="K16" s="161" t="s">
        <v>42</v>
      </c>
      <c r="L16" s="161" t="s">
        <v>36</v>
      </c>
      <c r="M16" s="161" t="s">
        <v>331</v>
      </c>
      <c r="N16" s="161" t="s">
        <v>332</v>
      </c>
      <c r="O16" s="164" t="s">
        <v>47</v>
      </c>
      <c r="P16" s="161" t="s">
        <v>356</v>
      </c>
      <c r="Q16" s="161" t="s">
        <v>355</v>
      </c>
      <c r="R16" s="198">
        <v>0</v>
      </c>
      <c r="S16" s="199">
        <v>0</v>
      </c>
      <c r="T16" s="205">
        <v>10000</v>
      </c>
      <c r="U16" s="205">
        <v>10000</v>
      </c>
    </row>
    <row r="17" spans="1:22" x14ac:dyDescent="0.25">
      <c r="A17" s="183" t="s">
        <v>327</v>
      </c>
      <c r="B17" s="183" t="s">
        <v>41</v>
      </c>
      <c r="C17" s="183" t="s">
        <v>328</v>
      </c>
      <c r="D17" s="183" t="s">
        <v>60</v>
      </c>
      <c r="E17" s="162" t="s">
        <v>357</v>
      </c>
      <c r="F17" s="183" t="s">
        <v>39</v>
      </c>
      <c r="G17" s="161" t="s">
        <v>353</v>
      </c>
      <c r="H17" s="161" t="s">
        <v>61</v>
      </c>
      <c r="I17" s="161">
        <v>3</v>
      </c>
      <c r="J17" s="161" t="s">
        <v>330</v>
      </c>
      <c r="K17" s="183" t="s">
        <v>42</v>
      </c>
      <c r="L17" s="183" t="s">
        <v>36</v>
      </c>
      <c r="M17" s="161" t="s">
        <v>331</v>
      </c>
      <c r="N17" s="161" t="s">
        <v>332</v>
      </c>
      <c r="O17" s="164" t="s">
        <v>47</v>
      </c>
      <c r="P17" s="161" t="s">
        <v>358</v>
      </c>
      <c r="Q17" s="161" t="s">
        <v>359</v>
      </c>
      <c r="R17" s="198">
        <v>0</v>
      </c>
      <c r="S17" s="199">
        <v>0</v>
      </c>
      <c r="T17" s="205">
        <v>120000</v>
      </c>
      <c r="U17" s="205">
        <v>120000</v>
      </c>
    </row>
    <row r="18" spans="1:22" x14ac:dyDescent="0.25">
      <c r="A18" s="161" t="s">
        <v>327</v>
      </c>
      <c r="B18" s="161" t="s">
        <v>41</v>
      </c>
      <c r="C18" s="161" t="s">
        <v>328</v>
      </c>
      <c r="D18" s="161" t="s">
        <v>68</v>
      </c>
      <c r="E18" s="162" t="s">
        <v>305</v>
      </c>
      <c r="F18" s="161" t="s">
        <v>39</v>
      </c>
      <c r="G18" s="161" t="s">
        <v>360</v>
      </c>
      <c r="H18" s="161" t="s">
        <v>66</v>
      </c>
      <c r="I18" s="161">
        <v>3</v>
      </c>
      <c r="J18" s="161" t="s">
        <v>330</v>
      </c>
      <c r="K18" s="161" t="s">
        <v>42</v>
      </c>
      <c r="L18" s="161" t="s">
        <v>36</v>
      </c>
      <c r="M18" s="161" t="s">
        <v>331</v>
      </c>
      <c r="N18" s="161" t="s">
        <v>340</v>
      </c>
      <c r="O18" s="164" t="s">
        <v>47</v>
      </c>
      <c r="P18" s="161" t="s">
        <v>361</v>
      </c>
      <c r="Q18" s="161" t="s">
        <v>362</v>
      </c>
      <c r="R18" s="198">
        <v>0</v>
      </c>
      <c r="S18" s="199">
        <v>0</v>
      </c>
      <c r="T18" s="205">
        <v>30000</v>
      </c>
      <c r="U18" s="205">
        <v>30000</v>
      </c>
    </row>
    <row r="19" spans="1:22" x14ac:dyDescent="0.25">
      <c r="A19" s="161" t="s">
        <v>327</v>
      </c>
      <c r="B19" s="161" t="s">
        <v>41</v>
      </c>
      <c r="C19" s="161" t="s">
        <v>328</v>
      </c>
      <c r="D19" s="161" t="s">
        <v>69</v>
      </c>
      <c r="E19" s="162" t="s">
        <v>130</v>
      </c>
      <c r="F19" s="161" t="s">
        <v>39</v>
      </c>
      <c r="G19" s="179" t="s">
        <v>363</v>
      </c>
      <c r="H19" s="179" t="s">
        <v>66</v>
      </c>
      <c r="I19" s="161">
        <v>3</v>
      </c>
      <c r="J19" s="161" t="s">
        <v>330</v>
      </c>
      <c r="K19" s="161" t="s">
        <v>42</v>
      </c>
      <c r="L19" s="161" t="s">
        <v>36</v>
      </c>
      <c r="M19" s="161" t="s">
        <v>336</v>
      </c>
      <c r="N19" s="161" t="s">
        <v>332</v>
      </c>
      <c r="O19" s="164" t="s">
        <v>47</v>
      </c>
      <c r="P19" s="161" t="s">
        <v>364</v>
      </c>
      <c r="Q19" s="161" t="s">
        <v>355</v>
      </c>
      <c r="R19" s="198">
        <v>0</v>
      </c>
      <c r="S19" s="199">
        <v>0</v>
      </c>
      <c r="T19" s="205">
        <v>50000</v>
      </c>
      <c r="U19" s="205">
        <v>50000</v>
      </c>
    </row>
    <row r="20" spans="1:22" x14ac:dyDescent="0.25">
      <c r="A20" s="161" t="s">
        <v>327</v>
      </c>
      <c r="B20" s="161" t="s">
        <v>41</v>
      </c>
      <c r="C20" s="161" t="s">
        <v>328</v>
      </c>
      <c r="D20" s="161" t="s">
        <v>73</v>
      </c>
      <c r="E20" s="162" t="s">
        <v>131</v>
      </c>
      <c r="F20" s="161" t="s">
        <v>39</v>
      </c>
      <c r="G20" s="161" t="s">
        <v>365</v>
      </c>
      <c r="H20" s="179" t="s">
        <v>40</v>
      </c>
      <c r="I20" s="161">
        <v>3</v>
      </c>
      <c r="J20" s="161" t="s">
        <v>330</v>
      </c>
      <c r="K20" s="161" t="s">
        <v>42</v>
      </c>
      <c r="L20" s="161" t="s">
        <v>36</v>
      </c>
      <c r="M20" s="161" t="s">
        <v>331</v>
      </c>
      <c r="N20" s="161" t="s">
        <v>340</v>
      </c>
      <c r="O20" s="164" t="s">
        <v>47</v>
      </c>
      <c r="P20" s="161" t="s">
        <v>366</v>
      </c>
      <c r="Q20" s="161" t="s">
        <v>367</v>
      </c>
      <c r="R20" s="198">
        <v>0</v>
      </c>
      <c r="S20" s="199">
        <v>0</v>
      </c>
      <c r="T20" s="205">
        <v>350000</v>
      </c>
      <c r="U20" s="205">
        <v>350000</v>
      </c>
    </row>
    <row r="21" spans="1:22" x14ac:dyDescent="0.25">
      <c r="A21" s="161" t="s">
        <v>327</v>
      </c>
      <c r="B21" s="161" t="s">
        <v>41</v>
      </c>
      <c r="C21" s="161" t="s">
        <v>328</v>
      </c>
      <c r="D21" s="161" t="s">
        <v>38</v>
      </c>
      <c r="E21" s="176" t="s">
        <v>153</v>
      </c>
      <c r="F21" s="161" t="s">
        <v>39</v>
      </c>
      <c r="G21" s="161" t="s">
        <v>368</v>
      </c>
      <c r="H21" s="179" t="s">
        <v>40</v>
      </c>
      <c r="I21" s="161">
        <v>3</v>
      </c>
      <c r="J21" s="161" t="s">
        <v>330</v>
      </c>
      <c r="K21" s="161" t="s">
        <v>42</v>
      </c>
      <c r="L21" s="161" t="s">
        <v>36</v>
      </c>
      <c r="M21" s="161" t="s">
        <v>331</v>
      </c>
      <c r="N21" s="161" t="s">
        <v>340</v>
      </c>
      <c r="O21" s="164" t="s">
        <v>47</v>
      </c>
      <c r="P21" s="161" t="s">
        <v>350</v>
      </c>
      <c r="Q21" s="161" t="s">
        <v>369</v>
      </c>
      <c r="R21" s="198">
        <v>0</v>
      </c>
      <c r="S21" s="199">
        <v>0</v>
      </c>
      <c r="T21" s="205">
        <v>20000</v>
      </c>
      <c r="U21" s="205">
        <v>20000</v>
      </c>
    </row>
    <row r="22" spans="1:22" x14ac:dyDescent="0.25">
      <c r="A22" s="161" t="s">
        <v>327</v>
      </c>
      <c r="B22" s="161" t="s">
        <v>41</v>
      </c>
      <c r="C22" s="161" t="s">
        <v>328</v>
      </c>
      <c r="D22" s="161" t="s">
        <v>75</v>
      </c>
      <c r="E22" s="162" t="s">
        <v>370</v>
      </c>
      <c r="F22" s="161" t="s">
        <v>39</v>
      </c>
      <c r="G22" s="161" t="s">
        <v>371</v>
      </c>
      <c r="H22" s="179" t="s">
        <v>40</v>
      </c>
      <c r="I22" s="161">
        <v>3</v>
      </c>
      <c r="J22" s="161" t="s">
        <v>330</v>
      </c>
      <c r="K22" s="161" t="s">
        <v>42</v>
      </c>
      <c r="L22" s="161" t="s">
        <v>36</v>
      </c>
      <c r="M22" s="161" t="s">
        <v>331</v>
      </c>
      <c r="N22" s="161" t="s">
        <v>332</v>
      </c>
      <c r="O22" s="164" t="s">
        <v>47</v>
      </c>
      <c r="P22" s="161" t="s">
        <v>372</v>
      </c>
      <c r="Q22" s="161" t="s">
        <v>373</v>
      </c>
      <c r="R22" s="198">
        <v>0</v>
      </c>
      <c r="S22" s="199">
        <v>0</v>
      </c>
      <c r="T22" s="205">
        <v>100000</v>
      </c>
      <c r="U22" s="205">
        <v>100000</v>
      </c>
    </row>
    <row r="23" spans="1:22" x14ac:dyDescent="0.25">
      <c r="A23" s="161" t="s">
        <v>327</v>
      </c>
      <c r="B23" s="161" t="s">
        <v>41</v>
      </c>
      <c r="C23" s="161" t="s">
        <v>328</v>
      </c>
      <c r="D23" s="161" t="s">
        <v>76</v>
      </c>
      <c r="E23" s="176" t="s">
        <v>374</v>
      </c>
      <c r="F23" s="161" t="s">
        <v>39</v>
      </c>
      <c r="G23" s="161" t="s">
        <v>375</v>
      </c>
      <c r="H23" s="179" t="s">
        <v>40</v>
      </c>
      <c r="I23" s="161">
        <v>3</v>
      </c>
      <c r="J23" s="161" t="s">
        <v>330</v>
      </c>
      <c r="K23" s="161" t="s">
        <v>42</v>
      </c>
      <c r="L23" s="161" t="s">
        <v>36</v>
      </c>
      <c r="M23" s="161" t="s">
        <v>331</v>
      </c>
      <c r="N23" s="161" t="s">
        <v>332</v>
      </c>
      <c r="O23" s="164" t="s">
        <v>47</v>
      </c>
      <c r="P23" s="161" t="s">
        <v>350</v>
      </c>
      <c r="Q23" s="161" t="s">
        <v>376</v>
      </c>
      <c r="R23" s="198">
        <v>0</v>
      </c>
      <c r="S23" s="199">
        <v>0</v>
      </c>
      <c r="T23" s="205">
        <v>180000</v>
      </c>
      <c r="U23" s="205">
        <v>180000</v>
      </c>
      <c r="V23" t="s">
        <v>377</v>
      </c>
    </row>
    <row r="24" spans="1:22" x14ac:dyDescent="0.25">
      <c r="A24" s="161" t="s">
        <v>327</v>
      </c>
      <c r="B24" s="161" t="s">
        <v>41</v>
      </c>
      <c r="C24" s="161" t="s">
        <v>328</v>
      </c>
      <c r="D24" s="179" t="s">
        <v>154</v>
      </c>
      <c r="E24" s="161" t="s">
        <v>155</v>
      </c>
      <c r="F24" s="161" t="s">
        <v>39</v>
      </c>
      <c r="G24" s="161" t="s">
        <v>375</v>
      </c>
      <c r="H24" s="179" t="s">
        <v>66</v>
      </c>
      <c r="I24" s="161">
        <v>3</v>
      </c>
      <c r="J24" s="161" t="s">
        <v>330</v>
      </c>
      <c r="K24" s="161" t="s">
        <v>42</v>
      </c>
      <c r="L24" s="161" t="s">
        <v>36</v>
      </c>
      <c r="M24" s="161" t="s">
        <v>331</v>
      </c>
      <c r="N24" s="161" t="s">
        <v>332</v>
      </c>
      <c r="O24" s="164" t="s">
        <v>47</v>
      </c>
      <c r="P24" s="161" t="s">
        <v>361</v>
      </c>
      <c r="Q24" s="161" t="s">
        <v>376</v>
      </c>
      <c r="R24" s="198">
        <v>0</v>
      </c>
      <c r="S24" s="199">
        <v>0</v>
      </c>
      <c r="T24" s="205">
        <v>20000</v>
      </c>
      <c r="U24" s="205">
        <v>20000</v>
      </c>
    </row>
    <row r="25" spans="1:22" x14ac:dyDescent="0.25">
      <c r="A25" s="161" t="s">
        <v>327</v>
      </c>
      <c r="B25" s="161" t="s">
        <v>41</v>
      </c>
      <c r="C25" s="161" t="s">
        <v>328</v>
      </c>
      <c r="D25" s="161" t="s">
        <v>97</v>
      </c>
      <c r="E25" s="161" t="s">
        <v>133</v>
      </c>
      <c r="F25" s="161" t="s">
        <v>39</v>
      </c>
      <c r="G25" s="161" t="s">
        <v>378</v>
      </c>
      <c r="H25" s="179" t="s">
        <v>40</v>
      </c>
      <c r="I25" s="161">
        <v>3</v>
      </c>
      <c r="J25" s="161" t="s">
        <v>330</v>
      </c>
      <c r="K25" s="161" t="s">
        <v>42</v>
      </c>
      <c r="L25" s="161" t="s">
        <v>36</v>
      </c>
      <c r="M25" s="161" t="s">
        <v>336</v>
      </c>
      <c r="N25" s="161" t="s">
        <v>332</v>
      </c>
      <c r="O25" s="164" t="s">
        <v>47</v>
      </c>
      <c r="P25" s="161" t="s">
        <v>366</v>
      </c>
      <c r="Q25" s="161" t="s">
        <v>379</v>
      </c>
      <c r="R25" s="198">
        <v>0</v>
      </c>
      <c r="S25" s="199">
        <v>0</v>
      </c>
      <c r="T25" s="205">
        <v>90000</v>
      </c>
      <c r="U25" s="205">
        <v>90000</v>
      </c>
    </row>
    <row r="26" spans="1:22" x14ac:dyDescent="0.25">
      <c r="A26" s="161" t="s">
        <v>327</v>
      </c>
      <c r="B26" s="161" t="s">
        <v>41</v>
      </c>
      <c r="C26" s="161" t="s">
        <v>328</v>
      </c>
      <c r="D26" s="161" t="s">
        <v>98</v>
      </c>
      <c r="E26" s="161" t="s">
        <v>134</v>
      </c>
      <c r="F26" s="161" t="s">
        <v>39</v>
      </c>
      <c r="G26" s="161" t="s">
        <v>380</v>
      </c>
      <c r="H26" s="179" t="s">
        <v>40</v>
      </c>
      <c r="I26" s="161">
        <v>3</v>
      </c>
      <c r="J26" s="161" t="s">
        <v>330</v>
      </c>
      <c r="K26" s="161" t="s">
        <v>42</v>
      </c>
      <c r="L26" s="161" t="s">
        <v>36</v>
      </c>
      <c r="M26" s="161" t="s">
        <v>336</v>
      </c>
      <c r="N26" s="161" t="s">
        <v>332</v>
      </c>
      <c r="O26" s="164" t="s">
        <v>47</v>
      </c>
      <c r="P26" s="161" t="s">
        <v>381</v>
      </c>
      <c r="Q26" s="161" t="s">
        <v>373</v>
      </c>
      <c r="R26" s="198">
        <v>0</v>
      </c>
      <c r="S26" s="199">
        <v>0</v>
      </c>
      <c r="T26" s="205">
        <v>90000</v>
      </c>
      <c r="U26" s="205">
        <v>90000</v>
      </c>
    </row>
    <row r="27" spans="1:22" x14ac:dyDescent="0.25">
      <c r="A27" s="161" t="s">
        <v>327</v>
      </c>
      <c r="B27" s="161" t="s">
        <v>41</v>
      </c>
      <c r="C27" s="161" t="s">
        <v>328</v>
      </c>
      <c r="D27" s="161" t="s">
        <v>135</v>
      </c>
      <c r="E27" s="176"/>
      <c r="F27" s="161"/>
      <c r="G27" s="161"/>
      <c r="H27" s="179" t="s">
        <v>40</v>
      </c>
      <c r="I27" s="179"/>
      <c r="J27" s="161"/>
      <c r="K27" s="161"/>
      <c r="L27" s="161"/>
      <c r="M27" s="161"/>
      <c r="N27" s="161"/>
      <c r="O27" s="164"/>
      <c r="P27" s="161" t="s">
        <v>382</v>
      </c>
      <c r="Q27" s="161" t="s">
        <v>383</v>
      </c>
      <c r="R27" s="198">
        <v>0</v>
      </c>
      <c r="S27" s="199">
        <v>0</v>
      </c>
      <c r="T27" s="209">
        <v>10000</v>
      </c>
      <c r="U27" s="205">
        <v>10000</v>
      </c>
    </row>
    <row r="28" spans="1:22" x14ac:dyDescent="0.25">
      <c r="A28" s="165" t="s">
        <v>327</v>
      </c>
      <c r="B28" s="165" t="s">
        <v>41</v>
      </c>
      <c r="C28" s="165" t="s">
        <v>328</v>
      </c>
      <c r="D28" s="165" t="s">
        <v>113</v>
      </c>
      <c r="E28" s="184" t="s">
        <v>384</v>
      </c>
      <c r="F28" s="165" t="s">
        <v>39</v>
      </c>
      <c r="G28" s="165" t="s">
        <v>353</v>
      </c>
      <c r="H28" s="167" t="s">
        <v>136</v>
      </c>
      <c r="I28" s="167">
        <v>3</v>
      </c>
      <c r="J28" s="165" t="s">
        <v>330</v>
      </c>
      <c r="K28" s="165" t="s">
        <v>42</v>
      </c>
      <c r="L28" s="165" t="s">
        <v>36</v>
      </c>
      <c r="M28" s="165" t="s">
        <v>331</v>
      </c>
      <c r="N28" s="165" t="s">
        <v>340</v>
      </c>
      <c r="O28" s="168" t="s">
        <v>47</v>
      </c>
      <c r="P28" s="165" t="s">
        <v>385</v>
      </c>
      <c r="Q28" s="165" t="s">
        <v>386</v>
      </c>
      <c r="R28" s="198">
        <v>0</v>
      </c>
      <c r="S28" s="201">
        <v>0</v>
      </c>
      <c r="T28" s="201">
        <v>110000</v>
      </c>
      <c r="U28" s="201">
        <v>110000</v>
      </c>
    </row>
    <row r="29" spans="1:22" x14ac:dyDescent="0.25">
      <c r="A29" s="165" t="s">
        <v>327</v>
      </c>
      <c r="B29" s="165" t="s">
        <v>41</v>
      </c>
      <c r="C29" s="165" t="s">
        <v>328</v>
      </c>
      <c r="D29" s="165" t="s">
        <v>77</v>
      </c>
      <c r="E29" s="184" t="s">
        <v>387</v>
      </c>
      <c r="F29" s="165" t="s">
        <v>39</v>
      </c>
      <c r="G29" s="165" t="s">
        <v>360</v>
      </c>
      <c r="H29" s="167" t="s">
        <v>136</v>
      </c>
      <c r="I29" s="167">
        <v>3</v>
      </c>
      <c r="J29" s="165" t="s">
        <v>330</v>
      </c>
      <c r="K29" s="165" t="s">
        <v>42</v>
      </c>
      <c r="L29" s="165" t="s">
        <v>36</v>
      </c>
      <c r="M29" s="165" t="s">
        <v>331</v>
      </c>
      <c r="N29" s="165" t="s">
        <v>340</v>
      </c>
      <c r="O29" s="168" t="s">
        <v>47</v>
      </c>
      <c r="P29" s="165" t="s">
        <v>388</v>
      </c>
      <c r="Q29" s="165" t="s">
        <v>389</v>
      </c>
      <c r="R29" s="198">
        <v>0</v>
      </c>
      <c r="S29" s="201">
        <v>0</v>
      </c>
      <c r="T29" s="201">
        <v>60000</v>
      </c>
      <c r="U29" s="201">
        <v>60000</v>
      </c>
    </row>
    <row r="30" spans="1:22" x14ac:dyDescent="0.25">
      <c r="A30" s="165" t="s">
        <v>327</v>
      </c>
      <c r="B30" s="165" t="s">
        <v>41</v>
      </c>
      <c r="C30" s="165" t="s">
        <v>328</v>
      </c>
      <c r="D30" s="165" t="s">
        <v>53</v>
      </c>
      <c r="E30" s="184" t="s">
        <v>390</v>
      </c>
      <c r="F30" s="165" t="s">
        <v>39</v>
      </c>
      <c r="G30" s="167" t="s">
        <v>363</v>
      </c>
      <c r="H30" s="167" t="s">
        <v>136</v>
      </c>
      <c r="I30" s="167">
        <v>3</v>
      </c>
      <c r="J30" s="165" t="s">
        <v>330</v>
      </c>
      <c r="K30" s="165" t="s">
        <v>42</v>
      </c>
      <c r="L30" s="165" t="s">
        <v>36</v>
      </c>
      <c r="M30" s="165" t="s">
        <v>331</v>
      </c>
      <c r="N30" s="165" t="s">
        <v>340</v>
      </c>
      <c r="O30" s="168" t="s">
        <v>47</v>
      </c>
      <c r="P30" s="165" t="s">
        <v>391</v>
      </c>
      <c r="Q30" s="165" t="s">
        <v>386</v>
      </c>
      <c r="R30" s="198">
        <v>0</v>
      </c>
      <c r="S30" s="206">
        <v>0</v>
      </c>
      <c r="T30" s="201">
        <v>230000</v>
      </c>
      <c r="U30" s="201">
        <v>230000</v>
      </c>
    </row>
    <row r="31" spans="1:22" x14ac:dyDescent="0.25">
      <c r="A31" s="165" t="s">
        <v>327</v>
      </c>
      <c r="B31" s="165" t="s">
        <v>41</v>
      </c>
      <c r="C31" s="165" t="s">
        <v>328</v>
      </c>
      <c r="D31" s="165" t="s">
        <v>138</v>
      </c>
      <c r="E31" s="166" t="s">
        <v>392</v>
      </c>
      <c r="F31" s="165" t="s">
        <v>39</v>
      </c>
      <c r="G31" s="167" t="s">
        <v>393</v>
      </c>
      <c r="H31" s="167" t="s">
        <v>136</v>
      </c>
      <c r="I31" s="167">
        <v>3</v>
      </c>
      <c r="J31" s="165" t="s">
        <v>330</v>
      </c>
      <c r="K31" s="165" t="s">
        <v>42</v>
      </c>
      <c r="L31" s="165" t="s">
        <v>36</v>
      </c>
      <c r="M31" s="165" t="s">
        <v>331</v>
      </c>
      <c r="N31" s="165" t="s">
        <v>340</v>
      </c>
      <c r="O31" s="168" t="s">
        <v>47</v>
      </c>
      <c r="P31" s="165" t="s">
        <v>394</v>
      </c>
      <c r="Q31" s="165" t="s">
        <v>386</v>
      </c>
      <c r="R31" s="198">
        <v>0</v>
      </c>
      <c r="S31" s="206">
        <v>0</v>
      </c>
      <c r="T31" s="201">
        <v>160000</v>
      </c>
      <c r="U31" s="201">
        <v>160000</v>
      </c>
    </row>
    <row r="32" spans="1:22" x14ac:dyDescent="0.25">
      <c r="A32" s="165" t="s">
        <v>327</v>
      </c>
      <c r="B32" s="165" t="s">
        <v>41</v>
      </c>
      <c r="C32" s="165" t="s">
        <v>328</v>
      </c>
      <c r="D32" s="165" t="s">
        <v>81</v>
      </c>
      <c r="E32" s="166" t="s">
        <v>139</v>
      </c>
      <c r="F32" s="165" t="s">
        <v>39</v>
      </c>
      <c r="G32" s="165" t="s">
        <v>368</v>
      </c>
      <c r="H32" s="167" t="s">
        <v>136</v>
      </c>
      <c r="I32" s="167">
        <v>3</v>
      </c>
      <c r="J32" s="165" t="s">
        <v>330</v>
      </c>
      <c r="K32" s="165" t="s">
        <v>42</v>
      </c>
      <c r="L32" s="165" t="s">
        <v>36</v>
      </c>
      <c r="M32" s="165" t="s">
        <v>336</v>
      </c>
      <c r="N32" s="165" t="s">
        <v>340</v>
      </c>
      <c r="O32" s="168" t="s">
        <v>47</v>
      </c>
      <c r="P32" s="165" t="s">
        <v>388</v>
      </c>
      <c r="Q32" s="165" t="s">
        <v>395</v>
      </c>
      <c r="R32" s="198">
        <v>0</v>
      </c>
      <c r="S32" s="201">
        <v>0</v>
      </c>
      <c r="T32" s="207">
        <v>140000</v>
      </c>
      <c r="U32" s="207">
        <v>140000</v>
      </c>
    </row>
    <row r="33" spans="1:21" x14ac:dyDescent="0.25">
      <c r="A33" s="169" t="s">
        <v>327</v>
      </c>
      <c r="B33" s="169" t="s">
        <v>41</v>
      </c>
      <c r="C33" s="169" t="s">
        <v>328</v>
      </c>
      <c r="D33" s="169" t="s">
        <v>156</v>
      </c>
      <c r="E33" s="185" t="s">
        <v>157</v>
      </c>
      <c r="F33" s="169" t="s">
        <v>39</v>
      </c>
      <c r="G33" s="169" t="s">
        <v>365</v>
      </c>
      <c r="H33" s="171" t="s">
        <v>158</v>
      </c>
      <c r="I33" s="171">
        <v>3</v>
      </c>
      <c r="J33" s="169" t="s">
        <v>330</v>
      </c>
      <c r="K33" s="169" t="s">
        <v>42</v>
      </c>
      <c r="L33" s="169" t="s">
        <v>36</v>
      </c>
      <c r="M33" s="169" t="s">
        <v>336</v>
      </c>
      <c r="N33" s="169" t="s">
        <v>340</v>
      </c>
      <c r="O33" s="172" t="s">
        <v>47</v>
      </c>
      <c r="P33" s="171" t="s">
        <v>396</v>
      </c>
      <c r="Q33" s="171" t="s">
        <v>342</v>
      </c>
      <c r="R33" s="198">
        <v>0</v>
      </c>
      <c r="S33" s="202">
        <v>0</v>
      </c>
      <c r="T33" s="202">
        <v>10000</v>
      </c>
      <c r="U33" s="202">
        <v>10000</v>
      </c>
    </row>
    <row r="34" spans="1:21" x14ac:dyDescent="0.25">
      <c r="A34" s="169" t="s">
        <v>327</v>
      </c>
      <c r="B34" s="169" t="s">
        <v>41</v>
      </c>
      <c r="C34" s="169" t="s">
        <v>328</v>
      </c>
      <c r="D34" s="169" t="s">
        <v>159</v>
      </c>
      <c r="E34" s="185" t="s">
        <v>160</v>
      </c>
      <c r="F34" s="169" t="s">
        <v>39</v>
      </c>
      <c r="G34" s="169" t="s">
        <v>371</v>
      </c>
      <c r="H34" s="171" t="s">
        <v>158</v>
      </c>
      <c r="I34" s="171">
        <v>3</v>
      </c>
      <c r="J34" s="169" t="s">
        <v>330</v>
      </c>
      <c r="K34" s="169" t="s">
        <v>42</v>
      </c>
      <c r="L34" s="169" t="s">
        <v>36</v>
      </c>
      <c r="M34" s="169" t="s">
        <v>336</v>
      </c>
      <c r="N34" s="169" t="s">
        <v>340</v>
      </c>
      <c r="O34" s="172" t="s">
        <v>47</v>
      </c>
      <c r="P34" s="171" t="s">
        <v>397</v>
      </c>
      <c r="Q34" s="171" t="s">
        <v>398</v>
      </c>
      <c r="R34" s="198">
        <v>0</v>
      </c>
      <c r="S34" s="202">
        <v>0</v>
      </c>
      <c r="T34" s="202">
        <v>7500</v>
      </c>
      <c r="U34" s="202">
        <v>7500</v>
      </c>
    </row>
    <row r="35" spans="1:21" x14ac:dyDescent="0.25">
      <c r="A35" s="169" t="s">
        <v>327</v>
      </c>
      <c r="B35" s="169" t="s">
        <v>41</v>
      </c>
      <c r="C35" s="169" t="s">
        <v>328</v>
      </c>
      <c r="D35" s="169" t="s">
        <v>161</v>
      </c>
      <c r="E35" s="185" t="s">
        <v>162</v>
      </c>
      <c r="F35" s="169" t="s">
        <v>39</v>
      </c>
      <c r="G35" s="169" t="s">
        <v>375</v>
      </c>
      <c r="H35" s="171" t="s">
        <v>158</v>
      </c>
      <c r="I35" s="171">
        <v>3</v>
      </c>
      <c r="J35" s="169" t="s">
        <v>330</v>
      </c>
      <c r="K35" s="169" t="s">
        <v>42</v>
      </c>
      <c r="L35" s="169" t="s">
        <v>36</v>
      </c>
      <c r="M35" s="169" t="s">
        <v>336</v>
      </c>
      <c r="N35" s="169" t="s">
        <v>340</v>
      </c>
      <c r="O35" s="172" t="s">
        <v>47</v>
      </c>
      <c r="P35" s="171" t="s">
        <v>388</v>
      </c>
      <c r="Q35" s="171" t="s">
        <v>399</v>
      </c>
      <c r="R35" s="198">
        <v>0</v>
      </c>
      <c r="S35" s="202">
        <v>0</v>
      </c>
      <c r="T35" s="202">
        <v>10000</v>
      </c>
      <c r="U35" s="202">
        <v>10000</v>
      </c>
    </row>
    <row r="36" spans="1:21" x14ac:dyDescent="0.25">
      <c r="A36" s="169" t="s">
        <v>327</v>
      </c>
      <c r="B36" s="169" t="s">
        <v>41</v>
      </c>
      <c r="C36" s="169" t="s">
        <v>328</v>
      </c>
      <c r="D36" s="169" t="s">
        <v>163</v>
      </c>
      <c r="E36" s="185" t="s">
        <v>164</v>
      </c>
      <c r="F36" s="169" t="s">
        <v>39</v>
      </c>
      <c r="G36" s="169" t="s">
        <v>378</v>
      </c>
      <c r="H36" s="171" t="s">
        <v>158</v>
      </c>
      <c r="I36" s="171">
        <v>3</v>
      </c>
      <c r="J36" s="169" t="s">
        <v>330</v>
      </c>
      <c r="K36" s="169" t="s">
        <v>42</v>
      </c>
      <c r="L36" s="169" t="s">
        <v>36</v>
      </c>
      <c r="M36" s="169" t="s">
        <v>336</v>
      </c>
      <c r="N36" s="169" t="s">
        <v>340</v>
      </c>
      <c r="O36" s="172" t="s">
        <v>47</v>
      </c>
      <c r="P36" s="171" t="s">
        <v>396</v>
      </c>
      <c r="Q36" s="171" t="s">
        <v>400</v>
      </c>
      <c r="R36" s="198">
        <v>0</v>
      </c>
      <c r="S36" s="208">
        <v>0</v>
      </c>
      <c r="T36" s="202">
        <v>5000</v>
      </c>
      <c r="U36" s="202">
        <v>5000</v>
      </c>
    </row>
    <row r="37" spans="1:21" x14ac:dyDescent="0.25">
      <c r="A37" s="169" t="s">
        <v>327</v>
      </c>
      <c r="B37" s="169" t="s">
        <v>41</v>
      </c>
      <c r="C37" s="169" t="s">
        <v>328</v>
      </c>
      <c r="D37" s="169" t="s">
        <v>165</v>
      </c>
      <c r="E37" s="185" t="s">
        <v>166</v>
      </c>
      <c r="F37" s="169" t="s">
        <v>39</v>
      </c>
      <c r="G37" s="169" t="s">
        <v>380</v>
      </c>
      <c r="H37" s="171" t="s">
        <v>158</v>
      </c>
      <c r="I37" s="171">
        <v>3</v>
      </c>
      <c r="J37" s="169" t="s">
        <v>330</v>
      </c>
      <c r="K37" s="169" t="s">
        <v>42</v>
      </c>
      <c r="L37" s="169" t="s">
        <v>36</v>
      </c>
      <c r="M37" s="169" t="s">
        <v>336</v>
      </c>
      <c r="N37" s="169" t="s">
        <v>340</v>
      </c>
      <c r="O37" s="172" t="s">
        <v>47</v>
      </c>
      <c r="P37" s="171" t="s">
        <v>401</v>
      </c>
      <c r="Q37" s="171" t="s">
        <v>398</v>
      </c>
      <c r="R37" s="198">
        <v>0</v>
      </c>
      <c r="S37" s="208">
        <v>0</v>
      </c>
      <c r="T37" s="202">
        <v>7500</v>
      </c>
      <c r="U37" s="202">
        <v>7500</v>
      </c>
    </row>
    <row r="38" spans="1:21" ht="22.5" x14ac:dyDescent="0.25">
      <c r="A38" s="173"/>
      <c r="B38" s="173"/>
      <c r="C38" s="173" t="s">
        <v>35</v>
      </c>
      <c r="D38" s="173" t="s">
        <v>343</v>
      </c>
      <c r="E38" s="180"/>
      <c r="F38" s="173"/>
      <c r="G38" s="173"/>
      <c r="H38" s="173"/>
      <c r="I38" s="173"/>
      <c r="J38" s="173"/>
      <c r="K38" s="173"/>
      <c r="L38" s="173"/>
      <c r="M38" s="173"/>
      <c r="N38" s="173"/>
      <c r="O38" s="173"/>
      <c r="P38" s="173"/>
      <c r="Q38" s="173"/>
      <c r="R38" s="203">
        <v>0</v>
      </c>
      <c r="S38" s="203">
        <v>0</v>
      </c>
      <c r="T38" s="203">
        <v>1950000</v>
      </c>
      <c r="U38" s="203">
        <v>1950000</v>
      </c>
    </row>
    <row r="39" spans="1:21" x14ac:dyDescent="0.25">
      <c r="A39" s="161" t="s">
        <v>327</v>
      </c>
      <c r="B39" s="161" t="s">
        <v>41</v>
      </c>
      <c r="C39" s="161" t="s">
        <v>402</v>
      </c>
      <c r="D39" s="161"/>
      <c r="E39" s="162"/>
      <c r="F39" s="161" t="s">
        <v>39</v>
      </c>
      <c r="G39" s="161" t="s">
        <v>209</v>
      </c>
      <c r="H39" s="161" t="s">
        <v>40</v>
      </c>
      <c r="I39" s="161">
        <v>3</v>
      </c>
      <c r="J39" s="161" t="s">
        <v>330</v>
      </c>
      <c r="K39" s="161" t="s">
        <v>42</v>
      </c>
      <c r="L39" s="161" t="s">
        <v>36</v>
      </c>
      <c r="M39" s="161" t="s">
        <v>336</v>
      </c>
      <c r="N39" s="161" t="s">
        <v>340</v>
      </c>
      <c r="O39" s="164" t="s">
        <v>47</v>
      </c>
      <c r="P39" s="161"/>
      <c r="Q39" s="161"/>
      <c r="R39" s="198">
        <v>0</v>
      </c>
      <c r="S39" s="199">
        <v>0</v>
      </c>
      <c r="T39" s="200">
        <v>6000</v>
      </c>
      <c r="U39" s="200">
        <v>6000</v>
      </c>
    </row>
    <row r="40" spans="1:21" ht="33.75" x14ac:dyDescent="0.25">
      <c r="A40" s="173"/>
      <c r="B40" s="173"/>
      <c r="C40" s="173" t="s">
        <v>403</v>
      </c>
      <c r="D40" s="173" t="s">
        <v>343</v>
      </c>
      <c r="E40" s="180"/>
      <c r="F40" s="173"/>
      <c r="G40" s="173"/>
      <c r="H40" s="173"/>
      <c r="I40" s="173"/>
      <c r="J40" s="173"/>
      <c r="K40" s="173"/>
      <c r="L40" s="173"/>
      <c r="M40" s="173"/>
      <c r="N40" s="173"/>
      <c r="O40" s="173"/>
      <c r="P40" s="173"/>
      <c r="Q40" s="173"/>
      <c r="R40" s="203">
        <v>0</v>
      </c>
      <c r="S40" s="203">
        <v>0</v>
      </c>
      <c r="T40" s="203">
        <v>6000</v>
      </c>
      <c r="U40" s="203">
        <v>6000</v>
      </c>
    </row>
    <row r="41" spans="1:21" x14ac:dyDescent="0.25">
      <c r="A41" s="161" t="s">
        <v>327</v>
      </c>
      <c r="B41" s="161" t="s">
        <v>41</v>
      </c>
      <c r="C41" s="161" t="s">
        <v>346</v>
      </c>
      <c r="D41" s="161" t="s">
        <v>116</v>
      </c>
      <c r="E41" s="162"/>
      <c r="F41" s="161" t="s">
        <v>39</v>
      </c>
      <c r="G41" s="179" t="s">
        <v>404</v>
      </c>
      <c r="H41" s="161" t="s">
        <v>40</v>
      </c>
      <c r="I41" s="161">
        <v>3</v>
      </c>
      <c r="J41" s="161" t="s">
        <v>330</v>
      </c>
      <c r="K41" s="161" t="s">
        <v>42</v>
      </c>
      <c r="L41" s="161" t="s">
        <v>36</v>
      </c>
      <c r="M41" s="161" t="s">
        <v>331</v>
      </c>
      <c r="N41" s="161" t="s">
        <v>332</v>
      </c>
      <c r="O41" s="164" t="s">
        <v>47</v>
      </c>
      <c r="P41" s="161" t="s">
        <v>405</v>
      </c>
      <c r="Q41" s="161" t="s">
        <v>355</v>
      </c>
      <c r="R41" s="198">
        <v>0</v>
      </c>
      <c r="S41" s="199">
        <v>0</v>
      </c>
      <c r="T41" s="209">
        <v>110000</v>
      </c>
      <c r="U41" s="209">
        <v>110000</v>
      </c>
    </row>
    <row r="42" spans="1:21" x14ac:dyDescent="0.25">
      <c r="A42" s="161" t="s">
        <v>327</v>
      </c>
      <c r="B42" s="161" t="s">
        <v>41</v>
      </c>
      <c r="C42" s="161" t="s">
        <v>346</v>
      </c>
      <c r="D42" s="161" t="s">
        <v>117</v>
      </c>
      <c r="E42" s="162" t="s">
        <v>406</v>
      </c>
      <c r="F42" s="161" t="s">
        <v>39</v>
      </c>
      <c r="G42" s="179" t="s">
        <v>404</v>
      </c>
      <c r="H42" s="161" t="s">
        <v>66</v>
      </c>
      <c r="I42" s="161">
        <v>3</v>
      </c>
      <c r="J42" s="161" t="s">
        <v>330</v>
      </c>
      <c r="K42" s="161" t="s">
        <v>42</v>
      </c>
      <c r="L42" s="161" t="s">
        <v>36</v>
      </c>
      <c r="M42" s="161" t="s">
        <v>331</v>
      </c>
      <c r="N42" s="161" t="s">
        <v>332</v>
      </c>
      <c r="O42" s="164" t="s">
        <v>47</v>
      </c>
      <c r="P42" s="161" t="s">
        <v>407</v>
      </c>
      <c r="Q42" s="161" t="s">
        <v>355</v>
      </c>
      <c r="R42" s="198">
        <v>0</v>
      </c>
      <c r="S42" s="199">
        <v>0</v>
      </c>
      <c r="T42" s="209">
        <v>30000</v>
      </c>
      <c r="U42" s="209">
        <v>30000</v>
      </c>
    </row>
    <row r="43" spans="1:21" x14ac:dyDescent="0.25">
      <c r="A43" s="161" t="s">
        <v>327</v>
      </c>
      <c r="B43" s="161" t="s">
        <v>41</v>
      </c>
      <c r="C43" s="161" t="s">
        <v>346</v>
      </c>
      <c r="D43" s="161" t="s">
        <v>70</v>
      </c>
      <c r="E43" s="161" t="s">
        <v>408</v>
      </c>
      <c r="F43" s="161" t="s">
        <v>39</v>
      </c>
      <c r="G43" s="161" t="s">
        <v>409</v>
      </c>
      <c r="H43" s="161" t="s">
        <v>40</v>
      </c>
      <c r="I43" s="161">
        <v>3</v>
      </c>
      <c r="J43" s="161" t="s">
        <v>330</v>
      </c>
      <c r="K43" s="161" t="s">
        <v>42</v>
      </c>
      <c r="L43" s="161" t="s">
        <v>36</v>
      </c>
      <c r="M43" s="161" t="s">
        <v>331</v>
      </c>
      <c r="N43" s="161" t="s">
        <v>340</v>
      </c>
      <c r="O43" s="164" t="s">
        <v>47</v>
      </c>
      <c r="P43" s="161" t="s">
        <v>361</v>
      </c>
      <c r="Q43" s="161" t="s">
        <v>367</v>
      </c>
      <c r="R43" s="198">
        <v>0</v>
      </c>
      <c r="S43" s="199">
        <v>0</v>
      </c>
      <c r="T43" s="209">
        <v>20000</v>
      </c>
      <c r="U43" s="209">
        <v>20000</v>
      </c>
    </row>
    <row r="44" spans="1:21" x14ac:dyDescent="0.25">
      <c r="A44" s="161" t="s">
        <v>327</v>
      </c>
      <c r="B44" s="161" t="s">
        <v>41</v>
      </c>
      <c r="C44" s="161" t="s">
        <v>346</v>
      </c>
      <c r="D44" s="161" t="s">
        <v>88</v>
      </c>
      <c r="E44" s="162" t="s">
        <v>410</v>
      </c>
      <c r="F44" s="161" t="s">
        <v>39</v>
      </c>
      <c r="G44" s="161" t="s">
        <v>411</v>
      </c>
      <c r="H44" s="161" t="s">
        <v>40</v>
      </c>
      <c r="I44" s="161">
        <v>3</v>
      </c>
      <c r="J44" s="161" t="s">
        <v>330</v>
      </c>
      <c r="K44" s="161" t="s">
        <v>42</v>
      </c>
      <c r="L44" s="161" t="s">
        <v>36</v>
      </c>
      <c r="M44" s="161" t="s">
        <v>331</v>
      </c>
      <c r="N44" s="161" t="s">
        <v>340</v>
      </c>
      <c r="O44" s="164" t="s">
        <v>47</v>
      </c>
      <c r="P44" s="161" t="s">
        <v>412</v>
      </c>
      <c r="Q44" s="161" t="s">
        <v>355</v>
      </c>
      <c r="R44" s="198">
        <v>0</v>
      </c>
      <c r="S44" s="199">
        <v>0</v>
      </c>
      <c r="T44" s="209">
        <v>120000</v>
      </c>
      <c r="U44" s="209">
        <v>120000</v>
      </c>
    </row>
    <row r="45" spans="1:21" x14ac:dyDescent="0.25">
      <c r="A45" s="161" t="s">
        <v>327</v>
      </c>
      <c r="B45" s="161" t="s">
        <v>41</v>
      </c>
      <c r="C45" s="161" t="s">
        <v>346</v>
      </c>
      <c r="D45" s="162" t="s">
        <v>167</v>
      </c>
      <c r="E45" s="161" t="s">
        <v>168</v>
      </c>
      <c r="F45" s="161" t="s">
        <v>39</v>
      </c>
      <c r="G45" s="161" t="s">
        <v>411</v>
      </c>
      <c r="H45" s="161" t="s">
        <v>66</v>
      </c>
      <c r="I45" s="161">
        <v>3</v>
      </c>
      <c r="J45" s="161" t="s">
        <v>330</v>
      </c>
      <c r="K45" s="161" t="s">
        <v>42</v>
      </c>
      <c r="L45" s="161" t="s">
        <v>36</v>
      </c>
      <c r="M45" s="161" t="s">
        <v>331</v>
      </c>
      <c r="N45" s="161" t="s">
        <v>340</v>
      </c>
      <c r="O45" s="164" t="s">
        <v>47</v>
      </c>
      <c r="P45" s="161" t="s">
        <v>413</v>
      </c>
      <c r="Q45" s="161" t="s">
        <v>355</v>
      </c>
      <c r="R45" s="198">
        <v>0</v>
      </c>
      <c r="S45" s="199">
        <v>0</v>
      </c>
      <c r="T45" s="209">
        <v>20000</v>
      </c>
      <c r="U45" s="209">
        <v>20000</v>
      </c>
    </row>
    <row r="46" spans="1:21" x14ac:dyDescent="0.25">
      <c r="A46" s="161" t="s">
        <v>327</v>
      </c>
      <c r="B46" s="161" t="s">
        <v>41</v>
      </c>
      <c r="C46" s="161" t="s">
        <v>346</v>
      </c>
      <c r="D46" s="161" t="s">
        <v>87</v>
      </c>
      <c r="E46" s="162" t="s">
        <v>414</v>
      </c>
      <c r="F46" s="161" t="s">
        <v>39</v>
      </c>
      <c r="G46" s="161" t="s">
        <v>415</v>
      </c>
      <c r="H46" s="179" t="s">
        <v>40</v>
      </c>
      <c r="I46" s="161">
        <v>3</v>
      </c>
      <c r="J46" s="161" t="s">
        <v>330</v>
      </c>
      <c r="K46" s="161" t="s">
        <v>42</v>
      </c>
      <c r="L46" s="161" t="s">
        <v>36</v>
      </c>
      <c r="M46" s="161" t="s">
        <v>331</v>
      </c>
      <c r="N46" s="161" t="s">
        <v>340</v>
      </c>
      <c r="O46" s="164" t="s">
        <v>47</v>
      </c>
      <c r="P46" s="161" t="s">
        <v>416</v>
      </c>
      <c r="Q46" s="161" t="s">
        <v>417</v>
      </c>
      <c r="R46" s="198">
        <v>0</v>
      </c>
      <c r="S46" s="199">
        <v>0</v>
      </c>
      <c r="T46" s="209">
        <v>110000</v>
      </c>
      <c r="U46" s="209">
        <v>110000</v>
      </c>
    </row>
    <row r="47" spans="1:21" x14ac:dyDescent="0.25">
      <c r="A47" s="161" t="s">
        <v>327</v>
      </c>
      <c r="B47" s="161"/>
      <c r="C47" s="161" t="s">
        <v>346</v>
      </c>
      <c r="D47" s="161" t="s">
        <v>135</v>
      </c>
      <c r="E47" s="176"/>
      <c r="F47" s="179"/>
      <c r="G47" s="179"/>
      <c r="H47" s="179" t="s">
        <v>40</v>
      </c>
      <c r="I47" s="179"/>
      <c r="J47" s="179"/>
      <c r="K47" s="179"/>
      <c r="L47" s="179"/>
      <c r="M47" s="179"/>
      <c r="N47" s="179"/>
      <c r="O47" s="186"/>
      <c r="P47" s="161" t="s">
        <v>382</v>
      </c>
      <c r="Q47" s="161" t="s">
        <v>383</v>
      </c>
      <c r="R47" s="198">
        <v>0</v>
      </c>
      <c r="S47" s="199">
        <v>0</v>
      </c>
      <c r="T47" s="209">
        <v>10000</v>
      </c>
      <c r="U47" s="209">
        <v>10000</v>
      </c>
    </row>
    <row r="48" spans="1:21" x14ac:dyDescent="0.25">
      <c r="A48" s="165" t="s">
        <v>327</v>
      </c>
      <c r="B48" s="165" t="s">
        <v>41</v>
      </c>
      <c r="C48" s="165" t="s">
        <v>346</v>
      </c>
      <c r="D48" s="165" t="s">
        <v>100</v>
      </c>
      <c r="E48" s="166" t="s">
        <v>140</v>
      </c>
      <c r="F48" s="167" t="s">
        <v>39</v>
      </c>
      <c r="G48" s="167" t="s">
        <v>409</v>
      </c>
      <c r="H48" s="167" t="s">
        <v>136</v>
      </c>
      <c r="I48" s="167">
        <v>3</v>
      </c>
      <c r="J48" s="167" t="s">
        <v>330</v>
      </c>
      <c r="K48" s="167" t="s">
        <v>42</v>
      </c>
      <c r="L48" s="167" t="s">
        <v>36</v>
      </c>
      <c r="M48" s="167" t="s">
        <v>336</v>
      </c>
      <c r="N48" s="167" t="s">
        <v>340</v>
      </c>
      <c r="O48" s="187" t="s">
        <v>47</v>
      </c>
      <c r="P48" s="188" t="s">
        <v>388</v>
      </c>
      <c r="Q48" s="188" t="s">
        <v>386</v>
      </c>
      <c r="R48" s="198">
        <v>0</v>
      </c>
      <c r="S48" s="201">
        <v>0</v>
      </c>
      <c r="T48" s="207">
        <v>130000</v>
      </c>
      <c r="U48" s="207">
        <v>130000</v>
      </c>
    </row>
    <row r="49" spans="1:21" x14ac:dyDescent="0.25">
      <c r="A49" s="165" t="s">
        <v>327</v>
      </c>
      <c r="B49" s="165" t="s">
        <v>41</v>
      </c>
      <c r="C49" s="165" t="s">
        <v>346</v>
      </c>
      <c r="D49" s="165" t="s">
        <v>111</v>
      </c>
      <c r="E49" s="166" t="s">
        <v>142</v>
      </c>
      <c r="F49" s="167" t="s">
        <v>39</v>
      </c>
      <c r="G49" s="167" t="s">
        <v>418</v>
      </c>
      <c r="H49" s="167" t="s">
        <v>136</v>
      </c>
      <c r="I49" s="167">
        <v>3</v>
      </c>
      <c r="J49" s="167" t="s">
        <v>330</v>
      </c>
      <c r="K49" s="167" t="s">
        <v>42</v>
      </c>
      <c r="L49" s="167" t="s">
        <v>36</v>
      </c>
      <c r="M49" s="167" t="s">
        <v>336</v>
      </c>
      <c r="N49" s="167" t="s">
        <v>340</v>
      </c>
      <c r="O49" s="187" t="s">
        <v>47</v>
      </c>
      <c r="P49" s="188" t="s">
        <v>391</v>
      </c>
      <c r="Q49" s="188" t="s">
        <v>395</v>
      </c>
      <c r="R49" s="198">
        <v>0</v>
      </c>
      <c r="S49" s="201">
        <v>0</v>
      </c>
      <c r="T49" s="207">
        <v>130000</v>
      </c>
      <c r="U49" s="207">
        <v>130000</v>
      </c>
    </row>
    <row r="50" spans="1:21" ht="22.5" x14ac:dyDescent="0.25">
      <c r="A50" s="173"/>
      <c r="B50" s="173"/>
      <c r="C50" s="173" t="s">
        <v>45</v>
      </c>
      <c r="D50" s="173" t="s">
        <v>343</v>
      </c>
      <c r="E50" s="180"/>
      <c r="F50" s="173"/>
      <c r="G50" s="173"/>
      <c r="H50" s="173"/>
      <c r="I50" s="173"/>
      <c r="J50" s="173"/>
      <c r="K50" s="173"/>
      <c r="L50" s="173"/>
      <c r="M50" s="173"/>
      <c r="N50" s="173"/>
      <c r="O50" s="173"/>
      <c r="P50" s="173"/>
      <c r="Q50" s="173"/>
      <c r="R50" s="203">
        <v>0</v>
      </c>
      <c r="S50" s="203">
        <v>0</v>
      </c>
      <c r="T50" s="203">
        <v>680000</v>
      </c>
      <c r="U50" s="203">
        <v>680000</v>
      </c>
    </row>
    <row r="51" spans="1:21" ht="22.5" x14ac:dyDescent="0.25">
      <c r="A51" s="173"/>
      <c r="B51" s="173"/>
      <c r="C51" s="173" t="s">
        <v>419</v>
      </c>
      <c r="D51" s="173"/>
      <c r="E51" s="180"/>
      <c r="F51" s="173"/>
      <c r="G51" s="173"/>
      <c r="H51" s="173"/>
      <c r="I51" s="173"/>
      <c r="J51" s="173"/>
      <c r="K51" s="173"/>
      <c r="L51" s="173"/>
      <c r="M51" s="173"/>
      <c r="N51" s="173"/>
      <c r="O51" s="173"/>
      <c r="P51" s="173"/>
      <c r="Q51" s="173"/>
      <c r="R51" s="203">
        <v>0</v>
      </c>
      <c r="S51" s="203">
        <v>0</v>
      </c>
      <c r="T51" s="203">
        <v>2636000</v>
      </c>
      <c r="U51" s="203">
        <v>2636000</v>
      </c>
    </row>
    <row r="52" spans="1:21" x14ac:dyDescent="0.25">
      <c r="A52" s="181"/>
      <c r="B52" s="181"/>
      <c r="C52" s="181" t="s">
        <v>420</v>
      </c>
      <c r="D52" s="181"/>
      <c r="E52" s="182"/>
      <c r="F52" s="181"/>
      <c r="G52" s="181"/>
      <c r="H52" s="181"/>
      <c r="I52" s="181"/>
      <c r="J52" s="181"/>
      <c r="K52" s="181"/>
      <c r="L52" s="181"/>
      <c r="M52" s="181"/>
      <c r="N52" s="181"/>
      <c r="O52" s="181"/>
      <c r="P52" s="181"/>
      <c r="Q52" s="181"/>
      <c r="R52" s="204">
        <v>0</v>
      </c>
      <c r="S52" s="204">
        <v>0</v>
      </c>
      <c r="T52" s="204">
        <v>2772960.5263157897</v>
      </c>
      <c r="U52" s="204">
        <v>2738720.3947368423</v>
      </c>
    </row>
    <row r="53" spans="1:21" x14ac:dyDescent="0.25">
      <c r="A53" s="161" t="s">
        <v>421</v>
      </c>
      <c r="B53" s="161" t="s">
        <v>41</v>
      </c>
      <c r="C53" s="161" t="s">
        <v>186</v>
      </c>
      <c r="D53" s="161" t="s">
        <v>187</v>
      </c>
      <c r="E53" s="162"/>
      <c r="F53" s="161" t="s">
        <v>39</v>
      </c>
      <c r="G53" s="161">
        <v>470</v>
      </c>
      <c r="H53" s="161" t="s">
        <v>66</v>
      </c>
      <c r="I53" s="161">
        <v>3</v>
      </c>
      <c r="J53" s="161" t="s">
        <v>330</v>
      </c>
      <c r="K53" s="161" t="s">
        <v>422</v>
      </c>
      <c r="L53" s="161" t="s">
        <v>36</v>
      </c>
      <c r="M53" s="161" t="s">
        <v>331</v>
      </c>
      <c r="N53" s="161" t="s">
        <v>332</v>
      </c>
      <c r="O53" s="164" t="s">
        <v>47</v>
      </c>
      <c r="P53" s="161" t="s">
        <v>423</v>
      </c>
      <c r="Q53" s="161" t="s">
        <v>362</v>
      </c>
      <c r="R53" s="198">
        <v>0</v>
      </c>
      <c r="S53" s="199">
        <v>0</v>
      </c>
      <c r="T53" s="200">
        <v>9669.4214876033056</v>
      </c>
      <c r="U53" s="200">
        <v>9669.4214876033056</v>
      </c>
    </row>
    <row r="54" spans="1:21" x14ac:dyDescent="0.25">
      <c r="A54" s="161" t="s">
        <v>421</v>
      </c>
      <c r="B54" s="161" t="s">
        <v>41</v>
      </c>
      <c r="C54" s="161" t="s">
        <v>186</v>
      </c>
      <c r="D54" s="161" t="s">
        <v>188</v>
      </c>
      <c r="E54" s="162"/>
      <c r="F54" s="161" t="s">
        <v>39</v>
      </c>
      <c r="G54" s="161">
        <v>470</v>
      </c>
      <c r="H54" s="161" t="s">
        <v>40</v>
      </c>
      <c r="I54" s="161">
        <v>3</v>
      </c>
      <c r="J54" s="161" t="s">
        <v>330</v>
      </c>
      <c r="K54" s="161" t="s">
        <v>422</v>
      </c>
      <c r="L54" s="161" t="s">
        <v>36</v>
      </c>
      <c r="M54" s="161" t="s">
        <v>331</v>
      </c>
      <c r="N54" s="161" t="s">
        <v>332</v>
      </c>
      <c r="O54" s="164" t="s">
        <v>47</v>
      </c>
      <c r="P54" s="161" t="s">
        <v>424</v>
      </c>
      <c r="Q54" s="161" t="s">
        <v>362</v>
      </c>
      <c r="R54" s="198">
        <v>0</v>
      </c>
      <c r="S54" s="199">
        <v>0</v>
      </c>
      <c r="T54" s="200">
        <v>38677.685950413223</v>
      </c>
      <c r="U54" s="200">
        <v>38677.685950413223</v>
      </c>
    </row>
    <row r="55" spans="1:21" x14ac:dyDescent="0.25">
      <c r="A55" s="161" t="s">
        <v>421</v>
      </c>
      <c r="B55" s="161" t="s">
        <v>41</v>
      </c>
      <c r="C55" s="161" t="s">
        <v>186</v>
      </c>
      <c r="D55" s="161" t="s">
        <v>189</v>
      </c>
      <c r="E55" s="161"/>
      <c r="F55" s="161" t="s">
        <v>39</v>
      </c>
      <c r="G55" s="161">
        <v>473</v>
      </c>
      <c r="H55" s="161" t="s">
        <v>40</v>
      </c>
      <c r="I55" s="161">
        <v>3</v>
      </c>
      <c r="J55" s="161" t="s">
        <v>330</v>
      </c>
      <c r="K55" s="161" t="s">
        <v>422</v>
      </c>
      <c r="L55" s="161" t="s">
        <v>36</v>
      </c>
      <c r="M55" s="161" t="s">
        <v>331</v>
      </c>
      <c r="N55" s="161" t="s">
        <v>332</v>
      </c>
      <c r="O55" s="164" t="s">
        <v>47</v>
      </c>
      <c r="P55" s="161" t="s">
        <v>425</v>
      </c>
      <c r="Q55" s="161" t="s">
        <v>355</v>
      </c>
      <c r="R55" s="198">
        <v>0</v>
      </c>
      <c r="S55" s="199">
        <v>0</v>
      </c>
      <c r="T55" s="200">
        <v>51570.247933884297</v>
      </c>
      <c r="U55" s="200">
        <v>51570.247933884297</v>
      </c>
    </row>
    <row r="56" spans="1:21" x14ac:dyDescent="0.25">
      <c r="A56" s="161" t="s">
        <v>421</v>
      </c>
      <c r="B56" s="189" t="s">
        <v>41</v>
      </c>
      <c r="C56" s="161" t="s">
        <v>186</v>
      </c>
      <c r="D56" s="190" t="s">
        <v>190</v>
      </c>
      <c r="E56" s="191" t="s">
        <v>191</v>
      </c>
      <c r="F56" s="161" t="s">
        <v>39</v>
      </c>
      <c r="G56" s="161">
        <v>476</v>
      </c>
      <c r="H56" s="161" t="s">
        <v>40</v>
      </c>
      <c r="I56" s="161">
        <v>3</v>
      </c>
      <c r="J56" s="161" t="s">
        <v>330</v>
      </c>
      <c r="K56" s="161" t="s">
        <v>422</v>
      </c>
      <c r="L56" s="161" t="s">
        <v>36</v>
      </c>
      <c r="M56" s="161" t="s">
        <v>331</v>
      </c>
      <c r="N56" s="161" t="s">
        <v>340</v>
      </c>
      <c r="O56" s="164" t="s">
        <v>47</v>
      </c>
      <c r="P56" s="161" t="s">
        <v>350</v>
      </c>
      <c r="Q56" s="161" t="s">
        <v>373</v>
      </c>
      <c r="R56" s="198">
        <v>0</v>
      </c>
      <c r="S56" s="199">
        <v>0</v>
      </c>
      <c r="T56" s="200">
        <v>38677.685950413223</v>
      </c>
      <c r="U56" s="200">
        <v>38677.685950413223</v>
      </c>
    </row>
    <row r="57" spans="1:21" x14ac:dyDescent="0.25">
      <c r="A57" s="161" t="s">
        <v>421</v>
      </c>
      <c r="B57" s="161" t="s">
        <v>41</v>
      </c>
      <c r="C57" s="161" t="s">
        <v>426</v>
      </c>
      <c r="D57" s="161" t="s">
        <v>49</v>
      </c>
      <c r="E57" s="162"/>
      <c r="F57" s="161" t="s">
        <v>39</v>
      </c>
      <c r="G57" s="161">
        <v>2738</v>
      </c>
      <c r="H57" s="161" t="s">
        <v>50</v>
      </c>
      <c r="I57" s="161">
        <v>3</v>
      </c>
      <c r="J57" s="161" t="s">
        <v>330</v>
      </c>
      <c r="K57" s="161" t="s">
        <v>42</v>
      </c>
      <c r="L57" s="161" t="s">
        <v>36</v>
      </c>
      <c r="M57" s="161" t="s">
        <v>331</v>
      </c>
      <c r="N57" s="161" t="s">
        <v>332</v>
      </c>
      <c r="O57" s="164" t="s">
        <v>47</v>
      </c>
      <c r="P57" s="161" t="s">
        <v>427</v>
      </c>
      <c r="Q57" s="161" t="s">
        <v>428</v>
      </c>
      <c r="R57" s="198">
        <v>0</v>
      </c>
      <c r="S57" s="199">
        <v>0</v>
      </c>
      <c r="T57" s="200">
        <v>58016.528925619838</v>
      </c>
      <c r="U57" s="200">
        <v>58016.528925619838</v>
      </c>
    </row>
    <row r="58" spans="1:21" x14ac:dyDescent="0.25">
      <c r="A58" s="161" t="s">
        <v>421</v>
      </c>
      <c r="B58" s="161" t="s">
        <v>41</v>
      </c>
      <c r="C58" s="161" t="s">
        <v>426</v>
      </c>
      <c r="D58" s="161" t="s">
        <v>169</v>
      </c>
      <c r="E58" s="162"/>
      <c r="F58" s="161" t="s">
        <v>39</v>
      </c>
      <c r="G58" s="161">
        <v>2738</v>
      </c>
      <c r="H58" s="161" t="s">
        <v>66</v>
      </c>
      <c r="I58" s="161">
        <v>3</v>
      </c>
      <c r="J58" s="161" t="s">
        <v>330</v>
      </c>
      <c r="K58" s="161" t="s">
        <v>42</v>
      </c>
      <c r="L58" s="161" t="s">
        <v>36</v>
      </c>
      <c r="M58" s="161" t="s">
        <v>331</v>
      </c>
      <c r="N58" s="161" t="s">
        <v>332</v>
      </c>
      <c r="O58" s="164" t="s">
        <v>47</v>
      </c>
      <c r="P58" s="161" t="s">
        <v>427</v>
      </c>
      <c r="Q58" s="161" t="s">
        <v>362</v>
      </c>
      <c r="R58" s="198">
        <v>0</v>
      </c>
      <c r="S58" s="199">
        <v>0</v>
      </c>
      <c r="T58" s="200">
        <v>9669.4214876033056</v>
      </c>
      <c r="U58" s="200">
        <v>9669.4214876033056</v>
      </c>
    </row>
    <row r="59" spans="1:21" x14ac:dyDescent="0.25">
      <c r="A59" s="161" t="s">
        <v>421</v>
      </c>
      <c r="B59" s="161" t="s">
        <v>41</v>
      </c>
      <c r="C59" s="161" t="s">
        <v>426</v>
      </c>
      <c r="D59" s="161" t="s">
        <v>170</v>
      </c>
      <c r="E59" s="162" t="s">
        <v>171</v>
      </c>
      <c r="F59" s="161" t="s">
        <v>39</v>
      </c>
      <c r="G59" s="161">
        <v>2771</v>
      </c>
      <c r="H59" s="161" t="s">
        <v>66</v>
      </c>
      <c r="I59" s="161">
        <v>3</v>
      </c>
      <c r="J59" s="161" t="s">
        <v>330</v>
      </c>
      <c r="K59" s="161" t="s">
        <v>42</v>
      </c>
      <c r="L59" s="161" t="s">
        <v>36</v>
      </c>
      <c r="M59" s="161" t="s">
        <v>331</v>
      </c>
      <c r="N59" s="161" t="s">
        <v>332</v>
      </c>
      <c r="O59" s="164" t="s">
        <v>47</v>
      </c>
      <c r="P59" s="161" t="s">
        <v>354</v>
      </c>
      <c r="Q59" s="161" t="s">
        <v>429</v>
      </c>
      <c r="R59" s="198">
        <v>0</v>
      </c>
      <c r="S59" s="199">
        <v>0</v>
      </c>
      <c r="T59" s="200">
        <v>3223.1404958677685</v>
      </c>
      <c r="U59" s="200">
        <v>3223.1404958677685</v>
      </c>
    </row>
    <row r="60" spans="1:21" x14ac:dyDescent="0.25">
      <c r="A60" s="161" t="s">
        <v>421</v>
      </c>
      <c r="B60" s="161" t="s">
        <v>41</v>
      </c>
      <c r="C60" s="161" t="s">
        <v>426</v>
      </c>
      <c r="D60" s="161" t="s">
        <v>172</v>
      </c>
      <c r="E60" s="161"/>
      <c r="F60" s="161" t="s">
        <v>39</v>
      </c>
      <c r="G60" s="161">
        <v>2772</v>
      </c>
      <c r="H60" s="161" t="s">
        <v>40</v>
      </c>
      <c r="I60" s="161">
        <v>3</v>
      </c>
      <c r="J60" s="161" t="s">
        <v>330</v>
      </c>
      <c r="K60" s="161" t="s">
        <v>42</v>
      </c>
      <c r="L60" s="161" t="s">
        <v>36</v>
      </c>
      <c r="M60" s="161" t="s">
        <v>331</v>
      </c>
      <c r="N60" s="161" t="s">
        <v>332</v>
      </c>
      <c r="O60" s="164" t="s">
        <v>47</v>
      </c>
      <c r="P60" s="161" t="s">
        <v>356</v>
      </c>
      <c r="Q60" s="161" t="s">
        <v>429</v>
      </c>
      <c r="R60" s="198">
        <v>0</v>
      </c>
      <c r="S60" s="199">
        <v>0</v>
      </c>
      <c r="T60" s="200">
        <v>12892.561983471074</v>
      </c>
      <c r="U60" s="200">
        <v>12892.561983471074</v>
      </c>
    </row>
    <row r="61" spans="1:21" x14ac:dyDescent="0.25">
      <c r="A61" s="161" t="s">
        <v>421</v>
      </c>
      <c r="B61" s="189" t="s">
        <v>41</v>
      </c>
      <c r="C61" s="161" t="s">
        <v>426</v>
      </c>
      <c r="D61" s="161" t="s">
        <v>173</v>
      </c>
      <c r="E61" s="161" t="s">
        <v>99</v>
      </c>
      <c r="F61" s="161" t="s">
        <v>39</v>
      </c>
      <c r="G61" s="161">
        <v>2773</v>
      </c>
      <c r="H61" s="161" t="s">
        <v>40</v>
      </c>
      <c r="I61" s="161">
        <v>3</v>
      </c>
      <c r="J61" s="161" t="s">
        <v>330</v>
      </c>
      <c r="K61" s="161" t="s">
        <v>42</v>
      </c>
      <c r="L61" s="161" t="s">
        <v>36</v>
      </c>
      <c r="M61" s="161" t="s">
        <v>331</v>
      </c>
      <c r="N61" s="161" t="s">
        <v>340</v>
      </c>
      <c r="O61" s="164" t="s">
        <v>47</v>
      </c>
      <c r="P61" s="192" t="s">
        <v>350</v>
      </c>
      <c r="Q61" s="161" t="s">
        <v>379</v>
      </c>
      <c r="R61" s="198">
        <v>0</v>
      </c>
      <c r="S61" s="199">
        <v>0</v>
      </c>
      <c r="T61" s="200">
        <v>19338.842975206611</v>
      </c>
      <c r="U61" s="200">
        <v>19338.842975206611</v>
      </c>
    </row>
    <row r="62" spans="1:21" x14ac:dyDescent="0.25">
      <c r="A62" s="161" t="s">
        <v>421</v>
      </c>
      <c r="B62" s="161" t="s">
        <v>41</v>
      </c>
      <c r="C62" s="161" t="s">
        <v>430</v>
      </c>
      <c r="D62" s="161" t="s">
        <v>104</v>
      </c>
      <c r="E62" s="162"/>
      <c r="F62" s="161" t="s">
        <v>39</v>
      </c>
      <c r="G62" s="161">
        <v>797</v>
      </c>
      <c r="H62" s="161" t="s">
        <v>40</v>
      </c>
      <c r="I62" s="161">
        <v>3</v>
      </c>
      <c r="J62" s="161" t="s">
        <v>330</v>
      </c>
      <c r="K62" s="161" t="s">
        <v>42</v>
      </c>
      <c r="L62" s="161" t="s">
        <v>36</v>
      </c>
      <c r="M62" s="161" t="s">
        <v>331</v>
      </c>
      <c r="N62" s="161" t="s">
        <v>332</v>
      </c>
      <c r="O62" s="164" t="s">
        <v>47</v>
      </c>
      <c r="P62" s="161" t="s">
        <v>431</v>
      </c>
      <c r="Q62" s="161" t="s">
        <v>362</v>
      </c>
      <c r="R62" s="198">
        <v>0</v>
      </c>
      <c r="S62" s="199">
        <v>0</v>
      </c>
      <c r="T62" s="200">
        <v>12892.561983471074</v>
      </c>
      <c r="U62" s="200">
        <v>12892.561983471074</v>
      </c>
    </row>
    <row r="63" spans="1:21" x14ac:dyDescent="0.25">
      <c r="A63" s="161" t="s">
        <v>421</v>
      </c>
      <c r="B63" s="161" t="s">
        <v>41</v>
      </c>
      <c r="C63" s="161" t="s">
        <v>430</v>
      </c>
      <c r="D63" s="161" t="s">
        <v>110</v>
      </c>
      <c r="E63" s="162" t="s">
        <v>432</v>
      </c>
      <c r="F63" s="161" t="s">
        <v>39</v>
      </c>
      <c r="G63" s="161">
        <v>797</v>
      </c>
      <c r="H63" s="161" t="s">
        <v>66</v>
      </c>
      <c r="I63" s="161">
        <v>3</v>
      </c>
      <c r="J63" s="161" t="s">
        <v>330</v>
      </c>
      <c r="K63" s="161" t="s">
        <v>42</v>
      </c>
      <c r="L63" s="161" t="s">
        <v>36</v>
      </c>
      <c r="M63" s="161" t="s">
        <v>331</v>
      </c>
      <c r="N63" s="161" t="s">
        <v>332</v>
      </c>
      <c r="O63" s="164" t="s">
        <v>47</v>
      </c>
      <c r="P63" s="161" t="s">
        <v>335</v>
      </c>
      <c r="Q63" s="161" t="s">
        <v>433</v>
      </c>
      <c r="R63" s="198">
        <v>0</v>
      </c>
      <c r="S63" s="199">
        <v>0</v>
      </c>
      <c r="T63" s="200">
        <v>3223.1404958677685</v>
      </c>
      <c r="U63" s="200">
        <v>3223.1404958677685</v>
      </c>
    </row>
    <row r="64" spans="1:21" x14ac:dyDescent="0.25">
      <c r="A64" s="161" t="s">
        <v>421</v>
      </c>
      <c r="B64" s="161" t="s">
        <v>41</v>
      </c>
      <c r="C64" s="161" t="s">
        <v>430</v>
      </c>
      <c r="D64" s="161" t="s">
        <v>83</v>
      </c>
      <c r="E64" s="162" t="s">
        <v>289</v>
      </c>
      <c r="F64" s="161" t="s">
        <v>39</v>
      </c>
      <c r="G64" s="161">
        <v>799</v>
      </c>
      <c r="H64" s="161" t="s">
        <v>40</v>
      </c>
      <c r="I64" s="161">
        <v>3</v>
      </c>
      <c r="J64" s="161" t="s">
        <v>330</v>
      </c>
      <c r="K64" s="161" t="s">
        <v>42</v>
      </c>
      <c r="L64" s="161" t="s">
        <v>36</v>
      </c>
      <c r="M64" s="161" t="s">
        <v>331</v>
      </c>
      <c r="N64" s="161" t="s">
        <v>340</v>
      </c>
      <c r="O64" s="164" t="s">
        <v>47</v>
      </c>
      <c r="P64" s="161" t="s">
        <v>425</v>
      </c>
      <c r="Q64" s="161" t="s">
        <v>376</v>
      </c>
      <c r="R64" s="198">
        <v>0</v>
      </c>
      <c r="S64" s="199">
        <v>0</v>
      </c>
      <c r="T64" s="200">
        <v>19338.842975206611</v>
      </c>
      <c r="U64" s="200">
        <v>19338.842975206611</v>
      </c>
    </row>
    <row r="65" spans="1:21" x14ac:dyDescent="0.25">
      <c r="A65" s="161" t="s">
        <v>421</v>
      </c>
      <c r="B65" s="161" t="s">
        <v>41</v>
      </c>
      <c r="C65" s="161" t="s">
        <v>434</v>
      </c>
      <c r="D65" s="161" t="s">
        <v>106</v>
      </c>
      <c r="E65" s="161"/>
      <c r="F65" s="161" t="s">
        <v>39</v>
      </c>
      <c r="G65" s="161">
        <v>8112</v>
      </c>
      <c r="H65" s="161" t="s">
        <v>40</v>
      </c>
      <c r="I65" s="161">
        <v>3</v>
      </c>
      <c r="J65" s="161" t="s">
        <v>330</v>
      </c>
      <c r="K65" s="161" t="s">
        <v>42</v>
      </c>
      <c r="L65" s="161" t="s">
        <v>36</v>
      </c>
      <c r="M65" s="161" t="s">
        <v>331</v>
      </c>
      <c r="N65" s="161" t="s">
        <v>332</v>
      </c>
      <c r="O65" s="164" t="s">
        <v>47</v>
      </c>
      <c r="P65" s="161" t="s">
        <v>435</v>
      </c>
      <c r="Q65" s="161" t="s">
        <v>362</v>
      </c>
      <c r="R65" s="198">
        <v>0</v>
      </c>
      <c r="S65" s="199">
        <v>0</v>
      </c>
      <c r="T65" s="200">
        <v>12892.561983471074</v>
      </c>
      <c r="U65" s="200">
        <v>12892.561983471074</v>
      </c>
    </row>
    <row r="66" spans="1:21" x14ac:dyDescent="0.25">
      <c r="A66" s="161" t="s">
        <v>421</v>
      </c>
      <c r="B66" s="161" t="s">
        <v>41</v>
      </c>
      <c r="C66" s="161" t="s">
        <v>434</v>
      </c>
      <c r="D66" s="161" t="s">
        <v>178</v>
      </c>
      <c r="E66" s="191" t="s">
        <v>107</v>
      </c>
      <c r="F66" s="161" t="s">
        <v>39</v>
      </c>
      <c r="G66" s="161" t="s">
        <v>209</v>
      </c>
      <c r="H66" s="161" t="s">
        <v>40</v>
      </c>
      <c r="I66" s="161">
        <v>3</v>
      </c>
      <c r="J66" s="161" t="s">
        <v>330</v>
      </c>
      <c r="K66" s="161" t="s">
        <v>42</v>
      </c>
      <c r="L66" s="161" t="s">
        <v>36</v>
      </c>
      <c r="M66" s="161" t="s">
        <v>331</v>
      </c>
      <c r="N66" s="161" t="s">
        <v>340</v>
      </c>
      <c r="O66" s="164" t="s">
        <v>47</v>
      </c>
      <c r="P66" s="161" t="s">
        <v>436</v>
      </c>
      <c r="Q66" s="161" t="s">
        <v>355</v>
      </c>
      <c r="R66" s="198">
        <v>0</v>
      </c>
      <c r="S66" s="199">
        <v>0</v>
      </c>
      <c r="T66" s="200">
        <v>10000</v>
      </c>
      <c r="U66" s="200">
        <v>10000</v>
      </c>
    </row>
    <row r="67" spans="1:21" x14ac:dyDescent="0.25">
      <c r="A67" s="161" t="s">
        <v>421</v>
      </c>
      <c r="B67" s="161" t="s">
        <v>41</v>
      </c>
      <c r="C67" s="161" t="s">
        <v>437</v>
      </c>
      <c r="D67" s="161" t="s">
        <v>85</v>
      </c>
      <c r="E67" s="162" t="s">
        <v>179</v>
      </c>
      <c r="F67" s="161" t="s">
        <v>39</v>
      </c>
      <c r="G67" s="161">
        <v>117</v>
      </c>
      <c r="H67" s="161" t="s">
        <v>40</v>
      </c>
      <c r="I67" s="161">
        <v>3</v>
      </c>
      <c r="J67" s="161" t="s">
        <v>330</v>
      </c>
      <c r="K67" s="161" t="s">
        <v>42</v>
      </c>
      <c r="L67" s="161" t="s">
        <v>36</v>
      </c>
      <c r="M67" s="161" t="s">
        <v>331</v>
      </c>
      <c r="N67" s="161" t="s">
        <v>340</v>
      </c>
      <c r="O67" s="164" t="s">
        <v>47</v>
      </c>
      <c r="P67" s="161" t="s">
        <v>438</v>
      </c>
      <c r="Q67" s="161" t="s">
        <v>362</v>
      </c>
      <c r="R67" s="198">
        <v>0</v>
      </c>
      <c r="S67" s="199">
        <v>0</v>
      </c>
      <c r="T67" s="200">
        <v>22561.983471074382</v>
      </c>
      <c r="U67" s="200">
        <v>22561.983471074382</v>
      </c>
    </row>
    <row r="68" spans="1:21" x14ac:dyDescent="0.25">
      <c r="A68" s="161" t="s">
        <v>421</v>
      </c>
      <c r="B68" s="189" t="s">
        <v>41</v>
      </c>
      <c r="C68" s="190" t="s">
        <v>439</v>
      </c>
      <c r="D68" s="161" t="s">
        <v>112</v>
      </c>
      <c r="E68" s="193" t="s">
        <v>180</v>
      </c>
      <c r="F68" s="161" t="s">
        <v>39</v>
      </c>
      <c r="G68" s="161" t="s">
        <v>209</v>
      </c>
      <c r="H68" s="161" t="s">
        <v>40</v>
      </c>
      <c r="I68" s="161">
        <v>3</v>
      </c>
      <c r="J68" s="161" t="s">
        <v>330</v>
      </c>
      <c r="K68" s="161" t="s">
        <v>42</v>
      </c>
      <c r="L68" s="161" t="s">
        <v>36</v>
      </c>
      <c r="M68" s="161" t="s">
        <v>336</v>
      </c>
      <c r="N68" s="161" t="s">
        <v>340</v>
      </c>
      <c r="O68" s="164" t="s">
        <v>47</v>
      </c>
      <c r="P68" s="161" t="s">
        <v>381</v>
      </c>
      <c r="Q68" s="161" t="s">
        <v>367</v>
      </c>
      <c r="R68" s="198">
        <v>0</v>
      </c>
      <c r="S68" s="199">
        <v>0</v>
      </c>
      <c r="T68" s="200">
        <v>19338.842975206611</v>
      </c>
      <c r="U68" s="200">
        <v>19338.842975206611</v>
      </c>
    </row>
    <row r="69" spans="1:21" x14ac:dyDescent="0.25">
      <c r="A69" s="161" t="s">
        <v>421</v>
      </c>
      <c r="B69" s="161" t="s">
        <v>41</v>
      </c>
      <c r="C69" s="190" t="s">
        <v>439</v>
      </c>
      <c r="D69" s="161" t="s">
        <v>96</v>
      </c>
      <c r="E69" s="193" t="s">
        <v>181</v>
      </c>
      <c r="F69" s="161" t="s">
        <v>39</v>
      </c>
      <c r="G69" s="161" t="s">
        <v>209</v>
      </c>
      <c r="H69" s="161" t="s">
        <v>40</v>
      </c>
      <c r="I69" s="161">
        <v>3</v>
      </c>
      <c r="J69" s="161" t="s">
        <v>330</v>
      </c>
      <c r="K69" s="161" t="s">
        <v>42</v>
      </c>
      <c r="L69" s="161" t="s">
        <v>36</v>
      </c>
      <c r="M69" s="161" t="s">
        <v>336</v>
      </c>
      <c r="N69" s="161" t="s">
        <v>340</v>
      </c>
      <c r="O69" s="164" t="s">
        <v>47</v>
      </c>
      <c r="P69" s="161" t="s">
        <v>412</v>
      </c>
      <c r="Q69" s="161" t="s">
        <v>440</v>
      </c>
      <c r="R69" s="198">
        <v>0</v>
      </c>
      <c r="S69" s="199">
        <v>0</v>
      </c>
      <c r="T69" s="200">
        <v>19338.842975206611</v>
      </c>
      <c r="U69" s="200">
        <v>19338.842975206611</v>
      </c>
    </row>
    <row r="70" spans="1:21" x14ac:dyDescent="0.25">
      <c r="A70" s="161" t="s">
        <v>421</v>
      </c>
      <c r="B70" s="189" t="s">
        <v>41</v>
      </c>
      <c r="C70" s="161" t="s">
        <v>441</v>
      </c>
      <c r="D70" s="161" t="s">
        <v>109</v>
      </c>
      <c r="E70" s="193" t="s">
        <v>183</v>
      </c>
      <c r="F70" s="161" t="s">
        <v>39</v>
      </c>
      <c r="G70" s="161" t="s">
        <v>209</v>
      </c>
      <c r="H70" s="161" t="s">
        <v>40</v>
      </c>
      <c r="I70" s="161">
        <v>3</v>
      </c>
      <c r="J70" s="161" t="s">
        <v>330</v>
      </c>
      <c r="K70" s="161" t="s">
        <v>42</v>
      </c>
      <c r="L70" s="161" t="s">
        <v>36</v>
      </c>
      <c r="M70" s="161" t="s">
        <v>336</v>
      </c>
      <c r="N70" s="161" t="s">
        <v>340</v>
      </c>
      <c r="O70" s="164" t="s">
        <v>47</v>
      </c>
      <c r="P70" s="192" t="s">
        <v>442</v>
      </c>
      <c r="Q70" s="194" t="s">
        <v>440</v>
      </c>
      <c r="R70" s="198">
        <v>0</v>
      </c>
      <c r="S70" s="199">
        <v>0</v>
      </c>
      <c r="T70" s="200">
        <v>10000</v>
      </c>
      <c r="U70" s="200">
        <v>10000</v>
      </c>
    </row>
    <row r="71" spans="1:21" x14ac:dyDescent="0.25">
      <c r="A71" s="169" t="s">
        <v>421</v>
      </c>
      <c r="B71" s="169" t="s">
        <v>41</v>
      </c>
      <c r="C71" s="169" t="s">
        <v>186</v>
      </c>
      <c r="D71" s="169" t="s">
        <v>192</v>
      </c>
      <c r="E71" s="185" t="s">
        <v>193</v>
      </c>
      <c r="F71" s="169" t="s">
        <v>39</v>
      </c>
      <c r="G71" s="169">
        <v>473</v>
      </c>
      <c r="H71" s="171" t="s">
        <v>158</v>
      </c>
      <c r="I71" s="169">
        <v>3</v>
      </c>
      <c r="J71" s="169" t="s">
        <v>330</v>
      </c>
      <c r="K71" s="169" t="s">
        <v>42</v>
      </c>
      <c r="L71" s="169" t="s">
        <v>36</v>
      </c>
      <c r="M71" s="169" t="s">
        <v>336</v>
      </c>
      <c r="N71" s="169" t="s">
        <v>340</v>
      </c>
      <c r="O71" s="172" t="s">
        <v>47</v>
      </c>
      <c r="P71" s="169" t="s">
        <v>443</v>
      </c>
      <c r="Q71" s="169" t="s">
        <v>342</v>
      </c>
      <c r="R71" s="198">
        <v>0</v>
      </c>
      <c r="S71" s="202">
        <v>0</v>
      </c>
      <c r="T71" s="202">
        <v>10000</v>
      </c>
      <c r="U71" s="202">
        <v>10000</v>
      </c>
    </row>
    <row r="72" spans="1:21" x14ac:dyDescent="0.25">
      <c r="A72" s="169" t="s">
        <v>421</v>
      </c>
      <c r="B72" s="169" t="s">
        <v>41</v>
      </c>
      <c r="C72" s="169" t="s">
        <v>186</v>
      </c>
      <c r="D72" s="169" t="s">
        <v>194</v>
      </c>
      <c r="E72" s="185" t="s">
        <v>195</v>
      </c>
      <c r="F72" s="169" t="s">
        <v>39</v>
      </c>
      <c r="G72" s="169">
        <v>476</v>
      </c>
      <c r="H72" s="171" t="s">
        <v>158</v>
      </c>
      <c r="I72" s="169">
        <v>3</v>
      </c>
      <c r="J72" s="169" t="s">
        <v>330</v>
      </c>
      <c r="K72" s="169" t="s">
        <v>42</v>
      </c>
      <c r="L72" s="169" t="s">
        <v>36</v>
      </c>
      <c r="M72" s="169" t="s">
        <v>336</v>
      </c>
      <c r="N72" s="169" t="s">
        <v>340</v>
      </c>
      <c r="O72" s="172" t="s">
        <v>47</v>
      </c>
      <c r="P72" s="169" t="s">
        <v>388</v>
      </c>
      <c r="Q72" s="169" t="s">
        <v>398</v>
      </c>
      <c r="R72" s="198">
        <v>0</v>
      </c>
      <c r="S72" s="202">
        <v>0</v>
      </c>
      <c r="T72" s="202">
        <v>7500</v>
      </c>
      <c r="U72" s="202">
        <v>7500</v>
      </c>
    </row>
    <row r="73" spans="1:21" x14ac:dyDescent="0.25">
      <c r="A73" s="169" t="s">
        <v>421</v>
      </c>
      <c r="B73" s="169" t="s">
        <v>41</v>
      </c>
      <c r="C73" s="169" t="s">
        <v>444</v>
      </c>
      <c r="D73" s="169" t="s">
        <v>174</v>
      </c>
      <c r="E73" s="185" t="s">
        <v>175</v>
      </c>
      <c r="F73" s="169" t="s">
        <v>39</v>
      </c>
      <c r="G73" s="169">
        <v>2773</v>
      </c>
      <c r="H73" s="171" t="s">
        <v>158</v>
      </c>
      <c r="I73" s="169">
        <v>3</v>
      </c>
      <c r="J73" s="169" t="s">
        <v>330</v>
      </c>
      <c r="K73" s="169" t="s">
        <v>42</v>
      </c>
      <c r="L73" s="169" t="s">
        <v>36</v>
      </c>
      <c r="M73" s="169" t="s">
        <v>336</v>
      </c>
      <c r="N73" s="169" t="s">
        <v>340</v>
      </c>
      <c r="O73" s="172" t="s">
        <v>47</v>
      </c>
      <c r="P73" s="169" t="s">
        <v>388</v>
      </c>
      <c r="Q73" s="169" t="s">
        <v>400</v>
      </c>
      <c r="R73" s="198">
        <v>0</v>
      </c>
      <c r="S73" s="202">
        <v>0</v>
      </c>
      <c r="T73" s="202">
        <v>10000</v>
      </c>
      <c r="U73" s="202">
        <v>10000</v>
      </c>
    </row>
    <row r="74" spans="1:21" x14ac:dyDescent="0.25">
      <c r="A74" s="169" t="s">
        <v>421</v>
      </c>
      <c r="B74" s="169" t="s">
        <v>41</v>
      </c>
      <c r="C74" s="169" t="s">
        <v>430</v>
      </c>
      <c r="D74" s="169" t="s">
        <v>176</v>
      </c>
      <c r="E74" s="185" t="s">
        <v>177</v>
      </c>
      <c r="F74" s="169" t="s">
        <v>39</v>
      </c>
      <c r="G74" s="169">
        <v>799</v>
      </c>
      <c r="H74" s="171" t="s">
        <v>158</v>
      </c>
      <c r="I74" s="169">
        <v>3</v>
      </c>
      <c r="J74" s="169" t="s">
        <v>330</v>
      </c>
      <c r="K74" s="169" t="s">
        <v>42</v>
      </c>
      <c r="L74" s="169" t="s">
        <v>36</v>
      </c>
      <c r="M74" s="169" t="s">
        <v>336</v>
      </c>
      <c r="N74" s="169" t="s">
        <v>340</v>
      </c>
      <c r="O74" s="172" t="s">
        <v>47</v>
      </c>
      <c r="P74" s="169" t="s">
        <v>443</v>
      </c>
      <c r="Q74" s="169" t="s">
        <v>399</v>
      </c>
      <c r="R74" s="198">
        <v>0</v>
      </c>
      <c r="S74" s="202">
        <v>0</v>
      </c>
      <c r="T74" s="202">
        <v>7500</v>
      </c>
      <c r="U74" s="202">
        <v>7500</v>
      </c>
    </row>
    <row r="75" spans="1:21" ht="22.5" x14ac:dyDescent="0.25">
      <c r="A75" s="173"/>
      <c r="B75" s="173"/>
      <c r="C75" s="173" t="s">
        <v>421</v>
      </c>
      <c r="D75" s="173" t="s">
        <v>343</v>
      </c>
      <c r="E75" s="180"/>
      <c r="F75" s="173"/>
      <c r="G75" s="173"/>
      <c r="H75" s="173"/>
      <c r="I75" s="173"/>
      <c r="J75" s="173"/>
      <c r="K75" s="173"/>
      <c r="L75" s="173"/>
      <c r="M75" s="173"/>
      <c r="N75" s="173"/>
      <c r="O75" s="173"/>
      <c r="P75" s="173"/>
      <c r="Q75" s="173"/>
      <c r="R75" s="203">
        <v>0</v>
      </c>
      <c r="S75" s="203">
        <v>0</v>
      </c>
      <c r="T75" s="203">
        <v>406322.31404958677</v>
      </c>
      <c r="U75" s="203">
        <v>406322.31404958677</v>
      </c>
    </row>
    <row r="76" spans="1:21" ht="33.75" x14ac:dyDescent="0.25">
      <c r="A76" s="181"/>
      <c r="B76" s="181"/>
      <c r="C76" s="181" t="s">
        <v>445</v>
      </c>
      <c r="D76" s="181"/>
      <c r="E76" s="182"/>
      <c r="F76" s="181"/>
      <c r="G76" s="181"/>
      <c r="H76" s="181"/>
      <c r="I76" s="181"/>
      <c r="J76" s="181"/>
      <c r="K76" s="181"/>
      <c r="L76" s="181"/>
      <c r="M76" s="181"/>
      <c r="N76" s="181"/>
      <c r="O76" s="181"/>
      <c r="P76" s="181"/>
      <c r="Q76" s="181"/>
      <c r="R76" s="204">
        <v>0</v>
      </c>
      <c r="S76" s="204">
        <v>0</v>
      </c>
      <c r="T76" s="204">
        <v>3179282.8403653763</v>
      </c>
      <c r="U76" s="204">
        <v>3145042.7087864289</v>
      </c>
    </row>
    <row r="77" spans="1:21" x14ac:dyDescent="0.25">
      <c r="T77" s="45"/>
    </row>
    <row r="79" spans="1:21" x14ac:dyDescent="0.25">
      <c r="T79" s="45"/>
      <c r="U79" s="45"/>
    </row>
    <row r="80" spans="1:21" x14ac:dyDescent="0.25">
      <c r="T80" s="45"/>
      <c r="U80" s="45"/>
    </row>
  </sheetData>
  <autoFilter ref="A3:V76" xr:uid="{88974AF6-0F83-431A-A5E0-3C10310D449D}"/>
  <mergeCells count="1">
    <mergeCell ref="T2:U2"/>
  </mergeCells>
  <pageMargins left="0.7" right="0.7" top="0.75" bottom="0.75" header="0.3" footer="0.3"/>
  <pageSetup paperSize="9" orientation="portrait" r:id="rId1"/>
  <headerFooter>
    <oddFooter>&amp;R&amp;1#&amp;"Calibri"&amp;22&amp;KFF8939RESTRICTED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28EC7-D9ED-4C60-A653-323813D6A621}">
  <dimension ref="A1:Z79"/>
  <sheetViews>
    <sheetView showGridLines="0" zoomScale="85" zoomScaleNormal="85" workbookViewId="0">
      <pane xSplit="7" ySplit="5" topLeftCell="H6" activePane="bottomRight" state="frozen"/>
      <selection pane="topRight" activeCell="G1" sqref="G1"/>
      <selection pane="bottomLeft" activeCell="A6" sqref="A6"/>
      <selection pane="bottomRight" activeCell="O9" sqref="O9"/>
    </sheetView>
  </sheetViews>
  <sheetFormatPr baseColWidth="10" defaultColWidth="8.5703125" defaultRowHeight="15" x14ac:dyDescent="0.25"/>
  <cols>
    <col min="1" max="1" width="1.5703125" customWidth="1"/>
    <col min="2" max="2" width="11.42578125" customWidth="1"/>
    <col min="3" max="3" width="9.5703125" customWidth="1"/>
    <col min="4" max="4" width="10.5703125" customWidth="1"/>
    <col min="5" max="5" width="7.5703125" customWidth="1"/>
    <col min="6" max="6" width="6.5703125" customWidth="1"/>
    <col min="7" max="7" width="13.5703125" customWidth="1"/>
    <col min="8" max="8" width="16.42578125" customWidth="1"/>
    <col min="9" max="9" width="8" customWidth="1"/>
    <col min="10" max="12" width="9.42578125" customWidth="1"/>
    <col min="13" max="13" width="11.5703125" customWidth="1"/>
    <col min="14" max="14" width="9.42578125" customWidth="1"/>
    <col min="15" max="15" width="12.42578125" customWidth="1"/>
    <col min="16" max="17" width="11.42578125" customWidth="1"/>
    <col min="18" max="18" width="11.5703125" customWidth="1"/>
    <col min="19" max="20" width="8.5703125" customWidth="1"/>
    <col min="21" max="21" width="14" customWidth="1"/>
    <col min="22" max="23" width="8.42578125" customWidth="1"/>
    <col min="24" max="24" width="11.42578125" customWidth="1"/>
    <col min="25" max="25" width="13.5703125" customWidth="1"/>
    <col min="26" max="26" width="18.5703125" bestFit="1" customWidth="1"/>
  </cols>
  <sheetData>
    <row r="1" spans="1:26" x14ac:dyDescent="0.25">
      <c r="B1" s="1" t="s">
        <v>0</v>
      </c>
      <c r="C1" s="1" t="s">
        <v>1</v>
      </c>
      <c r="D1" s="1">
        <v>1500</v>
      </c>
      <c r="E1" s="1" t="s">
        <v>2</v>
      </c>
      <c r="F1" s="141" t="s">
        <v>122</v>
      </c>
      <c r="G1" s="154">
        <v>30</v>
      </c>
      <c r="H1" s="154"/>
      <c r="L1" s="2" t="s">
        <v>123</v>
      </c>
    </row>
    <row r="2" spans="1:26" x14ac:dyDescent="0.25">
      <c r="B2" s="1"/>
      <c r="C2" s="1" t="s">
        <v>4</v>
      </c>
      <c r="D2" s="1">
        <v>1000</v>
      </c>
      <c r="E2" s="1" t="s">
        <v>2</v>
      </c>
      <c r="F2" s="141" t="s">
        <v>124</v>
      </c>
      <c r="G2" s="155">
        <v>20</v>
      </c>
      <c r="H2" s="155"/>
      <c r="L2" s="2" t="s">
        <v>6</v>
      </c>
      <c r="P2" s="26"/>
    </row>
    <row r="3" spans="1:26" x14ac:dyDescent="0.25">
      <c r="B3" s="1"/>
      <c r="C3" s="4" t="s">
        <v>7</v>
      </c>
      <c r="D3" s="1">
        <v>10000</v>
      </c>
      <c r="E3" s="1" t="s">
        <v>2</v>
      </c>
      <c r="F3" s="1"/>
      <c r="G3" s="3"/>
      <c r="H3" s="3"/>
      <c r="L3" s="2" t="s">
        <v>8</v>
      </c>
      <c r="P3" s="26"/>
    </row>
    <row r="4" spans="1:26" ht="15.75" thickBot="1" x14ac:dyDescent="0.3">
      <c r="B4" s="1"/>
      <c r="C4" s="1" t="s">
        <v>9</v>
      </c>
      <c r="D4" s="1">
        <v>15000</v>
      </c>
      <c r="E4" s="1" t="s">
        <v>2</v>
      </c>
      <c r="F4" s="1"/>
      <c r="G4" s="3"/>
      <c r="H4" s="3"/>
      <c r="L4" s="2"/>
      <c r="P4" s="46"/>
    </row>
    <row r="5" spans="1:26" ht="36" customHeight="1" thickBot="1" x14ac:dyDescent="0.3">
      <c r="B5" s="5" t="s">
        <v>11</v>
      </c>
      <c r="C5" s="6" t="s">
        <v>12</v>
      </c>
      <c r="D5" s="6" t="s">
        <v>125</v>
      </c>
      <c r="E5" s="6" t="s">
        <v>14</v>
      </c>
      <c r="F5" s="6" t="s">
        <v>15</v>
      </c>
      <c r="G5" s="7" t="s">
        <v>16</v>
      </c>
      <c r="H5" s="7" t="s">
        <v>126</v>
      </c>
      <c r="I5" s="7" t="s">
        <v>17</v>
      </c>
      <c r="J5" s="7" t="s">
        <v>18</v>
      </c>
      <c r="K5" s="7" t="s">
        <v>19</v>
      </c>
      <c r="L5" s="7" t="s">
        <v>20</v>
      </c>
      <c r="M5" s="8" t="s">
        <v>21</v>
      </c>
      <c r="N5" s="27" t="s">
        <v>22</v>
      </c>
      <c r="O5" s="30" t="s">
        <v>23</v>
      </c>
      <c r="P5" s="27" t="s">
        <v>24</v>
      </c>
      <c r="Q5" s="28" t="s">
        <v>25</v>
      </c>
      <c r="R5" s="9" t="s">
        <v>26</v>
      </c>
      <c r="S5" s="10" t="s">
        <v>27</v>
      </c>
      <c r="T5" s="10" t="s">
        <v>28</v>
      </c>
      <c r="U5" s="29" t="s">
        <v>29</v>
      </c>
      <c r="V5" s="31" t="s">
        <v>30</v>
      </c>
      <c r="W5" s="32" t="s">
        <v>31</v>
      </c>
      <c r="X5" s="48" t="s">
        <v>32</v>
      </c>
      <c r="Y5" s="29" t="s">
        <v>33</v>
      </c>
      <c r="Z5" s="52" t="s">
        <v>34</v>
      </c>
    </row>
    <row r="6" spans="1:26" s="17" customFormat="1" ht="14.1" customHeight="1" x14ac:dyDescent="0.25">
      <c r="A6" s="40"/>
      <c r="B6" s="19"/>
      <c r="C6" s="35"/>
      <c r="D6" s="35"/>
      <c r="E6" s="35"/>
      <c r="F6" s="35"/>
      <c r="G6" s="43"/>
      <c r="H6" s="43"/>
      <c r="I6" s="35"/>
      <c r="J6" s="12"/>
      <c r="K6" s="12"/>
      <c r="L6" s="12"/>
      <c r="M6" s="20"/>
      <c r="N6" s="18"/>
      <c r="O6" s="36"/>
      <c r="P6" s="37"/>
      <c r="Q6" s="57"/>
      <c r="R6" s="58"/>
      <c r="S6" s="59"/>
      <c r="T6" s="59"/>
      <c r="U6" s="60"/>
      <c r="V6" s="56"/>
      <c r="W6" s="61"/>
      <c r="X6" s="93"/>
      <c r="Y6" s="62"/>
      <c r="Z6" s="63"/>
    </row>
    <row r="7" spans="1:26" ht="13.5" customHeight="1" x14ac:dyDescent="0.25">
      <c r="A7" s="40"/>
      <c r="B7" s="11" t="s">
        <v>54</v>
      </c>
      <c r="C7" s="35" t="s">
        <v>36</v>
      </c>
      <c r="D7" s="35" t="s">
        <v>127</v>
      </c>
      <c r="E7" s="35">
        <v>2022</v>
      </c>
      <c r="F7" s="35">
        <v>12697644</v>
      </c>
      <c r="G7" s="47" t="s">
        <v>55</v>
      </c>
      <c r="H7" s="47"/>
      <c r="I7" s="12" t="s">
        <v>39</v>
      </c>
      <c r="J7" s="12" t="s">
        <v>40</v>
      </c>
      <c r="K7" s="12" t="s">
        <v>56</v>
      </c>
      <c r="L7" s="64" t="s">
        <v>57</v>
      </c>
      <c r="M7" s="13" t="s">
        <v>43</v>
      </c>
      <c r="N7" s="18"/>
      <c r="O7" s="36">
        <v>80761</v>
      </c>
      <c r="P7" s="15">
        <v>60570</v>
      </c>
      <c r="Q7" s="73">
        <v>44263.058100000002</v>
      </c>
      <c r="R7" s="74">
        <v>44270.902099999999</v>
      </c>
      <c r="S7" s="75">
        <v>10</v>
      </c>
      <c r="T7" s="76">
        <v>11</v>
      </c>
      <c r="U7" s="77">
        <v>44292.902099999999</v>
      </c>
      <c r="V7" s="36"/>
      <c r="W7" s="37"/>
      <c r="X7" s="91">
        <v>286021</v>
      </c>
      <c r="Y7" s="51"/>
      <c r="Z7" s="49"/>
    </row>
    <row r="8" spans="1:26" s="17" customFormat="1" ht="14.1" customHeight="1" x14ac:dyDescent="0.25">
      <c r="A8" s="40"/>
      <c r="B8" s="11" t="s">
        <v>54</v>
      </c>
      <c r="C8" s="35" t="s">
        <v>36</v>
      </c>
      <c r="D8" s="35" t="s">
        <v>143</v>
      </c>
      <c r="E8" s="35">
        <v>2022</v>
      </c>
      <c r="F8" s="35"/>
      <c r="G8" s="44" t="s">
        <v>90</v>
      </c>
      <c r="H8" s="44"/>
      <c r="I8" s="12" t="s">
        <v>39</v>
      </c>
      <c r="J8" s="12" t="s">
        <v>66</v>
      </c>
      <c r="K8" s="12" t="s">
        <v>56</v>
      </c>
      <c r="L8" s="64" t="s">
        <v>57</v>
      </c>
      <c r="M8" s="13" t="s">
        <v>129</v>
      </c>
      <c r="N8" s="18"/>
      <c r="O8" s="71">
        <v>10000</v>
      </c>
      <c r="P8" s="72">
        <v>7500</v>
      </c>
      <c r="Q8" s="73"/>
      <c r="R8" s="74"/>
      <c r="S8" s="75"/>
      <c r="T8" s="76"/>
      <c r="U8" s="77"/>
      <c r="V8" s="71"/>
      <c r="W8" s="34"/>
      <c r="X8" s="91"/>
      <c r="Y8" s="78"/>
      <c r="Z8" s="80"/>
    </row>
    <row r="9" spans="1:26" ht="13.5" customHeight="1" x14ac:dyDescent="0.25">
      <c r="A9" s="40"/>
      <c r="B9" s="11" t="s">
        <v>54</v>
      </c>
      <c r="C9" s="35" t="s">
        <v>36</v>
      </c>
      <c r="D9" s="35" t="s">
        <v>143</v>
      </c>
      <c r="E9" s="35">
        <v>2022</v>
      </c>
      <c r="F9" s="35"/>
      <c r="G9" s="47" t="s">
        <v>144</v>
      </c>
      <c r="H9" s="47" t="s">
        <v>145</v>
      </c>
      <c r="I9" s="12" t="s">
        <v>39</v>
      </c>
      <c r="J9" s="12" t="s">
        <v>136</v>
      </c>
      <c r="K9" s="12" t="s">
        <v>56</v>
      </c>
      <c r="L9" s="64" t="s">
        <v>57</v>
      </c>
      <c r="M9" s="211" t="s">
        <v>137</v>
      </c>
      <c r="N9" s="18"/>
      <c r="O9" s="36">
        <v>10667</v>
      </c>
      <c r="P9" s="15">
        <v>8000</v>
      </c>
      <c r="Q9" s="73"/>
      <c r="R9" s="74"/>
      <c r="S9" s="75"/>
      <c r="T9" s="76"/>
      <c r="U9" s="77"/>
      <c r="V9" s="36"/>
      <c r="W9" s="37"/>
      <c r="X9" s="91"/>
      <c r="Y9" s="51"/>
      <c r="Z9" s="49"/>
    </row>
    <row r="10" spans="1:26" s="17" customFormat="1" ht="14.1" customHeight="1" x14ac:dyDescent="0.25">
      <c r="A10" s="40"/>
      <c r="B10" s="11" t="s">
        <v>54</v>
      </c>
      <c r="C10" s="35" t="s">
        <v>36</v>
      </c>
      <c r="D10" s="35" t="s">
        <v>143</v>
      </c>
      <c r="E10" s="35">
        <v>2022</v>
      </c>
      <c r="F10" s="35"/>
      <c r="G10" s="44" t="s">
        <v>146</v>
      </c>
      <c r="H10" s="44" t="s">
        <v>147</v>
      </c>
      <c r="I10" s="12" t="s">
        <v>39</v>
      </c>
      <c r="J10" s="12" t="s">
        <v>148</v>
      </c>
      <c r="K10" s="12" t="s">
        <v>56</v>
      </c>
      <c r="L10" s="64" t="s">
        <v>57</v>
      </c>
      <c r="M10" s="13" t="s">
        <v>149</v>
      </c>
      <c r="N10" s="18"/>
      <c r="O10" s="71">
        <v>10000</v>
      </c>
      <c r="P10" s="72">
        <v>7500</v>
      </c>
      <c r="Q10" s="73"/>
      <c r="R10" s="74"/>
      <c r="S10" s="75"/>
      <c r="T10" s="76"/>
      <c r="U10" s="77"/>
      <c r="V10" s="71"/>
      <c r="W10" s="34"/>
      <c r="X10" s="91"/>
      <c r="Y10" s="78"/>
      <c r="Z10" s="80"/>
    </row>
    <row r="11" spans="1:26" ht="13.5" customHeight="1" x14ac:dyDescent="0.25">
      <c r="A11" s="40"/>
      <c r="B11" s="11" t="s">
        <v>54</v>
      </c>
      <c r="C11" s="35" t="s">
        <v>36</v>
      </c>
      <c r="D11" s="35" t="s">
        <v>89</v>
      </c>
      <c r="E11" s="35">
        <v>2022</v>
      </c>
      <c r="F11" s="35"/>
      <c r="G11" s="47" t="s">
        <v>102</v>
      </c>
      <c r="H11" s="47"/>
      <c r="I11" s="12" t="s">
        <v>39</v>
      </c>
      <c r="J11" s="12" t="s">
        <v>40</v>
      </c>
      <c r="K11" s="12" t="s">
        <v>56</v>
      </c>
      <c r="L11" s="64" t="s">
        <v>57</v>
      </c>
      <c r="M11" s="13" t="s">
        <v>43</v>
      </c>
      <c r="N11" s="18"/>
      <c r="O11" s="36">
        <v>533</v>
      </c>
      <c r="P11" s="15">
        <v>400</v>
      </c>
      <c r="Q11" s="73"/>
      <c r="R11" s="74"/>
      <c r="S11" s="75"/>
      <c r="T11" s="76"/>
      <c r="U11" s="77"/>
      <c r="V11" s="36"/>
      <c r="W11" s="37"/>
      <c r="X11" s="91"/>
      <c r="Y11" s="51"/>
      <c r="Z11" s="49"/>
    </row>
    <row r="12" spans="1:26" s="17" customFormat="1" ht="14.1" customHeight="1" x14ac:dyDescent="0.25">
      <c r="A12" s="40"/>
      <c r="B12" s="11" t="s">
        <v>93</v>
      </c>
      <c r="C12" s="35" t="s">
        <v>36</v>
      </c>
      <c r="D12" s="35" t="s">
        <v>143</v>
      </c>
      <c r="E12" s="35">
        <v>2022</v>
      </c>
      <c r="F12" s="35"/>
      <c r="G12" s="44" t="s">
        <v>150</v>
      </c>
      <c r="H12" s="44"/>
      <c r="I12" s="12" t="s">
        <v>39</v>
      </c>
      <c r="J12" s="12" t="s">
        <v>66</v>
      </c>
      <c r="K12" s="12" t="s">
        <v>56</v>
      </c>
      <c r="L12" s="64" t="s">
        <v>57</v>
      </c>
      <c r="M12" s="13" t="s">
        <v>71</v>
      </c>
      <c r="N12" s="18"/>
      <c r="O12" s="71">
        <v>5000</v>
      </c>
      <c r="P12" s="72">
        <v>3750</v>
      </c>
      <c r="Q12" s="73"/>
      <c r="R12" s="74"/>
      <c r="S12" s="75"/>
      <c r="T12" s="76"/>
      <c r="U12" s="77"/>
      <c r="V12" s="71"/>
      <c r="W12" s="34"/>
      <c r="X12" s="91"/>
      <c r="Y12" s="78"/>
      <c r="Z12" s="80"/>
    </row>
    <row r="13" spans="1:26" ht="13.5" customHeight="1" x14ac:dyDescent="0.25">
      <c r="A13" s="40"/>
      <c r="B13" s="11" t="s">
        <v>93</v>
      </c>
      <c r="C13" s="35" t="s">
        <v>36</v>
      </c>
      <c r="D13" s="35" t="s">
        <v>143</v>
      </c>
      <c r="E13" s="35">
        <v>2022</v>
      </c>
      <c r="F13" s="35"/>
      <c r="G13" s="47" t="s">
        <v>151</v>
      </c>
      <c r="H13" s="47" t="s">
        <v>152</v>
      </c>
      <c r="I13" s="12" t="s">
        <v>39</v>
      </c>
      <c r="J13" s="12" t="s">
        <v>40</v>
      </c>
      <c r="K13" s="12" t="s">
        <v>56</v>
      </c>
      <c r="L13" s="64" t="s">
        <v>57</v>
      </c>
      <c r="M13" s="13" t="s">
        <v>47</v>
      </c>
      <c r="N13" s="18"/>
      <c r="O13" s="36">
        <v>20000</v>
      </c>
      <c r="P13" s="15">
        <v>15000</v>
      </c>
      <c r="Q13" s="73"/>
      <c r="R13" s="74"/>
      <c r="S13" s="75"/>
      <c r="T13" s="76"/>
      <c r="U13" s="77"/>
      <c r="V13" s="36"/>
      <c r="W13" s="37"/>
      <c r="X13" s="91"/>
      <c r="Y13" s="51"/>
      <c r="Z13" s="49"/>
    </row>
    <row r="14" spans="1:26" ht="13.5" customHeight="1" x14ac:dyDescent="0.25">
      <c r="A14" s="40"/>
      <c r="B14" s="11" t="s">
        <v>35</v>
      </c>
      <c r="C14" s="35" t="s">
        <v>36</v>
      </c>
      <c r="D14" s="35" t="s">
        <v>127</v>
      </c>
      <c r="E14" s="35">
        <v>2022</v>
      </c>
      <c r="F14" s="35"/>
      <c r="G14" s="47" t="s">
        <v>65</v>
      </c>
      <c r="H14" s="47"/>
      <c r="I14" s="12" t="s">
        <v>128</v>
      </c>
      <c r="J14" s="12" t="s">
        <v>66</v>
      </c>
      <c r="K14" s="12" t="s">
        <v>41</v>
      </c>
      <c r="L14" s="64" t="s">
        <v>42</v>
      </c>
      <c r="M14" s="13" t="s">
        <v>129</v>
      </c>
      <c r="N14" s="18"/>
      <c r="O14" s="36">
        <v>140000</v>
      </c>
      <c r="P14" s="15">
        <v>140000</v>
      </c>
      <c r="Q14" s="73"/>
      <c r="R14" s="74"/>
      <c r="S14" s="75"/>
      <c r="T14" s="76"/>
      <c r="U14" s="77"/>
      <c r="V14" s="36"/>
      <c r="W14" s="37"/>
      <c r="X14" s="91"/>
      <c r="Y14" s="51"/>
      <c r="Z14" s="49"/>
    </row>
    <row r="15" spans="1:26" s="17" customFormat="1" ht="14.1" customHeight="1" x14ac:dyDescent="0.25">
      <c r="A15" s="40"/>
      <c r="B15" s="11" t="s">
        <v>35</v>
      </c>
      <c r="C15" s="35" t="s">
        <v>36</v>
      </c>
      <c r="D15" s="35" t="s">
        <v>143</v>
      </c>
      <c r="E15" s="35">
        <v>2022</v>
      </c>
      <c r="F15" s="35"/>
      <c r="G15" s="44" t="s">
        <v>51</v>
      </c>
      <c r="H15" s="44"/>
      <c r="I15" s="12" t="s">
        <v>39</v>
      </c>
      <c r="J15" s="12" t="s">
        <v>40</v>
      </c>
      <c r="K15" s="12" t="s">
        <v>41</v>
      </c>
      <c r="L15" s="64" t="s">
        <v>42</v>
      </c>
      <c r="M15" s="13" t="s">
        <v>43</v>
      </c>
      <c r="N15" s="18"/>
      <c r="O15" s="71">
        <v>10000</v>
      </c>
      <c r="P15" s="72">
        <v>10000</v>
      </c>
      <c r="Q15" s="73"/>
      <c r="R15" s="74"/>
      <c r="S15" s="75"/>
      <c r="T15" s="76"/>
      <c r="U15" s="77"/>
      <c r="V15" s="71"/>
      <c r="W15" s="34"/>
      <c r="X15" s="91"/>
      <c r="Y15" s="78"/>
      <c r="Z15" s="80"/>
    </row>
    <row r="16" spans="1:26" ht="13.5" customHeight="1" x14ac:dyDescent="0.25">
      <c r="A16" s="40"/>
      <c r="B16" s="11" t="s">
        <v>35</v>
      </c>
      <c r="C16" s="35" t="s">
        <v>36</v>
      </c>
      <c r="D16" s="35" t="s">
        <v>127</v>
      </c>
      <c r="E16" s="35">
        <v>2022</v>
      </c>
      <c r="F16" s="35"/>
      <c r="G16" s="47" t="s">
        <v>60</v>
      </c>
      <c r="H16" s="47"/>
      <c r="I16" s="12" t="s">
        <v>39</v>
      </c>
      <c r="J16" s="12" t="s">
        <v>61</v>
      </c>
      <c r="K16" s="12" t="s">
        <v>41</v>
      </c>
      <c r="L16" s="64" t="s">
        <v>42</v>
      </c>
      <c r="M16" s="13" t="s">
        <v>43</v>
      </c>
      <c r="N16" s="18"/>
      <c r="O16" s="36">
        <v>120000</v>
      </c>
      <c r="P16" s="15">
        <v>120000</v>
      </c>
      <c r="Q16" s="73"/>
      <c r="R16" s="74"/>
      <c r="S16" s="75"/>
      <c r="T16" s="76"/>
      <c r="U16" s="77"/>
      <c r="V16" s="36"/>
      <c r="W16" s="37"/>
      <c r="X16" s="91"/>
      <c r="Y16" s="51"/>
      <c r="Z16" s="49"/>
    </row>
    <row r="17" spans="1:26" s="17" customFormat="1" ht="14.1" customHeight="1" x14ac:dyDescent="0.25">
      <c r="A17" s="40"/>
      <c r="B17" s="11" t="s">
        <v>35</v>
      </c>
      <c r="C17" s="35" t="s">
        <v>36</v>
      </c>
      <c r="D17" s="35" t="s">
        <v>127</v>
      </c>
      <c r="E17" s="35">
        <v>2022</v>
      </c>
      <c r="F17" s="35"/>
      <c r="G17" s="44" t="s">
        <v>68</v>
      </c>
      <c r="H17" s="44"/>
      <c r="I17" s="12" t="s">
        <v>39</v>
      </c>
      <c r="J17" s="12" t="s">
        <v>66</v>
      </c>
      <c r="K17" s="12" t="s">
        <v>41</v>
      </c>
      <c r="L17" s="64" t="s">
        <v>42</v>
      </c>
      <c r="M17" s="13" t="s">
        <v>129</v>
      </c>
      <c r="N17" s="18"/>
      <c r="O17" s="71">
        <v>30000</v>
      </c>
      <c r="P17" s="72">
        <v>30000</v>
      </c>
      <c r="Q17" s="73"/>
      <c r="R17" s="74"/>
      <c r="S17" s="75"/>
      <c r="T17" s="76"/>
      <c r="U17" s="77"/>
      <c r="V17" s="71"/>
      <c r="W17" s="34"/>
      <c r="X17" s="91"/>
      <c r="Y17" s="78"/>
      <c r="Z17" s="80"/>
    </row>
    <row r="18" spans="1:26" ht="13.5" customHeight="1" x14ac:dyDescent="0.25">
      <c r="A18" s="40"/>
      <c r="B18" s="11" t="s">
        <v>35</v>
      </c>
      <c r="C18" s="35" t="s">
        <v>36</v>
      </c>
      <c r="D18" s="35" t="s">
        <v>127</v>
      </c>
      <c r="E18" s="35">
        <v>2022</v>
      </c>
      <c r="F18" s="35"/>
      <c r="G18" s="47" t="s">
        <v>130</v>
      </c>
      <c r="H18" s="47"/>
      <c r="I18" s="12" t="s">
        <v>39</v>
      </c>
      <c r="J18" s="12" t="s">
        <v>66</v>
      </c>
      <c r="K18" s="12" t="s">
        <v>41</v>
      </c>
      <c r="L18" s="64" t="s">
        <v>42</v>
      </c>
      <c r="M18" s="13" t="s">
        <v>129</v>
      </c>
      <c r="N18" s="18"/>
      <c r="O18" s="36">
        <v>50000</v>
      </c>
      <c r="P18" s="15">
        <v>50000</v>
      </c>
      <c r="Q18" s="73"/>
      <c r="R18" s="74"/>
      <c r="S18" s="75"/>
      <c r="T18" s="76"/>
      <c r="U18" s="77"/>
      <c r="V18" s="36"/>
      <c r="W18" s="37"/>
      <c r="X18" s="91"/>
      <c r="Y18" s="51"/>
      <c r="Z18" s="49"/>
    </row>
    <row r="19" spans="1:26" s="17" customFormat="1" ht="14.1" customHeight="1" x14ac:dyDescent="0.25">
      <c r="A19" s="40"/>
      <c r="B19" s="11" t="s">
        <v>35</v>
      </c>
      <c r="C19" s="35" t="s">
        <v>36</v>
      </c>
      <c r="D19" s="35" t="s">
        <v>127</v>
      </c>
      <c r="E19" s="35">
        <v>2022</v>
      </c>
      <c r="F19" s="35"/>
      <c r="G19" s="44" t="s">
        <v>73</v>
      </c>
      <c r="H19" s="44" t="s">
        <v>131</v>
      </c>
      <c r="I19" s="12" t="s">
        <v>39</v>
      </c>
      <c r="J19" s="12" t="s">
        <v>40</v>
      </c>
      <c r="K19" s="12" t="s">
        <v>41</v>
      </c>
      <c r="L19" s="64" t="s">
        <v>42</v>
      </c>
      <c r="M19" s="13" t="s">
        <v>43</v>
      </c>
      <c r="N19" s="18"/>
      <c r="O19" s="71">
        <v>350000</v>
      </c>
      <c r="P19" s="72">
        <v>350000</v>
      </c>
      <c r="Q19" s="73"/>
      <c r="R19" s="74"/>
      <c r="S19" s="75"/>
      <c r="T19" s="76"/>
      <c r="U19" s="77"/>
      <c r="V19" s="71"/>
      <c r="W19" s="34"/>
      <c r="X19" s="91"/>
      <c r="Y19" s="78"/>
      <c r="Z19" s="80"/>
    </row>
    <row r="20" spans="1:26" ht="13.5" customHeight="1" x14ac:dyDescent="0.25">
      <c r="A20" s="40"/>
      <c r="B20" s="11" t="s">
        <v>35</v>
      </c>
      <c r="C20" s="35" t="s">
        <v>36</v>
      </c>
      <c r="D20" s="35" t="s">
        <v>143</v>
      </c>
      <c r="E20" s="35">
        <v>2022</v>
      </c>
      <c r="F20" s="35"/>
      <c r="G20" s="47" t="s">
        <v>38</v>
      </c>
      <c r="H20" s="47" t="s">
        <v>153</v>
      </c>
      <c r="I20" s="12" t="s">
        <v>39</v>
      </c>
      <c r="J20" s="12" t="s">
        <v>40</v>
      </c>
      <c r="K20" s="12" t="s">
        <v>41</v>
      </c>
      <c r="L20" s="64" t="s">
        <v>42</v>
      </c>
      <c r="M20" s="13" t="s">
        <v>43</v>
      </c>
      <c r="N20" s="18"/>
      <c r="O20" s="36">
        <v>20000</v>
      </c>
      <c r="P20" s="15">
        <v>20000</v>
      </c>
      <c r="Q20" s="73"/>
      <c r="R20" s="74"/>
      <c r="S20" s="75"/>
      <c r="T20" s="76"/>
      <c r="U20" s="77"/>
      <c r="V20" s="36"/>
      <c r="W20" s="37"/>
      <c r="X20" s="91"/>
      <c r="Y20" s="51"/>
      <c r="Z20" s="49"/>
    </row>
    <row r="21" spans="1:26" s="17" customFormat="1" ht="14.1" customHeight="1" x14ac:dyDescent="0.25">
      <c r="A21" s="40"/>
      <c r="B21" s="11" t="s">
        <v>35</v>
      </c>
      <c r="C21" s="35" t="s">
        <v>36</v>
      </c>
      <c r="D21" s="35" t="s">
        <v>127</v>
      </c>
      <c r="E21" s="35">
        <v>2022</v>
      </c>
      <c r="F21" s="35"/>
      <c r="G21" s="44" t="s">
        <v>75</v>
      </c>
      <c r="H21" s="44"/>
      <c r="I21" s="12" t="s">
        <v>39</v>
      </c>
      <c r="J21" s="12" t="s">
        <v>40</v>
      </c>
      <c r="K21" s="12" t="s">
        <v>41</v>
      </c>
      <c r="L21" s="64" t="s">
        <v>42</v>
      </c>
      <c r="M21" s="13" t="s">
        <v>43</v>
      </c>
      <c r="N21" s="18"/>
      <c r="O21" s="71">
        <v>100000</v>
      </c>
      <c r="P21" s="72">
        <v>100000</v>
      </c>
      <c r="Q21" s="73"/>
      <c r="R21" s="74"/>
      <c r="S21" s="75"/>
      <c r="T21" s="76"/>
      <c r="U21" s="77"/>
      <c r="V21" s="71"/>
      <c r="W21" s="34"/>
      <c r="X21" s="91"/>
      <c r="Y21" s="78"/>
      <c r="Z21" s="80"/>
    </row>
    <row r="22" spans="1:26" ht="13.5" customHeight="1" x14ac:dyDescent="0.25">
      <c r="A22" s="40"/>
      <c r="B22" s="11" t="s">
        <v>35</v>
      </c>
      <c r="C22" s="35" t="s">
        <v>36</v>
      </c>
      <c r="D22" s="35" t="s">
        <v>127</v>
      </c>
      <c r="E22" s="35">
        <v>2022</v>
      </c>
      <c r="F22" s="35"/>
      <c r="G22" s="47" t="s">
        <v>76</v>
      </c>
      <c r="H22" s="47"/>
      <c r="I22" s="12" t="s">
        <v>39</v>
      </c>
      <c r="J22" s="12" t="s">
        <v>40</v>
      </c>
      <c r="K22" s="12" t="s">
        <v>41</v>
      </c>
      <c r="L22" s="64" t="s">
        <v>42</v>
      </c>
      <c r="M22" s="13" t="s">
        <v>43</v>
      </c>
      <c r="N22" s="18"/>
      <c r="O22" s="36">
        <v>180000</v>
      </c>
      <c r="P22" s="15">
        <v>180000</v>
      </c>
      <c r="Q22" s="73"/>
      <c r="R22" s="74"/>
      <c r="S22" s="75"/>
      <c r="T22" s="76"/>
      <c r="U22" s="77"/>
      <c r="V22" s="36"/>
      <c r="W22" s="37"/>
      <c r="X22" s="91"/>
      <c r="Y22" s="51"/>
      <c r="Z22" s="49" t="s">
        <v>132</v>
      </c>
    </row>
    <row r="23" spans="1:26" s="17" customFormat="1" ht="14.1" customHeight="1" x14ac:dyDescent="0.25">
      <c r="A23" s="40"/>
      <c r="B23" s="11" t="s">
        <v>35</v>
      </c>
      <c r="C23" s="35" t="s">
        <v>36</v>
      </c>
      <c r="D23" s="35" t="s">
        <v>143</v>
      </c>
      <c r="E23" s="35">
        <v>2022</v>
      </c>
      <c r="F23" s="35"/>
      <c r="G23" s="44" t="s">
        <v>154</v>
      </c>
      <c r="H23" s="44" t="s">
        <v>155</v>
      </c>
      <c r="I23" s="12" t="s">
        <v>39</v>
      </c>
      <c r="J23" s="12" t="s">
        <v>66</v>
      </c>
      <c r="K23" s="12" t="s">
        <v>41</v>
      </c>
      <c r="L23" s="64" t="s">
        <v>42</v>
      </c>
      <c r="M23" s="13" t="s">
        <v>129</v>
      </c>
      <c r="N23" s="18"/>
      <c r="O23" s="71">
        <v>20000</v>
      </c>
      <c r="P23" s="72">
        <v>20000</v>
      </c>
      <c r="Q23" s="73"/>
      <c r="R23" s="74"/>
      <c r="S23" s="75"/>
      <c r="T23" s="76"/>
      <c r="U23" s="77"/>
      <c r="V23" s="71"/>
      <c r="W23" s="34"/>
      <c r="X23" s="91"/>
      <c r="Y23" s="78"/>
      <c r="Z23" s="80"/>
    </row>
    <row r="24" spans="1:26" ht="13.5" customHeight="1" x14ac:dyDescent="0.25">
      <c r="A24" s="40"/>
      <c r="B24" s="11" t="s">
        <v>35</v>
      </c>
      <c r="C24" s="35" t="s">
        <v>36</v>
      </c>
      <c r="D24" s="35" t="s">
        <v>127</v>
      </c>
      <c r="E24" s="35">
        <v>2022</v>
      </c>
      <c r="F24" s="35"/>
      <c r="G24" s="47" t="s">
        <v>133</v>
      </c>
      <c r="H24" s="47"/>
      <c r="I24" s="12" t="s">
        <v>39</v>
      </c>
      <c r="J24" s="12" t="s">
        <v>40</v>
      </c>
      <c r="K24" s="12" t="s">
        <v>41</v>
      </c>
      <c r="L24" s="64" t="s">
        <v>42</v>
      </c>
      <c r="M24" s="13" t="s">
        <v>43</v>
      </c>
      <c r="N24" s="18"/>
      <c r="O24" s="36">
        <v>90000</v>
      </c>
      <c r="P24" s="15">
        <v>90000</v>
      </c>
      <c r="Q24" s="73"/>
      <c r="R24" s="74"/>
      <c r="S24" s="75"/>
      <c r="T24" s="76"/>
      <c r="U24" s="77"/>
      <c r="V24" s="36"/>
      <c r="W24" s="37"/>
      <c r="X24" s="91"/>
      <c r="Y24" s="51"/>
      <c r="Z24" s="49"/>
    </row>
    <row r="25" spans="1:26" s="17" customFormat="1" ht="14.1" customHeight="1" x14ac:dyDescent="0.25">
      <c r="A25" s="40"/>
      <c r="B25" s="11" t="s">
        <v>35</v>
      </c>
      <c r="C25" s="35" t="s">
        <v>36</v>
      </c>
      <c r="D25" s="65" t="s">
        <v>127</v>
      </c>
      <c r="E25" s="35">
        <v>2022</v>
      </c>
      <c r="F25" s="35"/>
      <c r="G25" s="44" t="s">
        <v>134</v>
      </c>
      <c r="H25" s="44"/>
      <c r="I25" s="12" t="s">
        <v>39</v>
      </c>
      <c r="J25" s="12" t="s">
        <v>40</v>
      </c>
      <c r="K25" s="12" t="s">
        <v>41</v>
      </c>
      <c r="L25" s="64" t="s">
        <v>42</v>
      </c>
      <c r="M25" s="13" t="s">
        <v>43</v>
      </c>
      <c r="N25" s="18"/>
      <c r="O25" s="71">
        <v>90000</v>
      </c>
      <c r="P25" s="72">
        <v>90000</v>
      </c>
      <c r="Q25" s="73"/>
      <c r="R25" s="74"/>
      <c r="S25" s="75"/>
      <c r="T25" s="76"/>
      <c r="U25" s="77"/>
      <c r="V25" s="71"/>
      <c r="W25" s="34"/>
      <c r="X25" s="91"/>
      <c r="Y25" s="78"/>
      <c r="Z25" s="80"/>
    </row>
    <row r="26" spans="1:26" ht="13.5" customHeight="1" x14ac:dyDescent="0.25">
      <c r="A26" s="40"/>
      <c r="B26" s="11" t="s">
        <v>35</v>
      </c>
      <c r="C26" s="35" t="s">
        <v>36</v>
      </c>
      <c r="D26" s="35" t="s">
        <v>127</v>
      </c>
      <c r="E26" s="35">
        <v>2022</v>
      </c>
      <c r="F26" s="35"/>
      <c r="G26" s="47" t="s">
        <v>135</v>
      </c>
      <c r="H26" s="47"/>
      <c r="I26" s="12" t="s">
        <v>39</v>
      </c>
      <c r="J26" s="12" t="s">
        <v>40</v>
      </c>
      <c r="K26" s="12" t="s">
        <v>41</v>
      </c>
      <c r="L26" s="64" t="s">
        <v>42</v>
      </c>
      <c r="M26" s="13" t="s">
        <v>43</v>
      </c>
      <c r="N26" s="18"/>
      <c r="O26" s="36">
        <v>10000</v>
      </c>
      <c r="P26" s="15">
        <v>10000</v>
      </c>
      <c r="Q26" s="73"/>
      <c r="R26" s="74"/>
      <c r="S26" s="75"/>
      <c r="T26" s="76"/>
      <c r="U26" s="77"/>
      <c r="V26" s="36"/>
      <c r="W26" s="37"/>
      <c r="X26" s="91"/>
      <c r="Y26" s="51"/>
      <c r="Z26" s="49"/>
    </row>
    <row r="27" spans="1:26" s="17" customFormat="1" ht="14.1" customHeight="1" x14ac:dyDescent="0.25">
      <c r="A27" s="40"/>
      <c r="B27" s="11" t="s">
        <v>35</v>
      </c>
      <c r="C27" s="35" t="s">
        <v>36</v>
      </c>
      <c r="D27" s="65" t="s">
        <v>127</v>
      </c>
      <c r="E27" s="35">
        <v>2022</v>
      </c>
      <c r="F27" s="35"/>
      <c r="G27" s="44" t="s">
        <v>113</v>
      </c>
      <c r="H27" s="44"/>
      <c r="I27" s="12" t="s">
        <v>39</v>
      </c>
      <c r="J27" s="12" t="s">
        <v>136</v>
      </c>
      <c r="K27" s="12" t="s">
        <v>41</v>
      </c>
      <c r="L27" s="64" t="s">
        <v>42</v>
      </c>
      <c r="M27" s="211" t="s">
        <v>137</v>
      </c>
      <c r="N27" s="18"/>
      <c r="O27" s="71">
        <v>110000</v>
      </c>
      <c r="P27" s="72">
        <v>110000</v>
      </c>
      <c r="Q27" s="73"/>
      <c r="R27" s="74"/>
      <c r="S27" s="75"/>
      <c r="T27" s="76"/>
      <c r="U27" s="77"/>
      <c r="V27" s="71"/>
      <c r="W27" s="34"/>
      <c r="X27" s="91"/>
      <c r="Y27" s="78"/>
      <c r="Z27" s="80"/>
    </row>
    <row r="28" spans="1:26" ht="13.5" customHeight="1" x14ac:dyDescent="0.25">
      <c r="A28" s="40"/>
      <c r="B28" s="11" t="s">
        <v>35</v>
      </c>
      <c r="C28" s="35" t="s">
        <v>36</v>
      </c>
      <c r="D28" s="65" t="s">
        <v>127</v>
      </c>
      <c r="E28" s="35">
        <v>2022</v>
      </c>
      <c r="F28" s="35"/>
      <c r="G28" s="47" t="s">
        <v>77</v>
      </c>
      <c r="H28" s="47"/>
      <c r="I28" s="12" t="s">
        <v>39</v>
      </c>
      <c r="J28" s="12" t="s">
        <v>136</v>
      </c>
      <c r="K28" s="12" t="s">
        <v>41</v>
      </c>
      <c r="L28" s="64" t="s">
        <v>42</v>
      </c>
      <c r="M28" s="211" t="s">
        <v>137</v>
      </c>
      <c r="N28" s="18"/>
      <c r="O28" s="36">
        <v>60000</v>
      </c>
      <c r="P28" s="15">
        <v>60000</v>
      </c>
      <c r="Q28" s="73"/>
      <c r="R28" s="74"/>
      <c r="S28" s="75"/>
      <c r="T28" s="76"/>
      <c r="U28" s="77"/>
      <c r="V28" s="36"/>
      <c r="W28" s="37"/>
      <c r="X28" s="91"/>
      <c r="Y28" s="51"/>
      <c r="Z28" s="49"/>
    </row>
    <row r="29" spans="1:26" s="17" customFormat="1" ht="14.1" customHeight="1" x14ac:dyDescent="0.25">
      <c r="A29" s="40"/>
      <c r="B29" s="11" t="s">
        <v>35</v>
      </c>
      <c r="C29" s="35" t="s">
        <v>36</v>
      </c>
      <c r="D29" s="65" t="s">
        <v>127</v>
      </c>
      <c r="E29" s="35">
        <v>2022</v>
      </c>
      <c r="F29" s="35"/>
      <c r="G29" s="44" t="s">
        <v>53</v>
      </c>
      <c r="H29" s="44"/>
      <c r="I29" s="12" t="s">
        <v>39</v>
      </c>
      <c r="J29" s="12" t="s">
        <v>136</v>
      </c>
      <c r="K29" s="12" t="s">
        <v>41</v>
      </c>
      <c r="L29" s="64" t="s">
        <v>42</v>
      </c>
      <c r="M29" s="211" t="s">
        <v>137</v>
      </c>
      <c r="N29" s="18"/>
      <c r="O29" s="71">
        <v>230000</v>
      </c>
      <c r="P29" s="72">
        <v>230000</v>
      </c>
      <c r="Q29" s="73"/>
      <c r="R29" s="74"/>
      <c r="S29" s="75"/>
      <c r="T29" s="76"/>
      <c r="U29" s="77"/>
      <c r="V29" s="71"/>
      <c r="W29" s="34"/>
      <c r="X29" s="91"/>
      <c r="Y29" s="78"/>
      <c r="Z29" s="80"/>
    </row>
    <row r="30" spans="1:26" ht="13.5" customHeight="1" x14ac:dyDescent="0.25">
      <c r="A30" s="40"/>
      <c r="B30" s="11" t="s">
        <v>35</v>
      </c>
      <c r="C30" s="35" t="s">
        <v>36</v>
      </c>
      <c r="D30" s="65" t="s">
        <v>127</v>
      </c>
      <c r="E30" s="35">
        <v>2022</v>
      </c>
      <c r="F30" s="35"/>
      <c r="G30" s="47" t="s">
        <v>138</v>
      </c>
      <c r="H30" s="47"/>
      <c r="I30" s="12" t="s">
        <v>39</v>
      </c>
      <c r="J30" s="12" t="s">
        <v>136</v>
      </c>
      <c r="K30" s="12" t="s">
        <v>41</v>
      </c>
      <c r="L30" s="64" t="s">
        <v>42</v>
      </c>
      <c r="M30" s="211" t="s">
        <v>137</v>
      </c>
      <c r="N30" s="18"/>
      <c r="O30" s="36">
        <v>160000</v>
      </c>
      <c r="P30" s="15">
        <v>160000</v>
      </c>
      <c r="Q30" s="73"/>
      <c r="R30" s="74"/>
      <c r="S30" s="75"/>
      <c r="T30" s="76"/>
      <c r="U30" s="77"/>
      <c r="V30" s="36"/>
      <c r="W30" s="37"/>
      <c r="X30" s="91"/>
      <c r="Y30" s="51"/>
      <c r="Z30" s="49"/>
    </row>
    <row r="31" spans="1:26" s="17" customFormat="1" ht="14.1" customHeight="1" x14ac:dyDescent="0.25">
      <c r="A31" s="40"/>
      <c r="B31" s="11" t="s">
        <v>35</v>
      </c>
      <c r="C31" s="35" t="s">
        <v>36</v>
      </c>
      <c r="D31" s="65" t="s">
        <v>127</v>
      </c>
      <c r="E31" s="35">
        <v>2022</v>
      </c>
      <c r="F31" s="35"/>
      <c r="G31" s="44" t="s">
        <v>139</v>
      </c>
      <c r="H31" s="44"/>
      <c r="I31" s="12" t="s">
        <v>39</v>
      </c>
      <c r="J31" s="12" t="s">
        <v>136</v>
      </c>
      <c r="K31" s="12" t="s">
        <v>41</v>
      </c>
      <c r="L31" s="64" t="s">
        <v>42</v>
      </c>
      <c r="M31" s="211" t="s">
        <v>137</v>
      </c>
      <c r="N31" s="18"/>
      <c r="O31" s="71">
        <v>140000</v>
      </c>
      <c r="P31" s="72">
        <v>140000</v>
      </c>
      <c r="Q31" s="73"/>
      <c r="R31" s="74"/>
      <c r="S31" s="75"/>
      <c r="T31" s="76"/>
      <c r="U31" s="77"/>
      <c r="V31" s="71"/>
      <c r="W31" s="34"/>
      <c r="X31" s="91"/>
      <c r="Y31" s="78"/>
      <c r="Z31" s="80"/>
    </row>
    <row r="32" spans="1:26" ht="13.5" customHeight="1" x14ac:dyDescent="0.25">
      <c r="A32" s="40"/>
      <c r="B32" s="11" t="s">
        <v>35</v>
      </c>
      <c r="C32" s="35" t="s">
        <v>36</v>
      </c>
      <c r="D32" s="35" t="s">
        <v>143</v>
      </c>
      <c r="E32" s="35">
        <v>2022</v>
      </c>
      <c r="F32" s="35"/>
      <c r="G32" s="47" t="s">
        <v>156</v>
      </c>
      <c r="H32" s="47" t="s">
        <v>157</v>
      </c>
      <c r="I32" s="12" t="s">
        <v>39</v>
      </c>
      <c r="J32" s="12" t="s">
        <v>158</v>
      </c>
      <c r="K32" s="12" t="s">
        <v>41</v>
      </c>
      <c r="L32" s="64" t="s">
        <v>42</v>
      </c>
      <c r="M32" s="13" t="s">
        <v>149</v>
      </c>
      <c r="N32" s="18"/>
      <c r="O32" s="36">
        <v>10000</v>
      </c>
      <c r="P32" s="15">
        <v>10000</v>
      </c>
      <c r="Q32" s="73"/>
      <c r="R32" s="74"/>
      <c r="S32" s="75"/>
      <c r="T32" s="76"/>
      <c r="U32" s="77"/>
      <c r="V32" s="36"/>
      <c r="W32" s="37"/>
      <c r="X32" s="91"/>
      <c r="Y32" s="51"/>
      <c r="Z32" s="49"/>
    </row>
    <row r="33" spans="1:26" s="17" customFormat="1" ht="14.1" customHeight="1" x14ac:dyDescent="0.25">
      <c r="A33" s="40"/>
      <c r="B33" s="11" t="s">
        <v>35</v>
      </c>
      <c r="C33" s="35" t="s">
        <v>36</v>
      </c>
      <c r="D33" s="35" t="s">
        <v>143</v>
      </c>
      <c r="E33" s="35">
        <v>2022</v>
      </c>
      <c r="F33" s="35"/>
      <c r="G33" s="44" t="s">
        <v>159</v>
      </c>
      <c r="H33" s="44" t="s">
        <v>160</v>
      </c>
      <c r="I33" s="12" t="s">
        <v>39</v>
      </c>
      <c r="J33" s="12" t="s">
        <v>158</v>
      </c>
      <c r="K33" s="12" t="s">
        <v>41</v>
      </c>
      <c r="L33" s="64" t="s">
        <v>42</v>
      </c>
      <c r="M33" s="13" t="s">
        <v>149</v>
      </c>
      <c r="N33" s="18"/>
      <c r="O33" s="71">
        <v>7500</v>
      </c>
      <c r="P33" s="72">
        <v>7500</v>
      </c>
      <c r="Q33" s="73"/>
      <c r="R33" s="74"/>
      <c r="S33" s="75"/>
      <c r="T33" s="76"/>
      <c r="U33" s="77"/>
      <c r="V33" s="71"/>
      <c r="W33" s="34"/>
      <c r="X33" s="91"/>
      <c r="Y33" s="78"/>
      <c r="Z33" s="80"/>
    </row>
    <row r="34" spans="1:26" ht="13.5" customHeight="1" x14ac:dyDescent="0.25">
      <c r="A34" s="40"/>
      <c r="B34" s="11" t="s">
        <v>35</v>
      </c>
      <c r="C34" s="35" t="s">
        <v>36</v>
      </c>
      <c r="D34" s="35" t="s">
        <v>143</v>
      </c>
      <c r="E34" s="35">
        <v>2022</v>
      </c>
      <c r="F34" s="35"/>
      <c r="G34" s="47" t="s">
        <v>161</v>
      </c>
      <c r="H34" s="47" t="s">
        <v>162</v>
      </c>
      <c r="I34" s="12" t="s">
        <v>39</v>
      </c>
      <c r="J34" s="12" t="s">
        <v>158</v>
      </c>
      <c r="K34" s="12" t="s">
        <v>41</v>
      </c>
      <c r="L34" s="64" t="s">
        <v>42</v>
      </c>
      <c r="M34" s="13" t="s">
        <v>149</v>
      </c>
      <c r="N34" s="18"/>
      <c r="O34" s="36">
        <v>10000</v>
      </c>
      <c r="P34" s="15">
        <v>10000</v>
      </c>
      <c r="Q34" s="73"/>
      <c r="R34" s="74"/>
      <c r="S34" s="75"/>
      <c r="T34" s="76"/>
      <c r="U34" s="77"/>
      <c r="V34" s="36"/>
      <c r="W34" s="37"/>
      <c r="X34" s="91"/>
      <c r="Y34" s="51"/>
      <c r="Z34" s="49"/>
    </row>
    <row r="35" spans="1:26" s="17" customFormat="1" ht="14.1" customHeight="1" x14ac:dyDescent="0.25">
      <c r="A35" s="40"/>
      <c r="B35" s="11" t="s">
        <v>35</v>
      </c>
      <c r="C35" s="35" t="s">
        <v>36</v>
      </c>
      <c r="D35" s="35" t="s">
        <v>143</v>
      </c>
      <c r="E35" s="35">
        <v>2022</v>
      </c>
      <c r="F35" s="35"/>
      <c r="G35" s="44" t="s">
        <v>163</v>
      </c>
      <c r="H35" s="44" t="s">
        <v>164</v>
      </c>
      <c r="I35" s="12" t="s">
        <v>39</v>
      </c>
      <c r="J35" s="12" t="s">
        <v>158</v>
      </c>
      <c r="K35" s="12" t="s">
        <v>41</v>
      </c>
      <c r="L35" s="64" t="s">
        <v>42</v>
      </c>
      <c r="M35" s="13" t="s">
        <v>149</v>
      </c>
      <c r="N35" s="18"/>
      <c r="O35" s="71">
        <v>5000</v>
      </c>
      <c r="P35" s="72">
        <v>5000</v>
      </c>
      <c r="Q35" s="73"/>
      <c r="R35" s="74"/>
      <c r="S35" s="75"/>
      <c r="T35" s="76"/>
      <c r="U35" s="77"/>
      <c r="V35" s="71"/>
      <c r="W35" s="34"/>
      <c r="X35" s="91"/>
      <c r="Y35" s="78"/>
      <c r="Z35" s="80"/>
    </row>
    <row r="36" spans="1:26" ht="13.5" customHeight="1" x14ac:dyDescent="0.25">
      <c r="A36" s="40"/>
      <c r="B36" s="11" t="s">
        <v>35</v>
      </c>
      <c r="C36" s="35" t="s">
        <v>36</v>
      </c>
      <c r="D36" s="35" t="s">
        <v>143</v>
      </c>
      <c r="E36" s="35">
        <v>2022</v>
      </c>
      <c r="F36" s="35"/>
      <c r="G36" s="47" t="s">
        <v>165</v>
      </c>
      <c r="H36" s="47" t="s">
        <v>166</v>
      </c>
      <c r="I36" s="12" t="s">
        <v>39</v>
      </c>
      <c r="J36" s="12" t="s">
        <v>158</v>
      </c>
      <c r="K36" s="12" t="s">
        <v>41</v>
      </c>
      <c r="L36" s="64" t="s">
        <v>42</v>
      </c>
      <c r="M36" s="13" t="s">
        <v>149</v>
      </c>
      <c r="N36" s="18"/>
      <c r="O36" s="36">
        <v>7500</v>
      </c>
      <c r="P36" s="15">
        <v>7500</v>
      </c>
      <c r="Q36" s="73"/>
      <c r="R36" s="74"/>
      <c r="S36" s="75"/>
      <c r="T36" s="76"/>
      <c r="U36" s="77"/>
      <c r="V36" s="36"/>
      <c r="W36" s="37"/>
      <c r="X36" s="91"/>
      <c r="Y36" s="51"/>
      <c r="Z36" s="49"/>
    </row>
    <row r="37" spans="1:26" ht="13.5" customHeight="1" x14ac:dyDescent="0.25">
      <c r="A37" s="40"/>
      <c r="B37" s="11" t="s">
        <v>35</v>
      </c>
      <c r="C37" s="35" t="s">
        <v>36</v>
      </c>
      <c r="D37" s="35" t="s">
        <v>89</v>
      </c>
      <c r="E37" s="35">
        <v>2022</v>
      </c>
      <c r="F37" s="35"/>
      <c r="G37" s="47" t="s">
        <v>102</v>
      </c>
      <c r="H37" s="47"/>
      <c r="I37" s="12" t="s">
        <v>39</v>
      </c>
      <c r="J37" s="12" t="s">
        <v>40</v>
      </c>
      <c r="K37" s="12" t="s">
        <v>41</v>
      </c>
      <c r="L37" s="64" t="s">
        <v>42</v>
      </c>
      <c r="M37" s="13" t="s">
        <v>43</v>
      </c>
      <c r="N37" s="18"/>
      <c r="O37" s="36">
        <v>6000</v>
      </c>
      <c r="P37" s="15">
        <f>+O37</f>
        <v>6000</v>
      </c>
      <c r="Q37" s="73"/>
      <c r="R37" s="74"/>
      <c r="S37" s="75"/>
      <c r="T37" s="76"/>
      <c r="U37" s="77"/>
      <c r="V37" s="36"/>
      <c r="W37" s="37"/>
      <c r="X37" s="91"/>
      <c r="Y37" s="51"/>
      <c r="Z37" s="49"/>
    </row>
    <row r="38" spans="1:26" ht="13.5" customHeight="1" x14ac:dyDescent="0.25">
      <c r="A38" s="40"/>
      <c r="B38" s="11" t="s">
        <v>45</v>
      </c>
      <c r="C38" s="35" t="s">
        <v>36</v>
      </c>
      <c r="D38" s="35" t="s">
        <v>127</v>
      </c>
      <c r="E38" s="35">
        <v>2022</v>
      </c>
      <c r="F38" s="35"/>
      <c r="G38" s="47" t="s">
        <v>116</v>
      </c>
      <c r="H38" s="47"/>
      <c r="I38" s="12" t="s">
        <v>39</v>
      </c>
      <c r="J38" s="12" t="s">
        <v>40</v>
      </c>
      <c r="K38" s="12" t="s">
        <v>41</v>
      </c>
      <c r="L38" s="64" t="s">
        <v>42</v>
      </c>
      <c r="M38" s="13" t="s">
        <v>47</v>
      </c>
      <c r="N38" s="18"/>
      <c r="O38" s="36">
        <v>110000</v>
      </c>
      <c r="P38" s="15">
        <v>110000</v>
      </c>
      <c r="Q38" s="73"/>
      <c r="R38" s="74"/>
      <c r="S38" s="75"/>
      <c r="T38" s="76"/>
      <c r="U38" s="77"/>
      <c r="V38" s="36"/>
      <c r="W38" s="37"/>
      <c r="X38" s="91"/>
      <c r="Y38" s="51"/>
      <c r="Z38" s="49"/>
    </row>
    <row r="39" spans="1:26" ht="13.5" customHeight="1" x14ac:dyDescent="0.25">
      <c r="A39" s="40"/>
      <c r="B39" s="11" t="s">
        <v>45</v>
      </c>
      <c r="C39" s="35" t="s">
        <v>36</v>
      </c>
      <c r="D39" s="35" t="s">
        <v>127</v>
      </c>
      <c r="E39" s="35">
        <v>2022</v>
      </c>
      <c r="F39" s="35"/>
      <c r="G39" s="47" t="s">
        <v>117</v>
      </c>
      <c r="H39" s="47"/>
      <c r="I39" s="12" t="s">
        <v>39</v>
      </c>
      <c r="J39" s="12" t="s">
        <v>66</v>
      </c>
      <c r="K39" s="12" t="s">
        <v>41</v>
      </c>
      <c r="L39" s="64" t="s">
        <v>42</v>
      </c>
      <c r="M39" s="13" t="s">
        <v>71</v>
      </c>
      <c r="N39" s="18"/>
      <c r="O39" s="36">
        <v>30000</v>
      </c>
      <c r="P39" s="15">
        <v>30000</v>
      </c>
      <c r="Q39" s="73"/>
      <c r="R39" s="74"/>
      <c r="S39" s="75"/>
      <c r="T39" s="76"/>
      <c r="U39" s="77"/>
      <c r="V39" s="36"/>
      <c r="W39" s="37"/>
      <c r="X39" s="91"/>
      <c r="Y39" s="51"/>
      <c r="Z39" s="49"/>
    </row>
    <row r="40" spans="1:26" ht="13.5" customHeight="1" x14ac:dyDescent="0.25">
      <c r="A40" s="40"/>
      <c r="B40" s="11" t="s">
        <v>45</v>
      </c>
      <c r="C40" s="35" t="s">
        <v>36</v>
      </c>
      <c r="D40" s="35" t="s">
        <v>143</v>
      </c>
      <c r="E40" s="35">
        <v>2022</v>
      </c>
      <c r="F40" s="35"/>
      <c r="G40" s="47" t="s">
        <v>70</v>
      </c>
      <c r="H40" s="47"/>
      <c r="I40" s="12" t="s">
        <v>39</v>
      </c>
      <c r="J40" s="12" t="s">
        <v>40</v>
      </c>
      <c r="K40" s="12" t="s">
        <v>41</v>
      </c>
      <c r="L40" s="64" t="s">
        <v>42</v>
      </c>
      <c r="M40" s="13" t="s">
        <v>47</v>
      </c>
      <c r="N40" s="18"/>
      <c r="O40" s="36">
        <v>20000</v>
      </c>
      <c r="P40" s="15">
        <v>20000</v>
      </c>
      <c r="Q40" s="73"/>
      <c r="R40" s="74"/>
      <c r="S40" s="75"/>
      <c r="T40" s="76"/>
      <c r="U40" s="77"/>
      <c r="V40" s="36"/>
      <c r="W40" s="37"/>
      <c r="X40" s="91"/>
      <c r="Y40" s="51"/>
      <c r="Z40" s="49"/>
    </row>
    <row r="41" spans="1:26" ht="13.5" customHeight="1" x14ac:dyDescent="0.25">
      <c r="A41" s="40"/>
      <c r="B41" s="11" t="s">
        <v>45</v>
      </c>
      <c r="C41" s="35" t="s">
        <v>36</v>
      </c>
      <c r="D41" s="35" t="s">
        <v>127</v>
      </c>
      <c r="E41" s="35">
        <v>2022</v>
      </c>
      <c r="F41" s="35"/>
      <c r="G41" s="47" t="s">
        <v>88</v>
      </c>
      <c r="H41" s="47"/>
      <c r="I41" s="12" t="s">
        <v>39</v>
      </c>
      <c r="J41" s="12" t="s">
        <v>40</v>
      </c>
      <c r="K41" s="12" t="s">
        <v>41</v>
      </c>
      <c r="L41" s="64" t="s">
        <v>42</v>
      </c>
      <c r="M41" s="13" t="s">
        <v>47</v>
      </c>
      <c r="N41" s="18"/>
      <c r="O41" s="36">
        <v>120000</v>
      </c>
      <c r="P41" s="15">
        <v>120000</v>
      </c>
      <c r="Q41" s="73"/>
      <c r="R41" s="74"/>
      <c r="S41" s="75"/>
      <c r="T41" s="76"/>
      <c r="U41" s="77"/>
      <c r="V41" s="36"/>
      <c r="W41" s="37"/>
      <c r="X41" s="91"/>
      <c r="Y41" s="51"/>
      <c r="Z41" s="49"/>
    </row>
    <row r="42" spans="1:26" ht="13.5" customHeight="1" x14ac:dyDescent="0.25">
      <c r="A42" s="40"/>
      <c r="B42" s="11" t="s">
        <v>45</v>
      </c>
      <c r="C42" s="35" t="s">
        <v>36</v>
      </c>
      <c r="D42" s="35" t="s">
        <v>143</v>
      </c>
      <c r="E42" s="35">
        <v>2022</v>
      </c>
      <c r="F42" s="35"/>
      <c r="G42" s="47" t="s">
        <v>167</v>
      </c>
      <c r="H42" s="47" t="s">
        <v>168</v>
      </c>
      <c r="I42" s="12" t="s">
        <v>39</v>
      </c>
      <c r="J42" s="12" t="s">
        <v>66</v>
      </c>
      <c r="K42" s="12" t="s">
        <v>41</v>
      </c>
      <c r="L42" s="64" t="s">
        <v>42</v>
      </c>
      <c r="M42" s="13" t="s">
        <v>71</v>
      </c>
      <c r="N42" s="18"/>
      <c r="O42" s="36">
        <v>20000</v>
      </c>
      <c r="P42" s="15">
        <v>20000</v>
      </c>
      <c r="Q42" s="73"/>
      <c r="R42" s="74"/>
      <c r="S42" s="75"/>
      <c r="T42" s="76"/>
      <c r="U42" s="77"/>
      <c r="V42" s="36"/>
      <c r="W42" s="37"/>
      <c r="X42" s="91"/>
      <c r="Y42" s="51"/>
      <c r="Z42" s="49"/>
    </row>
    <row r="43" spans="1:26" ht="13.5" customHeight="1" x14ac:dyDescent="0.25">
      <c r="A43" s="40"/>
      <c r="B43" s="11" t="s">
        <v>45</v>
      </c>
      <c r="C43" s="35" t="s">
        <v>36</v>
      </c>
      <c r="D43" s="35" t="s">
        <v>127</v>
      </c>
      <c r="E43" s="35">
        <v>2022</v>
      </c>
      <c r="F43" s="35"/>
      <c r="G43" s="47" t="s">
        <v>87</v>
      </c>
      <c r="H43" s="47"/>
      <c r="I43" s="12" t="s">
        <v>39</v>
      </c>
      <c r="J43" s="12" t="s">
        <v>40</v>
      </c>
      <c r="K43" s="12" t="s">
        <v>41</v>
      </c>
      <c r="L43" s="64" t="s">
        <v>42</v>
      </c>
      <c r="M43" s="13" t="s">
        <v>47</v>
      </c>
      <c r="N43" s="18"/>
      <c r="O43" s="36">
        <v>110000</v>
      </c>
      <c r="P43" s="15">
        <v>110000</v>
      </c>
      <c r="Q43" s="73"/>
      <c r="R43" s="74"/>
      <c r="S43" s="75"/>
      <c r="T43" s="76"/>
      <c r="U43" s="77"/>
      <c r="V43" s="36"/>
      <c r="W43" s="37"/>
      <c r="X43" s="91"/>
      <c r="Y43" s="51"/>
      <c r="Z43" s="49"/>
    </row>
    <row r="44" spans="1:26" ht="13.5" customHeight="1" x14ac:dyDescent="0.25">
      <c r="A44" s="40"/>
      <c r="B44" s="11" t="s">
        <v>45</v>
      </c>
      <c r="C44" s="35" t="s">
        <v>36</v>
      </c>
      <c r="D44" s="35" t="s">
        <v>127</v>
      </c>
      <c r="E44" s="35">
        <v>2022</v>
      </c>
      <c r="F44" s="35"/>
      <c r="G44" s="47" t="s">
        <v>135</v>
      </c>
      <c r="H44" s="47"/>
      <c r="I44" s="12" t="s">
        <v>39</v>
      </c>
      <c r="J44" s="12" t="s">
        <v>40</v>
      </c>
      <c r="K44" s="12" t="s">
        <v>41</v>
      </c>
      <c r="L44" s="64" t="s">
        <v>42</v>
      </c>
      <c r="M44" s="13" t="s">
        <v>47</v>
      </c>
      <c r="N44" s="18"/>
      <c r="O44" s="36">
        <v>10000</v>
      </c>
      <c r="P44" s="15">
        <v>10000</v>
      </c>
      <c r="Q44" s="73"/>
      <c r="R44" s="74"/>
      <c r="S44" s="75"/>
      <c r="T44" s="76"/>
      <c r="U44" s="77"/>
      <c r="V44" s="36"/>
      <c r="W44" s="37"/>
      <c r="X44" s="91"/>
      <c r="Y44" s="51"/>
      <c r="Z44" s="49"/>
    </row>
    <row r="45" spans="1:26" ht="13.5" customHeight="1" x14ac:dyDescent="0.25">
      <c r="A45" s="40"/>
      <c r="B45" s="11" t="s">
        <v>45</v>
      </c>
      <c r="C45" s="35" t="s">
        <v>36</v>
      </c>
      <c r="D45" s="35" t="s">
        <v>127</v>
      </c>
      <c r="E45" s="35">
        <v>2022</v>
      </c>
      <c r="F45" s="35"/>
      <c r="G45" s="47" t="s">
        <v>140</v>
      </c>
      <c r="H45" s="47"/>
      <c r="I45" s="12" t="s">
        <v>39</v>
      </c>
      <c r="J45" s="12" t="s">
        <v>136</v>
      </c>
      <c r="K45" s="12" t="s">
        <v>41</v>
      </c>
      <c r="L45" s="64" t="s">
        <v>42</v>
      </c>
      <c r="M45" s="211" t="s">
        <v>141</v>
      </c>
      <c r="N45" s="18"/>
      <c r="O45" s="36">
        <v>130000</v>
      </c>
      <c r="P45" s="15">
        <v>130000</v>
      </c>
      <c r="Q45" s="73"/>
      <c r="R45" s="74"/>
      <c r="S45" s="75"/>
      <c r="T45" s="76"/>
      <c r="U45" s="77"/>
      <c r="V45" s="36"/>
      <c r="W45" s="37"/>
      <c r="X45" s="91"/>
      <c r="Y45" s="51"/>
      <c r="Z45" s="49"/>
    </row>
    <row r="46" spans="1:26" ht="13.5" customHeight="1" x14ac:dyDescent="0.25">
      <c r="A46" s="40"/>
      <c r="B46" s="11" t="s">
        <v>45</v>
      </c>
      <c r="C46" s="35" t="s">
        <v>36</v>
      </c>
      <c r="D46" s="35" t="s">
        <v>127</v>
      </c>
      <c r="E46" s="35">
        <v>2022</v>
      </c>
      <c r="F46" s="35"/>
      <c r="G46" s="47" t="s">
        <v>142</v>
      </c>
      <c r="H46" s="47"/>
      <c r="I46" s="12" t="s">
        <v>39</v>
      </c>
      <c r="J46" s="12" t="s">
        <v>136</v>
      </c>
      <c r="K46" s="12" t="s">
        <v>41</v>
      </c>
      <c r="L46" s="64" t="s">
        <v>42</v>
      </c>
      <c r="M46" s="211" t="s">
        <v>141</v>
      </c>
      <c r="N46" s="18"/>
      <c r="O46" s="36">
        <v>130000</v>
      </c>
      <c r="P46" s="15">
        <v>130000</v>
      </c>
      <c r="Q46" s="73"/>
      <c r="R46" s="74"/>
      <c r="S46" s="75"/>
      <c r="T46" s="76"/>
      <c r="U46" s="77"/>
      <c r="V46" s="36"/>
      <c r="W46" s="37"/>
      <c r="X46" s="91"/>
      <c r="Y46" s="51"/>
      <c r="Z46" s="49"/>
    </row>
    <row r="47" spans="1:26" ht="13.5" customHeight="1" x14ac:dyDescent="0.25">
      <c r="A47" s="40"/>
      <c r="B47" s="11" t="s">
        <v>48</v>
      </c>
      <c r="C47" s="35" t="s">
        <v>36</v>
      </c>
      <c r="D47" s="35" t="s">
        <v>127</v>
      </c>
      <c r="E47" s="35">
        <v>2022</v>
      </c>
      <c r="F47" s="35"/>
      <c r="G47" s="47" t="s">
        <v>49</v>
      </c>
      <c r="H47" s="47"/>
      <c r="I47" s="12" t="s">
        <v>39</v>
      </c>
      <c r="J47" s="12" t="s">
        <v>50</v>
      </c>
      <c r="K47" s="12" t="s">
        <v>41</v>
      </c>
      <c r="L47" s="64" t="s">
        <v>42</v>
      </c>
      <c r="M47" s="13" t="s">
        <v>47</v>
      </c>
      <c r="N47" s="18"/>
      <c r="O47" s="36">
        <v>58017</v>
      </c>
      <c r="P47" s="15">
        <v>58017</v>
      </c>
      <c r="Q47" s="73"/>
      <c r="R47" s="74"/>
      <c r="S47" s="75"/>
      <c r="T47" s="76"/>
      <c r="U47" s="77"/>
      <c r="V47" s="36"/>
      <c r="W47" s="37"/>
      <c r="X47" s="91"/>
      <c r="Y47" s="51"/>
      <c r="Z47" s="49"/>
    </row>
    <row r="48" spans="1:26" ht="13.5" customHeight="1" x14ac:dyDescent="0.25">
      <c r="A48" s="40"/>
      <c r="B48" s="11" t="s">
        <v>48</v>
      </c>
      <c r="C48" s="35" t="s">
        <v>36</v>
      </c>
      <c r="D48" s="35" t="s">
        <v>143</v>
      </c>
      <c r="E48" s="35">
        <v>2022</v>
      </c>
      <c r="F48" s="35"/>
      <c r="G48" s="47" t="s">
        <v>169</v>
      </c>
      <c r="H48" s="47"/>
      <c r="I48" s="12" t="s">
        <v>39</v>
      </c>
      <c r="J48" s="12" t="s">
        <v>66</v>
      </c>
      <c r="K48" s="12" t="s">
        <v>41</v>
      </c>
      <c r="L48" s="64" t="s">
        <v>42</v>
      </c>
      <c r="M48" s="13" t="s">
        <v>71</v>
      </c>
      <c r="N48" s="18"/>
      <c r="O48" s="36">
        <v>9669</v>
      </c>
      <c r="P48" s="15">
        <v>9669</v>
      </c>
      <c r="Q48" s="73"/>
      <c r="R48" s="74"/>
      <c r="S48" s="75"/>
      <c r="T48" s="76"/>
      <c r="U48" s="77"/>
      <c r="V48" s="36"/>
      <c r="W48" s="37"/>
      <c r="X48" s="91"/>
      <c r="Y48" s="51"/>
      <c r="Z48" s="49"/>
    </row>
    <row r="49" spans="1:26" ht="13.5" customHeight="1" x14ac:dyDescent="0.25">
      <c r="A49" s="40"/>
      <c r="B49" s="11" t="s">
        <v>48</v>
      </c>
      <c r="C49" s="35" t="s">
        <v>36</v>
      </c>
      <c r="D49" s="35" t="s">
        <v>143</v>
      </c>
      <c r="E49" s="35">
        <v>2022</v>
      </c>
      <c r="F49" s="35"/>
      <c r="G49" s="47" t="s">
        <v>170</v>
      </c>
      <c r="H49" s="47" t="s">
        <v>171</v>
      </c>
      <c r="I49" s="12" t="s">
        <v>39</v>
      </c>
      <c r="J49" s="12" t="s">
        <v>66</v>
      </c>
      <c r="K49" s="12" t="s">
        <v>41</v>
      </c>
      <c r="L49" s="64" t="s">
        <v>42</v>
      </c>
      <c r="M49" s="13" t="s">
        <v>71</v>
      </c>
      <c r="N49" s="18"/>
      <c r="O49" s="36">
        <v>3223</v>
      </c>
      <c r="P49" s="15">
        <v>3223</v>
      </c>
      <c r="Q49" s="73"/>
      <c r="R49" s="74"/>
      <c r="S49" s="75"/>
      <c r="T49" s="76"/>
      <c r="U49" s="77"/>
      <c r="V49" s="36"/>
      <c r="W49" s="37"/>
      <c r="X49" s="91"/>
      <c r="Y49" s="51"/>
      <c r="Z49" s="49"/>
    </row>
    <row r="50" spans="1:26" ht="13.5" customHeight="1" x14ac:dyDescent="0.25">
      <c r="A50" s="40"/>
      <c r="B50" s="11" t="s">
        <v>48</v>
      </c>
      <c r="C50" s="35" t="s">
        <v>36</v>
      </c>
      <c r="D50" s="35" t="s">
        <v>143</v>
      </c>
      <c r="E50" s="35">
        <v>2022</v>
      </c>
      <c r="F50" s="35"/>
      <c r="G50" s="47" t="s">
        <v>172</v>
      </c>
      <c r="H50" s="47"/>
      <c r="I50" s="12" t="s">
        <v>39</v>
      </c>
      <c r="J50" s="12" t="s">
        <v>40</v>
      </c>
      <c r="K50" s="12" t="s">
        <v>41</v>
      </c>
      <c r="L50" s="64" t="s">
        <v>42</v>
      </c>
      <c r="M50" s="13" t="s">
        <v>47</v>
      </c>
      <c r="N50" s="18"/>
      <c r="O50" s="36">
        <v>12893</v>
      </c>
      <c r="P50" s="15">
        <v>12893</v>
      </c>
      <c r="Q50" s="73"/>
      <c r="R50" s="74"/>
      <c r="S50" s="75"/>
      <c r="T50" s="76"/>
      <c r="U50" s="77"/>
      <c r="V50" s="36"/>
      <c r="W50" s="37"/>
      <c r="X50" s="91"/>
      <c r="Y50" s="51"/>
      <c r="Z50" s="49"/>
    </row>
    <row r="51" spans="1:26" ht="13.5" customHeight="1" x14ac:dyDescent="0.25">
      <c r="A51" s="40"/>
      <c r="B51" s="11" t="s">
        <v>48</v>
      </c>
      <c r="C51" s="35" t="s">
        <v>36</v>
      </c>
      <c r="D51" s="35" t="s">
        <v>143</v>
      </c>
      <c r="E51" s="35">
        <v>2022</v>
      </c>
      <c r="F51" s="35"/>
      <c r="G51" s="47" t="s">
        <v>173</v>
      </c>
      <c r="H51" s="47" t="s">
        <v>99</v>
      </c>
      <c r="I51" s="12" t="s">
        <v>39</v>
      </c>
      <c r="J51" s="12" t="s">
        <v>40</v>
      </c>
      <c r="K51" s="12" t="s">
        <v>41</v>
      </c>
      <c r="L51" s="64" t="s">
        <v>42</v>
      </c>
      <c r="M51" s="13" t="s">
        <v>47</v>
      </c>
      <c r="N51" s="18"/>
      <c r="O51" s="36">
        <v>19339</v>
      </c>
      <c r="P51" s="15">
        <v>19339</v>
      </c>
      <c r="Q51" s="73"/>
      <c r="R51" s="74"/>
      <c r="S51" s="75"/>
      <c r="T51" s="76"/>
      <c r="U51" s="77"/>
      <c r="V51" s="36"/>
      <c r="W51" s="37"/>
      <c r="X51" s="91"/>
      <c r="Y51" s="51"/>
      <c r="Z51" s="49"/>
    </row>
    <row r="52" spans="1:26" ht="13.5" customHeight="1" x14ac:dyDescent="0.25">
      <c r="A52" s="40"/>
      <c r="B52" s="11" t="s">
        <v>48</v>
      </c>
      <c r="C52" s="35" t="s">
        <v>36</v>
      </c>
      <c r="D52" s="35" t="s">
        <v>143</v>
      </c>
      <c r="E52" s="35">
        <v>2022</v>
      </c>
      <c r="F52" s="35"/>
      <c r="G52" s="47" t="s">
        <v>174</v>
      </c>
      <c r="H52" s="47" t="s">
        <v>175</v>
      </c>
      <c r="I52" s="12" t="s">
        <v>39</v>
      </c>
      <c r="J52" s="12" t="s">
        <v>158</v>
      </c>
      <c r="K52" s="12" t="s">
        <v>41</v>
      </c>
      <c r="L52" s="64" t="s">
        <v>42</v>
      </c>
      <c r="M52" s="13" t="s">
        <v>149</v>
      </c>
      <c r="N52" s="18"/>
      <c r="O52" s="36">
        <v>10000</v>
      </c>
      <c r="P52" s="15">
        <v>10000</v>
      </c>
      <c r="Q52" s="73"/>
      <c r="R52" s="74"/>
      <c r="S52" s="75"/>
      <c r="T52" s="76"/>
      <c r="U52" s="77"/>
      <c r="V52" s="36"/>
      <c r="W52" s="37"/>
      <c r="X52" s="91"/>
      <c r="Y52" s="51"/>
      <c r="Z52" s="49"/>
    </row>
    <row r="53" spans="1:26" ht="13.5" customHeight="1" x14ac:dyDescent="0.25">
      <c r="A53" s="40"/>
      <c r="B53" s="19" t="s">
        <v>82</v>
      </c>
      <c r="C53" s="35" t="s">
        <v>36</v>
      </c>
      <c r="D53" s="35" t="s">
        <v>143</v>
      </c>
      <c r="E53" s="35">
        <v>2022</v>
      </c>
      <c r="F53" s="35"/>
      <c r="G53" s="47" t="s">
        <v>104</v>
      </c>
      <c r="H53" s="47"/>
      <c r="I53" s="12" t="s">
        <v>39</v>
      </c>
      <c r="J53" s="12" t="s">
        <v>40</v>
      </c>
      <c r="K53" s="12" t="s">
        <v>41</v>
      </c>
      <c r="L53" s="64" t="s">
        <v>42</v>
      </c>
      <c r="M53" s="13" t="s">
        <v>47</v>
      </c>
      <c r="N53" s="18"/>
      <c r="O53" s="36">
        <v>12893</v>
      </c>
      <c r="P53" s="15">
        <v>12893</v>
      </c>
      <c r="Q53" s="73"/>
      <c r="R53" s="74"/>
      <c r="S53" s="75"/>
      <c r="T53" s="76"/>
      <c r="U53" s="77"/>
      <c r="V53" s="36"/>
      <c r="W53" s="37"/>
      <c r="X53" s="91"/>
      <c r="Y53" s="51"/>
      <c r="Z53" s="49"/>
    </row>
    <row r="54" spans="1:26" ht="13.5" customHeight="1" x14ac:dyDescent="0.25">
      <c r="A54" s="40"/>
      <c r="B54" s="19" t="s">
        <v>82</v>
      </c>
      <c r="C54" s="35" t="s">
        <v>36</v>
      </c>
      <c r="D54" s="35" t="s">
        <v>143</v>
      </c>
      <c r="E54" s="35">
        <v>2022</v>
      </c>
      <c r="F54" s="35"/>
      <c r="G54" s="47" t="s">
        <v>110</v>
      </c>
      <c r="H54" s="47"/>
      <c r="I54" s="12" t="s">
        <v>39</v>
      </c>
      <c r="J54" s="12" t="s">
        <v>66</v>
      </c>
      <c r="K54" s="12" t="s">
        <v>41</v>
      </c>
      <c r="L54" s="64" t="s">
        <v>42</v>
      </c>
      <c r="M54" s="13" t="s">
        <v>71</v>
      </c>
      <c r="N54" s="18"/>
      <c r="O54" s="36">
        <v>3223</v>
      </c>
      <c r="P54" s="15">
        <v>3223</v>
      </c>
      <c r="Q54" s="73"/>
      <c r="R54" s="74"/>
      <c r="S54" s="75"/>
      <c r="T54" s="76"/>
      <c r="U54" s="77"/>
      <c r="V54" s="36"/>
      <c r="W54" s="37"/>
      <c r="X54" s="91"/>
      <c r="Y54" s="51"/>
      <c r="Z54" s="49"/>
    </row>
    <row r="55" spans="1:26" ht="13.5" customHeight="1" x14ac:dyDescent="0.25">
      <c r="A55" s="40"/>
      <c r="B55" s="19" t="s">
        <v>82</v>
      </c>
      <c r="C55" s="35" t="s">
        <v>36</v>
      </c>
      <c r="D55" s="35" t="s">
        <v>143</v>
      </c>
      <c r="E55" s="35">
        <v>2022</v>
      </c>
      <c r="F55" s="35"/>
      <c r="G55" s="47" t="s">
        <v>83</v>
      </c>
      <c r="H55" s="47"/>
      <c r="I55" s="12" t="s">
        <v>39</v>
      </c>
      <c r="J55" s="12" t="s">
        <v>40</v>
      </c>
      <c r="K55" s="12" t="s">
        <v>41</v>
      </c>
      <c r="L55" s="64" t="s">
        <v>42</v>
      </c>
      <c r="M55" s="13" t="s">
        <v>47</v>
      </c>
      <c r="N55" s="18"/>
      <c r="O55" s="36">
        <v>19339</v>
      </c>
      <c r="P55" s="15">
        <v>19339</v>
      </c>
      <c r="Q55" s="73"/>
      <c r="R55" s="74"/>
      <c r="S55" s="75"/>
      <c r="T55" s="76"/>
      <c r="U55" s="77"/>
      <c r="V55" s="36"/>
      <c r="W55" s="37"/>
      <c r="X55" s="91"/>
      <c r="Y55" s="51"/>
      <c r="Z55" s="49"/>
    </row>
    <row r="56" spans="1:26" ht="13.5" customHeight="1" x14ac:dyDescent="0.25">
      <c r="A56" s="40"/>
      <c r="B56" s="19" t="s">
        <v>82</v>
      </c>
      <c r="C56" s="35" t="s">
        <v>36</v>
      </c>
      <c r="D56" s="35" t="s">
        <v>143</v>
      </c>
      <c r="E56" s="35">
        <v>2022</v>
      </c>
      <c r="F56" s="35"/>
      <c r="G56" s="47" t="s">
        <v>176</v>
      </c>
      <c r="H56" s="47" t="s">
        <v>177</v>
      </c>
      <c r="I56" s="12" t="s">
        <v>39</v>
      </c>
      <c r="J56" s="12" t="s">
        <v>158</v>
      </c>
      <c r="K56" s="12" t="s">
        <v>41</v>
      </c>
      <c r="L56" s="64" t="s">
        <v>42</v>
      </c>
      <c r="M56" s="13" t="s">
        <v>149</v>
      </c>
      <c r="N56" s="18"/>
      <c r="O56" s="36">
        <v>7500</v>
      </c>
      <c r="P56" s="15">
        <v>7500</v>
      </c>
      <c r="Q56" s="73"/>
      <c r="R56" s="74"/>
      <c r="S56" s="75"/>
      <c r="T56" s="76"/>
      <c r="U56" s="77"/>
      <c r="V56" s="36"/>
      <c r="W56" s="37"/>
      <c r="X56" s="91"/>
      <c r="Y56" s="51"/>
      <c r="Z56" s="49"/>
    </row>
    <row r="57" spans="1:26" ht="13.5" customHeight="1" x14ac:dyDescent="0.25">
      <c r="A57" s="40"/>
      <c r="B57" s="11" t="s">
        <v>105</v>
      </c>
      <c r="C57" s="35" t="s">
        <v>36</v>
      </c>
      <c r="D57" s="35" t="s">
        <v>143</v>
      </c>
      <c r="E57" s="35">
        <v>2022</v>
      </c>
      <c r="F57" s="35"/>
      <c r="G57" s="47" t="s">
        <v>106</v>
      </c>
      <c r="H57" s="47"/>
      <c r="I57" s="12" t="s">
        <v>39</v>
      </c>
      <c r="J57" s="12" t="s">
        <v>40</v>
      </c>
      <c r="K57" s="12" t="s">
        <v>41</v>
      </c>
      <c r="L57" s="64" t="s">
        <v>42</v>
      </c>
      <c r="M57" s="13" t="s">
        <v>47</v>
      </c>
      <c r="N57" s="18"/>
      <c r="O57" s="36">
        <v>12893</v>
      </c>
      <c r="P57" s="15">
        <v>12893</v>
      </c>
      <c r="Q57" s="73"/>
      <c r="R57" s="74"/>
      <c r="S57" s="75"/>
      <c r="T57" s="76"/>
      <c r="U57" s="77"/>
      <c r="V57" s="36"/>
      <c r="W57" s="37"/>
      <c r="X57" s="91"/>
      <c r="Y57" s="51"/>
      <c r="Z57" s="49"/>
    </row>
    <row r="58" spans="1:26" ht="13.5" customHeight="1" x14ac:dyDescent="0.25">
      <c r="A58" s="40"/>
      <c r="B58" s="11" t="s">
        <v>105</v>
      </c>
      <c r="C58" s="35" t="s">
        <v>36</v>
      </c>
      <c r="D58" s="35" t="s">
        <v>143</v>
      </c>
      <c r="E58" s="35">
        <v>2022</v>
      </c>
      <c r="F58" s="35"/>
      <c r="G58" s="47" t="s">
        <v>178</v>
      </c>
      <c r="H58" s="47" t="s">
        <v>107</v>
      </c>
      <c r="I58" s="12" t="s">
        <v>39</v>
      </c>
      <c r="J58" s="12" t="s">
        <v>40</v>
      </c>
      <c r="K58" s="12" t="s">
        <v>41</v>
      </c>
      <c r="L58" s="64" t="s">
        <v>42</v>
      </c>
      <c r="M58" s="13" t="s">
        <v>47</v>
      </c>
      <c r="N58" s="18"/>
      <c r="O58" s="36">
        <v>10000</v>
      </c>
      <c r="P58" s="15">
        <v>10000</v>
      </c>
      <c r="Q58" s="73"/>
      <c r="R58" s="74"/>
      <c r="S58" s="75"/>
      <c r="T58" s="76"/>
      <c r="U58" s="77"/>
      <c r="V58" s="36"/>
      <c r="W58" s="37"/>
      <c r="X58" s="91"/>
      <c r="Y58" s="51"/>
      <c r="Z58" s="49"/>
    </row>
    <row r="59" spans="1:26" ht="13.5" customHeight="1" x14ac:dyDescent="0.25">
      <c r="A59" s="40"/>
      <c r="B59" s="19" t="s">
        <v>84</v>
      </c>
      <c r="C59" s="35" t="s">
        <v>36</v>
      </c>
      <c r="D59" s="35" t="s">
        <v>143</v>
      </c>
      <c r="E59" s="35">
        <v>2022</v>
      </c>
      <c r="F59" s="35"/>
      <c r="G59" s="47" t="s">
        <v>85</v>
      </c>
      <c r="H59" s="47" t="s">
        <v>179</v>
      </c>
      <c r="I59" s="12" t="s">
        <v>39</v>
      </c>
      <c r="J59" s="12" t="s">
        <v>40</v>
      </c>
      <c r="K59" s="12" t="s">
        <v>41</v>
      </c>
      <c r="L59" s="64" t="s">
        <v>42</v>
      </c>
      <c r="M59" s="13" t="s">
        <v>47</v>
      </c>
      <c r="N59" s="18"/>
      <c r="O59" s="36">
        <v>22562</v>
      </c>
      <c r="P59" s="15">
        <v>22562</v>
      </c>
      <c r="Q59" s="73"/>
      <c r="R59" s="74"/>
      <c r="S59" s="75"/>
      <c r="T59" s="76"/>
      <c r="U59" s="77"/>
      <c r="V59" s="36"/>
      <c r="W59" s="37"/>
      <c r="X59" s="91"/>
      <c r="Y59" s="51"/>
      <c r="Z59" s="49"/>
    </row>
    <row r="60" spans="1:26" ht="13.5" customHeight="1" x14ac:dyDescent="0.25">
      <c r="A60" s="40"/>
      <c r="B60" s="66" t="s">
        <v>95</v>
      </c>
      <c r="C60" s="35" t="s">
        <v>36</v>
      </c>
      <c r="D60" s="35" t="s">
        <v>143</v>
      </c>
      <c r="E60" s="35">
        <v>2022</v>
      </c>
      <c r="F60" s="35"/>
      <c r="G60" s="47" t="s">
        <v>112</v>
      </c>
      <c r="H60" s="47" t="s">
        <v>180</v>
      </c>
      <c r="I60" s="12" t="s">
        <v>39</v>
      </c>
      <c r="J60" s="12" t="s">
        <v>40</v>
      </c>
      <c r="K60" s="12" t="s">
        <v>41</v>
      </c>
      <c r="L60" s="64" t="s">
        <v>42</v>
      </c>
      <c r="M60" s="13" t="s">
        <v>47</v>
      </c>
      <c r="N60" s="18"/>
      <c r="O60" s="36">
        <v>19339</v>
      </c>
      <c r="P60" s="15">
        <v>19339</v>
      </c>
      <c r="Q60" s="73"/>
      <c r="R60" s="74"/>
      <c r="S60" s="75"/>
      <c r="T60" s="76"/>
      <c r="U60" s="77"/>
      <c r="V60" s="36"/>
      <c r="W60" s="37"/>
      <c r="X60" s="91"/>
      <c r="Y60" s="51"/>
      <c r="Z60" s="49"/>
    </row>
    <row r="61" spans="1:26" ht="13.5" customHeight="1" x14ac:dyDescent="0.25">
      <c r="A61" s="40"/>
      <c r="B61" s="66" t="s">
        <v>95</v>
      </c>
      <c r="C61" s="35" t="s">
        <v>36</v>
      </c>
      <c r="D61" s="35" t="s">
        <v>143</v>
      </c>
      <c r="E61" s="35">
        <v>2022</v>
      </c>
      <c r="F61" s="35"/>
      <c r="G61" s="47" t="s">
        <v>96</v>
      </c>
      <c r="H61" s="47" t="s">
        <v>181</v>
      </c>
      <c r="I61" s="12" t="s">
        <v>39</v>
      </c>
      <c r="J61" s="12" t="s">
        <v>40</v>
      </c>
      <c r="K61" s="12" t="s">
        <v>41</v>
      </c>
      <c r="L61" s="64" t="s">
        <v>42</v>
      </c>
      <c r="M61" s="13" t="s">
        <v>47</v>
      </c>
      <c r="N61" s="18"/>
      <c r="O61" s="36">
        <v>19339</v>
      </c>
      <c r="P61" s="15">
        <v>19339</v>
      </c>
      <c r="Q61" s="73"/>
      <c r="R61" s="74"/>
      <c r="S61" s="75"/>
      <c r="T61" s="76"/>
      <c r="U61" s="77"/>
      <c r="V61" s="36"/>
      <c r="W61" s="37"/>
      <c r="X61" s="91"/>
      <c r="Y61" s="51"/>
      <c r="Z61" s="49"/>
    </row>
    <row r="62" spans="1:26" ht="13.5" customHeight="1" x14ac:dyDescent="0.25">
      <c r="A62" s="40"/>
      <c r="B62" s="11" t="s">
        <v>182</v>
      </c>
      <c r="C62" s="35" t="s">
        <v>36</v>
      </c>
      <c r="D62" s="35" t="s">
        <v>143</v>
      </c>
      <c r="E62" s="35">
        <v>2022</v>
      </c>
      <c r="F62" s="35"/>
      <c r="G62" s="47" t="s">
        <v>109</v>
      </c>
      <c r="H62" s="47" t="s">
        <v>183</v>
      </c>
      <c r="I62" s="12" t="s">
        <v>39</v>
      </c>
      <c r="J62" s="12" t="s">
        <v>40</v>
      </c>
      <c r="K62" s="12" t="s">
        <v>41</v>
      </c>
      <c r="L62" s="64" t="s">
        <v>42</v>
      </c>
      <c r="M62" s="13" t="s">
        <v>47</v>
      </c>
      <c r="N62" s="18"/>
      <c r="O62" s="36">
        <v>10000</v>
      </c>
      <c r="P62" s="15">
        <v>10000</v>
      </c>
      <c r="Q62" s="73"/>
      <c r="R62" s="74"/>
      <c r="S62" s="75"/>
      <c r="T62" s="76"/>
      <c r="U62" s="77"/>
      <c r="V62" s="36"/>
      <c r="W62" s="37"/>
      <c r="X62" s="91"/>
      <c r="Y62" s="51"/>
      <c r="Z62" s="49"/>
    </row>
    <row r="63" spans="1:26" ht="13.5" customHeight="1" x14ac:dyDescent="0.25">
      <c r="A63" s="40"/>
      <c r="B63" s="19"/>
      <c r="C63" s="35"/>
      <c r="D63" s="35"/>
      <c r="E63" s="35"/>
      <c r="F63" s="35"/>
      <c r="G63" s="47"/>
      <c r="H63" s="47"/>
      <c r="I63" s="12"/>
      <c r="J63" s="12"/>
      <c r="K63" s="12"/>
      <c r="L63" s="64"/>
      <c r="M63" s="13"/>
      <c r="N63" s="18"/>
      <c r="O63" s="36">
        <f>SUM(O7:O62)</f>
        <v>3023190</v>
      </c>
      <c r="P63" s="15"/>
      <c r="Q63" s="73"/>
      <c r="R63" s="74"/>
      <c r="S63" s="75"/>
      <c r="T63" s="76"/>
      <c r="U63" s="77"/>
      <c r="V63" s="36"/>
      <c r="W63" s="37"/>
      <c r="X63" s="91"/>
      <c r="Y63" s="51"/>
      <c r="Z63" s="49"/>
    </row>
    <row r="73" spans="2:5" x14ac:dyDescent="0.25">
      <c r="B73" t="s">
        <v>185</v>
      </c>
    </row>
    <row r="74" spans="2:5" x14ac:dyDescent="0.25">
      <c r="B74" s="19" t="s">
        <v>186</v>
      </c>
      <c r="C74" s="44" t="s">
        <v>187</v>
      </c>
      <c r="D74" s="44"/>
      <c r="E74" s="210">
        <v>9669</v>
      </c>
    </row>
    <row r="75" spans="2:5" x14ac:dyDescent="0.25">
      <c r="B75" s="11" t="s">
        <v>186</v>
      </c>
      <c r="C75" s="44" t="s">
        <v>188</v>
      </c>
      <c r="D75" s="44"/>
      <c r="E75" s="210">
        <v>38678</v>
      </c>
    </row>
    <row r="76" spans="2:5" x14ac:dyDescent="0.25">
      <c r="B76" s="11" t="s">
        <v>186</v>
      </c>
      <c r="C76" s="44" t="s">
        <v>189</v>
      </c>
      <c r="D76" s="44"/>
      <c r="E76" s="210">
        <v>51570</v>
      </c>
    </row>
    <row r="77" spans="2:5" x14ac:dyDescent="0.25">
      <c r="B77" s="19" t="s">
        <v>186</v>
      </c>
      <c r="C77" s="44" t="s">
        <v>190</v>
      </c>
      <c r="D77" s="44" t="s">
        <v>191</v>
      </c>
      <c r="E77" s="210">
        <v>38678</v>
      </c>
    </row>
    <row r="78" spans="2:5" x14ac:dyDescent="0.25">
      <c r="B78" s="66" t="s">
        <v>186</v>
      </c>
      <c r="C78" s="44" t="s">
        <v>192</v>
      </c>
      <c r="D78" s="44" t="s">
        <v>193</v>
      </c>
      <c r="E78" s="210">
        <v>10000</v>
      </c>
    </row>
    <row r="79" spans="2:5" x14ac:dyDescent="0.25">
      <c r="B79" s="66" t="s">
        <v>186</v>
      </c>
      <c r="C79" s="44" t="s">
        <v>194</v>
      </c>
      <c r="D79" s="44" t="s">
        <v>195</v>
      </c>
      <c r="E79" s="210">
        <v>7500</v>
      </c>
    </row>
  </sheetData>
  <autoFilter ref="B5:Z63" xr:uid="{4410091C-2170-42F3-BAD6-E1D32F7EFF69}"/>
  <conditionalFormatting sqref="M38:N44 M6:N36 M47:N63">
    <cfRule type="containsText" dxfId="31" priority="21" operator="containsText" text="Naranja">
      <formula>NOT(ISERROR(SEARCH("Naranja",M6)))</formula>
    </cfRule>
  </conditionalFormatting>
  <conditionalFormatting sqref="M38:N44 M6:N36 M47:N63">
    <cfRule type="containsText" dxfId="30" priority="20" operator="containsText" text="Verde">
      <formula>NOT(ISERROR(SEARCH("Verde",M6)))</formula>
    </cfRule>
  </conditionalFormatting>
  <conditionalFormatting sqref="M38:N44 M6:N36 M47:N63">
    <cfRule type="containsText" dxfId="29" priority="19" operator="containsText" text="Rojo">
      <formula>NOT(ISERROR(SEARCH("Rojo",M6)))</formula>
    </cfRule>
  </conditionalFormatting>
  <conditionalFormatting sqref="M6">
    <cfRule type="containsText" dxfId="28" priority="18" operator="containsText" text="Naranja">
      <formula>NOT(ISERROR(SEARCH("Naranja",M6)))</formula>
    </cfRule>
  </conditionalFormatting>
  <conditionalFormatting sqref="M6">
    <cfRule type="containsText" dxfId="27" priority="17" operator="containsText" text="Verde">
      <formula>NOT(ISERROR(SEARCH("Verde",M6)))</formula>
    </cfRule>
  </conditionalFormatting>
  <conditionalFormatting sqref="M6">
    <cfRule type="containsText" dxfId="26" priority="16" operator="containsText" text="Rojo">
      <formula>NOT(ISERROR(SEARCH("Rojo",M6)))</formula>
    </cfRule>
  </conditionalFormatting>
  <conditionalFormatting sqref="N6">
    <cfRule type="containsText" dxfId="25" priority="15" operator="containsText" text="Naranja">
      <formula>NOT(ISERROR(SEARCH("Naranja",N6)))</formula>
    </cfRule>
  </conditionalFormatting>
  <conditionalFormatting sqref="N6">
    <cfRule type="containsText" dxfId="24" priority="14" operator="containsText" text="Verde">
      <formula>NOT(ISERROR(SEARCH("Verde",N6)))</formula>
    </cfRule>
  </conditionalFormatting>
  <conditionalFormatting sqref="N6">
    <cfRule type="containsText" dxfId="23" priority="13" operator="containsText" text="Rojo">
      <formula>NOT(ISERROR(SEARCH("Rojo",N6)))</formula>
    </cfRule>
  </conditionalFormatting>
  <conditionalFormatting sqref="M37:N37">
    <cfRule type="containsText" dxfId="22" priority="12" operator="containsText" text="Naranja">
      <formula>NOT(ISERROR(SEARCH("Naranja",M37)))</formula>
    </cfRule>
  </conditionalFormatting>
  <conditionalFormatting sqref="M37:N37">
    <cfRule type="containsText" dxfId="21" priority="11" operator="containsText" text="Verde">
      <formula>NOT(ISERROR(SEARCH("Verde",M37)))</formula>
    </cfRule>
  </conditionalFormatting>
  <conditionalFormatting sqref="M37:N37">
    <cfRule type="containsText" dxfId="20" priority="10" operator="containsText" text="Rojo">
      <formula>NOT(ISERROR(SEARCH("Rojo",M37)))</formula>
    </cfRule>
  </conditionalFormatting>
  <conditionalFormatting sqref="N45:N46">
    <cfRule type="containsText" dxfId="19" priority="9" operator="containsText" text="Naranja">
      <formula>NOT(ISERROR(SEARCH("Naranja",N45)))</formula>
    </cfRule>
  </conditionalFormatting>
  <conditionalFormatting sqref="N45:N46">
    <cfRule type="containsText" dxfId="18" priority="8" operator="containsText" text="Verde">
      <formula>NOT(ISERROR(SEARCH("Verde",N45)))</formula>
    </cfRule>
  </conditionalFormatting>
  <conditionalFormatting sqref="N45:N46">
    <cfRule type="containsText" dxfId="17" priority="7" operator="containsText" text="Rojo">
      <formula>NOT(ISERROR(SEARCH("Rojo",N45)))</formula>
    </cfRule>
  </conditionalFormatting>
  <conditionalFormatting sqref="M45">
    <cfRule type="containsText" dxfId="16" priority="6" operator="containsText" text="Naranja">
      <formula>NOT(ISERROR(SEARCH("Naranja",M45)))</formula>
    </cfRule>
  </conditionalFormatting>
  <conditionalFormatting sqref="M45">
    <cfRule type="containsText" dxfId="15" priority="5" operator="containsText" text="Verde">
      <formula>NOT(ISERROR(SEARCH("Verde",M45)))</formula>
    </cfRule>
  </conditionalFormatting>
  <conditionalFormatting sqref="M45">
    <cfRule type="containsText" dxfId="14" priority="4" operator="containsText" text="Rojo">
      <formula>NOT(ISERROR(SEARCH("Rojo",M45)))</formula>
    </cfRule>
  </conditionalFormatting>
  <conditionalFormatting sqref="M46">
    <cfRule type="containsText" dxfId="13" priority="3" operator="containsText" text="Naranja">
      <formula>NOT(ISERROR(SEARCH("Naranja",M46)))</formula>
    </cfRule>
  </conditionalFormatting>
  <conditionalFormatting sqref="M46">
    <cfRule type="containsText" dxfId="12" priority="2" operator="containsText" text="Verde">
      <formula>NOT(ISERROR(SEARCH("Verde",M46)))</formula>
    </cfRule>
  </conditionalFormatting>
  <conditionalFormatting sqref="M46">
    <cfRule type="containsText" dxfId="11" priority="1" operator="containsText" text="Rojo">
      <formula>NOT(ISERROR(SEARCH("Rojo",M46)))</formula>
    </cfRule>
  </conditionalFormatting>
  <pageMargins left="0.7" right="0.7" top="0.75" bottom="0.75" header="0.3" footer="0.3"/>
  <pageSetup orientation="portrait" r:id="rId1"/>
  <headerFooter>
    <oddFooter>&amp;R&amp;1#&amp;"Calibri"&amp;22&amp;KFF8939RESTRICTED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5DAE02-AC72-4E45-9416-A73C908396D2}">
  <dimension ref="A1:AL62"/>
  <sheetViews>
    <sheetView topLeftCell="A21" zoomScale="115" zoomScaleNormal="115" workbookViewId="0">
      <selection activeCell="C56" sqref="C56"/>
    </sheetView>
  </sheetViews>
  <sheetFormatPr baseColWidth="10" defaultColWidth="8.85546875" defaultRowHeight="15" x14ac:dyDescent="0.25"/>
  <cols>
    <col min="1" max="1" width="14" bestFit="1" customWidth="1"/>
    <col min="2" max="2" width="13.5703125" bestFit="1" customWidth="1"/>
    <col min="3" max="3" width="15.5703125" bestFit="1" customWidth="1"/>
    <col min="8" max="8" width="17.42578125" customWidth="1"/>
    <col min="9" max="9" width="13.5703125" hidden="1" customWidth="1"/>
    <col min="10" max="10" width="14.42578125" hidden="1" customWidth="1"/>
    <col min="11" max="12" width="13" hidden="1" customWidth="1"/>
    <col min="13" max="13" width="15.42578125" hidden="1" customWidth="1"/>
    <col min="14" max="14" width="12.42578125" hidden="1" customWidth="1"/>
    <col min="15" max="15" width="12.5703125" hidden="1" customWidth="1"/>
    <col min="16" max="16" width="12.42578125" hidden="1" customWidth="1"/>
    <col min="17" max="17" width="11.42578125" bestFit="1" customWidth="1"/>
    <col min="18" max="18" width="12" bestFit="1" customWidth="1"/>
    <col min="19" max="19" width="12.5703125" bestFit="1" customWidth="1"/>
    <col min="20" max="20" width="12.42578125" bestFit="1" customWidth="1"/>
    <col min="27" max="27" width="17.42578125" bestFit="1" customWidth="1"/>
    <col min="28" max="28" width="15.42578125" bestFit="1" customWidth="1"/>
    <col min="29" max="30" width="15.42578125" customWidth="1"/>
    <col min="31" max="31" width="12.5703125" bestFit="1" customWidth="1"/>
    <col min="32" max="32" width="14" bestFit="1" customWidth="1"/>
    <col min="35" max="35" width="11.5703125" bestFit="1" customWidth="1"/>
    <col min="38" max="38" width="11.5703125" bestFit="1" customWidth="1"/>
  </cols>
  <sheetData>
    <row r="1" spans="1:37" ht="15.75" thickBot="1" x14ac:dyDescent="0.3">
      <c r="R1">
        <v>0.88</v>
      </c>
      <c r="S1">
        <v>0.43</v>
      </c>
      <c r="V1" t="s">
        <v>446</v>
      </c>
      <c r="W1" t="s">
        <v>447</v>
      </c>
      <c r="Z1" t="s">
        <v>448</v>
      </c>
      <c r="AA1" t="s">
        <v>449</v>
      </c>
      <c r="AB1" t="s">
        <v>450</v>
      </c>
      <c r="AC1" t="s">
        <v>451</v>
      </c>
      <c r="AD1" t="s">
        <v>452</v>
      </c>
      <c r="AE1" t="s">
        <v>453</v>
      </c>
      <c r="AF1" t="s">
        <v>454</v>
      </c>
      <c r="AG1" t="s">
        <v>455</v>
      </c>
      <c r="AI1" t="s">
        <v>456</v>
      </c>
      <c r="AJ1" t="s">
        <v>457</v>
      </c>
      <c r="AK1" t="s">
        <v>458</v>
      </c>
    </row>
    <row r="2" spans="1:37" x14ac:dyDescent="0.25">
      <c r="K2" s="220">
        <v>2017</v>
      </c>
      <c r="L2" s="220">
        <v>2018</v>
      </c>
      <c r="M2" s="220">
        <v>2019</v>
      </c>
      <c r="N2" s="220">
        <v>2020</v>
      </c>
      <c r="O2" s="233">
        <v>2021</v>
      </c>
      <c r="P2" s="240">
        <v>2022</v>
      </c>
      <c r="Q2" s="241" t="s">
        <v>459</v>
      </c>
      <c r="R2" s="241" t="s">
        <v>460</v>
      </c>
      <c r="S2" s="241" t="s">
        <v>461</v>
      </c>
      <c r="T2" s="242" t="s">
        <v>462</v>
      </c>
      <c r="Z2">
        <v>1</v>
      </c>
      <c r="AA2" s="254">
        <v>5.2859396779071704E-3</v>
      </c>
      <c r="AB2" s="45">
        <f>+$T$3*AA2</f>
        <v>746253.03095898568</v>
      </c>
      <c r="AC2" s="45">
        <f>+AB2/1000</f>
        <v>746.25303095898573</v>
      </c>
      <c r="AD2" s="45">
        <f>+AK2/1000</f>
        <v>1.54</v>
      </c>
      <c r="AE2" s="45">
        <f t="shared" ref="AE2:AE23" si="0">+AB2/22000</f>
        <v>33.920592316317531</v>
      </c>
      <c r="AF2" s="45">
        <f>+AE2/7</f>
        <v>4.8457989023310759</v>
      </c>
      <c r="AG2" s="45">
        <f>+AJ2-AE2</f>
        <v>36.079407683682469</v>
      </c>
      <c r="AI2">
        <v>10</v>
      </c>
      <c r="AJ2">
        <f>+AI2*7</f>
        <v>70</v>
      </c>
      <c r="AK2">
        <f>+AJ2*22</f>
        <v>1540</v>
      </c>
    </row>
    <row r="3" spans="1:37" x14ac:dyDescent="0.25">
      <c r="A3" s="215" t="s">
        <v>463</v>
      </c>
      <c r="B3" t="s">
        <v>464</v>
      </c>
      <c r="C3" t="s">
        <v>465</v>
      </c>
      <c r="D3">
        <v>2020</v>
      </c>
      <c r="J3" s="220" t="s">
        <v>466</v>
      </c>
      <c r="K3" s="221">
        <v>1980384</v>
      </c>
      <c r="L3" s="222">
        <v>2264175</v>
      </c>
      <c r="M3" s="222">
        <v>2717203</v>
      </c>
      <c r="N3" s="222">
        <v>2249402.0003656223</v>
      </c>
      <c r="O3" s="218">
        <v>1658620.5</v>
      </c>
      <c r="P3" s="268">
        <f>+P5-P4</f>
        <v>2903335.4040596057</v>
      </c>
      <c r="Q3" s="253">
        <v>18.399999999999999</v>
      </c>
      <c r="R3" s="218">
        <f>+Q3*P3</f>
        <v>53421371.434696741</v>
      </c>
      <c r="S3">
        <f>+R3/0.88</f>
        <v>60706103.903064482</v>
      </c>
      <c r="T3" s="244">
        <f>+S3/0.43</f>
        <v>141176985.82108018</v>
      </c>
      <c r="Z3">
        <v>2</v>
      </c>
      <c r="AA3" s="254">
        <v>1.8897767524633131E-2</v>
      </c>
      <c r="AB3" s="45">
        <f>+$T$3*AA3</f>
        <v>2667929.8578752009</v>
      </c>
      <c r="AC3" s="45">
        <f t="shared" ref="AC3:AC23" si="1">+AB3/1000</f>
        <v>2667.9298578752009</v>
      </c>
      <c r="AD3" s="45">
        <f t="shared" ref="AD3:AD22" si="2">+AK3/1000</f>
        <v>12.32</v>
      </c>
      <c r="AE3" s="45">
        <f t="shared" si="0"/>
        <v>121.26953899432732</v>
      </c>
      <c r="AF3" s="45">
        <f t="shared" ref="AF3:AF22" si="3">+AE3/7</f>
        <v>17.324219856332473</v>
      </c>
      <c r="AG3" s="45">
        <f t="shared" ref="AG3:AG22" si="4">+AJ3-AE3</f>
        <v>438.73046100567268</v>
      </c>
      <c r="AI3">
        <v>80</v>
      </c>
      <c r="AJ3">
        <f t="shared" ref="AJ3:AJ22" si="5">+AI3*7</f>
        <v>560</v>
      </c>
      <c r="AK3">
        <f t="shared" ref="AK3:AK22" si="6">+AJ3*22</f>
        <v>12320</v>
      </c>
    </row>
    <row r="4" spans="1:37" x14ac:dyDescent="0.25">
      <c r="A4" s="216" t="s">
        <v>85</v>
      </c>
      <c r="B4" s="217">
        <v>7.2345522003878478E-3</v>
      </c>
      <c r="C4" s="45">
        <v>22561.983471074382</v>
      </c>
      <c r="J4" s="220" t="s">
        <v>467</v>
      </c>
      <c r="K4" s="223">
        <v>1257894</v>
      </c>
      <c r="L4" s="223">
        <v>1309393</v>
      </c>
      <c r="M4" s="222">
        <v>1132173</v>
      </c>
      <c r="N4" s="223">
        <v>890341.23299825774</v>
      </c>
      <c r="O4" s="234">
        <v>466712.53622884041</v>
      </c>
      <c r="P4" s="245">
        <v>696664.59594039456</v>
      </c>
      <c r="Q4" s="253">
        <v>18.399999999999999</v>
      </c>
      <c r="R4" s="218">
        <f t="shared" ref="R4:R5" si="7">+Q4*P4</f>
        <v>12818628.565303259</v>
      </c>
      <c r="S4">
        <f t="shared" ref="S4:S5" si="8">+R4/0.88</f>
        <v>14566623.369662793</v>
      </c>
      <c r="T4" s="244">
        <f t="shared" ref="T4:T5" si="9">+S4/0.43</f>
        <v>33875868.301541381</v>
      </c>
      <c r="Z4">
        <v>3</v>
      </c>
      <c r="AA4" s="254">
        <v>2.5115392871211492E-2</v>
      </c>
      <c r="AB4" s="45">
        <f t="shared" ref="AB4:AB22" si="10">+$T$3*AA4</f>
        <v>3545715.4632698828</v>
      </c>
      <c r="AC4" s="45">
        <f t="shared" si="1"/>
        <v>3545.715463269883</v>
      </c>
      <c r="AD4" s="45">
        <f t="shared" si="2"/>
        <v>12.32</v>
      </c>
      <c r="AE4" s="45">
        <f t="shared" si="0"/>
        <v>161.16888469408559</v>
      </c>
      <c r="AF4" s="45">
        <f t="shared" si="3"/>
        <v>23.024126384869369</v>
      </c>
      <c r="AG4" s="45">
        <f t="shared" si="4"/>
        <v>398.83111530591441</v>
      </c>
      <c r="AI4">
        <v>80</v>
      </c>
      <c r="AJ4">
        <f t="shared" si="5"/>
        <v>560</v>
      </c>
      <c r="AK4">
        <f t="shared" si="6"/>
        <v>12320</v>
      </c>
    </row>
    <row r="5" spans="1:37" x14ac:dyDescent="0.25">
      <c r="A5" s="216" t="s">
        <v>170</v>
      </c>
      <c r="B5" s="217">
        <v>1.033507457198264E-3</v>
      </c>
      <c r="C5" s="45">
        <v>3223.1404958677685</v>
      </c>
      <c r="J5" s="226" t="s">
        <v>197</v>
      </c>
      <c r="K5" s="229">
        <f t="shared" ref="K5:N5" si="11">+K4+K3</f>
        <v>3238278</v>
      </c>
      <c r="L5" s="229">
        <f t="shared" si="11"/>
        <v>3573568</v>
      </c>
      <c r="M5" s="229">
        <f t="shared" si="11"/>
        <v>3849376</v>
      </c>
      <c r="N5" s="229">
        <f t="shared" si="11"/>
        <v>3139743.2333638798</v>
      </c>
      <c r="O5" s="235">
        <f>+O4+O3</f>
        <v>2125333.0362288402</v>
      </c>
      <c r="P5" s="243">
        <v>3600000</v>
      </c>
      <c r="Q5" s="253">
        <v>18.399999999999999</v>
      </c>
      <c r="R5" s="218">
        <f t="shared" si="7"/>
        <v>66239999.999999993</v>
      </c>
      <c r="S5">
        <f t="shared" si="8"/>
        <v>75272727.272727266</v>
      </c>
      <c r="T5" s="244">
        <f t="shared" si="9"/>
        <v>175052854.12262157</v>
      </c>
      <c r="Z5">
        <v>4</v>
      </c>
      <c r="AA5" s="254">
        <v>1.924190367252069E-2</v>
      </c>
      <c r="AB5" s="45">
        <f t="shared" si="10"/>
        <v>2716513.9619460441</v>
      </c>
      <c r="AC5" s="45">
        <f t="shared" si="1"/>
        <v>2716.5139619460442</v>
      </c>
      <c r="AD5" s="45">
        <f t="shared" si="2"/>
        <v>12.32</v>
      </c>
      <c r="AE5" s="45">
        <f t="shared" si="0"/>
        <v>123.47790736118382</v>
      </c>
      <c r="AF5" s="45">
        <f t="shared" si="3"/>
        <v>17.63970105159769</v>
      </c>
      <c r="AG5" s="45">
        <f t="shared" si="4"/>
        <v>436.52209263881616</v>
      </c>
      <c r="AI5">
        <v>80</v>
      </c>
      <c r="AJ5">
        <f t="shared" si="5"/>
        <v>560</v>
      </c>
      <c r="AK5">
        <f t="shared" si="6"/>
        <v>12320</v>
      </c>
    </row>
    <row r="6" spans="1:37" x14ac:dyDescent="0.25">
      <c r="A6" s="216" t="s">
        <v>172</v>
      </c>
      <c r="B6" s="217">
        <v>4.1340298287930559E-3</v>
      </c>
      <c r="C6" s="45">
        <v>12892.561983471074</v>
      </c>
      <c r="J6" s="220" t="s">
        <v>324</v>
      </c>
      <c r="K6" s="221">
        <v>13364</v>
      </c>
      <c r="L6" s="222">
        <v>15753</v>
      </c>
      <c r="M6" s="222">
        <v>17519</v>
      </c>
      <c r="N6" s="222">
        <v>13549.65</v>
      </c>
      <c r="O6" s="234">
        <v>11131.61</v>
      </c>
      <c r="P6" s="246">
        <v>18000</v>
      </c>
      <c r="T6" s="244"/>
      <c r="Z6">
        <v>5</v>
      </c>
      <c r="AA6" s="254">
        <v>1.5199345095244374E-2</v>
      </c>
      <c r="AB6" s="45">
        <f t="shared" si="10"/>
        <v>2145797.7270010198</v>
      </c>
      <c r="AC6" s="45">
        <f t="shared" si="1"/>
        <v>2145.7977270010197</v>
      </c>
      <c r="AD6" s="45">
        <f t="shared" si="2"/>
        <v>12.32</v>
      </c>
      <c r="AE6" s="45">
        <f t="shared" si="0"/>
        <v>97.536260318228173</v>
      </c>
      <c r="AF6" s="45">
        <f t="shared" si="3"/>
        <v>13.933751474032595</v>
      </c>
      <c r="AG6" s="45">
        <f t="shared" si="4"/>
        <v>462.46373968177181</v>
      </c>
      <c r="AI6">
        <v>80</v>
      </c>
      <c r="AJ6">
        <f t="shared" si="5"/>
        <v>560</v>
      </c>
      <c r="AK6">
        <f t="shared" si="6"/>
        <v>12320</v>
      </c>
    </row>
    <row r="7" spans="1:37" x14ac:dyDescent="0.25">
      <c r="A7" s="216" t="s">
        <v>173</v>
      </c>
      <c r="B7" s="217">
        <v>6.2010447431895838E-3</v>
      </c>
      <c r="C7" s="45">
        <v>19338.842975206611</v>
      </c>
      <c r="J7" s="220" t="s">
        <v>468</v>
      </c>
      <c r="K7" s="223">
        <v>9160</v>
      </c>
      <c r="L7" s="223">
        <v>7973</v>
      </c>
      <c r="M7" s="223">
        <v>6357</v>
      </c>
      <c r="N7" s="223">
        <v>4397.0600000000004</v>
      </c>
      <c r="O7" s="234">
        <v>2473.39</v>
      </c>
      <c r="P7" s="267">
        <v>4000</v>
      </c>
      <c r="T7" s="244"/>
      <c r="Z7">
        <v>6</v>
      </c>
      <c r="AA7" s="254">
        <v>4.6088578146103128E-2</v>
      </c>
      <c r="AB7" s="45">
        <f t="shared" si="10"/>
        <v>6506646.5434461469</v>
      </c>
      <c r="AC7" s="45">
        <f t="shared" si="1"/>
        <v>6506.646543446147</v>
      </c>
      <c r="AD7" s="45">
        <f t="shared" si="2"/>
        <v>12.32</v>
      </c>
      <c r="AE7" s="45">
        <f t="shared" si="0"/>
        <v>295.75666106573397</v>
      </c>
      <c r="AF7" s="45">
        <f t="shared" si="3"/>
        <v>42.250951580819141</v>
      </c>
      <c r="AG7" s="45">
        <f t="shared" si="4"/>
        <v>264.24333893426603</v>
      </c>
      <c r="AI7">
        <v>80</v>
      </c>
      <c r="AJ7">
        <f t="shared" si="5"/>
        <v>560</v>
      </c>
      <c r="AK7">
        <f t="shared" si="6"/>
        <v>12320</v>
      </c>
    </row>
    <row r="8" spans="1:37" x14ac:dyDescent="0.25">
      <c r="A8" s="216" t="s">
        <v>187</v>
      </c>
      <c r="B8" s="217">
        <v>3.1005223715947919E-3</v>
      </c>
      <c r="C8" s="45">
        <v>9669.4214876033056</v>
      </c>
      <c r="J8" s="224" t="s">
        <v>197</v>
      </c>
      <c r="K8" s="225">
        <f t="shared" ref="K8:L8" si="12">+K7+K6</f>
        <v>22524</v>
      </c>
      <c r="L8" s="225">
        <f t="shared" si="12"/>
        <v>23726</v>
      </c>
      <c r="M8" s="225">
        <f>+M7+M6</f>
        <v>23876</v>
      </c>
      <c r="N8" s="225">
        <f t="shared" ref="N8:P8" si="13">+N7+N6</f>
        <v>17946.71</v>
      </c>
      <c r="O8" s="236">
        <f t="shared" si="13"/>
        <v>13605</v>
      </c>
      <c r="P8" s="247">
        <f t="shared" si="13"/>
        <v>22000</v>
      </c>
      <c r="T8" s="244"/>
      <c r="Z8">
        <v>7</v>
      </c>
      <c r="AA8" s="254">
        <v>4.5242466007758671E-2</v>
      </c>
      <c r="AB8" s="45">
        <f t="shared" si="10"/>
        <v>6387194.982088048</v>
      </c>
      <c r="AC8" s="45">
        <f t="shared" si="1"/>
        <v>6387.1949820880482</v>
      </c>
      <c r="AD8" s="45">
        <f t="shared" si="2"/>
        <v>12.32</v>
      </c>
      <c r="AE8" s="45">
        <f t="shared" si="0"/>
        <v>290.32704464036584</v>
      </c>
      <c r="AF8" s="45">
        <f t="shared" si="3"/>
        <v>41.475292091480831</v>
      </c>
      <c r="AG8" s="45">
        <f>+AJ8-AE8</f>
        <v>269.67295535963416</v>
      </c>
      <c r="AI8">
        <v>80</v>
      </c>
      <c r="AJ8">
        <f t="shared" si="5"/>
        <v>560</v>
      </c>
      <c r="AK8">
        <f t="shared" si="6"/>
        <v>12320</v>
      </c>
    </row>
    <row r="9" spans="1:37" x14ac:dyDescent="0.25">
      <c r="A9" s="216" t="s">
        <v>189</v>
      </c>
      <c r="B9" s="217">
        <v>1.6536119315172224E-2</v>
      </c>
      <c r="C9" s="45">
        <v>51570.247933884297</v>
      </c>
      <c r="J9" s="227" t="s">
        <v>469</v>
      </c>
      <c r="K9" s="228">
        <f t="shared" ref="K9:L9" si="14">+K5/K8</f>
        <v>143.77011188066064</v>
      </c>
      <c r="L9" s="228">
        <f t="shared" si="14"/>
        <v>150.61822473236111</v>
      </c>
      <c r="M9" s="228">
        <f>+M5/M8</f>
        <v>161.22365555369407</v>
      </c>
      <c r="N9" s="228">
        <f t="shared" ref="N9:P9" si="15">+N5/N8</f>
        <v>174.94812326960653</v>
      </c>
      <c r="O9" s="237">
        <f t="shared" si="15"/>
        <v>156.21705521711431</v>
      </c>
      <c r="P9" s="248">
        <f t="shared" si="15"/>
        <v>163.63636363636363</v>
      </c>
      <c r="T9" s="244"/>
      <c r="Z9">
        <v>8</v>
      </c>
      <c r="AA9" s="254">
        <v>8.8907976557416959E-2</v>
      </c>
      <c r="AB9" s="45">
        <f t="shared" si="10"/>
        <v>12551760.145827383</v>
      </c>
      <c r="AC9" s="45">
        <f t="shared" si="1"/>
        <v>12551.760145827382</v>
      </c>
      <c r="AD9" s="45">
        <f t="shared" si="2"/>
        <v>14.63</v>
      </c>
      <c r="AE9" s="45">
        <f t="shared" si="0"/>
        <v>570.53455208306286</v>
      </c>
      <c r="AF9" s="45">
        <f t="shared" si="3"/>
        <v>81.504936011866121</v>
      </c>
      <c r="AG9" s="45">
        <f t="shared" si="4"/>
        <v>94.465447916937137</v>
      </c>
      <c r="AI9">
        <v>95</v>
      </c>
      <c r="AJ9">
        <f t="shared" si="5"/>
        <v>665</v>
      </c>
      <c r="AK9">
        <f t="shared" si="6"/>
        <v>14630</v>
      </c>
    </row>
    <row r="10" spans="1:37" x14ac:dyDescent="0.25">
      <c r="A10" s="216" t="s">
        <v>190</v>
      </c>
      <c r="B10" s="217">
        <v>1.2402089486379168E-2</v>
      </c>
      <c r="C10" s="45">
        <v>38677.685950413223</v>
      </c>
      <c r="J10" s="219"/>
      <c r="K10" s="219"/>
      <c r="L10" s="219"/>
      <c r="M10" s="219"/>
      <c r="N10" s="219"/>
      <c r="O10" s="238"/>
      <c r="P10" s="249"/>
      <c r="T10" s="244"/>
      <c r="Z10">
        <v>9</v>
      </c>
      <c r="AA10" s="254">
        <v>7.9803487086133731E-2</v>
      </c>
      <c r="AB10" s="45">
        <f t="shared" si="10"/>
        <v>11266415.764831858</v>
      </c>
      <c r="AC10" s="45">
        <f t="shared" si="1"/>
        <v>11266.415764831858</v>
      </c>
      <c r="AD10" s="45">
        <f t="shared" si="2"/>
        <v>14.63</v>
      </c>
      <c r="AE10" s="45">
        <f t="shared" si="0"/>
        <v>512.10980749235716</v>
      </c>
      <c r="AF10" s="45">
        <f t="shared" si="3"/>
        <v>73.158543927479599</v>
      </c>
      <c r="AG10" s="45">
        <f t="shared" si="4"/>
        <v>152.89019250764284</v>
      </c>
      <c r="AI10">
        <v>95</v>
      </c>
      <c r="AJ10">
        <f t="shared" si="5"/>
        <v>665</v>
      </c>
      <c r="AK10">
        <f t="shared" si="6"/>
        <v>14630</v>
      </c>
    </row>
    <row r="11" spans="1:37" ht="30.75" thickBot="1" x14ac:dyDescent="0.3">
      <c r="A11" s="216" t="s">
        <v>68</v>
      </c>
      <c r="B11" s="217">
        <v>9.6195694093069179E-3</v>
      </c>
      <c r="C11" s="45">
        <v>30000</v>
      </c>
      <c r="J11" s="232" t="s">
        <v>470</v>
      </c>
      <c r="K11" s="231">
        <f>+$P$7*K4/K7</f>
        <v>549298.68995633186</v>
      </c>
      <c r="L11" s="231">
        <f>+$P$7*L4/L7</f>
        <v>656913.58334378526</v>
      </c>
      <c r="M11" s="231">
        <f>+$P$7*M4/M7</f>
        <v>712394.52571967908</v>
      </c>
      <c r="N11" s="231">
        <f>+$P$7*N4/N7</f>
        <v>809942.30963257968</v>
      </c>
      <c r="O11" s="239">
        <f>+$P$7*O4/O7</f>
        <v>754773.87104959658</v>
      </c>
      <c r="P11" s="250">
        <f>+AVERAGE(K11:O11)</f>
        <v>696664.59594039456</v>
      </c>
      <c r="Q11" s="251"/>
      <c r="R11" s="251"/>
      <c r="S11" s="251"/>
      <c r="T11" s="252"/>
      <c r="Z11">
        <v>10</v>
      </c>
      <c r="AA11" s="254">
        <v>0.10416323795139654</v>
      </c>
      <c r="AB11" s="45">
        <f t="shared" si="10"/>
        <v>14705451.96734211</v>
      </c>
      <c r="AC11" s="45">
        <f t="shared" si="1"/>
        <v>14705.451967342111</v>
      </c>
      <c r="AD11" s="45">
        <f t="shared" si="2"/>
        <v>14.63</v>
      </c>
      <c r="AE11" s="45">
        <f t="shared" si="0"/>
        <v>668.42963487918678</v>
      </c>
      <c r="AF11" s="45">
        <f t="shared" si="3"/>
        <v>95.489947839883826</v>
      </c>
      <c r="AG11" s="45">
        <f t="shared" si="4"/>
        <v>-3.4296348791867786</v>
      </c>
      <c r="AI11">
        <v>95</v>
      </c>
      <c r="AJ11">
        <f t="shared" si="5"/>
        <v>665</v>
      </c>
      <c r="AK11">
        <f t="shared" si="6"/>
        <v>14630</v>
      </c>
    </row>
    <row r="12" spans="1:37" x14ac:dyDescent="0.25">
      <c r="A12" s="216" t="s">
        <v>117</v>
      </c>
      <c r="B12" s="217">
        <v>9.6195694093069179E-3</v>
      </c>
      <c r="C12" s="45">
        <v>30000</v>
      </c>
      <c r="Q12" t="s">
        <v>471</v>
      </c>
      <c r="T12" t="s">
        <v>472</v>
      </c>
      <c r="Z12">
        <v>11</v>
      </c>
      <c r="AA12" s="254">
        <v>5.6970835202742369E-2</v>
      </c>
      <c r="AB12" s="45">
        <f t="shared" si="10"/>
        <v>8042970.7936326545</v>
      </c>
      <c r="AC12" s="45">
        <f t="shared" si="1"/>
        <v>8042.970793632654</v>
      </c>
      <c r="AD12" s="45">
        <f t="shared" si="2"/>
        <v>14.63</v>
      </c>
      <c r="AE12" s="45">
        <f t="shared" si="0"/>
        <v>365.58958152875704</v>
      </c>
      <c r="AF12" s="45">
        <f t="shared" si="3"/>
        <v>52.227083075536719</v>
      </c>
      <c r="AG12" s="45">
        <f t="shared" si="4"/>
        <v>299.41041847124296</v>
      </c>
      <c r="AI12">
        <v>95</v>
      </c>
      <c r="AJ12">
        <f t="shared" si="5"/>
        <v>665</v>
      </c>
      <c r="AK12">
        <f t="shared" si="6"/>
        <v>14630</v>
      </c>
    </row>
    <row r="13" spans="1:37" x14ac:dyDescent="0.25">
      <c r="A13" s="216" t="s">
        <v>110</v>
      </c>
      <c r="B13" s="217">
        <v>1.033507457198264E-3</v>
      </c>
      <c r="C13" s="45">
        <v>3223.1404958677685</v>
      </c>
      <c r="Z13">
        <v>12</v>
      </c>
      <c r="AA13" s="254">
        <v>4.3582082694532766E-2</v>
      </c>
      <c r="AB13" s="45">
        <f t="shared" si="10"/>
        <v>6152787.0706191957</v>
      </c>
      <c r="AC13" s="45">
        <f t="shared" si="1"/>
        <v>6152.7870706191961</v>
      </c>
      <c r="AD13" s="45">
        <f t="shared" si="2"/>
        <v>14.63</v>
      </c>
      <c r="AE13" s="45">
        <f t="shared" si="0"/>
        <v>279.67213957359979</v>
      </c>
      <c r="AF13" s="45">
        <f t="shared" si="3"/>
        <v>39.95316279622854</v>
      </c>
      <c r="AG13" s="45">
        <f t="shared" si="4"/>
        <v>385.32786042640021</v>
      </c>
      <c r="AI13">
        <v>95</v>
      </c>
      <c r="AJ13">
        <f t="shared" si="5"/>
        <v>665</v>
      </c>
      <c r="AK13">
        <f t="shared" si="6"/>
        <v>14630</v>
      </c>
    </row>
    <row r="14" spans="1:37" x14ac:dyDescent="0.25">
      <c r="A14" s="216" t="s">
        <v>83</v>
      </c>
      <c r="B14" s="217">
        <v>6.2010447431895838E-3</v>
      </c>
      <c r="C14" s="45">
        <v>19338.842975206611</v>
      </c>
      <c r="Z14">
        <v>13</v>
      </c>
      <c r="AA14" s="254">
        <v>7.1571268081295755E-2</v>
      </c>
      <c r="AB14" s="45">
        <f t="shared" si="10"/>
        <v>10104215.89910982</v>
      </c>
      <c r="AC14" s="45">
        <f t="shared" si="1"/>
        <v>10104.21589910982</v>
      </c>
      <c r="AD14" s="45">
        <f t="shared" si="2"/>
        <v>14.63</v>
      </c>
      <c r="AE14" s="45">
        <f t="shared" si="0"/>
        <v>459.28254086862819</v>
      </c>
      <c r="AF14" s="45">
        <f t="shared" si="3"/>
        <v>65.611791552661174</v>
      </c>
      <c r="AG14" s="45">
        <f t="shared" si="4"/>
        <v>205.71745913137181</v>
      </c>
      <c r="AI14">
        <v>95</v>
      </c>
      <c r="AJ14">
        <f t="shared" si="5"/>
        <v>665</v>
      </c>
      <c r="AK14">
        <f t="shared" si="6"/>
        <v>14630</v>
      </c>
    </row>
    <row r="15" spans="1:37" x14ac:dyDescent="0.25">
      <c r="A15" s="216" t="s">
        <v>178</v>
      </c>
      <c r="B15" s="217">
        <v>3.2065231364356394E-3</v>
      </c>
      <c r="C15" s="45">
        <v>10000</v>
      </c>
      <c r="Z15">
        <v>14</v>
      </c>
      <c r="AA15" s="254">
        <v>0.13565884898092684</v>
      </c>
      <c r="AB15" s="45">
        <f t="shared" si="10"/>
        <v>19151907.399084367</v>
      </c>
      <c r="AC15" s="45">
        <f t="shared" si="1"/>
        <v>19151.907399084368</v>
      </c>
      <c r="AD15" s="45">
        <f t="shared" si="2"/>
        <v>15.4</v>
      </c>
      <c r="AE15" s="45">
        <f t="shared" si="0"/>
        <v>870.54124541292572</v>
      </c>
      <c r="AF15" s="45">
        <f t="shared" si="3"/>
        <v>124.36303505898938</v>
      </c>
      <c r="AG15" s="45">
        <f t="shared" si="4"/>
        <v>-170.54124541292572</v>
      </c>
      <c r="AI15">
        <v>100</v>
      </c>
      <c r="AJ15">
        <f t="shared" si="5"/>
        <v>700</v>
      </c>
      <c r="AK15">
        <f t="shared" si="6"/>
        <v>15400</v>
      </c>
    </row>
    <row r="16" spans="1:37" x14ac:dyDescent="0.25">
      <c r="A16" s="216" t="s">
        <v>188</v>
      </c>
      <c r="B16" s="217">
        <v>1.2402089486379168E-2</v>
      </c>
      <c r="C16" s="45">
        <v>38677.685950413223</v>
      </c>
      <c r="Z16">
        <v>15</v>
      </c>
      <c r="AA16" s="254">
        <v>9.48287163649809E-2</v>
      </c>
      <c r="AB16" s="45">
        <f t="shared" si="10"/>
        <v>13387632.345690142</v>
      </c>
      <c r="AC16" s="45">
        <f t="shared" si="1"/>
        <v>13387.632345690143</v>
      </c>
      <c r="AD16" s="45">
        <f t="shared" si="2"/>
        <v>15.4</v>
      </c>
      <c r="AE16" s="45">
        <f t="shared" si="0"/>
        <v>608.52874298591553</v>
      </c>
      <c r="AF16" s="45">
        <f t="shared" si="3"/>
        <v>86.932677569416498</v>
      </c>
      <c r="AG16" s="45">
        <f t="shared" si="4"/>
        <v>91.471257014084472</v>
      </c>
      <c r="AI16">
        <v>100</v>
      </c>
      <c r="AJ16">
        <f t="shared" si="5"/>
        <v>700</v>
      </c>
      <c r="AK16">
        <f t="shared" si="6"/>
        <v>15400</v>
      </c>
    </row>
    <row r="17" spans="1:38" x14ac:dyDescent="0.25">
      <c r="A17" s="216" t="s">
        <v>106</v>
      </c>
      <c r="B17" s="217">
        <v>4.1340298287930559E-3</v>
      </c>
      <c r="C17" s="45">
        <v>12892.561983471074</v>
      </c>
      <c r="Z17">
        <v>16</v>
      </c>
      <c r="AA17" s="254">
        <v>5.235681945142244E-2</v>
      </c>
      <c r="AB17" s="45">
        <f t="shared" si="10"/>
        <v>7391577.957330321</v>
      </c>
      <c r="AC17" s="45">
        <f t="shared" si="1"/>
        <v>7391.5779573303207</v>
      </c>
      <c r="AD17" s="45">
        <f t="shared" si="2"/>
        <v>12.32</v>
      </c>
      <c r="AE17" s="45">
        <f t="shared" si="0"/>
        <v>335.98081624228729</v>
      </c>
      <c r="AF17" s="45">
        <f t="shared" si="3"/>
        <v>47.997259463183902</v>
      </c>
      <c r="AG17" s="45">
        <f t="shared" si="4"/>
        <v>224.01918375771271</v>
      </c>
      <c r="AI17">
        <v>80</v>
      </c>
      <c r="AJ17">
        <f t="shared" si="5"/>
        <v>560</v>
      </c>
      <c r="AK17">
        <f t="shared" si="6"/>
        <v>12320</v>
      </c>
    </row>
    <row r="18" spans="1:38" x14ac:dyDescent="0.25">
      <c r="A18" s="216" t="s">
        <v>192</v>
      </c>
      <c r="B18" s="217">
        <v>3.2065231364356394E-3</v>
      </c>
      <c r="C18" s="45">
        <v>10000</v>
      </c>
      <c r="Z18">
        <v>17</v>
      </c>
      <c r="AA18" s="254">
        <v>2.8717899041623775E-2</v>
      </c>
      <c r="AB18" s="45">
        <f t="shared" si="10"/>
        <v>4054306.4258105317</v>
      </c>
      <c r="AC18" s="45">
        <f t="shared" si="1"/>
        <v>4054.3064258105319</v>
      </c>
      <c r="AD18" s="45">
        <f t="shared" si="2"/>
        <v>12.32</v>
      </c>
      <c r="AE18" s="45">
        <f t="shared" si="0"/>
        <v>184.28665571866054</v>
      </c>
      <c r="AF18" s="45">
        <f t="shared" si="3"/>
        <v>26.326665102665793</v>
      </c>
      <c r="AG18" s="45">
        <f t="shared" si="4"/>
        <v>375.71334428133946</v>
      </c>
      <c r="AI18">
        <v>80</v>
      </c>
      <c r="AJ18">
        <f t="shared" si="5"/>
        <v>560</v>
      </c>
      <c r="AK18">
        <f t="shared" si="6"/>
        <v>12320</v>
      </c>
    </row>
    <row r="19" spans="1:38" x14ac:dyDescent="0.25">
      <c r="A19" s="216" t="s">
        <v>69</v>
      </c>
      <c r="B19" s="217">
        <v>1.6032615682178196E-2</v>
      </c>
      <c r="C19" s="45">
        <v>50000</v>
      </c>
      <c r="Z19">
        <v>18</v>
      </c>
      <c r="AA19" s="254">
        <v>4.6816295738318039E-2</v>
      </c>
      <c r="AB19" s="45">
        <f t="shared" si="10"/>
        <v>6609383.519644022</v>
      </c>
      <c r="AC19" s="45">
        <f t="shared" si="1"/>
        <v>6609.3835196440223</v>
      </c>
      <c r="AD19" s="45">
        <f t="shared" si="2"/>
        <v>12.32</v>
      </c>
      <c r="AE19" s="45">
        <f t="shared" si="0"/>
        <v>300.42652362018282</v>
      </c>
      <c r="AF19" s="45">
        <f t="shared" si="3"/>
        <v>42.918074802883261</v>
      </c>
      <c r="AG19" s="45">
        <f t="shared" si="4"/>
        <v>259.57347637981718</v>
      </c>
      <c r="AI19">
        <v>80</v>
      </c>
      <c r="AJ19">
        <f t="shared" si="5"/>
        <v>560</v>
      </c>
      <c r="AK19">
        <f t="shared" si="6"/>
        <v>12320</v>
      </c>
    </row>
    <row r="20" spans="1:38" x14ac:dyDescent="0.25">
      <c r="A20" s="216" t="s">
        <v>100</v>
      </c>
      <c r="B20" s="217">
        <v>4.1684800773663315E-2</v>
      </c>
      <c r="C20" s="45">
        <v>130000</v>
      </c>
      <c r="Z20">
        <v>19</v>
      </c>
      <c r="AA20" s="254">
        <v>6.9113073004838906E-3</v>
      </c>
      <c r="AB20" s="45">
        <f t="shared" si="10"/>
        <v>975717.53276554216</v>
      </c>
      <c r="AC20" s="45">
        <f t="shared" si="1"/>
        <v>975.71753276554216</v>
      </c>
      <c r="AD20" s="45">
        <f t="shared" si="2"/>
        <v>12.32</v>
      </c>
      <c r="AE20" s="45">
        <f t="shared" si="0"/>
        <v>44.350796943888277</v>
      </c>
      <c r="AF20" s="45">
        <f t="shared" si="3"/>
        <v>6.335828134841182</v>
      </c>
      <c r="AG20" s="45">
        <f t="shared" si="4"/>
        <v>515.64920305611167</v>
      </c>
      <c r="AI20">
        <v>80</v>
      </c>
      <c r="AJ20">
        <f t="shared" si="5"/>
        <v>560</v>
      </c>
      <c r="AK20">
        <f t="shared" si="6"/>
        <v>12320</v>
      </c>
    </row>
    <row r="21" spans="1:38" x14ac:dyDescent="0.25">
      <c r="A21" s="216" t="s">
        <v>144</v>
      </c>
      <c r="B21" s="217">
        <v>2.5652185091485117E-3</v>
      </c>
      <c r="C21" s="45">
        <v>8000</v>
      </c>
      <c r="Z21">
        <v>20</v>
      </c>
      <c r="AA21" s="254">
        <v>9.8291102282467742E-3</v>
      </c>
      <c r="AB21" s="45">
        <f t="shared" si="10"/>
        <v>1387644.1553270291</v>
      </c>
      <c r="AC21" s="45">
        <f t="shared" si="1"/>
        <v>1387.644155327029</v>
      </c>
      <c r="AD21" s="45">
        <f t="shared" si="2"/>
        <v>12.32</v>
      </c>
      <c r="AE21" s="45">
        <f t="shared" si="0"/>
        <v>63.074734333046777</v>
      </c>
      <c r="AF21" s="45">
        <f t="shared" si="3"/>
        <v>9.0106763332923965</v>
      </c>
      <c r="AG21" s="45">
        <f t="shared" si="4"/>
        <v>496.92526566695324</v>
      </c>
      <c r="AI21">
        <v>80</v>
      </c>
      <c r="AJ21">
        <f t="shared" si="5"/>
        <v>560</v>
      </c>
      <c r="AK21">
        <f t="shared" si="6"/>
        <v>12320</v>
      </c>
    </row>
    <row r="22" spans="1:38" x14ac:dyDescent="0.25">
      <c r="A22" s="216" t="s">
        <v>167</v>
      </c>
      <c r="B22" s="217">
        <v>6.4130462728712789E-3</v>
      </c>
      <c r="C22" s="45">
        <v>20000</v>
      </c>
      <c r="Z22">
        <v>21</v>
      </c>
      <c r="AA22" s="254">
        <v>2.8809461013826745E-3</v>
      </c>
      <c r="AB22" s="45">
        <f t="shared" si="10"/>
        <v>406723.28690619807</v>
      </c>
      <c r="AC22" s="45">
        <f t="shared" si="1"/>
        <v>406.7232869061981</v>
      </c>
      <c r="AD22" s="45">
        <f t="shared" si="2"/>
        <v>12.32</v>
      </c>
      <c r="AE22" s="45">
        <f t="shared" si="0"/>
        <v>18.487422132099912</v>
      </c>
      <c r="AF22" s="45">
        <f t="shared" si="3"/>
        <v>2.6410603045857015</v>
      </c>
      <c r="AG22" s="45">
        <f t="shared" si="4"/>
        <v>541.51257786790006</v>
      </c>
      <c r="AI22">
        <v>80</v>
      </c>
      <c r="AJ22">
        <f t="shared" si="5"/>
        <v>560</v>
      </c>
      <c r="AK22">
        <f t="shared" si="6"/>
        <v>12320</v>
      </c>
    </row>
    <row r="23" spans="1:38" x14ac:dyDescent="0.25">
      <c r="A23" s="216" t="s">
        <v>81</v>
      </c>
      <c r="B23" s="217">
        <v>4.4891323910098951E-2</v>
      </c>
      <c r="C23" s="45">
        <v>140000</v>
      </c>
      <c r="AA23" s="254"/>
      <c r="AB23" s="45">
        <f>+SUM(AB2:AB22)</f>
        <v>140904545.8305065</v>
      </c>
      <c r="AC23" s="45">
        <f t="shared" si="1"/>
        <v>140904.54583050651</v>
      </c>
      <c r="AD23" s="45"/>
      <c r="AE23" s="45">
        <f t="shared" si="0"/>
        <v>6404.7520832048413</v>
      </c>
      <c r="AF23" s="45"/>
      <c r="AG23" s="45"/>
      <c r="AH23" s="45"/>
      <c r="AI23" s="45"/>
      <c r="AJ23" s="45"/>
      <c r="AK23" s="45">
        <f>+SUM(AK2:AK22)</f>
        <v>267960</v>
      </c>
      <c r="AL23" s="45">
        <f>+AK23-AB23</f>
        <v>-140636585.8305065</v>
      </c>
    </row>
    <row r="24" spans="1:38" x14ac:dyDescent="0.25">
      <c r="A24" s="216" t="s">
        <v>111</v>
      </c>
      <c r="B24" s="217">
        <v>4.1684800773663315E-2</v>
      </c>
      <c r="C24" s="45">
        <v>130000</v>
      </c>
    </row>
    <row r="25" spans="1:38" x14ac:dyDescent="0.25">
      <c r="A25" s="216" t="s">
        <v>156</v>
      </c>
      <c r="B25" s="217">
        <v>3.2065231364356394E-3</v>
      </c>
      <c r="C25" s="45">
        <v>10000</v>
      </c>
    </row>
    <row r="26" spans="1:38" x14ac:dyDescent="0.25">
      <c r="A26" s="216" t="s">
        <v>109</v>
      </c>
      <c r="B26" s="217">
        <v>3.2065231364356394E-3</v>
      </c>
      <c r="C26" s="45">
        <v>10000</v>
      </c>
    </row>
    <row r="27" spans="1:38" x14ac:dyDescent="0.25">
      <c r="A27" s="216" t="s">
        <v>176</v>
      </c>
      <c r="B27" s="217">
        <v>2.4048923523267295E-3</v>
      </c>
      <c r="C27" s="45">
        <v>7500</v>
      </c>
    </row>
    <row r="28" spans="1:38" x14ac:dyDescent="0.25">
      <c r="A28" s="216" t="s">
        <v>159</v>
      </c>
      <c r="B28" s="217">
        <v>2.4048923523267295E-3</v>
      </c>
      <c r="C28" s="45">
        <v>7500</v>
      </c>
      <c r="H28" s="230"/>
    </row>
    <row r="29" spans="1:38" ht="15.75" thickBot="1" x14ac:dyDescent="0.3">
      <c r="A29" s="216" t="s">
        <v>112</v>
      </c>
      <c r="B29" s="217">
        <v>6.2010447431895838E-3</v>
      </c>
      <c r="C29" s="45">
        <v>19338.842975206611</v>
      </c>
    </row>
    <row r="30" spans="1:38" ht="15.75" thickBot="1" x14ac:dyDescent="0.3">
      <c r="A30" s="216" t="s">
        <v>174</v>
      </c>
      <c r="B30" s="217">
        <v>3.2065231364356394E-3</v>
      </c>
      <c r="C30" s="45">
        <v>10000</v>
      </c>
      <c r="H30" s="255"/>
      <c r="I30" s="256">
        <v>2011</v>
      </c>
      <c r="J30" s="256">
        <v>2012</v>
      </c>
      <c r="K30" s="256">
        <v>2013</v>
      </c>
      <c r="L30" s="256">
        <v>2014</v>
      </c>
      <c r="M30" s="256">
        <v>2015</v>
      </c>
      <c r="N30" s="256">
        <v>2016</v>
      </c>
      <c r="O30" s="256">
        <v>2017</v>
      </c>
      <c r="P30" s="256">
        <v>2018</v>
      </c>
      <c r="Q30" s="263">
        <v>2019</v>
      </c>
      <c r="R30" s="256">
        <v>2020</v>
      </c>
      <c r="S30" s="256">
        <v>2021</v>
      </c>
      <c r="T30" s="256">
        <v>2022</v>
      </c>
    </row>
    <row r="31" spans="1:38" ht="15.75" thickBot="1" x14ac:dyDescent="0.3">
      <c r="A31" s="216" t="s">
        <v>161</v>
      </c>
      <c r="B31" s="217">
        <v>3.2065231364356394E-3</v>
      </c>
      <c r="C31" s="45">
        <v>10000</v>
      </c>
      <c r="H31" s="257" t="s">
        <v>473</v>
      </c>
      <c r="I31" s="258" t="s">
        <v>474</v>
      </c>
      <c r="J31" s="258" t="s">
        <v>475</v>
      </c>
      <c r="K31" s="259" t="s">
        <v>476</v>
      </c>
      <c r="L31" s="258" t="s">
        <v>477</v>
      </c>
      <c r="M31" s="258" t="s">
        <v>478</v>
      </c>
      <c r="N31" s="258" t="s">
        <v>479</v>
      </c>
      <c r="O31" s="258" t="s">
        <v>480</v>
      </c>
      <c r="P31" s="258" t="s">
        <v>481</v>
      </c>
      <c r="Q31" s="264" t="s">
        <v>482</v>
      </c>
      <c r="R31" s="258" t="s">
        <v>483</v>
      </c>
      <c r="S31" s="258" t="s">
        <v>484</v>
      </c>
    </row>
    <row r="32" spans="1:38" ht="15.75" thickBot="1" x14ac:dyDescent="0.3">
      <c r="A32" s="216" t="s">
        <v>154</v>
      </c>
      <c r="B32" s="217">
        <v>6.4130462728712789E-3</v>
      </c>
      <c r="C32" s="45">
        <v>20000</v>
      </c>
      <c r="H32" s="257" t="s">
        <v>485</v>
      </c>
      <c r="I32" s="258" t="s">
        <v>486</v>
      </c>
      <c r="J32" s="258" t="s">
        <v>487</v>
      </c>
      <c r="K32" s="258" t="s">
        <v>488</v>
      </c>
      <c r="L32" s="258" t="s">
        <v>489</v>
      </c>
      <c r="M32" s="258" t="s">
        <v>490</v>
      </c>
      <c r="N32" s="258" t="s">
        <v>491</v>
      </c>
      <c r="O32" s="258" t="s">
        <v>492</v>
      </c>
      <c r="P32" s="258"/>
      <c r="Q32" s="265" t="s">
        <v>493</v>
      </c>
      <c r="R32" s="258" t="s">
        <v>494</v>
      </c>
      <c r="S32" s="258">
        <v>11131.61</v>
      </c>
    </row>
    <row r="33" spans="1:20" ht="15.75" thickBot="1" x14ac:dyDescent="0.3">
      <c r="A33" s="216" t="s">
        <v>194</v>
      </c>
      <c r="B33" s="217">
        <v>2.4048923523267295E-3</v>
      </c>
      <c r="C33" s="45">
        <v>7500</v>
      </c>
      <c r="H33" s="257" t="s">
        <v>468</v>
      </c>
      <c r="I33" s="258" t="s">
        <v>495</v>
      </c>
      <c r="J33" s="258" t="s">
        <v>496</v>
      </c>
      <c r="K33" s="258" t="s">
        <v>497</v>
      </c>
      <c r="L33" s="258" t="s">
        <v>497</v>
      </c>
      <c r="M33" s="258" t="s">
        <v>498</v>
      </c>
      <c r="N33" s="258" t="s">
        <v>499</v>
      </c>
      <c r="O33" s="258" t="s">
        <v>500</v>
      </c>
      <c r="P33" s="258"/>
      <c r="Q33" s="265" t="s">
        <v>501</v>
      </c>
      <c r="R33" s="258" t="s">
        <v>502</v>
      </c>
      <c r="S33" s="258">
        <v>2473.39</v>
      </c>
    </row>
    <row r="34" spans="1:20" ht="15.75" thickBot="1" x14ac:dyDescent="0.3">
      <c r="A34" s="216" t="s">
        <v>146</v>
      </c>
      <c r="B34" s="217">
        <v>2.4048923523267295E-3</v>
      </c>
      <c r="C34" s="45">
        <v>7500</v>
      </c>
      <c r="H34" s="257" t="s">
        <v>503</v>
      </c>
      <c r="I34" s="258" t="s">
        <v>504</v>
      </c>
      <c r="J34" s="258" t="s">
        <v>505</v>
      </c>
      <c r="K34" s="259" t="s">
        <v>506</v>
      </c>
      <c r="L34" s="258" t="s">
        <v>507</v>
      </c>
      <c r="M34" s="258" t="s">
        <v>508</v>
      </c>
      <c r="N34" s="258" t="s">
        <v>509</v>
      </c>
      <c r="O34" s="258"/>
      <c r="P34" s="258"/>
      <c r="Q34" s="265"/>
      <c r="R34" s="258"/>
      <c r="S34" s="258"/>
    </row>
    <row r="35" spans="1:20" ht="15.75" thickBot="1" x14ac:dyDescent="0.3">
      <c r="A35" s="216" t="s">
        <v>96</v>
      </c>
      <c r="B35" s="217">
        <v>6.2010447431895838E-3</v>
      </c>
      <c r="C35" s="45">
        <v>19338.842975206611</v>
      </c>
      <c r="H35" s="257" t="s">
        <v>510</v>
      </c>
      <c r="I35" s="260">
        <v>44220</v>
      </c>
      <c r="J35" s="260">
        <v>44557</v>
      </c>
      <c r="K35" s="260">
        <v>44542</v>
      </c>
      <c r="L35" s="260">
        <v>44200</v>
      </c>
      <c r="M35" s="260">
        <v>44553</v>
      </c>
      <c r="N35" s="260">
        <v>44216</v>
      </c>
      <c r="O35" s="260">
        <v>44201</v>
      </c>
      <c r="P35" s="260">
        <v>44199</v>
      </c>
      <c r="Q35" s="266">
        <v>44556</v>
      </c>
      <c r="R35" s="260">
        <v>44200</v>
      </c>
      <c r="S35" s="260">
        <v>44207</v>
      </c>
    </row>
    <row r="36" spans="1:20" ht="15.75" thickBot="1" x14ac:dyDescent="0.3">
      <c r="A36" s="216" t="s">
        <v>165</v>
      </c>
      <c r="B36" s="217">
        <v>2.4048923523267295E-3</v>
      </c>
      <c r="C36" s="45">
        <v>7500</v>
      </c>
      <c r="H36" s="257" t="s">
        <v>511</v>
      </c>
      <c r="I36" s="260">
        <v>44476</v>
      </c>
      <c r="J36" s="260">
        <v>44335</v>
      </c>
      <c r="K36" s="260">
        <v>44351</v>
      </c>
      <c r="L36" s="260">
        <v>44342</v>
      </c>
      <c r="M36" s="260">
        <v>44326</v>
      </c>
      <c r="N36" s="260">
        <v>44323</v>
      </c>
      <c r="O36" s="260">
        <v>44322</v>
      </c>
      <c r="P36" s="260">
        <v>44331</v>
      </c>
      <c r="Q36" s="266">
        <v>44342</v>
      </c>
      <c r="R36" s="260">
        <v>44318</v>
      </c>
      <c r="S36" s="260">
        <v>44326</v>
      </c>
    </row>
    <row r="37" spans="1:20" ht="15.75" thickBot="1" x14ac:dyDescent="0.3">
      <c r="A37" s="216" t="s">
        <v>98</v>
      </c>
      <c r="B37" s="217">
        <v>2.8858708227920755E-2</v>
      </c>
      <c r="C37" s="45">
        <v>90000</v>
      </c>
      <c r="H37" s="257" t="s">
        <v>512</v>
      </c>
      <c r="I37" s="258" t="s">
        <v>495</v>
      </c>
      <c r="J37" s="258" t="s">
        <v>496</v>
      </c>
      <c r="K37" s="258" t="s">
        <v>497</v>
      </c>
      <c r="L37" s="258" t="s">
        <v>497</v>
      </c>
      <c r="M37" s="258" t="s">
        <v>498</v>
      </c>
      <c r="N37" s="258" t="s">
        <v>513</v>
      </c>
      <c r="O37" s="258" t="s">
        <v>514</v>
      </c>
      <c r="P37" s="258"/>
      <c r="Q37" s="265" t="s">
        <v>515</v>
      </c>
      <c r="R37" s="258" t="s">
        <v>516</v>
      </c>
      <c r="S37" s="258">
        <v>100000</v>
      </c>
    </row>
    <row r="38" spans="1:20" ht="15.75" thickBot="1" x14ac:dyDescent="0.3">
      <c r="A38" s="216" t="s">
        <v>163</v>
      </c>
      <c r="B38" s="217">
        <v>1.6032615682178197E-3</v>
      </c>
      <c r="C38" s="45">
        <v>5000</v>
      </c>
      <c r="H38" s="257" t="s">
        <v>517</v>
      </c>
      <c r="I38" s="259" t="s">
        <v>518</v>
      </c>
      <c r="J38" s="258" t="s">
        <v>519</v>
      </c>
      <c r="K38" s="258" t="s">
        <v>520</v>
      </c>
      <c r="L38" s="258" t="s">
        <v>521</v>
      </c>
      <c r="M38" s="258" t="s">
        <v>522</v>
      </c>
      <c r="N38" s="258" t="s">
        <v>523</v>
      </c>
      <c r="O38" s="258" t="s">
        <v>524</v>
      </c>
      <c r="P38" s="258"/>
      <c r="Q38" s="265" t="s">
        <v>525</v>
      </c>
      <c r="R38" s="258" t="s">
        <v>526</v>
      </c>
      <c r="S38" s="258">
        <v>2200000</v>
      </c>
    </row>
    <row r="39" spans="1:20" ht="15.75" thickBot="1" x14ac:dyDescent="0.3">
      <c r="A39" s="216" t="s">
        <v>97</v>
      </c>
      <c r="B39" s="217">
        <v>2.8858708227920755E-2</v>
      </c>
      <c r="C39" s="45">
        <v>90000</v>
      </c>
      <c r="H39" s="257" t="s">
        <v>527</v>
      </c>
      <c r="I39" s="260">
        <v>44220</v>
      </c>
      <c r="J39" s="260">
        <v>44202</v>
      </c>
      <c r="K39" s="260">
        <v>44557</v>
      </c>
      <c r="L39" s="260">
        <v>44213</v>
      </c>
      <c r="M39" s="260">
        <v>44198</v>
      </c>
      <c r="N39" s="260">
        <v>44228</v>
      </c>
      <c r="O39" s="260">
        <v>44242</v>
      </c>
      <c r="P39" s="261"/>
      <c r="Q39" s="266">
        <v>44248</v>
      </c>
      <c r="R39" s="260">
        <v>44243</v>
      </c>
      <c r="S39" s="260">
        <v>44234</v>
      </c>
    </row>
    <row r="40" spans="1:20" ht="15.75" thickBot="1" x14ac:dyDescent="0.3">
      <c r="A40" s="216" t="s">
        <v>151</v>
      </c>
      <c r="B40" s="217">
        <v>4.809784704653459E-3</v>
      </c>
      <c r="C40" s="45">
        <v>15000</v>
      </c>
      <c r="H40" s="257" t="s">
        <v>528</v>
      </c>
      <c r="I40" s="260">
        <v>44476</v>
      </c>
      <c r="J40" s="260">
        <v>44447</v>
      </c>
      <c r="K40" s="260">
        <v>44435</v>
      </c>
      <c r="L40" s="260">
        <v>44436</v>
      </c>
      <c r="M40" s="260">
        <v>44491</v>
      </c>
      <c r="N40" s="260">
        <v>44427</v>
      </c>
      <c r="O40" s="260">
        <v>44462</v>
      </c>
      <c r="P40" s="261"/>
      <c r="Q40" s="266">
        <v>44488</v>
      </c>
      <c r="R40" s="260">
        <v>44462</v>
      </c>
      <c r="S40" s="260">
        <v>44404</v>
      </c>
    </row>
    <row r="41" spans="1:20" ht="15.75" thickBot="1" x14ac:dyDescent="0.3">
      <c r="A41" s="216" t="s">
        <v>49</v>
      </c>
      <c r="B41" s="217">
        <v>1.8603134229568753E-2</v>
      </c>
      <c r="C41" s="45">
        <v>58016.528925619838</v>
      </c>
      <c r="H41" s="257" t="s">
        <v>529</v>
      </c>
      <c r="I41" s="258" t="s">
        <v>530</v>
      </c>
      <c r="J41" s="258" t="s">
        <v>531</v>
      </c>
      <c r="K41" s="258" t="s">
        <v>532</v>
      </c>
      <c r="L41" s="258" t="s">
        <v>533</v>
      </c>
      <c r="M41" s="258" t="s">
        <v>534</v>
      </c>
      <c r="N41" s="258" t="s">
        <v>535</v>
      </c>
      <c r="O41" s="258" t="s">
        <v>536</v>
      </c>
      <c r="P41" s="223">
        <v>150.61822473236111</v>
      </c>
      <c r="Q41" s="265" t="s">
        <v>537</v>
      </c>
      <c r="R41" s="258" t="s">
        <v>538</v>
      </c>
      <c r="S41" s="262">
        <v>156.21705521711431</v>
      </c>
    </row>
    <row r="42" spans="1:20" x14ac:dyDescent="0.25">
      <c r="A42" s="216" t="s">
        <v>169</v>
      </c>
      <c r="B42" s="217">
        <v>3.1005223715947919E-3</v>
      </c>
      <c r="C42" s="45">
        <v>9669.4214876033056</v>
      </c>
      <c r="H42" s="300" t="s">
        <v>539</v>
      </c>
      <c r="Q42">
        <v>1.65</v>
      </c>
      <c r="T42">
        <v>1.9</v>
      </c>
    </row>
    <row r="43" spans="1:20" x14ac:dyDescent="0.25">
      <c r="A43" s="216" t="s">
        <v>77</v>
      </c>
      <c r="B43" s="217">
        <v>1.9239138818613836E-2</v>
      </c>
      <c r="C43" s="45">
        <v>60000</v>
      </c>
      <c r="H43" s="301" t="s">
        <v>540</v>
      </c>
      <c r="Q43">
        <v>1.88</v>
      </c>
    </row>
    <row r="44" spans="1:20" x14ac:dyDescent="0.25">
      <c r="A44" s="216" t="s">
        <v>113</v>
      </c>
      <c r="B44" s="217">
        <v>3.5271754500792035E-2</v>
      </c>
      <c r="C44" s="45">
        <v>110000</v>
      </c>
    </row>
    <row r="45" spans="1:20" x14ac:dyDescent="0.25">
      <c r="A45" s="216" t="s">
        <v>65</v>
      </c>
      <c r="B45" s="217">
        <v>4.4891323910098951E-2</v>
      </c>
      <c r="C45" s="45">
        <v>140000</v>
      </c>
    </row>
    <row r="46" spans="1:20" x14ac:dyDescent="0.25">
      <c r="A46" s="216" t="s">
        <v>51</v>
      </c>
      <c r="B46" s="217">
        <v>3.2065231364356394E-3</v>
      </c>
      <c r="C46" s="45">
        <v>10000</v>
      </c>
    </row>
    <row r="47" spans="1:20" x14ac:dyDescent="0.25">
      <c r="A47" s="216" t="s">
        <v>60</v>
      </c>
      <c r="B47" s="217">
        <v>3.8478277637227672E-2</v>
      </c>
      <c r="C47" s="45">
        <v>120000</v>
      </c>
      <c r="H47" t="s">
        <v>541</v>
      </c>
      <c r="Q47" t="s">
        <v>542</v>
      </c>
      <c r="R47">
        <v>200</v>
      </c>
    </row>
    <row r="48" spans="1:20" x14ac:dyDescent="0.25">
      <c r="A48" s="216" t="s">
        <v>53</v>
      </c>
      <c r="B48" s="217">
        <v>7.3750032138019714E-2</v>
      </c>
      <c r="C48" s="45">
        <v>230000</v>
      </c>
    </row>
    <row r="49" spans="1:3" x14ac:dyDescent="0.25">
      <c r="A49" s="216" t="s">
        <v>38</v>
      </c>
      <c r="B49" s="217">
        <v>6.4130462728712789E-3</v>
      </c>
      <c r="C49" s="45">
        <v>20000</v>
      </c>
    </row>
    <row r="50" spans="1:3" x14ac:dyDescent="0.25">
      <c r="A50" s="216" t="s">
        <v>73</v>
      </c>
      <c r="B50" s="217">
        <v>0.11222830977524738</v>
      </c>
      <c r="C50" s="45">
        <v>350000</v>
      </c>
    </row>
    <row r="51" spans="1:3" x14ac:dyDescent="0.25">
      <c r="A51" s="216" t="s">
        <v>75</v>
      </c>
      <c r="B51" s="217">
        <v>3.2065231364356392E-2</v>
      </c>
      <c r="C51" s="45">
        <v>100000</v>
      </c>
    </row>
    <row r="52" spans="1:3" x14ac:dyDescent="0.25">
      <c r="A52" s="216" t="s">
        <v>138</v>
      </c>
      <c r="B52" s="217">
        <v>5.1304370182970231E-2</v>
      </c>
      <c r="C52" s="45">
        <v>160000</v>
      </c>
    </row>
    <row r="53" spans="1:3" x14ac:dyDescent="0.25">
      <c r="A53" s="216" t="s">
        <v>76</v>
      </c>
      <c r="B53" s="217">
        <v>5.7717416455841511E-2</v>
      </c>
      <c r="C53" s="45">
        <v>180000</v>
      </c>
    </row>
    <row r="54" spans="1:3" x14ac:dyDescent="0.25">
      <c r="A54" s="216" t="s">
        <v>90</v>
      </c>
      <c r="B54" s="217">
        <v>2.4048923523267295E-3</v>
      </c>
      <c r="C54" s="45">
        <v>7500</v>
      </c>
    </row>
    <row r="55" spans="1:3" x14ac:dyDescent="0.25">
      <c r="A55" s="216" t="s">
        <v>55</v>
      </c>
      <c r="B55" s="217">
        <v>1.9422037210672372E-2</v>
      </c>
      <c r="C55" s="45">
        <v>60570.394736842107</v>
      </c>
    </row>
    <row r="56" spans="1:3" x14ac:dyDescent="0.25">
      <c r="A56" s="216" t="s">
        <v>104</v>
      </c>
      <c r="B56" s="217">
        <v>4.1340298287930559E-3</v>
      </c>
      <c r="C56" s="45">
        <v>12892.561983471074</v>
      </c>
    </row>
    <row r="57" spans="1:3" x14ac:dyDescent="0.25">
      <c r="A57" s="216" t="s">
        <v>87</v>
      </c>
      <c r="B57" s="217">
        <v>3.5271754500792035E-2</v>
      </c>
      <c r="C57" s="45">
        <v>110000</v>
      </c>
    </row>
    <row r="58" spans="1:3" x14ac:dyDescent="0.25">
      <c r="A58" s="216" t="s">
        <v>88</v>
      </c>
      <c r="B58" s="217">
        <v>3.8478277637227672E-2</v>
      </c>
      <c r="C58" s="45">
        <v>120000</v>
      </c>
    </row>
    <row r="59" spans="1:3" x14ac:dyDescent="0.25">
      <c r="A59" s="216" t="s">
        <v>70</v>
      </c>
      <c r="B59" s="217">
        <v>6.4130462728712789E-3</v>
      </c>
      <c r="C59" s="45">
        <v>20000</v>
      </c>
    </row>
    <row r="60" spans="1:3" x14ac:dyDescent="0.25">
      <c r="A60" s="216" t="s">
        <v>116</v>
      </c>
      <c r="B60" s="217">
        <v>3.5271754500792035E-2</v>
      </c>
      <c r="C60" s="45">
        <v>110000</v>
      </c>
    </row>
    <row r="61" spans="1:3" x14ac:dyDescent="0.25">
      <c r="A61" s="216" t="s">
        <v>150</v>
      </c>
      <c r="B61" s="217">
        <v>1.2024461761633647E-3</v>
      </c>
      <c r="C61" s="45">
        <v>3750</v>
      </c>
    </row>
    <row r="62" spans="1:3" x14ac:dyDescent="0.25">
      <c r="A62" s="216" t="s">
        <v>543</v>
      </c>
      <c r="B62" s="217">
        <v>1</v>
      </c>
      <c r="C62" s="45">
        <v>3118642.7087864294</v>
      </c>
    </row>
  </sheetData>
  <pageMargins left="0.7" right="0.7" top="0.75" bottom="0.75" header="0.3" footer="0.3"/>
  <pageSetup orientation="portrait" r:id="rId2"/>
  <headerFooter>
    <oddFooter>&amp;R&amp;1#&amp;"Calibri"&amp;22&amp;KFF8939RESTRICTED</oddFooter>
  </headerFooter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806BD305259F64A8640512906F8AD48" ma:contentTypeVersion="12" ma:contentTypeDescription="Crear nuevo documento." ma:contentTypeScope="" ma:versionID="96f7cc8399ebe5f6d7194244af6f9376">
  <xsd:schema xmlns:xsd="http://www.w3.org/2001/XMLSchema" xmlns:xs="http://www.w3.org/2001/XMLSchema" xmlns:p="http://schemas.microsoft.com/office/2006/metadata/properties" xmlns:ns1="http://schemas.microsoft.com/sharepoint/v3" xmlns:ns2="1a4d292e-883c-434b-96e3-060cfff16c86" xmlns:ns3="055b1fb0-a9d0-4f3a-a4ea-3dad4c109d43" xmlns:ns4="1df73f70-6a70-4752-b537-961bbc3c8f7f" targetNamespace="http://schemas.microsoft.com/office/2006/metadata/properties" ma:root="true" ma:fieldsID="19db5748a442b7eb4f79b4dc880568a5" ns1:_="" ns2:_="" ns3:_="" ns4:_="">
    <xsd:import namespace="http://schemas.microsoft.com/sharepoint/v3"/>
    <xsd:import namespace="1a4d292e-883c-434b-96e3-060cfff16c86"/>
    <xsd:import namespace="055b1fb0-a9d0-4f3a-a4ea-3dad4c109d43"/>
    <xsd:import namespace="1df73f70-6a70-4752-b537-961bbc3c8f7f"/>
    <xsd:element name="properties">
      <xsd:complexType>
        <xsd:sequence>
          <xsd:element name="documentManagement">
            <xsd:complexType>
              <xsd:all>
                <xsd:element ref="ns2:TaxCatchAll" minOccurs="0"/>
                <xsd:element ref="ns2:TaxCatchAllLabel" minOccurs="0"/>
                <xsd:element ref="ns1:_dlc_Exempt" minOccurs="0"/>
                <xsd:element ref="ns1:_dlc_ExpireDateSaved" minOccurs="0"/>
                <xsd:element ref="ns1:_dlc_ExpireDate" minOccurs="0"/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OCR" minOccurs="0"/>
                <xsd:element ref="ns3:MediaServiceLocation" minOccurs="0"/>
                <xsd:element ref="ns3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dlc_Exempt" ma:index="10" nillable="true" ma:displayName="Excluir de la directiva" ma:hidden="true" ma:internalName="_dlc_Exempt" ma:readOnly="false">
      <xsd:simpleType>
        <xsd:restriction base="dms:Unknown"/>
      </xsd:simpleType>
    </xsd:element>
    <xsd:element name="_dlc_ExpireDateSaved" ma:index="11" nillable="true" ma:displayName="Fecha de expiración original" ma:hidden="true" ma:internalName="_dlc_ExpireDateSaved" ma:readOnly="false">
      <xsd:simpleType>
        <xsd:restriction base="dms:DateTime"/>
      </xsd:simpleType>
    </xsd:element>
    <xsd:element name="_dlc_ExpireDate" ma:index="12" nillable="true" ma:displayName="Fecha de expiración" ma:hidden="true" ma:internalName="_dlc_ExpireDate" ma:readOnly="fals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a4d292e-883c-434b-96e3-060cfff16c86" elementFormDefault="qualified">
    <xsd:import namespace="http://schemas.microsoft.com/office/2006/documentManagement/types"/>
    <xsd:import namespace="http://schemas.microsoft.com/office/infopath/2007/PartnerControls"/>
    <xsd:element name="TaxCatchAll" ma:index="8" nillable="true" ma:displayName="Taxonomy Catch All Column" ma:hidden="true" ma:list="{cb542279-1476-43dd-8c4b-a83884266d48}" ma:internalName="TaxCatchAll" ma:showField="CatchAllData" ma:web="1df73f70-6a70-4752-b537-961bbc3c8f7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9" nillable="true" ma:displayName="Taxonomy Catch All Column1" ma:hidden="true" ma:list="{cb542279-1476-43dd-8c4b-a83884266d48}" ma:internalName="TaxCatchAllLabel" ma:readOnly="true" ma:showField="CatchAllDataLabel" ma:web="1df73f70-6a70-4752-b537-961bbc3c8f7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55b1fb0-a9d0-4f3a-a4ea-3dad4c109d4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3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4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7" nillable="true" ma:displayName="Tags" ma:internalName="MediaServiceAutoTags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20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2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4" nillable="true" ma:taxonomy="true" ma:internalName="lcf76f155ced4ddcb4097134ff3c332f" ma:taxonomyFieldName="MediaServiceImageTags" ma:displayName="Etiquetas de imagen" ma:readOnly="false" ma:fieldId="{5cf76f15-5ced-4ddc-b409-7134ff3c332f}" ma:taxonomyMulti="true" ma:sspId="7bc43322-b630-4bac-8b27-31def233d1d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df73f70-6a70-4752-b537-961bbc3c8f7f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haredContentType xmlns="Microsoft.SharePoint.Taxonomy.ContentTypeSync" SourceId="7bc43322-b630-4bac-8b27-31def233d1d0" ContentTypeId="0x0101" PreviousValue="false" LastSyncTimeStamp="2020-06-15T17:53:05.723Z"/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a4d292e-883c-434b-96e3-060cfff16c86" xsi:nil="true"/>
    <_dlc_ExpireDateSaved xmlns="http://schemas.microsoft.com/sharepoint/v3" xsi:nil="true"/>
    <_dlc_ExpireDate xmlns="http://schemas.microsoft.com/sharepoint/v3" xsi:nil="true"/>
    <_dlc_Exempt xmlns="http://schemas.microsoft.com/sharepoint/v3" xsi:nil="true"/>
    <lcf76f155ced4ddcb4097134ff3c332f xmlns="055b1fb0-a9d0-4f3a-a4ea-3dad4c109d43">
      <Terms xmlns="http://schemas.microsoft.com/office/infopath/2007/PartnerControls"/>
    </lcf76f155ced4ddcb4097134ff3c332f>
    <SharedWithUsers xmlns="1df73f70-6a70-4752-b537-961bbc3c8f7f">
      <UserInfo>
        <DisplayName>Facundo Romero</DisplayName>
        <AccountId>53</AccountId>
        <AccountType/>
      </UserInfo>
      <UserInfo>
        <DisplayName>Alejandro Javier Baldoma</DisplayName>
        <AccountId>69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9A255809-89C7-4CCA-A715-960EC35EA28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1a4d292e-883c-434b-96e3-060cfff16c86"/>
    <ds:schemaRef ds:uri="055b1fb0-a9d0-4f3a-a4ea-3dad4c109d43"/>
    <ds:schemaRef ds:uri="1df73f70-6a70-4752-b537-961bbc3c8f7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8550F8E-915D-4468-82CE-D8432694D235}">
  <ds:schemaRefs>
    <ds:schemaRef ds:uri="Microsoft.SharePoint.Taxonomy.ContentTypeSync"/>
  </ds:schemaRefs>
</ds:datastoreItem>
</file>

<file path=customXml/itemProps3.xml><?xml version="1.0" encoding="utf-8"?>
<ds:datastoreItem xmlns:ds="http://schemas.openxmlformats.org/officeDocument/2006/customXml" ds:itemID="{484A41AD-BA7A-497A-8192-3AFA481AB561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6D456233-1D96-4B74-A7F6-E20FF8D031AD}">
  <ds:schemaRefs>
    <ds:schemaRef ds:uri="http://schemas.microsoft.com/office/2006/metadata/properties"/>
    <ds:schemaRef ds:uri="http://schemas.microsoft.com/office/infopath/2007/PartnerControls"/>
    <ds:schemaRef ds:uri="1a4d292e-883c-434b-96e3-060cfff16c86"/>
    <ds:schemaRef ds:uri="http://schemas.microsoft.com/sharepoint/v3"/>
    <ds:schemaRef ds:uri="055b1fb0-a9d0-4f3a-a4ea-3dad4c109d43"/>
    <ds:schemaRef ds:uri="1df73f70-6a70-4752-b537-961bbc3c8f7f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1</vt:i4>
      </vt:variant>
    </vt:vector>
  </HeadingPairs>
  <TitlesOfParts>
    <vt:vector size="10" baseType="lpstr">
      <vt:lpstr>Consolidado</vt:lpstr>
      <vt:lpstr>110521 DRAFT</vt:lpstr>
      <vt:lpstr>1-Target historico</vt:lpstr>
      <vt:lpstr>Hoja 1</vt:lpstr>
      <vt:lpstr>2-Año bueno (2)</vt:lpstr>
      <vt:lpstr>BASE</vt:lpstr>
      <vt:lpstr>Pre Crop Plan </vt:lpstr>
      <vt:lpstr>vlook</vt:lpstr>
      <vt:lpstr>hISTORICO</vt:lpstr>
      <vt:lpstr>'Hoja 1'!OK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MARINI, MARTINA [AG/2589]</dc:creator>
  <cp:keywords/>
  <dc:description/>
  <cp:lastModifiedBy>GALEANO</cp:lastModifiedBy>
  <cp:revision/>
  <dcterms:created xsi:type="dcterms:W3CDTF">2019-10-04T16:08:54Z</dcterms:created>
  <dcterms:modified xsi:type="dcterms:W3CDTF">2023-02-14T12:38:24Z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0x0101002806BD305259F64A8640512906F8AD48</vt:lpwstr>
  </property>
  <property fmtid="{D5CDD505-2E9C-101B-9397-08002B2CF9AE}" pid="3" name="MediaServiceImageTags">
    <vt:lpwstr/>
  </property>
  <property fmtid="{D5CDD505-2E9C-101B-9397-08002B2CF9AE}" pid="4" name="MSIP_Label_2c76c141-ac86-40e5-abf2-c6f60e474cee_Enabled">
    <vt:lpwstr>true</vt:lpwstr>
  </property>
  <property fmtid="{D5CDD505-2E9C-101B-9397-08002B2CF9AE}" pid="5" name="MSIP_Label_2c76c141-ac86-40e5-abf2-c6f60e474cee_SetDate">
    <vt:lpwstr>2023-02-13T20:56:54Z</vt:lpwstr>
  </property>
  <property fmtid="{D5CDD505-2E9C-101B-9397-08002B2CF9AE}" pid="6" name="MSIP_Label_2c76c141-ac86-40e5-abf2-c6f60e474cee_Method">
    <vt:lpwstr>Standard</vt:lpwstr>
  </property>
  <property fmtid="{D5CDD505-2E9C-101B-9397-08002B2CF9AE}" pid="7" name="MSIP_Label_2c76c141-ac86-40e5-abf2-c6f60e474cee_Name">
    <vt:lpwstr>2c76c141-ac86-40e5-abf2-c6f60e474cee</vt:lpwstr>
  </property>
  <property fmtid="{D5CDD505-2E9C-101B-9397-08002B2CF9AE}" pid="8" name="MSIP_Label_2c76c141-ac86-40e5-abf2-c6f60e474cee_SiteId">
    <vt:lpwstr>fcb2b37b-5da0-466b-9b83-0014b67a7c78</vt:lpwstr>
  </property>
  <property fmtid="{D5CDD505-2E9C-101B-9397-08002B2CF9AE}" pid="9" name="MSIP_Label_2c76c141-ac86-40e5-abf2-c6f60e474cee_ActionId">
    <vt:lpwstr>d60d4fd3-9f34-4b87-800e-12e7c40483ed</vt:lpwstr>
  </property>
  <property fmtid="{D5CDD505-2E9C-101B-9397-08002B2CF9AE}" pid="10" name="MSIP_Label_2c76c141-ac86-40e5-abf2-c6f60e474cee_ContentBits">
    <vt:lpwstr>2</vt:lpwstr>
  </property>
</Properties>
</file>